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5" yWindow="165" windowWidth="9720" windowHeight="6345" tabRatio="488" activeTab="0"/>
  </bookViews>
  <sheets>
    <sheet name="investice" sheetId="1" r:id="rId1"/>
  </sheets>
  <definedNames>
    <definedName name="DATABASE" localSheetId="0">'investice'!$B$11:$R$440</definedName>
    <definedName name="_xlnm.Print_Area" localSheetId="0">'investice'!$A$1:$R$452</definedName>
  </definedNames>
  <calcPr fullCalcOnLoad="1"/>
</workbook>
</file>

<file path=xl/sharedStrings.xml><?xml version="1.0" encoding="utf-8"?>
<sst xmlns="http://schemas.openxmlformats.org/spreadsheetml/2006/main" count="1922" uniqueCount="577">
  <si>
    <t>Rek. ZŠ n. 28.dubna v Bystr. pro ÚMČ a rev. MP</t>
  </si>
  <si>
    <t>Rek. a dost. Archivu města Brna v Černovicích</t>
  </si>
  <si>
    <t>Brněnské městské golfové hřiště - příspěvek</t>
  </si>
  <si>
    <t>1999</t>
  </si>
  <si>
    <t>2000</t>
  </si>
  <si>
    <t>OI</t>
  </si>
  <si>
    <t>4845</t>
  </si>
  <si>
    <t>2129</t>
  </si>
  <si>
    <t>1995</t>
  </si>
  <si>
    <t>2212</t>
  </si>
  <si>
    <t>Mimoúrovňová křižovatka Hlinky</t>
  </si>
  <si>
    <t>2003</t>
  </si>
  <si>
    <t>Rekonstrukce ulice Antonína Procházky</t>
  </si>
  <si>
    <t>2001</t>
  </si>
  <si>
    <t>Rekonstrukce ulice Hudcova</t>
  </si>
  <si>
    <t>Rekonstrukce ulice Jundrovské</t>
  </si>
  <si>
    <t>Rekonstrukce ulice Táborská</t>
  </si>
  <si>
    <t>2002</t>
  </si>
  <si>
    <t>1996</t>
  </si>
  <si>
    <t>BKOM</t>
  </si>
  <si>
    <t>1997</t>
  </si>
  <si>
    <t>Rekonstrukce komunikace Veslařská-Jundrov</t>
  </si>
  <si>
    <t>1998</t>
  </si>
  <si>
    <t>Velký městský okruh úsek Lesnická - mosty</t>
  </si>
  <si>
    <t>Velký městský okruh Dobrovského</t>
  </si>
  <si>
    <t>Pražská radiála - revitalizace Čertíku</t>
  </si>
  <si>
    <t>2219</t>
  </si>
  <si>
    <t>Zachycení přívalových vod Pisárky</t>
  </si>
  <si>
    <t>Úprava chodníku na ulici Technické</t>
  </si>
  <si>
    <t>Lávka přes řeku Svratku v Brně - Poříčí</t>
  </si>
  <si>
    <t>Automatické zádržné systémy</t>
  </si>
  <si>
    <t>Majetkoprávní vypořádání a příprava staveb</t>
  </si>
  <si>
    <t>1993</t>
  </si>
  <si>
    <t>2271</t>
  </si>
  <si>
    <t>Ulice Jemelkova - zastávka MHD Starý Lískovec</t>
  </si>
  <si>
    <t>2310</t>
  </si>
  <si>
    <t>MČ Brno-Soběšice-zásobování vodou</t>
  </si>
  <si>
    <t>Vodárenské objekty - zabezpečovací zařízení</t>
  </si>
  <si>
    <t>BVK</t>
  </si>
  <si>
    <t>Čerpací stanice - rekonstrukce armatur a strojů</t>
  </si>
  <si>
    <t>Měření na vodovodní síti</t>
  </si>
  <si>
    <t>Nadzemní hydranty</t>
  </si>
  <si>
    <t>Rekonstrukce vodovodu - ulice Tylova</t>
  </si>
  <si>
    <t>Rozšíření vodojemu Kraví hora výtlak Barvičova</t>
  </si>
  <si>
    <t>Rekonstrukce skupiny budov Banín 100</t>
  </si>
  <si>
    <t>Provozní budova BVaK Pisárky</t>
  </si>
  <si>
    <t>CVD rozšiřování systému</t>
  </si>
  <si>
    <t>4341</t>
  </si>
  <si>
    <t>Rekonstrukce vodovodu - ulice Masná</t>
  </si>
  <si>
    <t>Rekonstrukce vodovodu - ulice Lelkova</t>
  </si>
  <si>
    <t>Vodojem Soběšice</t>
  </si>
  <si>
    <t>Brněnec rekonstrukce nábřežní zdi</t>
  </si>
  <si>
    <t>Rekonstrukce vodovodu -  Vrchlického sad</t>
  </si>
  <si>
    <t>Rekonstrukce vodovodu - ulice Skácelova</t>
  </si>
  <si>
    <t>Rekonstrukce vodovodu - ulice Mathonova</t>
  </si>
  <si>
    <t>Rekonstrukce vodovodu - ulice Nováčkova</t>
  </si>
  <si>
    <t>Rekonstrukce vodovodu Cacoviská</t>
  </si>
  <si>
    <t>Rekonstrukce vodovodu Komenského náměstí</t>
  </si>
  <si>
    <t>Rekonstrukce vrtu HV 3</t>
  </si>
  <si>
    <t>Pod kopcem, podchod potoka-rek. vodovodu</t>
  </si>
  <si>
    <t>2321</t>
  </si>
  <si>
    <t>Dešťová kanalizace v MČ Brno Ořešín</t>
  </si>
  <si>
    <t>Kanalizace Holásky, MČ Brno Tuřany II.etapa</t>
  </si>
  <si>
    <t>Oddílný kanalizační systém Brno - Bohunice</t>
  </si>
  <si>
    <t>Odvedení dešťových vod ze Soběšic</t>
  </si>
  <si>
    <t>2005</t>
  </si>
  <si>
    <t>1990</t>
  </si>
  <si>
    <t>Rekonstrukce kmenové stoky "F"</t>
  </si>
  <si>
    <t>1994</t>
  </si>
  <si>
    <t>Soběšice - splašková kanalizace</t>
  </si>
  <si>
    <t>Vodovodní přivaděč Jehnice-Ořešín-Útěchov</t>
  </si>
  <si>
    <t>Kamenná čtvrť - kanalizace a vodovod</t>
  </si>
  <si>
    <t>Pravobřežní sběrač Rakovec</t>
  </si>
  <si>
    <t>Banskobystrická - kanalizace a vodovod</t>
  </si>
  <si>
    <t>Kanalizační sběrač  Líšeň - Šlapanice - Tuřany</t>
  </si>
  <si>
    <t>Vodovod a kanalizace Planýrka-Drobného</t>
  </si>
  <si>
    <t>Rekonstrukce čerpací stanice Loosova</t>
  </si>
  <si>
    <t>Odlehčovací komora Vlhká</t>
  </si>
  <si>
    <t>Rekonstrukce objektů - havarijní stav</t>
  </si>
  <si>
    <t>Doplnění rozváděčů čerpací stanice kanalizace</t>
  </si>
  <si>
    <t>ČOV Modřice - vodovod v areálu</t>
  </si>
  <si>
    <t>Příjezdová komunikace ke shybce sběrače "A"</t>
  </si>
  <si>
    <t>ČOV - topné okruhy - měření tepelného výkonu</t>
  </si>
  <si>
    <t>Rekostrukce kanalizace - ulice Tylova</t>
  </si>
  <si>
    <t>Kanalizace - ulice Vsetínská</t>
  </si>
  <si>
    <t>Rekonstrukce kontejnerové dopravy na ČOV</t>
  </si>
  <si>
    <t>Rekonstrukce nádrží síranu železitého na ČOV</t>
  </si>
  <si>
    <t>Rekonstrukce kanalizace - uzel Kuřimská</t>
  </si>
  <si>
    <t>Rekonstrukce kanalizace - ulice Helceletova</t>
  </si>
  <si>
    <t>Rekonstrukce kanalizace - ulice Čechyňská</t>
  </si>
  <si>
    <t>Rekonstrukce kanalizace - ulice Vodní</t>
  </si>
  <si>
    <t>Hlinky OK Riviera,rekonstrukce k. BO7</t>
  </si>
  <si>
    <t>4349</t>
  </si>
  <si>
    <t>Rekonstrukce shybky Cacovice</t>
  </si>
  <si>
    <t>Rekonstrukce klapkové komory Poříčí</t>
  </si>
  <si>
    <t>2329</t>
  </si>
  <si>
    <t>2333</t>
  </si>
  <si>
    <t>3113</t>
  </si>
  <si>
    <t>ZŠ Zeiberlichova - rekonstrukce 2. a 3.etapa</t>
  </si>
  <si>
    <t>ZŠ Sirotkova - rekonstrukce</t>
  </si>
  <si>
    <t>ZŠ Řehořova - rekonstrukce</t>
  </si>
  <si>
    <t>4314</t>
  </si>
  <si>
    <t>4316</t>
  </si>
  <si>
    <t>4321</t>
  </si>
  <si>
    <t>ZŠ Kneslova 28 - rekonstrukce   objektu</t>
  </si>
  <si>
    <t>3141</t>
  </si>
  <si>
    <t>3311</t>
  </si>
  <si>
    <t>Rekonstrukce divadla Reduta</t>
  </si>
  <si>
    <t>p.o.</t>
  </si>
  <si>
    <t>3315</t>
  </si>
  <si>
    <t>Klimatizace Domu umění</t>
  </si>
  <si>
    <t>3319</t>
  </si>
  <si>
    <t>3326</t>
  </si>
  <si>
    <t>Pomník T.G.Masaryka</t>
  </si>
  <si>
    <t>3419</t>
  </si>
  <si>
    <t>Nová hrací plocha pro lední hokej v hale Rondo</t>
  </si>
  <si>
    <t>Rekonstrukce terasy haly Rondo</t>
  </si>
  <si>
    <t>3523</t>
  </si>
  <si>
    <t>Rekonstrukce objektu na Šelepově 5</t>
  </si>
  <si>
    <t>Úprava objektů LDN na Červeném kopci</t>
  </si>
  <si>
    <t>Úprava budovy jeslí na Stamicově 9</t>
  </si>
  <si>
    <t>3612</t>
  </si>
  <si>
    <t>Projektové práce pro OI a ÚHA</t>
  </si>
  <si>
    <t>4947</t>
  </si>
  <si>
    <t>Brno - Žebětín,  194 bytových jednotek</t>
  </si>
  <si>
    <t>MO</t>
  </si>
  <si>
    <t>4948</t>
  </si>
  <si>
    <t>Brno - Bystrc, bytové jednotky ul. Štouračova</t>
  </si>
  <si>
    <t>3632</t>
  </si>
  <si>
    <t>Obnovení hřbitova Komín</t>
  </si>
  <si>
    <t>Ústřední hřbitov - loučka individuálního vsypu</t>
  </si>
  <si>
    <t>Ústřední hřbitov - rekonstrukce opěrné zdi</t>
  </si>
  <si>
    <t>3639</t>
  </si>
  <si>
    <t>Výkupy pozemků pro MO</t>
  </si>
  <si>
    <t>3716</t>
  </si>
  <si>
    <t>3741</t>
  </si>
  <si>
    <t>Výstavba dětské ZOO v areálu ZOO města Brna</t>
  </si>
  <si>
    <t>Přebudování oplocení areálu ZOO města Brna</t>
  </si>
  <si>
    <t>3745</t>
  </si>
  <si>
    <t>VZmB</t>
  </si>
  <si>
    <t>Lužánky I.-IV.etapa</t>
  </si>
  <si>
    <t>1992</t>
  </si>
  <si>
    <t>Přístavba lůžkového výtahu v DD Kosmonautů</t>
  </si>
  <si>
    <t>4339</t>
  </si>
  <si>
    <t>Dům sociální prevence Podnásepní 20</t>
  </si>
  <si>
    <t>5311</t>
  </si>
  <si>
    <t>MP</t>
  </si>
  <si>
    <t>6171</t>
  </si>
  <si>
    <t>Informační systém města Brna</t>
  </si>
  <si>
    <t>Digitální mapa města Brna</t>
  </si>
  <si>
    <t>6211</t>
  </si>
  <si>
    <t>Investici</t>
  </si>
  <si>
    <t>Váhy na vážení vozidel</t>
  </si>
  <si>
    <t>3314</t>
  </si>
  <si>
    <t>CED - osvětlovací a vzduchová technika</t>
  </si>
  <si>
    <t>CED - závěsový fundus obou souborů</t>
  </si>
  <si>
    <t>Starez p.o. - rolba</t>
  </si>
  <si>
    <t>3522</t>
  </si>
  <si>
    <t>CDOZ - 1 ks hydraul. zvedací zařízení</t>
  </si>
  <si>
    <t>ZOO p.o. - dodávkový automobil</t>
  </si>
  <si>
    <t>ZOO p.o. - počišťovací technika</t>
  </si>
  <si>
    <t>VZmB p.o. - kolový nakladač</t>
  </si>
  <si>
    <t>VZmB p.o. - víceúčelové vozidlo + nástavby</t>
  </si>
  <si>
    <t>Městská policie - obnova vozového parku</t>
  </si>
  <si>
    <t>5511</t>
  </si>
  <si>
    <t>HZSmB - automobilový žebřík 30 m</t>
  </si>
  <si>
    <t>2221</t>
  </si>
  <si>
    <t>2010</t>
  </si>
  <si>
    <t>Silnice</t>
  </si>
  <si>
    <t>Provoz veřejné silniční dopravy</t>
  </si>
  <si>
    <t>Divadelní činnost</t>
  </si>
  <si>
    <t>Činnosti knihovnické</t>
  </si>
  <si>
    <t>Tělovýchovná činnost j.n.</t>
  </si>
  <si>
    <t>Ostatní nemocnice</t>
  </si>
  <si>
    <t>Odborné léčebné ústavy</t>
  </si>
  <si>
    <t>Pohřebnictví</t>
  </si>
  <si>
    <t>Péče o vzhled obcí a veřejnou zeleň</t>
  </si>
  <si>
    <t>Domovy důchodců</t>
  </si>
  <si>
    <t>Kojenecké ústavy</t>
  </si>
  <si>
    <t>Požární ochrana - profesionální část</t>
  </si>
  <si>
    <t>Činnost místní správy</t>
  </si>
  <si>
    <t>Archivní činnost</t>
  </si>
  <si>
    <t>Upravený</t>
  </si>
  <si>
    <t>rozpočet</t>
  </si>
  <si>
    <t>z toho:</t>
  </si>
  <si>
    <t>Zař. města pro odchyt. a as. sl. a útulek pro zvíř.</t>
  </si>
  <si>
    <t>Odvětvové a oborové programy j.n.</t>
  </si>
  <si>
    <t>Záležitosti pozemních komunikací j.n.</t>
  </si>
  <si>
    <t>Ostatní dráhy</t>
  </si>
  <si>
    <t>Pitná voda</t>
  </si>
  <si>
    <t>Odvádění a čištění odpadních vod j.n.</t>
  </si>
  <si>
    <t>Úpravy drobných vodních toků</t>
  </si>
  <si>
    <t>Základní školy</t>
  </si>
  <si>
    <t>Činnost muzeí a galerií</t>
  </si>
  <si>
    <t>Záležitosti kultury j.n.</t>
  </si>
  <si>
    <t>Bytové hospodářství</t>
  </si>
  <si>
    <t>Veřejné osvětlení</t>
  </si>
  <si>
    <t>Komunální služby a územní rozvoj j.n.</t>
  </si>
  <si>
    <t>Monitoring ochrany ovzduší</t>
  </si>
  <si>
    <t>Ochrana druhů a stanovišt</t>
  </si>
  <si>
    <t>Pečovatelská služba</t>
  </si>
  <si>
    <t>Soc. péče a pomoc rodině a manželství j.n.</t>
  </si>
  <si>
    <t>Soc. péče a pomoc ost. skup. obyvatelstva j.n.</t>
  </si>
  <si>
    <t>Ostatní činnosti j.n.</t>
  </si>
  <si>
    <t>Městské divadlo v Brně - pásová pila na železo</t>
  </si>
  <si>
    <t>Městské divadlo v Brně - zvuková technika</t>
  </si>
  <si>
    <t>Městské divadlo v Brně - osvětlovací technika</t>
  </si>
  <si>
    <t>Městské divadlo v Brně - jevištní technologie</t>
  </si>
  <si>
    <t>CED praktikáblové vybavení</t>
  </si>
  <si>
    <t>Nem. Milosrd. bratří - 1 ks počítačový tomograf</t>
  </si>
  <si>
    <t>Správa hřbitovů m. Brna p.o. - hřbitovní bagr</t>
  </si>
  <si>
    <t>Správa hřbit. m. Brna p.o. - mob. vzduch. kompr.</t>
  </si>
  <si>
    <t>Dětský domov - 1 ks univers. kuchyň. rrobot</t>
  </si>
  <si>
    <t>Vozidla pro zařízení OSP</t>
  </si>
  <si>
    <t>Půjčky na auta invalidním občanům</t>
  </si>
  <si>
    <t>Městská policie - výpočetní technika</t>
  </si>
  <si>
    <t>OVV - 6 osobních aut</t>
  </si>
  <si>
    <t>HZSmB - operační středisko IZS</t>
  </si>
  <si>
    <t>Rek. kan a vodov. - ul. Táborská</t>
  </si>
  <si>
    <t>Rekonstrukce nám. Svobody</t>
  </si>
  <si>
    <t>Odd. kan. systém Brno - Líšeň stoka A</t>
  </si>
  <si>
    <t>Rek. kmenové stoky C - úsek Mlýnská - Křenová</t>
  </si>
  <si>
    <t>Rek. kmen. stoky úsek Ponávka V.</t>
  </si>
  <si>
    <t>Rek. kmenové stoky C Hradecká</t>
  </si>
  <si>
    <t xml:space="preserve">Rek. kmenové stoky D Tkalcovská </t>
  </si>
  <si>
    <t>Rekonstrukce průčelí Mahenova divadla</t>
  </si>
  <si>
    <t>Rek. objektu Janáčkova divadla v Brně</t>
  </si>
  <si>
    <t>Knihovna J Mahena - rekonstrukce objektu</t>
  </si>
  <si>
    <t>Rek. Domu pánů z Kunštátu</t>
  </si>
  <si>
    <t>Zachování a obnova kulturních památek</t>
  </si>
  <si>
    <t>NKP Špilberk - I. etapa</t>
  </si>
  <si>
    <t>Sportovní areál Kraví hora - I. etapa</t>
  </si>
  <si>
    <t>3633</t>
  </si>
  <si>
    <t>Výstavba a údržba místních inženýrských sítí</t>
  </si>
  <si>
    <t>II. SSK - nám. Svobody - 10. stavba kolektoru</t>
  </si>
  <si>
    <t>2004</t>
  </si>
  <si>
    <t>II. SSK - Sukova - 8. stavba kolektoru</t>
  </si>
  <si>
    <t>Výkupy pozemků - Černovická terasa</t>
  </si>
  <si>
    <t>Výkupy pozemků - Hněvkovského</t>
  </si>
  <si>
    <t>Výkupy nemovitostí Jižní centrum</t>
  </si>
  <si>
    <t>Rek. Denisovy sady a Studánka</t>
  </si>
  <si>
    <t>NKP Špilberk - rekonstrukce parku II. etapa</t>
  </si>
  <si>
    <t>Reg. a zateplení obecního majetku - MMB</t>
  </si>
  <si>
    <t>Reg. a zateplení obecního majetku - MČ</t>
  </si>
  <si>
    <t>Hala SK Žabovřesky - příspěvek</t>
  </si>
  <si>
    <t>Zvýšení základního jmění BVaK a.s.</t>
  </si>
  <si>
    <t>Rezerva</t>
  </si>
  <si>
    <t>Mimoúr. křiž. Dobrovského-Svitavská radiála</t>
  </si>
  <si>
    <t>Lávka  přes ř. Svitavu, Mlýnské nábř. - Babická</t>
  </si>
  <si>
    <t>Cykl. stez. podél Svratky Sokolova-IKEA-Bernáš.</t>
  </si>
  <si>
    <t>Cykl. stezka Komín (Sokolovna) - Sv. Čecha</t>
  </si>
  <si>
    <t>Dotace na rek. areálu Masná pro a.s. BKOM</t>
  </si>
  <si>
    <t>Líšeň dobudování tlakového pásma pod hřbit.</t>
  </si>
  <si>
    <t>Rek. odpadního potrubí z vodojemu Holé Hory</t>
  </si>
  <si>
    <t>Napájecí kabel vodojemu Bystrc I. tlak. pásmo</t>
  </si>
  <si>
    <t>Napájecí kabel vodojemu Bystrc II. tlak. pásmo</t>
  </si>
  <si>
    <t>Rek. vod. ulicí J.Svobody,Husovická,Nováčkova</t>
  </si>
  <si>
    <t>Malá Lhota rek. domku štoly - II.Březovský vod.</t>
  </si>
  <si>
    <t>Kounicova III.a,b, rek. kanalizace a vodovodu</t>
  </si>
  <si>
    <t>Odd. kan. Soběšice, vč. přípojek kanaliz.sběr.</t>
  </si>
  <si>
    <t>RKS "E" shybka - Mírová ( dokončení )</t>
  </si>
  <si>
    <t>Rek. kanalizace a vodovodu - ulice Zemědělská</t>
  </si>
  <si>
    <t>Vod. a kanalizace pravý břeh brněnské přehrady</t>
  </si>
  <si>
    <t>Kan. sběrač "A1" Bosonohy včetně kanalizace</t>
  </si>
  <si>
    <t>Rek. kanalizace a vodovodu ulice Hudcova</t>
  </si>
  <si>
    <t>Rek. kanalizace a vodovodu - ulice Kaloudova</t>
  </si>
  <si>
    <t>Rek. kanalizace a vodovodu - ulice T.Novákové</t>
  </si>
  <si>
    <t>Rek. kan. a vodovodu - ulice Jeneweinova</t>
  </si>
  <si>
    <t>Rek. kanalizace a vodovodu - ulice Reissigova</t>
  </si>
  <si>
    <t>Rek. kanalizace a vodovodu -  ulice Celní</t>
  </si>
  <si>
    <t>Rek. kanalizace a vodovodu - ulice Čápkova</t>
  </si>
  <si>
    <t>Rek. kanalizace a vodovodu - ulice Obřanská</t>
  </si>
  <si>
    <t>Rek. kanalizace a vodovodu - ulice Dukelská</t>
  </si>
  <si>
    <t>Přebírání nepřevzaté vodohosp. infrastruktury</t>
  </si>
  <si>
    <t>Rek. klapkové komory Kamenomlýnská</t>
  </si>
  <si>
    <t>Odkanal. a zásobování vodou Brno - Slatina</t>
  </si>
  <si>
    <t>Přípr. staveb, geometr. plány a výkupy pozemků</t>
  </si>
  <si>
    <t>Ret. nádrž na Medláneckém pot. v Medlánkách</t>
  </si>
  <si>
    <t>ZŠ Slovanské náměstí - rek. školní kuchyně</t>
  </si>
  <si>
    <t>ZŠ Hudcova 35 - rek. a přístavba I. a II. etapa</t>
  </si>
  <si>
    <t>ZŠ Křídlovická rekonstrukce objektu 2. a 3. et.</t>
  </si>
  <si>
    <t>ZŠ Měšťanská v Tuřanech - moder. a rek.</t>
  </si>
  <si>
    <t>ZŠ Přemyslovo náměstí - rek. 1. a 2.etapa</t>
  </si>
  <si>
    <t>Gymnázium Elgartova - plyn. topení a rozv. ÚT</t>
  </si>
  <si>
    <t>Soud. hud. scéna Měst. divadla Brno-výkup poz.</t>
  </si>
  <si>
    <t>Loutkové divadlo Radost II. etapa rek. objektu</t>
  </si>
  <si>
    <t>Rek. sociálních zařízení v Mahenově divadle</t>
  </si>
  <si>
    <t>Loutkové divadlo Radost - rek. objektu I. etapa</t>
  </si>
  <si>
    <t>Dost. sport. haly pro míč. sporty Brno - Kr. Pole</t>
  </si>
  <si>
    <t>Rek. koupelen a tělocvičny LDN nem. Mil.bratří</t>
  </si>
  <si>
    <t>Rek. oplocení u hl. vstupu Ústředního hřbitova</t>
  </si>
  <si>
    <t>Ústřední hřbitov - rek. vstupn. obj., spr. budova</t>
  </si>
  <si>
    <t>II. SSK - 7. st. kol. Kobližná - Poštovská - Kozí</t>
  </si>
  <si>
    <t>II. SSK - 18. st. kol. Zelný trh - Starobrněnská</t>
  </si>
  <si>
    <t>kolektory a tech. sítě pro I. et. výstavby v J. centru</t>
  </si>
  <si>
    <t>III. SSK -  11. st. - nám. Svobody - Zámečnická</t>
  </si>
  <si>
    <t>Přípr. rek. ŽUB, SJ a Černov. ter. - reg. ÚHA, proj.</t>
  </si>
  <si>
    <t>SSK Josefská - Minoritská - Orlí - 2. st. kolektoru</t>
  </si>
  <si>
    <t>Rek. terasy v nákupním středisku Lipsko</t>
  </si>
  <si>
    <t>Kapitálové výdaje z FBV dle statutu byt.fondu</t>
  </si>
  <si>
    <t>Přip. monit. syst.kvality ovzduší do AIM ČHMÚ</t>
  </si>
  <si>
    <t>Tyršův sad - rek. ulice Kounicova VzmB</t>
  </si>
  <si>
    <t>Revit. reg. biocentra Cacovický ostrov I.etapa</t>
  </si>
  <si>
    <t>DPS - nástavba Arménská,Bohunice</t>
  </si>
  <si>
    <t>Nástavba DPS Libušina třída 8</t>
  </si>
  <si>
    <t>Výstavba DD Mikuláškovo n., Brno-St. Lískovec</t>
  </si>
  <si>
    <t>Nást. MŠ Heyrov. 11 na Dom. pro mat. s dětmi</t>
  </si>
  <si>
    <t>Rek. hřiště ZŠ Vranov. pro DROM, romské stř.</t>
  </si>
  <si>
    <t>Nást. budovy ÚMČ Brno-sever, Bratislavská 70</t>
  </si>
  <si>
    <t>Rekonstrukce vodojemů</t>
  </si>
  <si>
    <t>Rekonstrukce kanalizace - ulice Merhautova II.</t>
  </si>
  <si>
    <t xml:space="preserve">Areál Kraví hora </t>
  </si>
  <si>
    <t>Městská policie - komunikační technika</t>
  </si>
  <si>
    <t>Vybavení nádv. hradu Špilberk pro poř. kult. akcí</t>
  </si>
  <si>
    <t>IO</t>
  </si>
  <si>
    <t>MUSS</t>
  </si>
  <si>
    <t>OVV</t>
  </si>
  <si>
    <t>OMI</t>
  </si>
  <si>
    <t>Archiv</t>
  </si>
  <si>
    <t>5600</t>
  </si>
  <si>
    <t>7200</t>
  </si>
  <si>
    <t>3200</t>
  </si>
  <si>
    <t>3300</t>
  </si>
  <si>
    <t>8300</t>
  </si>
  <si>
    <t>DPmB a.s. - nákup autobusů a tramvají</t>
  </si>
  <si>
    <t>OSP</t>
  </si>
  <si>
    <t>Celkové</t>
  </si>
  <si>
    <t>Bytová výstavba - Cihelna</t>
  </si>
  <si>
    <t>9101</t>
  </si>
  <si>
    <t>HZSmB</t>
  </si>
  <si>
    <t>vlastní</t>
  </si>
  <si>
    <t>procento</t>
  </si>
  <si>
    <t>městská</t>
  </si>
  <si>
    <t>Nákup akcií - zvýš. zákl. jmění TSB a.s.</t>
  </si>
  <si>
    <t>Bystrc, kanalizace Mniší hora</t>
  </si>
  <si>
    <t>Rek. objektu pro Muzeum romské kultury</t>
  </si>
  <si>
    <t>Bytová výstavba - Holzova - 54 b.j.</t>
  </si>
  <si>
    <t>3400</t>
  </si>
  <si>
    <t>Ostatní správa v zemědělství</t>
  </si>
  <si>
    <t>Studie</t>
  </si>
  <si>
    <t>Městská policie - programové vybavení</t>
  </si>
  <si>
    <t>Čerpání</t>
  </si>
  <si>
    <t>*</t>
  </si>
  <si>
    <t>Ozdr. hosp. zv., pol. a spec. pl. a zvl. vet. péče</t>
  </si>
  <si>
    <t>Rek. fasády objektu Lázní Rašínova 12</t>
  </si>
  <si>
    <t>Rek. systému světelných signaliz. zařízení</t>
  </si>
  <si>
    <t>Rek. kmen. stoky "D" ús. Královka - Černovická</t>
  </si>
  <si>
    <t>Komplexní rek. hist. jádra - ostatní komunik.</t>
  </si>
  <si>
    <t>Odvádění a čištění odpad. vod a nakl. s kaly</t>
  </si>
  <si>
    <t>4214</t>
  </si>
  <si>
    <t xml:space="preserve">Kanal. vč. komunikace ul. Jasmínová - Turist. </t>
  </si>
  <si>
    <t>ZTV Na Špici III + Díly, Černohorská</t>
  </si>
  <si>
    <t>MČ Ivanovice</t>
  </si>
  <si>
    <t>MČ Medlánky</t>
  </si>
  <si>
    <t>MČ Brno - sever</t>
  </si>
  <si>
    <t>MČ Černovice</t>
  </si>
  <si>
    <t>MČ Jundrov</t>
  </si>
  <si>
    <t>MČ Slatina</t>
  </si>
  <si>
    <t>MČ Bohunice</t>
  </si>
  <si>
    <t>Školní stravov. při předšk. a zákl. vzdělávání</t>
  </si>
  <si>
    <t>Poř., zach., a ob. hodn. m. kult., nár. a h. pov.</t>
  </si>
  <si>
    <t>Využ. a zneškodňování  komunálních odpadů</t>
  </si>
  <si>
    <t>Soc. pom. os. v hm. nouzi a obč. soc. nepřízp.</t>
  </si>
  <si>
    <t>MČ Bystrc</t>
  </si>
  <si>
    <t>MČ Líšeň</t>
  </si>
  <si>
    <t>MČ Žebětín</t>
  </si>
  <si>
    <t xml:space="preserve">Vnitřní vybavení Koliště 19 </t>
  </si>
  <si>
    <t>OTS</t>
  </si>
  <si>
    <t>Odbočení z ulice Blanenská - Kleštínek</t>
  </si>
  <si>
    <t>Rekonstrukce ulice Klíny</t>
  </si>
  <si>
    <t>Ostrůvek, vodovod</t>
  </si>
  <si>
    <t>Sušilova, rek. vodovodu</t>
  </si>
  <si>
    <t>Tomanova, rek. vodovodu</t>
  </si>
  <si>
    <t>Banín, komunik. v prameništi</t>
  </si>
  <si>
    <t>Březová, rek. oplocení</t>
  </si>
  <si>
    <t>Ryšánkova, rek. kan. a vodov.</t>
  </si>
  <si>
    <t>Lidická, rek. kan. a vodov. - uznání závazku</t>
  </si>
  <si>
    <t>6300</t>
  </si>
  <si>
    <t>OB</t>
  </si>
  <si>
    <t>Investiční dotace občanským sdružením</t>
  </si>
  <si>
    <t>Inv. dotace ostatním příspěvk. organizacím</t>
  </si>
  <si>
    <t>VLHZ</t>
  </si>
  <si>
    <t>MČ Komín</t>
  </si>
  <si>
    <t>ZŠ Jasanová - rek. kotelny</t>
  </si>
  <si>
    <t>ZŠ Blanenská I. etapa - rek. stávajícího objektu</t>
  </si>
  <si>
    <t>MČ Jehnice</t>
  </si>
  <si>
    <t>Investiční příspěvek Správa hřbitovů</t>
  </si>
  <si>
    <t>Investiční příspěvek ZOO města Brna</t>
  </si>
  <si>
    <t>Výkup stadionu Srbská</t>
  </si>
  <si>
    <t>Výkup stánků ZOO</t>
  </si>
  <si>
    <t>MÚK Hradecká - Purkyňová</t>
  </si>
  <si>
    <t>Křižovatka Nádražní - Hybešova</t>
  </si>
  <si>
    <t>ÚH - výstavba nové kremační pece</t>
  </si>
  <si>
    <t>Univerzitní kampus</t>
  </si>
  <si>
    <t>Křiž. Hudcova - Kytner. rek. kom., zatrub. Medl. potoka</t>
  </si>
  <si>
    <t>Rek. povrchů komunikací Ochozská - Klicperova</t>
  </si>
  <si>
    <t>Instal. zabezp. systému ve spr. budově ÚH Brno</t>
  </si>
  <si>
    <t>Dokončení rozš. hřbitova Řečkovice</t>
  </si>
  <si>
    <t>Technologický park Brno</t>
  </si>
  <si>
    <t>Rek. osvětlení ZŠ Požární</t>
  </si>
  <si>
    <t>Veřejné osvětlení MČ Řečkovice</t>
  </si>
  <si>
    <t>Rekonstrukce obj. Křenová 4</t>
  </si>
  <si>
    <t>Záležitosti lesního hospodářství j.n.</t>
  </si>
  <si>
    <t>Úhrada technického zhodnocení Lesům města Brna</t>
  </si>
  <si>
    <t>ZŠ J. Broskvy - plynofikacew, rek., přístavby</t>
  </si>
  <si>
    <t>BVV 4. brána, dopr. řešení na ul. Křížkovského</t>
  </si>
  <si>
    <t>Kluziště na Moravském náměstí</t>
  </si>
  <si>
    <t>Maříkova, výstavba vodovodu</t>
  </si>
  <si>
    <t>Mlýnská, rekonstrukce vodovodu</t>
  </si>
  <si>
    <t>Pastviny, rekonstrukce vodovodu</t>
  </si>
  <si>
    <t>Kamenomlýnská, větrací šachta</t>
  </si>
  <si>
    <t>Reissigova, rekonstrukce vodovodu v areálu ABB</t>
  </si>
  <si>
    <t>6200</t>
  </si>
  <si>
    <t>Knih. J. Mahena - inter. v Schrattenbachově paláci</t>
  </si>
  <si>
    <t>Brno - Jehnice, Blanenská - 50 bytových jednotek</t>
  </si>
  <si>
    <t>Lázně Zábrdovice I. etapa rekonstrukce</t>
  </si>
  <si>
    <t>7100</t>
  </si>
  <si>
    <t>Investiční transfery občanským sdružením</t>
  </si>
  <si>
    <t>OZdr.</t>
  </si>
  <si>
    <t>Zvláštní zařízení sociální pomoci</t>
  </si>
  <si>
    <t>OSP - investiční transfery občanským sdružením</t>
  </si>
  <si>
    <t>MČ Chrlice</t>
  </si>
  <si>
    <t xml:space="preserve">OI </t>
  </si>
  <si>
    <t>Kanalizace Kamechy</t>
  </si>
  <si>
    <t>Brno - Bystrc, 29 b.j. , ulice Opálkova II. et.</t>
  </si>
  <si>
    <t>Výstavba nájemních bytů v  Újezdech</t>
  </si>
  <si>
    <t>Výstavba nájemních bytů Táborského nábřeží</t>
  </si>
  <si>
    <t>Dotace formou kap. dovybavení a.s. Jižní centrum</t>
  </si>
  <si>
    <t>Brno - Bystrc, 53 b.j. Šťouračova</t>
  </si>
  <si>
    <t>VZmB p.o. - drtič větví</t>
  </si>
  <si>
    <t>1014 Celkem Ozdr. hosp. zv., pol. a spec. pl. a zvl. vet. péče</t>
  </si>
  <si>
    <t>1039 Celkem Záležitosti lesního hospodářství j.n.</t>
  </si>
  <si>
    <t>1069 Celkem Ostatní správa v zemědělství</t>
  </si>
  <si>
    <t>2129 Celkem Odvětvové a oborové programy j.n.</t>
  </si>
  <si>
    <t>2212 Celkem Silnice</t>
  </si>
  <si>
    <t>2221 Celkem Provoz veřejné silniční dopravy</t>
  </si>
  <si>
    <t>2271 Celkem Ostatní dráhy</t>
  </si>
  <si>
    <t>2310 Celkem Pitná voda</t>
  </si>
  <si>
    <t>2321 Celkem Odvádění a čištění odpad. vod a nakl. s kaly</t>
  </si>
  <si>
    <t>2329 Celkem Odvádění a čištění odpadních vod j.n.</t>
  </si>
  <si>
    <t>2333 Celkem Úpravy drobných vodních toků</t>
  </si>
  <si>
    <t>3113 Celkem Základní školy</t>
  </si>
  <si>
    <t>3141 Celkem Školní stravov. při předšk. a zákl. vzdělávání</t>
  </si>
  <si>
    <t>3311 Celkem Divadelní činnost</t>
  </si>
  <si>
    <t>3314 Celkem Činnosti knihovnické</t>
  </si>
  <si>
    <t>3315 Celkem Činnost muzeí a galerií</t>
  </si>
  <si>
    <t>3319 Celkem Záležitosti kultury j.n.</t>
  </si>
  <si>
    <t>3322 Celkem Zachování a obnova kulturních památek</t>
  </si>
  <si>
    <t>3419 Celkem Tělovýchovná činnost j.n.</t>
  </si>
  <si>
    <t>3522 Celkem Ostatní nemocnice</t>
  </si>
  <si>
    <t>3523 Celkem Odborné léčebné ústavy</t>
  </si>
  <si>
    <t>3612 Celkem Bytové hospodářství</t>
  </si>
  <si>
    <t>3631 Celkem Veřejné osvětlení</t>
  </si>
  <si>
    <t>3632 Celkem Pohřebnictví</t>
  </si>
  <si>
    <t>3633 Celkem Výstavba a údržba místních inženýrských sítí</t>
  </si>
  <si>
    <t>3639 Celkem Komunální služby a územní rozvoj j.n.</t>
  </si>
  <si>
    <t>3716 Celkem Monitoring ochrany ovzduší</t>
  </si>
  <si>
    <t>3725 Celkem Využ. a zneškodňování  komunálních odpadů</t>
  </si>
  <si>
    <t>3745 Celkem Péče o vzhled obcí a veřejnou zeleň</t>
  </si>
  <si>
    <t>4314 Celkem Pečovatelská služba</t>
  </si>
  <si>
    <t>4316 Celkem Domovy důchodců</t>
  </si>
  <si>
    <t>4339 Celkem Soc. péče a pomoc rodině a manželství j.n.</t>
  </si>
  <si>
    <t>4341 Celkem Soc. pom. os. v hm. nouzi a obč. soc. nepřízp.</t>
  </si>
  <si>
    <t>4346 Celkem Zvláštní zařízení sociální pomoci</t>
  </si>
  <si>
    <t>4349 Celkem Soc. péče a pomoc ost. skup. obyvatelstva j.n.</t>
  </si>
  <si>
    <t>5511 Celkem Požární ochrana - profesionální část</t>
  </si>
  <si>
    <t>6171 Celkem Činnost místní správy</t>
  </si>
  <si>
    <t>6211 Celkem Archivní činnost</t>
  </si>
  <si>
    <t>6409 Celkem Ostatní činnosti j.n.</t>
  </si>
  <si>
    <t>Soc. péče a pom. přistěhovalcům a vybr. etnikům</t>
  </si>
  <si>
    <t>Bytový odbor - programové vybavení</t>
  </si>
  <si>
    <t>Bytový odbor - stavby</t>
  </si>
  <si>
    <t>Bytový odbor - stroje, přístroje a zařízení</t>
  </si>
  <si>
    <t>Bytový odbor - projektová dokumentace</t>
  </si>
  <si>
    <t>Kounicova III b rekonstrukce kanalizace</t>
  </si>
  <si>
    <t>ÚV Pisárky - rekonstrukce budovy</t>
  </si>
  <si>
    <t>Soud. hud. scéna Měst. divadla Brno-proj. příprava</t>
  </si>
  <si>
    <t>Dotace pro Nemocnici Nový Lískovec</t>
  </si>
  <si>
    <t>Černovická terasa BPZ - zajištění požad. el. příkonu</t>
  </si>
  <si>
    <t>Kanalizace vč. komunikace Žebětín</t>
  </si>
  <si>
    <t>Rekonstrukce svodnice  ulice Lány</t>
  </si>
  <si>
    <t>Bystrc, kanalizace Komínská</t>
  </si>
  <si>
    <t>Kan. Ochozská-Klicperova, spád. oblast  k Zetoru</t>
  </si>
  <si>
    <t>5200</t>
  </si>
  <si>
    <t>Vovodní přivaděč Jehnice - Ořešín - Útěchov</t>
  </si>
  <si>
    <t>Vilová, rekonstrukce vodovodu</t>
  </si>
  <si>
    <t>Rek. kanalizace v údolí Čertíku</t>
  </si>
  <si>
    <t>7300</t>
  </si>
  <si>
    <t>NMB - výstavba pavilonu akutní medicíny</t>
  </si>
  <si>
    <t>Pořízení a techn. obnova CAS - základna brno</t>
  </si>
  <si>
    <t>Tř. Gen. Píky (Lesnická) GO mostu Křiž.-Fügn.</t>
  </si>
  <si>
    <t>rozpočtu</t>
  </si>
  <si>
    <t>Brno - střed</t>
  </si>
  <si>
    <t>Hřiště Koniklecova</t>
  </si>
  <si>
    <t>7500</t>
  </si>
  <si>
    <t>OPP</t>
  </si>
  <si>
    <t>6600</t>
  </si>
  <si>
    <t>Majetkový odbor - stavby</t>
  </si>
  <si>
    <t>OSB - stroje přístrje a zařízení</t>
  </si>
  <si>
    <t>OSB- výpočetní technika</t>
  </si>
  <si>
    <t>OSB - dopravní prostředky</t>
  </si>
  <si>
    <t>ZOO p.o. - exteriér pavilonu tygrů</t>
  </si>
  <si>
    <t>Městské divadlo v Brně - účel. dotace</t>
  </si>
  <si>
    <t>Inv. dotace SSZ II na energet. audit</t>
  </si>
  <si>
    <t>NMB - energetický audit</t>
  </si>
  <si>
    <t>NMB -výstavba a technická obnova zdrav.</t>
  </si>
  <si>
    <t>OK</t>
  </si>
  <si>
    <t>Činnosti uměleckých souborů</t>
  </si>
  <si>
    <t>3312 Celkem Činnosti uměleckých souborů</t>
  </si>
  <si>
    <t>MÚSS r.o. - strojní investice</t>
  </si>
  <si>
    <t>Archiv města Brna - strojní investice</t>
  </si>
  <si>
    <t>Státní filharmonie Brno p.o - hudební nástríoje</t>
  </si>
  <si>
    <t>Celkový součet</t>
  </si>
  <si>
    <t>Bytové jednotky Obřany - Hlavačova</t>
  </si>
  <si>
    <t>Hudební pavilon v Denisových sadech</t>
  </si>
  <si>
    <t>SAKO a.s. - ocelový montovaný přístřešek</t>
  </si>
  <si>
    <t>SAKO a.s. - rek. rozvad. pro drcení PET lahví</t>
  </si>
  <si>
    <t>SAKO a.s. - kapitalizace odpisů</t>
  </si>
  <si>
    <t>10 Celkem Zemědělství a lesní hospodářství</t>
  </si>
  <si>
    <t>21 Celkem Průmysl, stavebnictví, obchod a služby</t>
  </si>
  <si>
    <t>2219 Celkem Záležitosti pozemních komunikací j.n</t>
  </si>
  <si>
    <t>22 Celkem Doprava</t>
  </si>
  <si>
    <t>23 Celkem Vodní hospodářství</t>
  </si>
  <si>
    <t>31 Celkem Vzdělávání</t>
  </si>
  <si>
    <t>3326 Celkem Poř., zach., a ob. hodn. m. kult., nár. a h. pov.</t>
  </si>
  <si>
    <t>33 Celkem Kultura, církve a sdělovací prostředky</t>
  </si>
  <si>
    <t>34 Celkem Tělovýchova a zájmová činnost</t>
  </si>
  <si>
    <t>3541 Celkem Prevence před drogami, alkoh., nikot. aj. náv. látk.</t>
  </si>
  <si>
    <t>35 Celkem Zdravotnictví</t>
  </si>
  <si>
    <t>36 Celkem Bydlení, komunální služby a územní rozvoj</t>
  </si>
  <si>
    <t>3741 Celkem Ochrana druhů a stanovišt</t>
  </si>
  <si>
    <t>37 Celkem Ochrana životního prostředí</t>
  </si>
  <si>
    <t>4321 Celkem Kojenecké ústavy</t>
  </si>
  <si>
    <t>4342 Celkem Soc. péče a pom. přistěhovalcům a vybr. etnikům</t>
  </si>
  <si>
    <t>43 Celkem Soc. péče a pomoc a spol. čin. v soc. zabezp. a pol. zam.</t>
  </si>
  <si>
    <t>Bezpečnost a veřejný pořádek</t>
  </si>
  <si>
    <t>5311 Celkem Bezpečnost a veřejný pořádek</t>
  </si>
  <si>
    <t>53 Celkem Bezpečnost a veřejný  pořádek</t>
  </si>
  <si>
    <t>55 Celkem Požární ochrana a integrovaný záchranný systém</t>
  </si>
  <si>
    <t>61 Celkem Státní moc, st. správa, územn. samospr. a pol. strany</t>
  </si>
  <si>
    <t>62 Celkem Jiné veřejné služby a činnosti (dosud nespecifikované)</t>
  </si>
  <si>
    <t>64 Celkem Ostatní činnosti</t>
  </si>
  <si>
    <t>MDB</t>
  </si>
  <si>
    <t>Městská policie - projektová dokumentace</t>
  </si>
  <si>
    <t>OVV - stroje, přístroje a zařízení</t>
  </si>
  <si>
    <t>Středisko sociálních služeb Koliště 19</t>
  </si>
  <si>
    <t>MČ Brno - stř.</t>
  </si>
  <si>
    <t>MČ - N. Lísk.</t>
  </si>
  <si>
    <t>MČ Kohoutov.</t>
  </si>
  <si>
    <t>MČ Brno - sev.</t>
  </si>
  <si>
    <t>Prev. před drogami, alkoh., nikot. aj. náv. látk.</t>
  </si>
  <si>
    <t>Odv. odpad. vod z lok. ul. Ríšova, Májová, Akátová</t>
  </si>
  <si>
    <t>Propoj. II. březovského vodovodu s řadem DN 350</t>
  </si>
  <si>
    <t>Peněžitý vklad - zvýšení zákl. jmění a.s. Jižní centr.</t>
  </si>
  <si>
    <t>Dokum. pro úz. řízení akcí na BPZ - Čern. terasa</t>
  </si>
  <si>
    <t>OSP - investič. transfery nezisk. a pod. organiz. j.n.</t>
  </si>
  <si>
    <t>Poznámka:</t>
  </si>
  <si>
    <t>Skutečnost k 31.12.2000 činí 9 700 tis.Kč).</t>
  </si>
  <si>
    <t xml:space="preserve">Kapitálové výdaje vlastního města neobsahují investiční transfery městským částem (UR 379 732 tis.Kč, Skutečnost k 31.12.2000 činí 368 979 tis. Kč) a investiční půjčky MČ (UR 16 970 tis.Kč, </t>
  </si>
  <si>
    <t>Jedná se o převod finančních prostředků, které se konsolidují na úrovni města a neovlivňují čerpání kapitálových výdajů u města celkem.</t>
  </si>
  <si>
    <t>Oddíl</t>
  </si>
  <si>
    <t>Paragraf</t>
  </si>
  <si>
    <t>ORG</t>
  </si>
  <si>
    <t>ORJ</t>
  </si>
  <si>
    <t>Název investiční akce</t>
  </si>
  <si>
    <t>Zahájení</t>
  </si>
  <si>
    <t>Dokončení</t>
  </si>
  <si>
    <t>RN</t>
  </si>
  <si>
    <t>celkem</t>
  </si>
  <si>
    <t>Čerpání RN</t>
  </si>
  <si>
    <t>k 31.12.1999</t>
  </si>
  <si>
    <t xml:space="preserve">Schválený </t>
  </si>
  <si>
    <t>k 31.12.2000</t>
  </si>
  <si>
    <t>město</t>
  </si>
  <si>
    <t>část</t>
  </si>
  <si>
    <t>čerpání</t>
  </si>
  <si>
    <t>zajišťuje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</si>
</sst>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##0"/>
    <numFmt numFmtId="166" formatCode="d/m"/>
    <numFmt numFmtId="167" formatCode="d/m/yy"/>
    <numFmt numFmtId="168" formatCode="0.0"/>
    <numFmt numFmtId="169" formatCode="#0"/>
    <numFmt numFmtId="170" formatCode="#,##0.0"/>
  </numFmts>
  <fonts count="11">
    <font>
      <sz val="10"/>
      <name val="Arial CE"/>
      <family val="0"/>
    </font>
    <font>
      <sz val="14"/>
      <name val="Arial CE"/>
      <family val="2"/>
    </font>
    <font>
      <sz val="16"/>
      <name val="Arial CE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sz val="16"/>
      <name val="Times New Roman CE"/>
      <family val="1"/>
    </font>
    <font>
      <sz val="12"/>
      <name val="Times New Roman CE"/>
      <family val="1"/>
    </font>
    <font>
      <b/>
      <sz val="16"/>
      <name val="Times New Roman CE"/>
      <family val="1"/>
    </font>
    <font>
      <b/>
      <sz val="12"/>
      <name val="Times New Roman CE"/>
      <family val="1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 vertical="center"/>
    </xf>
    <xf numFmtId="1" fontId="1" fillId="0" borderId="0" xfId="0" applyNumberFormat="1" applyFont="1" applyAlignment="1">
      <alignment/>
    </xf>
    <xf numFmtId="1" fontId="7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vertical="center"/>
    </xf>
    <xf numFmtId="1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168" fontId="6" fillId="0" borderId="1" xfId="0" applyNumberFormat="1" applyFont="1" applyBorder="1" applyAlignment="1">
      <alignment horizontal="right" vertical="center"/>
    </xf>
    <xf numFmtId="1" fontId="7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horizontal="left" vertical="center"/>
    </xf>
    <xf numFmtId="165" fontId="4" fillId="0" borderId="4" xfId="0" applyNumberFormat="1" applyFont="1" applyBorder="1" applyAlignment="1">
      <alignment horizontal="left" vertical="center"/>
    </xf>
    <xf numFmtId="1" fontId="4" fillId="0" borderId="4" xfId="0" applyNumberFormat="1" applyFont="1" applyBorder="1" applyAlignment="1">
      <alignment vertical="center"/>
    </xf>
    <xf numFmtId="1" fontId="8" fillId="0" borderId="4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vertical="center"/>
    </xf>
    <xf numFmtId="165" fontId="5" fillId="0" borderId="4" xfId="0" applyNumberFormat="1" applyFont="1" applyBorder="1" applyAlignment="1">
      <alignment horizontal="left" vertical="center"/>
    </xf>
    <xf numFmtId="1" fontId="5" fillId="0" borderId="4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right" vertical="center"/>
    </xf>
    <xf numFmtId="1" fontId="5" fillId="0" borderId="4" xfId="0" applyNumberFormat="1" applyFont="1" applyBorder="1" applyAlignment="1">
      <alignment vertical="center"/>
    </xf>
    <xf numFmtId="1" fontId="6" fillId="0" borderId="4" xfId="0" applyNumberFormat="1" applyFont="1" applyBorder="1" applyAlignment="1">
      <alignment horizontal="left" vertical="center"/>
    </xf>
    <xf numFmtId="1" fontId="6" fillId="0" borderId="5" xfId="0" applyNumberFormat="1" applyFont="1" applyBorder="1" applyAlignment="1">
      <alignment horizontal="left" vertical="center"/>
    </xf>
    <xf numFmtId="3" fontId="6" fillId="0" borderId="4" xfId="0" applyNumberFormat="1" applyFont="1" applyBorder="1" applyAlignment="1">
      <alignment vertical="center"/>
    </xf>
    <xf numFmtId="1" fontId="7" fillId="0" borderId="4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169" fontId="4" fillId="0" borderId="4" xfId="0" applyNumberFormat="1" applyFont="1" applyBorder="1" applyAlignment="1">
      <alignment horizontal="left"/>
    </xf>
    <xf numFmtId="1" fontId="6" fillId="0" borderId="4" xfId="0" applyNumberFormat="1" applyFont="1" applyBorder="1" applyAlignment="1">
      <alignment vertical="center"/>
    </xf>
    <xf numFmtId="1" fontId="6" fillId="0" borderId="5" xfId="0" applyNumberFormat="1" applyFont="1" applyBorder="1" applyAlignment="1">
      <alignment vertical="center"/>
    </xf>
    <xf numFmtId="169" fontId="5" fillId="0" borderId="4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vertical="center"/>
    </xf>
    <xf numFmtId="1" fontId="5" fillId="0" borderId="4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vertical="center"/>
    </xf>
    <xf numFmtId="49" fontId="8" fillId="0" borderId="5" xfId="0" applyNumberFormat="1" applyFont="1" applyBorder="1" applyAlignment="1">
      <alignment vertical="center"/>
    </xf>
    <xf numFmtId="3" fontId="6" fillId="2" borderId="4" xfId="0" applyNumberFormat="1" applyFont="1" applyFill="1" applyBorder="1" applyAlignment="1">
      <alignment vertical="center"/>
    </xf>
    <xf numFmtId="49" fontId="6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horizontal="left" vertical="center"/>
    </xf>
    <xf numFmtId="1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vertical="center"/>
    </xf>
    <xf numFmtId="168" fontId="8" fillId="0" borderId="1" xfId="0" applyNumberFormat="1" applyFont="1" applyBorder="1" applyAlignment="1">
      <alignment horizontal="right" vertical="center"/>
    </xf>
    <xf numFmtId="1" fontId="2" fillId="0" borderId="0" xfId="0" applyNumberFormat="1" applyFont="1" applyAlignment="1">
      <alignment/>
    </xf>
    <xf numFmtId="170" fontId="6" fillId="0" borderId="1" xfId="0" applyNumberFormat="1" applyFont="1" applyBorder="1" applyAlignment="1">
      <alignment horizontal="center" vertical="center"/>
    </xf>
    <xf numFmtId="170" fontId="6" fillId="0" borderId="1" xfId="0" applyNumberFormat="1" applyFont="1" applyBorder="1" applyAlignment="1">
      <alignment vertical="center"/>
    </xf>
    <xf numFmtId="170" fontId="8" fillId="0" borderId="1" xfId="0" applyNumberFormat="1" applyFont="1" applyBorder="1" applyAlignment="1">
      <alignment vertical="center"/>
    </xf>
    <xf numFmtId="170" fontId="8" fillId="0" borderId="4" xfId="0" applyNumberFormat="1" applyFont="1" applyBorder="1" applyAlignment="1">
      <alignment horizontal="center" vertical="center"/>
    </xf>
    <xf numFmtId="170" fontId="6" fillId="0" borderId="4" xfId="0" applyNumberFormat="1" applyFont="1" applyBorder="1" applyAlignment="1">
      <alignment horizontal="right" vertical="center"/>
    </xf>
    <xf numFmtId="170" fontId="6" fillId="0" borderId="4" xfId="0" applyNumberFormat="1" applyFont="1" applyBorder="1" applyAlignment="1">
      <alignment vertical="center"/>
    </xf>
    <xf numFmtId="170" fontId="8" fillId="0" borderId="4" xfId="0" applyNumberFormat="1" applyFont="1" applyBorder="1" applyAlignment="1">
      <alignment vertical="center"/>
    </xf>
    <xf numFmtId="170" fontId="6" fillId="3" borderId="4" xfId="0" applyNumberFormat="1" applyFont="1" applyFill="1" applyBorder="1" applyAlignment="1">
      <alignment vertical="center"/>
    </xf>
    <xf numFmtId="170" fontId="6" fillId="2" borderId="4" xfId="0" applyNumberFormat="1" applyFont="1" applyFill="1" applyBorder="1" applyAlignment="1">
      <alignment vertical="center"/>
    </xf>
    <xf numFmtId="170" fontId="8" fillId="2" borderId="4" xfId="0" applyNumberFormat="1" applyFont="1" applyFill="1" applyBorder="1" applyAlignment="1">
      <alignment vertical="center"/>
    </xf>
    <xf numFmtId="1" fontId="2" fillId="0" borderId="0" xfId="0" applyNumberFormat="1" applyFont="1" applyAlignment="1">
      <alignment horizontal="left"/>
    </xf>
    <xf numFmtId="1" fontId="10" fillId="0" borderId="0" xfId="0" applyNumberFormat="1" applyFont="1" applyAlignment="1">
      <alignment/>
    </xf>
    <xf numFmtId="168" fontId="8" fillId="0" borderId="4" xfId="0" applyNumberFormat="1" applyFont="1" applyBorder="1" applyAlignment="1">
      <alignment horizontal="right" vertical="center"/>
    </xf>
    <xf numFmtId="168" fontId="6" fillId="0" borderId="4" xfId="0" applyNumberFormat="1" applyFont="1" applyBorder="1" applyAlignment="1">
      <alignment horizontal="right" vertical="center"/>
    </xf>
    <xf numFmtId="169" fontId="4" fillId="0" borderId="1" xfId="0" applyNumberFormat="1" applyFont="1" applyBorder="1" applyAlignment="1">
      <alignment horizontal="left"/>
    </xf>
    <xf numFmtId="1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5" fillId="0" borderId="0" xfId="0" applyFont="1" applyAlignment="1">
      <alignment/>
    </xf>
    <xf numFmtId="1" fontId="3" fillId="0" borderId="7" xfId="0" applyNumberFormat="1" applyFont="1" applyBorder="1" applyAlignment="1">
      <alignment horizontal="left" vertical="center"/>
    </xf>
    <xf numFmtId="1" fontId="3" fillId="0" borderId="5" xfId="0" applyNumberFormat="1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111111">
    <pageSetUpPr fitToPage="1"/>
  </sheetPr>
  <dimension ref="A1:R453"/>
  <sheetViews>
    <sheetView tabSelected="1" zoomScale="65" zoomScaleNormal="65" zoomScaleSheetLayoutView="75" workbookViewId="0" topLeftCell="A1">
      <selection activeCell="A1" sqref="A1"/>
    </sheetView>
  </sheetViews>
  <sheetFormatPr defaultColWidth="9.00390625" defaultRowHeight="17.25" customHeight="1" outlineLevelRow="3"/>
  <cols>
    <col min="1" max="1" width="4.75390625" style="0" customWidth="1"/>
    <col min="2" max="2" width="7.00390625" style="1" customWidth="1"/>
    <col min="3" max="3" width="7.125" style="2" customWidth="1"/>
    <col min="4" max="4" width="7.25390625" style="1" customWidth="1"/>
    <col min="5" max="5" width="57.875" style="1" customWidth="1"/>
    <col min="6" max="6" width="8.00390625" style="1" customWidth="1"/>
    <col min="7" max="7" width="9.875" style="1" customWidth="1"/>
    <col min="8" max="8" width="14.25390625" style="1" customWidth="1"/>
    <col min="9" max="10" width="14.00390625" style="1" customWidth="1"/>
    <col min="11" max="11" width="14.25390625" style="1" customWidth="1"/>
    <col min="12" max="12" width="14.00390625" style="1" customWidth="1"/>
    <col min="13" max="13" width="12.00390625" style="1" customWidth="1"/>
    <col min="14" max="14" width="14.25390625" style="1" customWidth="1"/>
    <col min="15" max="15" width="9.25390625" style="1" customWidth="1"/>
    <col min="16" max="16" width="15.75390625" style="1" customWidth="1"/>
    <col min="17" max="17" width="14.375" style="1" customWidth="1"/>
    <col min="18" max="18" width="15.00390625" style="1" customWidth="1"/>
    <col min="19" max="19" width="16.875" style="0" customWidth="1"/>
  </cols>
  <sheetData>
    <row r="1" spans="1:18" ht="17.25" customHeight="1">
      <c r="A1" s="75"/>
      <c r="B1" s="5"/>
      <c r="C1" s="5"/>
      <c r="D1" s="5"/>
      <c r="E1" s="5"/>
      <c r="F1" s="5"/>
      <c r="G1" s="5"/>
      <c r="H1" s="5" t="s">
        <v>567</v>
      </c>
      <c r="I1" s="5" t="s">
        <v>569</v>
      </c>
      <c r="J1" s="5" t="s">
        <v>571</v>
      </c>
      <c r="K1" s="5" t="s">
        <v>182</v>
      </c>
      <c r="L1" s="84" t="s">
        <v>184</v>
      </c>
      <c r="M1" s="85"/>
      <c r="N1" s="5" t="s">
        <v>341</v>
      </c>
      <c r="O1" s="5" t="s">
        <v>326</v>
      </c>
      <c r="P1" s="86" t="s">
        <v>184</v>
      </c>
      <c r="Q1" s="86"/>
      <c r="R1" s="5" t="s">
        <v>151</v>
      </c>
    </row>
    <row r="2" spans="1:18" ht="17.25" customHeight="1">
      <c r="A2" s="76" t="s">
        <v>560</v>
      </c>
      <c r="B2" s="6" t="s">
        <v>561</v>
      </c>
      <c r="C2" s="6" t="s">
        <v>562</v>
      </c>
      <c r="D2" s="6" t="s">
        <v>563</v>
      </c>
      <c r="E2" s="6" t="s">
        <v>564</v>
      </c>
      <c r="F2" s="6" t="s">
        <v>565</v>
      </c>
      <c r="G2" s="6" t="s">
        <v>566</v>
      </c>
      <c r="H2" s="6"/>
      <c r="I2" s="6"/>
      <c r="J2" s="6" t="s">
        <v>183</v>
      </c>
      <c r="K2" s="6" t="s">
        <v>183</v>
      </c>
      <c r="L2" s="6" t="s">
        <v>330</v>
      </c>
      <c r="M2" s="6" t="s">
        <v>332</v>
      </c>
      <c r="N2" s="6" t="s">
        <v>491</v>
      </c>
      <c r="O2" s="6" t="s">
        <v>331</v>
      </c>
      <c r="P2" s="6" t="s">
        <v>330</v>
      </c>
      <c r="Q2" s="6" t="s">
        <v>332</v>
      </c>
      <c r="R2" s="6"/>
    </row>
    <row r="3" spans="1:18" ht="17.25" customHeight="1">
      <c r="A3" s="77"/>
      <c r="B3" s="78"/>
      <c r="C3" s="78"/>
      <c r="D3" s="78"/>
      <c r="E3" s="78"/>
      <c r="F3" s="78"/>
      <c r="G3" s="78"/>
      <c r="H3" s="78" t="s">
        <v>568</v>
      </c>
      <c r="I3" s="78" t="s">
        <v>570</v>
      </c>
      <c r="J3" s="78">
        <v>2000</v>
      </c>
      <c r="K3" s="78" t="s">
        <v>572</v>
      </c>
      <c r="L3" s="78" t="s">
        <v>573</v>
      </c>
      <c r="M3" s="78" t="s">
        <v>574</v>
      </c>
      <c r="N3" s="78" t="s">
        <v>572</v>
      </c>
      <c r="O3" s="78" t="s">
        <v>575</v>
      </c>
      <c r="P3" s="78" t="s">
        <v>573</v>
      </c>
      <c r="Q3" s="78" t="s">
        <v>574</v>
      </c>
      <c r="R3" s="78" t="s">
        <v>576</v>
      </c>
    </row>
    <row r="4" spans="1:18" ht="17.25" customHeight="1" outlineLevel="3">
      <c r="A4" s="71">
        <v>10</v>
      </c>
      <c r="B4" s="19">
        <v>1014</v>
      </c>
      <c r="C4" s="72" t="s">
        <v>342</v>
      </c>
      <c r="D4" s="73" t="s">
        <v>342</v>
      </c>
      <c r="E4" s="74" t="s">
        <v>343</v>
      </c>
      <c r="F4" s="10"/>
      <c r="G4" s="10"/>
      <c r="H4" s="10"/>
      <c r="I4" s="10"/>
      <c r="J4" s="10"/>
      <c r="K4" s="10"/>
      <c r="L4" s="10"/>
      <c r="M4" s="10"/>
      <c r="N4" s="11"/>
      <c r="O4" s="10"/>
      <c r="P4" s="57"/>
      <c r="Q4" s="57"/>
      <c r="R4" s="4"/>
    </row>
    <row r="5" spans="1:18" ht="17.25" customHeight="1" outlineLevel="3">
      <c r="A5" s="38">
        <v>10</v>
      </c>
      <c r="B5" s="49">
        <v>1014</v>
      </c>
      <c r="C5" s="12" t="s">
        <v>6</v>
      </c>
      <c r="D5" s="13" t="s">
        <v>319</v>
      </c>
      <c r="E5" s="14" t="s">
        <v>185</v>
      </c>
      <c r="F5" s="15" t="s">
        <v>3</v>
      </c>
      <c r="G5" s="15" t="s">
        <v>4</v>
      </c>
      <c r="H5" s="16">
        <v>21900</v>
      </c>
      <c r="I5" s="16">
        <v>200</v>
      </c>
      <c r="J5" s="16">
        <v>21700</v>
      </c>
      <c r="K5" s="16">
        <f>+L5+M5</f>
        <v>11782</v>
      </c>
      <c r="L5" s="16">
        <v>11782</v>
      </c>
      <c r="M5" s="16"/>
      <c r="N5" s="16">
        <f>+P5+Q5</f>
        <v>9.622</v>
      </c>
      <c r="O5" s="17">
        <f>IF(K5=0,"0,0",N5*100/K5)</f>
        <v>0.08166694958411136</v>
      </c>
      <c r="P5" s="58">
        <v>9.622</v>
      </c>
      <c r="Q5" s="58"/>
      <c r="R5" s="18" t="s">
        <v>5</v>
      </c>
    </row>
    <row r="6" spans="1:18" ht="17.25" customHeight="1" outlineLevel="2">
      <c r="A6" s="38"/>
      <c r="B6" s="19" t="s">
        <v>430</v>
      </c>
      <c r="C6" s="12"/>
      <c r="D6" s="13"/>
      <c r="E6" s="14"/>
      <c r="F6" s="15"/>
      <c r="G6" s="52"/>
      <c r="H6" s="54">
        <f aca="true" t="shared" si="0" ref="H6:N6">SUBTOTAL(9,H4:H5)</f>
        <v>21900</v>
      </c>
      <c r="I6" s="54">
        <f t="shared" si="0"/>
        <v>200</v>
      </c>
      <c r="J6" s="54">
        <f t="shared" si="0"/>
        <v>21700</v>
      </c>
      <c r="K6" s="54">
        <f t="shared" si="0"/>
        <v>11782</v>
      </c>
      <c r="L6" s="54">
        <f t="shared" si="0"/>
        <v>11782</v>
      </c>
      <c r="M6" s="54">
        <f t="shared" si="0"/>
        <v>0</v>
      </c>
      <c r="N6" s="54">
        <f t="shared" si="0"/>
        <v>9.622</v>
      </c>
      <c r="O6" s="55">
        <f>IF(K6=0,"0,0",N6*100/K6)</f>
        <v>0.08166694958411136</v>
      </c>
      <c r="P6" s="59">
        <f>SUBTOTAL(9,P4:P5)</f>
        <v>9.622</v>
      </c>
      <c r="Q6" s="59">
        <f>SUBTOTAL(9,Q4:Q5)</f>
        <v>0</v>
      </c>
      <c r="R6" s="18"/>
    </row>
    <row r="7" spans="1:18" ht="17.25" customHeight="1" outlineLevel="3">
      <c r="A7" s="35">
        <v>10</v>
      </c>
      <c r="B7" s="20">
        <v>1039</v>
      </c>
      <c r="C7" s="7" t="s">
        <v>342</v>
      </c>
      <c r="D7" s="8" t="s">
        <v>342</v>
      </c>
      <c r="E7" s="21" t="s">
        <v>402</v>
      </c>
      <c r="F7" s="22"/>
      <c r="G7" s="23"/>
      <c r="H7" s="24"/>
      <c r="I7" s="24"/>
      <c r="J7" s="24"/>
      <c r="K7" s="24"/>
      <c r="L7" s="24"/>
      <c r="M7" s="24"/>
      <c r="N7" s="24"/>
      <c r="O7" s="17"/>
      <c r="P7" s="60"/>
      <c r="Q7" s="60"/>
      <c r="R7" s="25"/>
    </row>
    <row r="8" spans="1:18" ht="17.25" customHeight="1" outlineLevel="3">
      <c r="A8" s="38">
        <v>10</v>
      </c>
      <c r="B8" s="26">
        <v>1039</v>
      </c>
      <c r="C8" s="7">
        <v>0</v>
      </c>
      <c r="D8" s="28" t="s">
        <v>483</v>
      </c>
      <c r="E8" s="21"/>
      <c r="F8" s="30">
        <v>2000</v>
      </c>
      <c r="G8" s="31">
        <v>2000</v>
      </c>
      <c r="H8" s="53">
        <v>11360</v>
      </c>
      <c r="I8" s="24"/>
      <c r="J8" s="24"/>
      <c r="K8" s="32">
        <f>+L8+M8</f>
        <v>11360</v>
      </c>
      <c r="L8" s="53">
        <v>11360</v>
      </c>
      <c r="M8" s="24"/>
      <c r="N8" s="32">
        <f>+P8+Q8</f>
        <v>11360</v>
      </c>
      <c r="O8" s="17">
        <f>IF(K8=0,"0,0",N8*100/K8)</f>
        <v>100</v>
      </c>
      <c r="P8" s="61">
        <v>11360</v>
      </c>
      <c r="Q8" s="61"/>
      <c r="R8" s="33" t="s">
        <v>381</v>
      </c>
    </row>
    <row r="9" spans="1:18" ht="17.25" customHeight="1" outlineLevel="3">
      <c r="A9" s="38">
        <v>10</v>
      </c>
      <c r="B9" s="26">
        <v>1039</v>
      </c>
      <c r="C9" s="27">
        <v>4618</v>
      </c>
      <c r="D9" s="28" t="s">
        <v>319</v>
      </c>
      <c r="E9" s="29" t="s">
        <v>403</v>
      </c>
      <c r="F9" s="30">
        <v>2000</v>
      </c>
      <c r="G9" s="31">
        <v>2000</v>
      </c>
      <c r="H9" s="32">
        <v>8618</v>
      </c>
      <c r="I9" s="32">
        <v>0</v>
      </c>
      <c r="J9" s="32">
        <v>0</v>
      </c>
      <c r="K9" s="32">
        <f>+L9+M9</f>
        <v>8618</v>
      </c>
      <c r="L9" s="32">
        <v>8618</v>
      </c>
      <c r="M9" s="32"/>
      <c r="N9" s="32">
        <f>+P9+Q9</f>
        <v>8617.756</v>
      </c>
      <c r="O9" s="17">
        <f>IF(K9=0,"0,0",N9*100/K9)</f>
        <v>99.99716871663959</v>
      </c>
      <c r="P9" s="62">
        <v>8617.756</v>
      </c>
      <c r="Q9" s="62"/>
      <c r="R9" s="33" t="s">
        <v>5</v>
      </c>
    </row>
    <row r="10" spans="1:18" ht="17.25" customHeight="1" outlineLevel="2">
      <c r="A10" s="38"/>
      <c r="B10" s="20" t="s">
        <v>431</v>
      </c>
      <c r="C10" s="27"/>
      <c r="D10" s="28"/>
      <c r="E10" s="29"/>
      <c r="F10" s="30"/>
      <c r="G10" s="31"/>
      <c r="H10" s="34">
        <f aca="true" t="shared" si="1" ref="H10:N10">SUBTOTAL(9,H7:H9)</f>
        <v>19978</v>
      </c>
      <c r="I10" s="34">
        <f t="shared" si="1"/>
        <v>0</v>
      </c>
      <c r="J10" s="34">
        <f t="shared" si="1"/>
        <v>0</v>
      </c>
      <c r="K10" s="34">
        <f t="shared" si="1"/>
        <v>19978</v>
      </c>
      <c r="L10" s="34">
        <f t="shared" si="1"/>
        <v>19978</v>
      </c>
      <c r="M10" s="34">
        <f t="shared" si="1"/>
        <v>0</v>
      </c>
      <c r="N10" s="34">
        <f t="shared" si="1"/>
        <v>19977.756</v>
      </c>
      <c r="O10" s="55">
        <f>IF(K10=0,"0,0",N10*100/K10)</f>
        <v>99.99877865652218</v>
      </c>
      <c r="P10" s="63">
        <f>SUBTOTAL(9,P7:P9)</f>
        <v>19977.756</v>
      </c>
      <c r="Q10" s="63">
        <f>SUBTOTAL(9,Q7:Q9)</f>
        <v>0</v>
      </c>
      <c r="R10" s="33"/>
    </row>
    <row r="11" spans="1:18" ht="17.25" customHeight="1" outlineLevel="3">
      <c r="A11" s="35">
        <v>10</v>
      </c>
      <c r="B11" s="20">
        <v>1069</v>
      </c>
      <c r="C11" s="7" t="s">
        <v>342</v>
      </c>
      <c r="D11" s="8" t="s">
        <v>342</v>
      </c>
      <c r="E11" s="21" t="s">
        <v>338</v>
      </c>
      <c r="F11" s="22"/>
      <c r="G11" s="23"/>
      <c r="H11" s="24"/>
      <c r="I11" s="24"/>
      <c r="J11" s="24"/>
      <c r="K11" s="24"/>
      <c r="L11" s="24"/>
      <c r="M11" s="24"/>
      <c r="N11" s="24"/>
      <c r="O11" s="55"/>
      <c r="P11" s="60"/>
      <c r="Q11" s="60"/>
      <c r="R11" s="25"/>
    </row>
    <row r="12" spans="1:18" ht="17.25" customHeight="1" outlineLevel="3">
      <c r="A12" s="38">
        <v>10</v>
      </c>
      <c r="B12" s="26">
        <v>1069</v>
      </c>
      <c r="C12" s="27">
        <v>0</v>
      </c>
      <c r="D12" s="28" t="s">
        <v>337</v>
      </c>
      <c r="E12" s="29" t="s">
        <v>339</v>
      </c>
      <c r="F12" s="30">
        <v>2000</v>
      </c>
      <c r="G12" s="31">
        <v>2000</v>
      </c>
      <c r="H12" s="32">
        <v>838</v>
      </c>
      <c r="I12" s="32">
        <v>0</v>
      </c>
      <c r="J12" s="32">
        <v>0</v>
      </c>
      <c r="K12" s="32">
        <f>+L12+M12</f>
        <v>896</v>
      </c>
      <c r="L12" s="32">
        <v>896</v>
      </c>
      <c r="M12" s="32"/>
      <c r="N12" s="32">
        <f>+P12+Q12</f>
        <v>896.30516</v>
      </c>
      <c r="O12" s="55">
        <f>IF(K12=0,"0,0",N12*100/K12)</f>
        <v>100.0340580357143</v>
      </c>
      <c r="P12" s="62">
        <v>896.30516</v>
      </c>
      <c r="Q12" s="62"/>
      <c r="R12" s="33" t="s">
        <v>381</v>
      </c>
    </row>
    <row r="13" spans="1:18" ht="17.25" customHeight="1" outlineLevel="2">
      <c r="A13" s="38"/>
      <c r="B13" s="20" t="s">
        <v>432</v>
      </c>
      <c r="C13" s="27"/>
      <c r="D13" s="28"/>
      <c r="E13" s="29"/>
      <c r="F13" s="30"/>
      <c r="G13" s="31"/>
      <c r="H13" s="34">
        <f aca="true" t="shared" si="2" ref="H13:N13">SUBTOTAL(9,H11:H12)</f>
        <v>838</v>
      </c>
      <c r="I13" s="34">
        <f t="shared" si="2"/>
        <v>0</v>
      </c>
      <c r="J13" s="34">
        <f t="shared" si="2"/>
        <v>0</v>
      </c>
      <c r="K13" s="34">
        <f t="shared" si="2"/>
        <v>896</v>
      </c>
      <c r="L13" s="34">
        <f t="shared" si="2"/>
        <v>896</v>
      </c>
      <c r="M13" s="34">
        <f t="shared" si="2"/>
        <v>0</v>
      </c>
      <c r="N13" s="34">
        <f t="shared" si="2"/>
        <v>896.30516</v>
      </c>
      <c r="O13" s="55">
        <f>IF(K13=0,"0,0",N13*100/K13)</f>
        <v>100.0340580357143</v>
      </c>
      <c r="P13" s="63">
        <f>SUBTOTAL(9,P11:P12)</f>
        <v>896.30516</v>
      </c>
      <c r="Q13" s="63">
        <f>SUBTOTAL(9,Q11:Q12)</f>
        <v>0</v>
      </c>
      <c r="R13" s="33"/>
    </row>
    <row r="14" spans="1:18" ht="17.25" customHeight="1" outlineLevel="1">
      <c r="A14" s="35" t="s">
        <v>518</v>
      </c>
      <c r="B14" s="26"/>
      <c r="C14" s="27"/>
      <c r="D14" s="28"/>
      <c r="E14" s="29"/>
      <c r="F14" s="30"/>
      <c r="G14" s="31"/>
      <c r="H14" s="34">
        <f aca="true" t="shared" si="3" ref="H14:N14">SUBTOTAL(9,H4:H12)</f>
        <v>42716</v>
      </c>
      <c r="I14" s="34">
        <f t="shared" si="3"/>
        <v>200</v>
      </c>
      <c r="J14" s="34">
        <f t="shared" si="3"/>
        <v>21700</v>
      </c>
      <c r="K14" s="34">
        <f t="shared" si="3"/>
        <v>32656</v>
      </c>
      <c r="L14" s="34">
        <f t="shared" si="3"/>
        <v>32656</v>
      </c>
      <c r="M14" s="34">
        <f t="shared" si="3"/>
        <v>0</v>
      </c>
      <c r="N14" s="34">
        <f t="shared" si="3"/>
        <v>20883.683159999997</v>
      </c>
      <c r="O14" s="55">
        <f>IF(K14=0,"0,0",N14*100/K14)</f>
        <v>63.95052413032826</v>
      </c>
      <c r="P14" s="63">
        <f>SUBTOTAL(9,P4:P12)</f>
        <v>20883.683159999997</v>
      </c>
      <c r="Q14" s="63">
        <f>SUBTOTAL(9,Q4:Q12)</f>
        <v>0</v>
      </c>
      <c r="R14" s="33"/>
    </row>
    <row r="15" spans="1:18" ht="17.25" customHeight="1" outlineLevel="3">
      <c r="A15" s="35">
        <v>21</v>
      </c>
      <c r="B15" s="20" t="s">
        <v>7</v>
      </c>
      <c r="C15" s="7" t="s">
        <v>342</v>
      </c>
      <c r="D15" s="8" t="s">
        <v>342</v>
      </c>
      <c r="E15" s="21" t="s">
        <v>186</v>
      </c>
      <c r="F15" s="36"/>
      <c r="G15" s="37"/>
      <c r="H15" s="34"/>
      <c r="I15" s="34"/>
      <c r="J15" s="34"/>
      <c r="K15" s="34"/>
      <c r="L15" s="34"/>
      <c r="M15" s="34"/>
      <c r="N15" s="34"/>
      <c r="O15" s="17"/>
      <c r="P15" s="63"/>
      <c r="Q15" s="63"/>
      <c r="R15" s="33"/>
    </row>
    <row r="16" spans="1:18" ht="17.25" customHeight="1" outlineLevel="3">
      <c r="A16" s="38">
        <v>21</v>
      </c>
      <c r="B16" s="26">
        <v>2129</v>
      </c>
      <c r="C16" s="27">
        <v>4812</v>
      </c>
      <c r="D16" s="28" t="s">
        <v>319</v>
      </c>
      <c r="E16" s="29" t="s">
        <v>415</v>
      </c>
      <c r="F16" s="30">
        <v>1995</v>
      </c>
      <c r="G16" s="31">
        <v>2000</v>
      </c>
      <c r="H16" s="32">
        <v>90265</v>
      </c>
      <c r="I16" s="32">
        <v>90248</v>
      </c>
      <c r="J16" s="32">
        <v>0</v>
      </c>
      <c r="K16" s="32">
        <f>+L16+M16</f>
        <v>17</v>
      </c>
      <c r="L16" s="32">
        <v>17</v>
      </c>
      <c r="M16" s="34"/>
      <c r="N16" s="32">
        <f>+P16+Q16</f>
        <v>0</v>
      </c>
      <c r="O16" s="17">
        <f>IF(K16=0,"0,0",N16*100/K16)</f>
        <v>0</v>
      </c>
      <c r="P16" s="62">
        <v>0</v>
      </c>
      <c r="Q16" s="63"/>
      <c r="R16" s="33" t="s">
        <v>5</v>
      </c>
    </row>
    <row r="17" spans="1:18" ht="17.25" customHeight="1" outlineLevel="3">
      <c r="A17" s="38">
        <v>21</v>
      </c>
      <c r="B17" s="26">
        <v>2129</v>
      </c>
      <c r="C17" s="27">
        <v>4846</v>
      </c>
      <c r="D17" s="28" t="s">
        <v>319</v>
      </c>
      <c r="E17" s="29" t="s">
        <v>344</v>
      </c>
      <c r="F17" s="36" t="s">
        <v>4</v>
      </c>
      <c r="G17" s="37" t="s">
        <v>4</v>
      </c>
      <c r="H17" s="32">
        <f>8000+17</f>
        <v>8017</v>
      </c>
      <c r="I17" s="32">
        <v>0</v>
      </c>
      <c r="J17" s="32">
        <v>8000</v>
      </c>
      <c r="K17" s="32">
        <f>+L17+M17</f>
        <v>8000</v>
      </c>
      <c r="L17" s="32">
        <v>8000</v>
      </c>
      <c r="M17" s="32"/>
      <c r="N17" s="32">
        <f>+P17+Q17</f>
        <v>7892.5645</v>
      </c>
      <c r="O17" s="17">
        <f>IF(K17=0,"0,0",N17*100/K17)</f>
        <v>98.65705625000001</v>
      </c>
      <c r="P17" s="62">
        <v>7892.5645</v>
      </c>
      <c r="Q17" s="62"/>
      <c r="R17" s="33" t="s">
        <v>5</v>
      </c>
    </row>
    <row r="18" spans="1:18" ht="17.25" customHeight="1" outlineLevel="2">
      <c r="A18" s="38"/>
      <c r="B18" s="20" t="s">
        <v>433</v>
      </c>
      <c r="C18" s="27"/>
      <c r="D18" s="28"/>
      <c r="E18" s="29"/>
      <c r="F18" s="36"/>
      <c r="G18" s="37"/>
      <c r="H18" s="34">
        <f aca="true" t="shared" si="4" ref="H18:N18">SUBTOTAL(9,H15:H17)</f>
        <v>98282</v>
      </c>
      <c r="I18" s="34">
        <f t="shared" si="4"/>
        <v>90248</v>
      </c>
      <c r="J18" s="34">
        <f t="shared" si="4"/>
        <v>8000</v>
      </c>
      <c r="K18" s="34">
        <f t="shared" si="4"/>
        <v>8017</v>
      </c>
      <c r="L18" s="34">
        <f t="shared" si="4"/>
        <v>8017</v>
      </c>
      <c r="M18" s="34">
        <f t="shared" si="4"/>
        <v>0</v>
      </c>
      <c r="N18" s="34">
        <f t="shared" si="4"/>
        <v>7892.5645</v>
      </c>
      <c r="O18" s="55">
        <f>IF(K18=0,"0,0",N18*100/K18)</f>
        <v>98.44785455906201</v>
      </c>
      <c r="P18" s="63">
        <f>SUBTOTAL(9,P15:P17)</f>
        <v>7892.5645</v>
      </c>
      <c r="Q18" s="63">
        <f>SUBTOTAL(9,Q15:Q17)</f>
        <v>0</v>
      </c>
      <c r="R18" s="33"/>
    </row>
    <row r="19" spans="1:18" ht="17.25" customHeight="1" outlineLevel="1">
      <c r="A19" s="35" t="s">
        <v>519</v>
      </c>
      <c r="B19" s="26"/>
      <c r="C19" s="27"/>
      <c r="D19" s="28"/>
      <c r="E19" s="29"/>
      <c r="F19" s="36"/>
      <c r="G19" s="37"/>
      <c r="H19" s="34">
        <f aca="true" t="shared" si="5" ref="H19:N19">SUBTOTAL(9,H15:H17)</f>
        <v>98282</v>
      </c>
      <c r="I19" s="34">
        <f t="shared" si="5"/>
        <v>90248</v>
      </c>
      <c r="J19" s="34">
        <f t="shared" si="5"/>
        <v>8000</v>
      </c>
      <c r="K19" s="34">
        <f t="shared" si="5"/>
        <v>8017</v>
      </c>
      <c r="L19" s="34">
        <f t="shared" si="5"/>
        <v>8017</v>
      </c>
      <c r="M19" s="34">
        <f t="shared" si="5"/>
        <v>0</v>
      </c>
      <c r="N19" s="34">
        <f t="shared" si="5"/>
        <v>7892.5645</v>
      </c>
      <c r="O19" s="55">
        <f>IF(K19=0,"0,0",N19*100/K19)</f>
        <v>98.44785455906201</v>
      </c>
      <c r="P19" s="63">
        <f>SUBTOTAL(9,P15:P17)</f>
        <v>7892.5645</v>
      </c>
      <c r="Q19" s="63">
        <f>SUBTOTAL(9,Q15:Q17)</f>
        <v>0</v>
      </c>
      <c r="R19" s="33"/>
    </row>
    <row r="20" spans="1:18" ht="17.25" customHeight="1" outlineLevel="3">
      <c r="A20" s="35">
        <v>22</v>
      </c>
      <c r="B20" s="20" t="s">
        <v>9</v>
      </c>
      <c r="C20" s="7" t="s">
        <v>342</v>
      </c>
      <c r="D20" s="8" t="s">
        <v>342</v>
      </c>
      <c r="E20" s="39" t="s">
        <v>168</v>
      </c>
      <c r="F20" s="36"/>
      <c r="G20" s="37"/>
      <c r="H20" s="34"/>
      <c r="I20" s="34"/>
      <c r="J20" s="34"/>
      <c r="K20" s="34"/>
      <c r="L20" s="34"/>
      <c r="M20" s="34"/>
      <c r="N20" s="34"/>
      <c r="O20" s="17"/>
      <c r="P20" s="63"/>
      <c r="Q20" s="63"/>
      <c r="R20" s="33"/>
    </row>
    <row r="21" spans="1:18" ht="17.25" customHeight="1" outlineLevel="3">
      <c r="A21" s="38">
        <v>22</v>
      </c>
      <c r="B21" s="26" t="s">
        <v>9</v>
      </c>
      <c r="C21" s="27">
        <v>0</v>
      </c>
      <c r="D21" s="28" t="s">
        <v>319</v>
      </c>
      <c r="E21" s="29" t="s">
        <v>152</v>
      </c>
      <c r="F21" s="40" t="s">
        <v>4</v>
      </c>
      <c r="G21" s="41" t="s">
        <v>4</v>
      </c>
      <c r="H21" s="32">
        <v>500</v>
      </c>
      <c r="I21" s="32">
        <v>0</v>
      </c>
      <c r="J21" s="32">
        <v>500</v>
      </c>
      <c r="K21" s="32">
        <f aca="true" t="shared" si="6" ref="K21:K36">+L21+M21</f>
        <v>500</v>
      </c>
      <c r="L21" s="32">
        <v>500</v>
      </c>
      <c r="M21" s="32"/>
      <c r="N21" s="32">
        <f aca="true" t="shared" si="7" ref="N21:N36">+P21+Q21</f>
        <v>0</v>
      </c>
      <c r="O21" s="17">
        <f aca="true" t="shared" si="8" ref="O21:O37">IF(K21=0,"0,0",N21*100/K21)</f>
        <v>0</v>
      </c>
      <c r="P21" s="62">
        <v>0</v>
      </c>
      <c r="Q21" s="62"/>
      <c r="R21" s="33" t="s">
        <v>5</v>
      </c>
    </row>
    <row r="22" spans="1:18" ht="17.25" customHeight="1" outlineLevel="3">
      <c r="A22" s="38">
        <v>22</v>
      </c>
      <c r="B22" s="26" t="s">
        <v>9</v>
      </c>
      <c r="C22" s="27" t="s">
        <v>349</v>
      </c>
      <c r="D22" s="28" t="s">
        <v>319</v>
      </c>
      <c r="E22" s="29" t="s">
        <v>21</v>
      </c>
      <c r="F22" s="36" t="s">
        <v>22</v>
      </c>
      <c r="G22" s="37" t="s">
        <v>4</v>
      </c>
      <c r="H22" s="32">
        <v>86942</v>
      </c>
      <c r="I22" s="32">
        <v>51500</v>
      </c>
      <c r="J22" s="32">
        <v>35442</v>
      </c>
      <c r="K22" s="32">
        <f t="shared" si="6"/>
        <v>28958</v>
      </c>
      <c r="L22" s="32">
        <f>35442-3175+1691-5000</f>
        <v>28958</v>
      </c>
      <c r="M22" s="32"/>
      <c r="N22" s="32">
        <f t="shared" si="7"/>
        <v>27347.0462</v>
      </c>
      <c r="O22" s="17">
        <f t="shared" si="8"/>
        <v>94.43693003660474</v>
      </c>
      <c r="P22" s="62">
        <v>27347.0462</v>
      </c>
      <c r="Q22" s="62"/>
      <c r="R22" s="33" t="s">
        <v>19</v>
      </c>
    </row>
    <row r="23" spans="1:18" ht="17.25" customHeight="1" outlineLevel="3">
      <c r="A23" s="38">
        <v>22</v>
      </c>
      <c r="B23" s="26" t="s">
        <v>9</v>
      </c>
      <c r="C23" s="27">
        <v>4216</v>
      </c>
      <c r="D23" s="28" t="s">
        <v>319</v>
      </c>
      <c r="E23" s="29" t="s">
        <v>23</v>
      </c>
      <c r="F23" s="36" t="s">
        <v>3</v>
      </c>
      <c r="G23" s="37" t="s">
        <v>4</v>
      </c>
      <c r="H23" s="32">
        <v>15000</v>
      </c>
      <c r="I23" s="32">
        <v>14000</v>
      </c>
      <c r="J23" s="32">
        <v>1000</v>
      </c>
      <c r="K23" s="32">
        <f t="shared" si="6"/>
        <v>1000</v>
      </c>
      <c r="L23" s="32">
        <v>1000</v>
      </c>
      <c r="M23" s="32"/>
      <c r="N23" s="32">
        <f t="shared" si="7"/>
        <v>1000</v>
      </c>
      <c r="O23" s="17">
        <f t="shared" si="8"/>
        <v>100</v>
      </c>
      <c r="P23" s="62">
        <v>1000</v>
      </c>
      <c r="Q23" s="62"/>
      <c r="R23" s="33" t="s">
        <v>19</v>
      </c>
    </row>
    <row r="24" spans="1:18" ht="17.25" customHeight="1" outlineLevel="3">
      <c r="A24" s="38">
        <v>22</v>
      </c>
      <c r="B24" s="26">
        <v>2212</v>
      </c>
      <c r="C24" s="27">
        <v>4217</v>
      </c>
      <c r="D24" s="28" t="s">
        <v>319</v>
      </c>
      <c r="E24" s="29" t="s">
        <v>10</v>
      </c>
      <c r="F24" s="36" t="s">
        <v>4</v>
      </c>
      <c r="G24" s="37" t="s">
        <v>11</v>
      </c>
      <c r="H24" s="32">
        <v>226000</v>
      </c>
      <c r="I24" s="32">
        <v>0</v>
      </c>
      <c r="J24" s="32">
        <v>22000</v>
      </c>
      <c r="K24" s="32">
        <f t="shared" si="6"/>
        <v>22000</v>
      </c>
      <c r="L24" s="32">
        <v>22000</v>
      </c>
      <c r="M24" s="32"/>
      <c r="N24" s="32">
        <f t="shared" si="7"/>
        <v>3111.0926</v>
      </c>
      <c r="O24" s="17">
        <f t="shared" si="8"/>
        <v>14.14133</v>
      </c>
      <c r="P24" s="62">
        <v>3111.0926</v>
      </c>
      <c r="Q24" s="62"/>
      <c r="R24" s="33" t="s">
        <v>19</v>
      </c>
    </row>
    <row r="25" spans="1:18" ht="17.25" customHeight="1" outlineLevel="3">
      <c r="A25" s="38">
        <v>22</v>
      </c>
      <c r="B25" s="26">
        <v>2212</v>
      </c>
      <c r="C25" s="27">
        <v>4219</v>
      </c>
      <c r="D25" s="28" t="s">
        <v>319</v>
      </c>
      <c r="E25" s="29" t="s">
        <v>390</v>
      </c>
      <c r="F25" s="30">
        <v>1999</v>
      </c>
      <c r="G25" s="31">
        <v>1999</v>
      </c>
      <c r="H25" s="32">
        <v>18782</v>
      </c>
      <c r="I25" s="32">
        <v>17827</v>
      </c>
      <c r="J25" s="32">
        <v>0</v>
      </c>
      <c r="K25" s="32">
        <f t="shared" si="6"/>
        <v>955</v>
      </c>
      <c r="L25" s="32">
        <v>955</v>
      </c>
      <c r="M25" s="32"/>
      <c r="N25" s="32">
        <f t="shared" si="7"/>
        <v>217.2765</v>
      </c>
      <c r="O25" s="17">
        <f t="shared" si="8"/>
        <v>22.751465968586388</v>
      </c>
      <c r="P25" s="62">
        <v>217.2765</v>
      </c>
      <c r="Q25" s="62"/>
      <c r="R25" s="33" t="s">
        <v>19</v>
      </c>
    </row>
    <row r="26" spans="1:18" ht="17.25" customHeight="1" outlineLevel="3">
      <c r="A26" s="38">
        <v>22</v>
      </c>
      <c r="B26" s="26" t="s">
        <v>9</v>
      </c>
      <c r="C26" s="27">
        <v>4220</v>
      </c>
      <c r="D26" s="28" t="s">
        <v>319</v>
      </c>
      <c r="E26" s="29" t="s">
        <v>24</v>
      </c>
      <c r="F26" s="36" t="s">
        <v>3</v>
      </c>
      <c r="G26" s="37" t="s">
        <v>13</v>
      </c>
      <c r="H26" s="32">
        <v>220000</v>
      </c>
      <c r="I26" s="32">
        <v>131324</v>
      </c>
      <c r="J26" s="32">
        <v>5000</v>
      </c>
      <c r="K26" s="32">
        <f t="shared" si="6"/>
        <v>5000</v>
      </c>
      <c r="L26" s="32">
        <v>5000</v>
      </c>
      <c r="M26" s="32"/>
      <c r="N26" s="32">
        <f t="shared" si="7"/>
        <v>5000</v>
      </c>
      <c r="O26" s="17">
        <f t="shared" si="8"/>
        <v>100</v>
      </c>
      <c r="P26" s="62">
        <v>5000</v>
      </c>
      <c r="Q26" s="62"/>
      <c r="R26" s="33" t="s">
        <v>19</v>
      </c>
    </row>
    <row r="27" spans="1:18" ht="17.25" customHeight="1" outlineLevel="3">
      <c r="A27" s="38">
        <v>22</v>
      </c>
      <c r="B27" s="26" t="s">
        <v>9</v>
      </c>
      <c r="C27" s="27">
        <v>4223</v>
      </c>
      <c r="D27" s="28" t="s">
        <v>319</v>
      </c>
      <c r="E27" s="29" t="s">
        <v>25</v>
      </c>
      <c r="F27" s="36" t="s">
        <v>8</v>
      </c>
      <c r="G27" s="37" t="s">
        <v>4</v>
      </c>
      <c r="H27" s="32">
        <v>21452</v>
      </c>
      <c r="I27" s="32">
        <v>1206</v>
      </c>
      <c r="J27" s="32">
        <v>20221</v>
      </c>
      <c r="K27" s="32">
        <f t="shared" si="6"/>
        <v>20246</v>
      </c>
      <c r="L27" s="32">
        <f>20221+25</f>
        <v>20246</v>
      </c>
      <c r="M27" s="32"/>
      <c r="N27" s="32">
        <f t="shared" si="7"/>
        <v>13791.8935</v>
      </c>
      <c r="O27" s="17">
        <f t="shared" si="8"/>
        <v>68.12157216240246</v>
      </c>
      <c r="P27" s="62">
        <v>13791.8935</v>
      </c>
      <c r="Q27" s="62"/>
      <c r="R27" s="33" t="s">
        <v>19</v>
      </c>
    </row>
    <row r="28" spans="1:18" ht="17.25" customHeight="1" outlineLevel="3">
      <c r="A28" s="38">
        <v>22</v>
      </c>
      <c r="B28" s="26" t="s">
        <v>9</v>
      </c>
      <c r="C28" s="27">
        <v>4245</v>
      </c>
      <c r="D28" s="28" t="s">
        <v>319</v>
      </c>
      <c r="E28" s="29" t="s">
        <v>247</v>
      </c>
      <c r="F28" s="36" t="s">
        <v>3</v>
      </c>
      <c r="G28" s="37" t="s">
        <v>13</v>
      </c>
      <c r="H28" s="32">
        <v>27000</v>
      </c>
      <c r="I28" s="32">
        <v>5000</v>
      </c>
      <c r="J28" s="32">
        <v>12000</v>
      </c>
      <c r="K28" s="32">
        <f t="shared" si="6"/>
        <v>12000</v>
      </c>
      <c r="L28" s="32">
        <v>12000</v>
      </c>
      <c r="M28" s="32"/>
      <c r="N28" s="32">
        <f t="shared" si="7"/>
        <v>12000</v>
      </c>
      <c r="O28" s="17">
        <f t="shared" si="8"/>
        <v>100</v>
      </c>
      <c r="P28" s="62">
        <v>12000</v>
      </c>
      <c r="Q28" s="62"/>
      <c r="R28" s="33" t="s">
        <v>19</v>
      </c>
    </row>
    <row r="29" spans="1:18" ht="17.25" customHeight="1" outlineLevel="3">
      <c r="A29" s="38">
        <v>22</v>
      </c>
      <c r="B29" s="26" t="s">
        <v>9</v>
      </c>
      <c r="C29" s="27">
        <v>4250</v>
      </c>
      <c r="D29" s="28" t="s">
        <v>319</v>
      </c>
      <c r="E29" s="29" t="s">
        <v>12</v>
      </c>
      <c r="F29" s="36" t="s">
        <v>4</v>
      </c>
      <c r="G29" s="37" t="s">
        <v>13</v>
      </c>
      <c r="H29" s="32">
        <v>164832</v>
      </c>
      <c r="I29" s="32">
        <v>0</v>
      </c>
      <c r="J29" s="32">
        <v>40000</v>
      </c>
      <c r="K29" s="32">
        <f t="shared" si="6"/>
        <v>40000</v>
      </c>
      <c r="L29" s="32">
        <v>40000</v>
      </c>
      <c r="M29" s="32"/>
      <c r="N29" s="32">
        <f t="shared" si="7"/>
        <v>39997.4714</v>
      </c>
      <c r="O29" s="17">
        <f t="shared" si="8"/>
        <v>99.9936785</v>
      </c>
      <c r="P29" s="62">
        <v>39997.4714</v>
      </c>
      <c r="Q29" s="62"/>
      <c r="R29" s="33" t="s">
        <v>19</v>
      </c>
    </row>
    <row r="30" spans="1:18" ht="17.25" customHeight="1" outlineLevel="3">
      <c r="A30" s="38">
        <v>22</v>
      </c>
      <c r="B30" s="26" t="s">
        <v>9</v>
      </c>
      <c r="C30" s="27">
        <v>4252</v>
      </c>
      <c r="D30" s="28" t="s">
        <v>319</v>
      </c>
      <c r="E30" s="29" t="s">
        <v>490</v>
      </c>
      <c r="F30" s="36" t="s">
        <v>4</v>
      </c>
      <c r="G30" s="37" t="s">
        <v>13</v>
      </c>
      <c r="H30" s="32">
        <v>78662</v>
      </c>
      <c r="I30" s="32">
        <v>0</v>
      </c>
      <c r="J30" s="32">
        <v>20000</v>
      </c>
      <c r="K30" s="32">
        <f t="shared" si="6"/>
        <v>20000</v>
      </c>
      <c r="L30" s="32">
        <v>20000</v>
      </c>
      <c r="M30" s="32"/>
      <c r="N30" s="32">
        <f t="shared" si="7"/>
        <v>20290.1653</v>
      </c>
      <c r="O30" s="17">
        <f t="shared" si="8"/>
        <v>101.4508265</v>
      </c>
      <c r="P30" s="62">
        <v>20290.1653</v>
      </c>
      <c r="Q30" s="62"/>
      <c r="R30" s="33" t="s">
        <v>19</v>
      </c>
    </row>
    <row r="31" spans="1:18" ht="17.25" customHeight="1" outlineLevel="3">
      <c r="A31" s="38">
        <v>22</v>
      </c>
      <c r="B31" s="26" t="s">
        <v>9</v>
      </c>
      <c r="C31" s="27">
        <v>4257</v>
      </c>
      <c r="D31" s="28" t="s">
        <v>319</v>
      </c>
      <c r="E31" s="29" t="s">
        <v>14</v>
      </c>
      <c r="F31" s="36" t="s">
        <v>4</v>
      </c>
      <c r="G31" s="37" t="s">
        <v>13</v>
      </c>
      <c r="H31" s="32">
        <v>37385</v>
      </c>
      <c r="I31" s="32">
        <v>0</v>
      </c>
      <c r="J31" s="32">
        <v>17385</v>
      </c>
      <c r="K31" s="32">
        <f t="shared" si="6"/>
        <v>7192</v>
      </c>
      <c r="L31" s="32">
        <f>17385-10193</f>
        <v>7192</v>
      </c>
      <c r="M31" s="32"/>
      <c r="N31" s="32">
        <f t="shared" si="7"/>
        <v>7378.5717</v>
      </c>
      <c r="O31" s="17">
        <f t="shared" si="8"/>
        <v>102.59415600667408</v>
      </c>
      <c r="P31" s="62">
        <v>7378.5717</v>
      </c>
      <c r="Q31" s="62"/>
      <c r="R31" s="33" t="s">
        <v>19</v>
      </c>
    </row>
    <row r="32" spans="1:18" ht="17.25" customHeight="1" outlineLevel="3">
      <c r="A32" s="38">
        <v>22</v>
      </c>
      <c r="B32" s="26" t="s">
        <v>9</v>
      </c>
      <c r="C32" s="27">
        <v>4258</v>
      </c>
      <c r="D32" s="28" t="s">
        <v>319</v>
      </c>
      <c r="E32" s="29" t="s">
        <v>15</v>
      </c>
      <c r="F32" s="36" t="s">
        <v>4</v>
      </c>
      <c r="G32" s="41">
        <v>2001</v>
      </c>
      <c r="H32" s="32">
        <v>47100</v>
      </c>
      <c r="I32" s="32">
        <v>0</v>
      </c>
      <c r="J32" s="32">
        <v>17100</v>
      </c>
      <c r="K32" s="32">
        <f t="shared" si="6"/>
        <v>17100</v>
      </c>
      <c r="L32" s="32">
        <v>17100</v>
      </c>
      <c r="M32" s="32"/>
      <c r="N32" s="32">
        <f t="shared" si="7"/>
        <v>16857.2282</v>
      </c>
      <c r="O32" s="17">
        <f t="shared" si="8"/>
        <v>98.58028187134504</v>
      </c>
      <c r="P32" s="62">
        <v>16857.2282</v>
      </c>
      <c r="Q32" s="62"/>
      <c r="R32" s="33" t="s">
        <v>19</v>
      </c>
    </row>
    <row r="33" spans="1:18" ht="17.25" customHeight="1" outlineLevel="3">
      <c r="A33" s="38">
        <v>22</v>
      </c>
      <c r="B33" s="26" t="s">
        <v>9</v>
      </c>
      <c r="C33" s="27">
        <v>4259</v>
      </c>
      <c r="D33" s="28" t="s">
        <v>319</v>
      </c>
      <c r="E33" s="29" t="s">
        <v>16</v>
      </c>
      <c r="F33" s="36" t="s">
        <v>4</v>
      </c>
      <c r="G33" s="37" t="s">
        <v>17</v>
      </c>
      <c r="H33" s="32">
        <v>111020</v>
      </c>
      <c r="I33" s="32">
        <v>0</v>
      </c>
      <c r="J33" s="32">
        <v>21020</v>
      </c>
      <c r="K33" s="32">
        <f t="shared" si="6"/>
        <v>5528</v>
      </c>
      <c r="L33" s="32">
        <f>21020-4700-6500-4292</f>
        <v>5528</v>
      </c>
      <c r="M33" s="32"/>
      <c r="N33" s="32">
        <f t="shared" si="7"/>
        <v>1.075</v>
      </c>
      <c r="O33" s="17">
        <f t="shared" si="8"/>
        <v>0.019446454413892908</v>
      </c>
      <c r="P33" s="62">
        <v>1.075</v>
      </c>
      <c r="Q33" s="62"/>
      <c r="R33" s="33" t="s">
        <v>19</v>
      </c>
    </row>
    <row r="34" spans="1:18" ht="17.25" customHeight="1" outlineLevel="3">
      <c r="A34" s="38">
        <v>22</v>
      </c>
      <c r="B34" s="26" t="s">
        <v>9</v>
      </c>
      <c r="C34" s="27">
        <v>4267</v>
      </c>
      <c r="D34" s="28" t="s">
        <v>319</v>
      </c>
      <c r="E34" s="29" t="s">
        <v>347</v>
      </c>
      <c r="F34" s="30">
        <v>2000</v>
      </c>
      <c r="G34" s="41" t="s">
        <v>13</v>
      </c>
      <c r="H34" s="32">
        <v>20000</v>
      </c>
      <c r="I34" s="32">
        <v>0</v>
      </c>
      <c r="J34" s="32">
        <v>10000</v>
      </c>
      <c r="K34" s="32">
        <f t="shared" si="6"/>
        <v>10800</v>
      </c>
      <c r="L34" s="32">
        <v>10800</v>
      </c>
      <c r="M34" s="32"/>
      <c r="N34" s="32">
        <f t="shared" si="7"/>
        <v>10301.05</v>
      </c>
      <c r="O34" s="17">
        <f t="shared" si="8"/>
        <v>95.38009259259258</v>
      </c>
      <c r="P34" s="62">
        <v>10301.05</v>
      </c>
      <c r="Q34" s="62"/>
      <c r="R34" s="33" t="s">
        <v>19</v>
      </c>
    </row>
    <row r="35" spans="1:18" ht="17.25" customHeight="1" outlineLevel="3">
      <c r="A35" s="38">
        <v>22</v>
      </c>
      <c r="B35" s="26">
        <v>2212</v>
      </c>
      <c r="C35" s="27">
        <v>4269</v>
      </c>
      <c r="D35" s="28" t="s">
        <v>319</v>
      </c>
      <c r="E35" s="29" t="s">
        <v>369</v>
      </c>
      <c r="F35" s="30">
        <v>2000</v>
      </c>
      <c r="G35" s="41" t="s">
        <v>4</v>
      </c>
      <c r="H35" s="32">
        <v>4700</v>
      </c>
      <c r="I35" s="32"/>
      <c r="J35" s="32">
        <v>0</v>
      </c>
      <c r="K35" s="32">
        <f t="shared" si="6"/>
        <v>4700</v>
      </c>
      <c r="L35" s="32">
        <v>4700</v>
      </c>
      <c r="M35" s="32"/>
      <c r="N35" s="32">
        <f t="shared" si="7"/>
        <v>4630.8236</v>
      </c>
      <c r="O35" s="17">
        <f t="shared" si="8"/>
        <v>98.52816170212766</v>
      </c>
      <c r="P35" s="62">
        <v>4630.8236</v>
      </c>
      <c r="Q35" s="62"/>
      <c r="R35" s="33" t="s">
        <v>19</v>
      </c>
    </row>
    <row r="36" spans="1:18" ht="17.25" customHeight="1" outlineLevel="3">
      <c r="A36" s="38">
        <v>22</v>
      </c>
      <c r="B36" s="26" t="s">
        <v>9</v>
      </c>
      <c r="C36" s="27">
        <v>4271</v>
      </c>
      <c r="D36" s="28" t="s">
        <v>319</v>
      </c>
      <c r="E36" s="29" t="s">
        <v>368</v>
      </c>
      <c r="F36" s="30">
        <v>2000</v>
      </c>
      <c r="G36" s="41" t="s">
        <v>4</v>
      </c>
      <c r="H36" s="32">
        <v>3175</v>
      </c>
      <c r="I36" s="32">
        <v>0</v>
      </c>
      <c r="J36" s="32">
        <v>0</v>
      </c>
      <c r="K36" s="32">
        <f t="shared" si="6"/>
        <v>3175</v>
      </c>
      <c r="L36" s="32">
        <v>3175</v>
      </c>
      <c r="M36" s="32"/>
      <c r="N36" s="32">
        <f t="shared" si="7"/>
        <v>3038.2455</v>
      </c>
      <c r="O36" s="17">
        <f t="shared" si="8"/>
        <v>95.6927716535433</v>
      </c>
      <c r="P36" s="62">
        <v>3038.2455</v>
      </c>
      <c r="Q36" s="62"/>
      <c r="R36" s="33" t="s">
        <v>19</v>
      </c>
    </row>
    <row r="37" spans="1:18" ht="17.25" customHeight="1" outlineLevel="2">
      <c r="A37" s="38"/>
      <c r="B37" s="20" t="s">
        <v>434</v>
      </c>
      <c r="C37" s="27"/>
      <c r="D37" s="28"/>
      <c r="E37" s="29"/>
      <c r="F37" s="30"/>
      <c r="G37" s="41"/>
      <c r="H37" s="34">
        <f aca="true" t="shared" si="9" ref="H37:N37">SUBTOTAL(9,H20:H36)</f>
        <v>1082550</v>
      </c>
      <c r="I37" s="34">
        <f t="shared" si="9"/>
        <v>220857</v>
      </c>
      <c r="J37" s="34">
        <f t="shared" si="9"/>
        <v>221668</v>
      </c>
      <c r="K37" s="34">
        <f t="shared" si="9"/>
        <v>199154</v>
      </c>
      <c r="L37" s="34">
        <f t="shared" si="9"/>
        <v>199154</v>
      </c>
      <c r="M37" s="34">
        <f t="shared" si="9"/>
        <v>0</v>
      </c>
      <c r="N37" s="34">
        <f t="shared" si="9"/>
        <v>164961.9395</v>
      </c>
      <c r="O37" s="55">
        <f t="shared" si="8"/>
        <v>82.83134634503952</v>
      </c>
      <c r="P37" s="63">
        <f>SUBTOTAL(9,P20:P36)</f>
        <v>164961.9395</v>
      </c>
      <c r="Q37" s="63">
        <f>SUBTOTAL(9,Q20:Q36)</f>
        <v>0</v>
      </c>
      <c r="R37" s="33"/>
    </row>
    <row r="38" spans="1:18" ht="17.25" customHeight="1" outlineLevel="3">
      <c r="A38" s="35">
        <v>22</v>
      </c>
      <c r="B38" s="20" t="s">
        <v>26</v>
      </c>
      <c r="C38" s="7" t="s">
        <v>342</v>
      </c>
      <c r="D38" s="8" t="s">
        <v>342</v>
      </c>
      <c r="E38" s="21" t="s">
        <v>187</v>
      </c>
      <c r="F38" s="36"/>
      <c r="G38" s="37"/>
      <c r="H38" s="34"/>
      <c r="I38" s="34"/>
      <c r="J38" s="34"/>
      <c r="K38" s="34"/>
      <c r="L38" s="34"/>
      <c r="M38" s="34"/>
      <c r="N38" s="34"/>
      <c r="O38" s="17"/>
      <c r="P38" s="63"/>
      <c r="Q38" s="63"/>
      <c r="R38" s="33"/>
    </row>
    <row r="39" spans="1:18" ht="17.25" customHeight="1" outlineLevel="3">
      <c r="A39" s="38">
        <v>22</v>
      </c>
      <c r="B39" s="26" t="s">
        <v>26</v>
      </c>
      <c r="C39" s="27">
        <v>4208</v>
      </c>
      <c r="D39" s="28" t="s">
        <v>319</v>
      </c>
      <c r="E39" s="29" t="s">
        <v>31</v>
      </c>
      <c r="F39" s="40" t="s">
        <v>4</v>
      </c>
      <c r="G39" s="37" t="s">
        <v>4</v>
      </c>
      <c r="H39" s="32">
        <v>8395</v>
      </c>
      <c r="I39" s="32">
        <v>0</v>
      </c>
      <c r="J39" s="32">
        <v>8395</v>
      </c>
      <c r="K39" s="32">
        <f aca="true" t="shared" si="10" ref="K39:K52">+L39+M39</f>
        <v>6122</v>
      </c>
      <c r="L39" s="32">
        <v>6122</v>
      </c>
      <c r="M39" s="32"/>
      <c r="N39" s="32">
        <f aca="true" t="shared" si="11" ref="N39:N52">+P39+Q39</f>
        <v>1446.3831</v>
      </c>
      <c r="O39" s="17">
        <f aca="true" t="shared" si="12" ref="O39:O53">IF(K39=0,"0,0",N39*100/K39)</f>
        <v>23.625989872590655</v>
      </c>
      <c r="P39" s="62">
        <v>1446.3831</v>
      </c>
      <c r="Q39" s="62"/>
      <c r="R39" s="33" t="s">
        <v>19</v>
      </c>
    </row>
    <row r="40" spans="1:18" ht="17.25" customHeight="1" outlineLevel="3">
      <c r="A40" s="38">
        <v>22</v>
      </c>
      <c r="B40" s="26" t="s">
        <v>26</v>
      </c>
      <c r="C40" s="27">
        <v>4248</v>
      </c>
      <c r="D40" s="28" t="s">
        <v>319</v>
      </c>
      <c r="E40" s="29" t="s">
        <v>345</v>
      </c>
      <c r="F40" s="36" t="s">
        <v>4</v>
      </c>
      <c r="G40" s="37" t="s">
        <v>17</v>
      </c>
      <c r="H40" s="32">
        <v>167560</v>
      </c>
      <c r="I40" s="32">
        <v>0</v>
      </c>
      <c r="J40" s="32">
        <v>33353</v>
      </c>
      <c r="K40" s="32">
        <f t="shared" si="10"/>
        <v>33353</v>
      </c>
      <c r="L40" s="32">
        <v>33353</v>
      </c>
      <c r="M40" s="32"/>
      <c r="N40" s="32">
        <f t="shared" si="11"/>
        <v>16275.875</v>
      </c>
      <c r="O40" s="17">
        <f t="shared" si="12"/>
        <v>48.798833688124006</v>
      </c>
      <c r="P40" s="62">
        <v>16275.875</v>
      </c>
      <c r="Q40" s="62"/>
      <c r="R40" s="33" t="s">
        <v>19</v>
      </c>
    </row>
    <row r="41" spans="1:18" ht="17.25" customHeight="1" outlineLevel="3">
      <c r="A41" s="38">
        <v>22</v>
      </c>
      <c r="B41" s="26" t="s">
        <v>26</v>
      </c>
      <c r="C41" s="27">
        <v>4249</v>
      </c>
      <c r="D41" s="28" t="s">
        <v>319</v>
      </c>
      <c r="E41" s="29" t="s">
        <v>394</v>
      </c>
      <c r="F41" s="36" t="s">
        <v>3</v>
      </c>
      <c r="G41" s="37" t="s">
        <v>4</v>
      </c>
      <c r="H41" s="32">
        <f>15829+3100</f>
        <v>18929</v>
      </c>
      <c r="I41" s="32">
        <v>5075</v>
      </c>
      <c r="J41" s="32">
        <v>10754</v>
      </c>
      <c r="K41" s="32">
        <f t="shared" si="10"/>
        <v>13854</v>
      </c>
      <c r="L41" s="32">
        <v>0</v>
      </c>
      <c r="M41" s="32">
        <f>10754+3100</f>
        <v>13854</v>
      </c>
      <c r="N41" s="32">
        <f t="shared" si="11"/>
        <v>12086.3614</v>
      </c>
      <c r="O41" s="17">
        <f t="shared" si="12"/>
        <v>87.24095134979066</v>
      </c>
      <c r="P41" s="62">
        <v>0</v>
      </c>
      <c r="Q41" s="62">
        <v>12086.3614</v>
      </c>
      <c r="R41" s="33" t="s">
        <v>353</v>
      </c>
    </row>
    <row r="42" spans="1:18" ht="17.25" customHeight="1" outlineLevel="3">
      <c r="A42" s="38">
        <v>22</v>
      </c>
      <c r="B42" s="26" t="s">
        <v>26</v>
      </c>
      <c r="C42" s="27">
        <v>4251</v>
      </c>
      <c r="D42" s="28" t="s">
        <v>319</v>
      </c>
      <c r="E42" s="29" t="s">
        <v>27</v>
      </c>
      <c r="F42" s="36" t="s">
        <v>4</v>
      </c>
      <c r="G42" s="37" t="s">
        <v>4</v>
      </c>
      <c r="H42" s="32">
        <v>6098</v>
      </c>
      <c r="I42" s="32">
        <v>0</v>
      </c>
      <c r="J42" s="32">
        <v>6098</v>
      </c>
      <c r="K42" s="32">
        <f t="shared" si="10"/>
        <v>6098</v>
      </c>
      <c r="L42" s="32">
        <v>6098</v>
      </c>
      <c r="M42" s="32"/>
      <c r="N42" s="32">
        <f t="shared" si="11"/>
        <v>5559.751</v>
      </c>
      <c r="O42" s="17">
        <f t="shared" si="12"/>
        <v>91.17335191866185</v>
      </c>
      <c r="P42" s="62">
        <v>5559.751</v>
      </c>
      <c r="Q42" s="62"/>
      <c r="R42" s="33" t="s">
        <v>19</v>
      </c>
    </row>
    <row r="43" spans="1:18" ht="17.25" customHeight="1" outlineLevel="3">
      <c r="A43" s="38">
        <v>22</v>
      </c>
      <c r="B43" s="26" t="s">
        <v>26</v>
      </c>
      <c r="C43" s="27">
        <v>4260</v>
      </c>
      <c r="D43" s="28" t="s">
        <v>319</v>
      </c>
      <c r="E43" s="29" t="s">
        <v>28</v>
      </c>
      <c r="F43" s="36" t="s">
        <v>4</v>
      </c>
      <c r="G43" s="37" t="s">
        <v>4</v>
      </c>
      <c r="H43" s="32">
        <v>2304</v>
      </c>
      <c r="I43" s="32">
        <v>0</v>
      </c>
      <c r="J43" s="32">
        <v>2304</v>
      </c>
      <c r="K43" s="32">
        <f t="shared" si="10"/>
        <v>2304</v>
      </c>
      <c r="L43" s="32">
        <v>2304</v>
      </c>
      <c r="M43" s="32"/>
      <c r="N43" s="32">
        <f t="shared" si="11"/>
        <v>1840.3129</v>
      </c>
      <c r="O43" s="17">
        <f t="shared" si="12"/>
        <v>79.87469184027776</v>
      </c>
      <c r="P43" s="62">
        <v>1840.3129</v>
      </c>
      <c r="Q43" s="62"/>
      <c r="R43" s="33" t="s">
        <v>19</v>
      </c>
    </row>
    <row r="44" spans="1:18" ht="17.25" customHeight="1" outlineLevel="3">
      <c r="A44" s="38">
        <v>22</v>
      </c>
      <c r="B44" s="26" t="s">
        <v>26</v>
      </c>
      <c r="C44" s="27">
        <v>4261</v>
      </c>
      <c r="D44" s="28" t="s">
        <v>319</v>
      </c>
      <c r="E44" s="29" t="s">
        <v>249</v>
      </c>
      <c r="F44" s="36" t="s">
        <v>4</v>
      </c>
      <c r="G44" s="37" t="s">
        <v>4</v>
      </c>
      <c r="H44" s="32">
        <v>2649</v>
      </c>
      <c r="I44" s="32">
        <v>0</v>
      </c>
      <c r="J44" s="32">
        <v>2649</v>
      </c>
      <c r="K44" s="32">
        <f t="shared" si="10"/>
        <v>2649</v>
      </c>
      <c r="L44" s="32">
        <v>2649</v>
      </c>
      <c r="M44" s="32"/>
      <c r="N44" s="32">
        <f t="shared" si="11"/>
        <v>1788.08</v>
      </c>
      <c r="O44" s="17">
        <f t="shared" si="12"/>
        <v>67.50018875047188</v>
      </c>
      <c r="P44" s="62">
        <v>1788.08</v>
      </c>
      <c r="Q44" s="62"/>
      <c r="R44" s="33" t="s">
        <v>19</v>
      </c>
    </row>
    <row r="45" spans="1:18" ht="17.25" customHeight="1" outlineLevel="3">
      <c r="A45" s="38">
        <v>22</v>
      </c>
      <c r="B45" s="26">
        <v>2219</v>
      </c>
      <c r="C45" s="27">
        <v>4262</v>
      </c>
      <c r="D45" s="28" t="s">
        <v>319</v>
      </c>
      <c r="E45" s="29" t="s">
        <v>250</v>
      </c>
      <c r="F45" s="36" t="s">
        <v>4</v>
      </c>
      <c r="G45" s="37" t="s">
        <v>4</v>
      </c>
      <c r="H45" s="32">
        <v>3450</v>
      </c>
      <c r="I45" s="32">
        <v>0</v>
      </c>
      <c r="J45" s="32">
        <v>3450</v>
      </c>
      <c r="K45" s="32">
        <f t="shared" si="10"/>
        <v>3450</v>
      </c>
      <c r="L45" s="32">
        <v>3450</v>
      </c>
      <c r="M45" s="32"/>
      <c r="N45" s="32">
        <f t="shared" si="11"/>
        <v>748.8744</v>
      </c>
      <c r="O45" s="17">
        <f t="shared" si="12"/>
        <v>21.706504347826087</v>
      </c>
      <c r="P45" s="62">
        <v>748.8744</v>
      </c>
      <c r="Q45" s="62"/>
      <c r="R45" s="33" t="s">
        <v>19</v>
      </c>
    </row>
    <row r="46" spans="1:18" ht="17.25" customHeight="1" outlineLevel="3">
      <c r="A46" s="38">
        <v>22</v>
      </c>
      <c r="B46" s="26" t="s">
        <v>26</v>
      </c>
      <c r="C46" s="27">
        <v>4263</v>
      </c>
      <c r="D46" s="28" t="s">
        <v>319</v>
      </c>
      <c r="E46" s="29" t="s">
        <v>248</v>
      </c>
      <c r="F46" s="36" t="s">
        <v>4</v>
      </c>
      <c r="G46" s="37" t="s">
        <v>4</v>
      </c>
      <c r="H46" s="32">
        <v>2583</v>
      </c>
      <c r="I46" s="32">
        <v>0</v>
      </c>
      <c r="J46" s="32">
        <v>2583</v>
      </c>
      <c r="K46" s="32">
        <f t="shared" si="10"/>
        <v>2583</v>
      </c>
      <c r="L46" s="32">
        <v>2583</v>
      </c>
      <c r="M46" s="32"/>
      <c r="N46" s="32">
        <f t="shared" si="11"/>
        <v>2596.2175</v>
      </c>
      <c r="O46" s="70">
        <f t="shared" si="12"/>
        <v>100.51171118854047</v>
      </c>
      <c r="P46" s="62">
        <v>2596.2175</v>
      </c>
      <c r="Q46" s="62"/>
      <c r="R46" s="33" t="s">
        <v>19</v>
      </c>
    </row>
    <row r="47" spans="1:18" ht="17.25" customHeight="1" outlineLevel="3">
      <c r="A47" s="38">
        <v>22</v>
      </c>
      <c r="B47" s="26" t="s">
        <v>26</v>
      </c>
      <c r="C47" s="27">
        <v>4264</v>
      </c>
      <c r="D47" s="28" t="s">
        <v>319</v>
      </c>
      <c r="E47" s="29" t="s">
        <v>29</v>
      </c>
      <c r="F47" s="36" t="s">
        <v>4</v>
      </c>
      <c r="G47" s="37" t="s">
        <v>4</v>
      </c>
      <c r="H47" s="32">
        <v>4574</v>
      </c>
      <c r="I47" s="32">
        <v>0</v>
      </c>
      <c r="J47" s="32">
        <v>4574</v>
      </c>
      <c r="K47" s="32">
        <f t="shared" si="10"/>
        <v>4574</v>
      </c>
      <c r="L47" s="32">
        <v>4574</v>
      </c>
      <c r="M47" s="32"/>
      <c r="N47" s="32">
        <f t="shared" si="11"/>
        <v>209.265</v>
      </c>
      <c r="O47" s="70">
        <f t="shared" si="12"/>
        <v>4.575098382160035</v>
      </c>
      <c r="P47" s="62">
        <v>209.265</v>
      </c>
      <c r="Q47" s="62"/>
      <c r="R47" s="33" t="s">
        <v>19</v>
      </c>
    </row>
    <row r="48" spans="1:18" ht="17.25" customHeight="1" outlineLevel="3">
      <c r="A48" s="38">
        <v>22</v>
      </c>
      <c r="B48" s="26" t="s">
        <v>26</v>
      </c>
      <c r="C48" s="27">
        <v>4265</v>
      </c>
      <c r="D48" s="28" t="s">
        <v>319</v>
      </c>
      <c r="E48" s="29" t="s">
        <v>30</v>
      </c>
      <c r="F48" s="36" t="s">
        <v>4</v>
      </c>
      <c r="G48" s="37" t="s">
        <v>4</v>
      </c>
      <c r="H48" s="32">
        <v>2000</v>
      </c>
      <c r="I48" s="32">
        <v>0</v>
      </c>
      <c r="J48" s="32">
        <v>2000</v>
      </c>
      <c r="K48" s="32">
        <f t="shared" si="10"/>
        <v>2000</v>
      </c>
      <c r="L48" s="32">
        <v>2000</v>
      </c>
      <c r="M48" s="32"/>
      <c r="N48" s="32">
        <f t="shared" si="11"/>
        <v>0</v>
      </c>
      <c r="O48" s="17">
        <f t="shared" si="12"/>
        <v>0</v>
      </c>
      <c r="P48" s="62">
        <v>0</v>
      </c>
      <c r="Q48" s="62"/>
      <c r="R48" s="33" t="s">
        <v>19</v>
      </c>
    </row>
    <row r="49" spans="1:18" ht="17.25" customHeight="1" outlineLevel="3">
      <c r="A49" s="38">
        <v>22</v>
      </c>
      <c r="B49" s="26" t="s">
        <v>26</v>
      </c>
      <c r="C49" s="27">
        <v>4266</v>
      </c>
      <c r="D49" s="28" t="s">
        <v>319</v>
      </c>
      <c r="E49" s="29" t="s">
        <v>251</v>
      </c>
      <c r="F49" s="36" t="s">
        <v>4</v>
      </c>
      <c r="G49" s="37" t="s">
        <v>4</v>
      </c>
      <c r="H49" s="32">
        <v>15000</v>
      </c>
      <c r="I49" s="32">
        <v>0</v>
      </c>
      <c r="J49" s="32">
        <v>15000</v>
      </c>
      <c r="K49" s="32">
        <f t="shared" si="10"/>
        <v>15000</v>
      </c>
      <c r="L49" s="32">
        <v>15000</v>
      </c>
      <c r="M49" s="32"/>
      <c r="N49" s="32">
        <f t="shared" si="11"/>
        <v>15000</v>
      </c>
      <c r="O49" s="17">
        <f t="shared" si="12"/>
        <v>100</v>
      </c>
      <c r="P49" s="62">
        <v>15000</v>
      </c>
      <c r="Q49" s="62"/>
      <c r="R49" s="33" t="s">
        <v>19</v>
      </c>
    </row>
    <row r="50" spans="1:18" ht="17.25" customHeight="1" outlineLevel="3">
      <c r="A50" s="38">
        <v>22</v>
      </c>
      <c r="B50" s="26" t="s">
        <v>26</v>
      </c>
      <c r="C50" s="27">
        <v>4268</v>
      </c>
      <c r="D50" s="28" t="s">
        <v>319</v>
      </c>
      <c r="E50" s="29" t="s">
        <v>219</v>
      </c>
      <c r="F50" s="30">
        <v>2000</v>
      </c>
      <c r="G50" s="31">
        <v>2002</v>
      </c>
      <c r="H50" s="32">
        <v>136287</v>
      </c>
      <c r="I50" s="32">
        <v>0</v>
      </c>
      <c r="J50" s="32">
        <v>1400</v>
      </c>
      <c r="K50" s="32">
        <f t="shared" si="10"/>
        <v>1400</v>
      </c>
      <c r="L50" s="32">
        <v>1400</v>
      </c>
      <c r="M50" s="32"/>
      <c r="N50" s="32">
        <f t="shared" si="11"/>
        <v>22.575</v>
      </c>
      <c r="O50" s="17">
        <f t="shared" si="12"/>
        <v>1.6125</v>
      </c>
      <c r="P50" s="62">
        <v>22.575</v>
      </c>
      <c r="Q50" s="62"/>
      <c r="R50" s="33" t="s">
        <v>19</v>
      </c>
    </row>
    <row r="51" spans="1:18" ht="17.25" customHeight="1" outlineLevel="3">
      <c r="A51" s="38">
        <v>22</v>
      </c>
      <c r="B51" s="26">
        <v>2219</v>
      </c>
      <c r="C51" s="27">
        <v>4273</v>
      </c>
      <c r="D51" s="28" t="s">
        <v>319</v>
      </c>
      <c r="E51" s="42" t="s">
        <v>395</v>
      </c>
      <c r="F51" s="30">
        <v>2000</v>
      </c>
      <c r="G51" s="31">
        <v>2002</v>
      </c>
      <c r="H51" s="32">
        <v>28262</v>
      </c>
      <c r="I51" s="32">
        <v>0</v>
      </c>
      <c r="J51" s="32">
        <v>0</v>
      </c>
      <c r="K51" s="32">
        <f t="shared" si="10"/>
        <v>16898</v>
      </c>
      <c r="L51" s="32">
        <v>0</v>
      </c>
      <c r="M51" s="32">
        <f>16898</f>
        <v>16898</v>
      </c>
      <c r="N51" s="32">
        <f t="shared" si="11"/>
        <v>10884.13</v>
      </c>
      <c r="O51" s="17">
        <f t="shared" si="12"/>
        <v>64.41075866966504</v>
      </c>
      <c r="P51" s="62">
        <v>0</v>
      </c>
      <c r="Q51" s="62">
        <v>10884.13</v>
      </c>
      <c r="R51" s="33" t="s">
        <v>364</v>
      </c>
    </row>
    <row r="52" spans="1:18" ht="17.25" customHeight="1" outlineLevel="3">
      <c r="A52" s="38">
        <v>22</v>
      </c>
      <c r="B52" s="26">
        <v>2219</v>
      </c>
      <c r="C52" s="27">
        <v>4274</v>
      </c>
      <c r="D52" s="28" t="s">
        <v>319</v>
      </c>
      <c r="E52" s="42" t="s">
        <v>405</v>
      </c>
      <c r="F52" s="30">
        <v>2000</v>
      </c>
      <c r="G52" s="31">
        <v>2001</v>
      </c>
      <c r="H52" s="32">
        <v>8622</v>
      </c>
      <c r="I52" s="32">
        <v>0</v>
      </c>
      <c r="J52" s="32">
        <v>0</v>
      </c>
      <c r="K52" s="32">
        <f t="shared" si="10"/>
        <v>500</v>
      </c>
      <c r="L52" s="32">
        <v>500</v>
      </c>
      <c r="M52" s="32"/>
      <c r="N52" s="32">
        <f t="shared" si="11"/>
        <v>0</v>
      </c>
      <c r="O52" s="17">
        <f t="shared" si="12"/>
        <v>0</v>
      </c>
      <c r="P52" s="62">
        <v>0</v>
      </c>
      <c r="Q52" s="62"/>
      <c r="R52" s="33" t="s">
        <v>19</v>
      </c>
    </row>
    <row r="53" spans="1:18" ht="17.25" customHeight="1" outlineLevel="2">
      <c r="A53" s="38"/>
      <c r="B53" s="20" t="s">
        <v>520</v>
      </c>
      <c r="C53" s="27"/>
      <c r="D53" s="28"/>
      <c r="E53" s="42"/>
      <c r="F53" s="30"/>
      <c r="G53" s="31"/>
      <c r="H53" s="34">
        <f aca="true" t="shared" si="13" ref="H53:N53">SUBTOTAL(9,H38:H52)</f>
        <v>406713</v>
      </c>
      <c r="I53" s="34">
        <f t="shared" si="13"/>
        <v>5075</v>
      </c>
      <c r="J53" s="34">
        <f t="shared" si="13"/>
        <v>92560</v>
      </c>
      <c r="K53" s="34">
        <f t="shared" si="13"/>
        <v>110785</v>
      </c>
      <c r="L53" s="34">
        <f t="shared" si="13"/>
        <v>80033</v>
      </c>
      <c r="M53" s="34">
        <f t="shared" si="13"/>
        <v>30752</v>
      </c>
      <c r="N53" s="34">
        <f t="shared" si="13"/>
        <v>68457.8253</v>
      </c>
      <c r="O53" s="55">
        <f t="shared" si="12"/>
        <v>61.793406417836344</v>
      </c>
      <c r="P53" s="63">
        <f>SUBTOTAL(9,P38:P52)</f>
        <v>45487.3339</v>
      </c>
      <c r="Q53" s="63">
        <f>SUBTOTAL(9,Q38:Q52)</f>
        <v>22970.4914</v>
      </c>
      <c r="R53" s="33"/>
    </row>
    <row r="54" spans="1:18" ht="17.25" customHeight="1" outlineLevel="3">
      <c r="A54" s="35">
        <v>22</v>
      </c>
      <c r="B54" s="20" t="s">
        <v>166</v>
      </c>
      <c r="C54" s="7" t="s">
        <v>342</v>
      </c>
      <c r="D54" s="8" t="s">
        <v>342</v>
      </c>
      <c r="E54" s="39" t="s">
        <v>169</v>
      </c>
      <c r="F54" s="43"/>
      <c r="G54" s="44"/>
      <c r="H54" s="34"/>
      <c r="I54" s="34"/>
      <c r="J54" s="34"/>
      <c r="K54" s="34"/>
      <c r="L54" s="34"/>
      <c r="M54" s="34"/>
      <c r="N54" s="34"/>
      <c r="O54" s="17"/>
      <c r="P54" s="63"/>
      <c r="Q54" s="63"/>
      <c r="R54" s="25"/>
    </row>
    <row r="55" spans="1:18" ht="17.25" customHeight="1" outlineLevel="3">
      <c r="A55" s="38">
        <v>22</v>
      </c>
      <c r="B55" s="26" t="s">
        <v>166</v>
      </c>
      <c r="C55" s="27">
        <v>9407</v>
      </c>
      <c r="D55" s="28" t="s">
        <v>319</v>
      </c>
      <c r="E55" s="29" t="s">
        <v>324</v>
      </c>
      <c r="F55" s="40" t="s">
        <v>4</v>
      </c>
      <c r="G55" s="41">
        <v>2000</v>
      </c>
      <c r="H55" s="32">
        <v>100000</v>
      </c>
      <c r="I55" s="32"/>
      <c r="J55" s="32">
        <v>100000</v>
      </c>
      <c r="K55" s="32">
        <f>+L55+M55</f>
        <v>100000</v>
      </c>
      <c r="L55" s="32">
        <v>100000</v>
      </c>
      <c r="M55" s="32"/>
      <c r="N55" s="32">
        <f>+P55+Q55</f>
        <v>100000</v>
      </c>
      <c r="O55" s="17">
        <f>IF(K55=0,"0,0",N55*100/K55)</f>
        <v>100</v>
      </c>
      <c r="P55" s="62">
        <v>100000</v>
      </c>
      <c r="Q55" s="62"/>
      <c r="R55" s="33" t="s">
        <v>5</v>
      </c>
    </row>
    <row r="56" spans="1:18" ht="17.25" customHeight="1" outlineLevel="2">
      <c r="A56" s="38"/>
      <c r="B56" s="20" t="s">
        <v>435</v>
      </c>
      <c r="C56" s="27"/>
      <c r="D56" s="28"/>
      <c r="E56" s="29"/>
      <c r="F56" s="40"/>
      <c r="G56" s="41"/>
      <c r="H56" s="34">
        <f aca="true" t="shared" si="14" ref="H56:N56">SUBTOTAL(9,H54:H55)</f>
        <v>100000</v>
      </c>
      <c r="I56" s="34">
        <f t="shared" si="14"/>
        <v>0</v>
      </c>
      <c r="J56" s="34">
        <f t="shared" si="14"/>
        <v>100000</v>
      </c>
      <c r="K56" s="34">
        <f t="shared" si="14"/>
        <v>100000</v>
      </c>
      <c r="L56" s="34">
        <f t="shared" si="14"/>
        <v>100000</v>
      </c>
      <c r="M56" s="34">
        <f t="shared" si="14"/>
        <v>0</v>
      </c>
      <c r="N56" s="34">
        <f t="shared" si="14"/>
        <v>100000</v>
      </c>
      <c r="O56" s="55">
        <f>IF(K56=0,"0,0",N56*100/K56)</f>
        <v>100</v>
      </c>
      <c r="P56" s="63">
        <f>SUBTOTAL(9,P54:P55)</f>
        <v>100000</v>
      </c>
      <c r="Q56" s="63">
        <f>SUBTOTAL(9,Q54:Q55)</f>
        <v>0</v>
      </c>
      <c r="R56" s="33"/>
    </row>
    <row r="57" spans="1:18" ht="17.25" customHeight="1" outlineLevel="3">
      <c r="A57" s="35">
        <v>22</v>
      </c>
      <c r="B57" s="20" t="s">
        <v>33</v>
      </c>
      <c r="C57" s="7" t="s">
        <v>342</v>
      </c>
      <c r="D57" s="8" t="s">
        <v>342</v>
      </c>
      <c r="E57" s="39" t="s">
        <v>188</v>
      </c>
      <c r="F57" s="30"/>
      <c r="G57" s="31"/>
      <c r="H57" s="34"/>
      <c r="I57" s="34"/>
      <c r="J57" s="34"/>
      <c r="K57" s="34"/>
      <c r="L57" s="34"/>
      <c r="M57" s="34"/>
      <c r="N57" s="34"/>
      <c r="O57" s="17"/>
      <c r="P57" s="63"/>
      <c r="Q57" s="63"/>
      <c r="R57" s="33"/>
    </row>
    <row r="58" spans="1:18" ht="17.25" customHeight="1" outlineLevel="3">
      <c r="A58" s="38">
        <v>22</v>
      </c>
      <c r="B58" s="26">
        <v>2271</v>
      </c>
      <c r="C58" s="27">
        <v>4207</v>
      </c>
      <c r="D58" s="28" t="s">
        <v>319</v>
      </c>
      <c r="E58" s="48" t="s">
        <v>391</v>
      </c>
      <c r="F58" s="30">
        <v>1995</v>
      </c>
      <c r="G58" s="31">
        <v>1999</v>
      </c>
      <c r="H58" s="32">
        <v>224046</v>
      </c>
      <c r="I58" s="32">
        <v>221575</v>
      </c>
      <c r="J58" s="32">
        <v>0</v>
      </c>
      <c r="K58" s="32">
        <f>+L58+M58</f>
        <v>1805</v>
      </c>
      <c r="L58" s="32">
        <v>1805</v>
      </c>
      <c r="M58" s="32"/>
      <c r="N58" s="32">
        <f>+P58+Q58</f>
        <v>1711.9027</v>
      </c>
      <c r="O58" s="17">
        <f>IF(K58=0,"0,0",N58*100/K58)</f>
        <v>94.84225484764544</v>
      </c>
      <c r="P58" s="62">
        <v>1711.9027</v>
      </c>
      <c r="Q58" s="62"/>
      <c r="R58" s="33" t="s">
        <v>19</v>
      </c>
    </row>
    <row r="59" spans="1:18" ht="17.25" customHeight="1" outlineLevel="3">
      <c r="A59" s="38">
        <v>22</v>
      </c>
      <c r="B59" s="26" t="s">
        <v>33</v>
      </c>
      <c r="C59" s="27">
        <v>4256</v>
      </c>
      <c r="D59" s="28" t="s">
        <v>319</v>
      </c>
      <c r="E59" s="29" t="s">
        <v>34</v>
      </c>
      <c r="F59" s="36" t="s">
        <v>4</v>
      </c>
      <c r="G59" s="37" t="s">
        <v>4</v>
      </c>
      <c r="H59" s="32">
        <v>1360</v>
      </c>
      <c r="I59" s="32">
        <v>0</v>
      </c>
      <c r="J59" s="32">
        <v>1360</v>
      </c>
      <c r="K59" s="32">
        <f>+L59+M59</f>
        <v>1360</v>
      </c>
      <c r="L59" s="32">
        <v>1360</v>
      </c>
      <c r="M59" s="32"/>
      <c r="N59" s="32">
        <f>+P59+Q59</f>
        <v>17.561</v>
      </c>
      <c r="O59" s="17">
        <f>IF(K59=0,"0,0",N59*100/K59)</f>
        <v>1.29125</v>
      </c>
      <c r="P59" s="62">
        <v>17.561</v>
      </c>
      <c r="Q59" s="62"/>
      <c r="R59" s="33" t="s">
        <v>19</v>
      </c>
    </row>
    <row r="60" spans="1:18" ht="17.25" customHeight="1" outlineLevel="2">
      <c r="A60" s="38"/>
      <c r="B60" s="20" t="s">
        <v>436</v>
      </c>
      <c r="C60" s="27"/>
      <c r="D60" s="28"/>
      <c r="E60" s="29"/>
      <c r="F60" s="36"/>
      <c r="G60" s="37"/>
      <c r="H60" s="34">
        <f aca="true" t="shared" si="15" ref="H60:N60">SUBTOTAL(9,H57:H59)</f>
        <v>225406</v>
      </c>
      <c r="I60" s="34">
        <f t="shared" si="15"/>
        <v>221575</v>
      </c>
      <c r="J60" s="34">
        <f t="shared" si="15"/>
        <v>1360</v>
      </c>
      <c r="K60" s="34">
        <f t="shared" si="15"/>
        <v>3165</v>
      </c>
      <c r="L60" s="34">
        <f t="shared" si="15"/>
        <v>3165</v>
      </c>
      <c r="M60" s="34">
        <f t="shared" si="15"/>
        <v>0</v>
      </c>
      <c r="N60" s="34">
        <f t="shared" si="15"/>
        <v>1729.4637</v>
      </c>
      <c r="O60" s="55">
        <f>IF(K60=0,"0,0",N60*100/K60)</f>
        <v>54.6434028436019</v>
      </c>
      <c r="P60" s="63">
        <f>SUBTOTAL(9,P57:P59)</f>
        <v>1729.4637</v>
      </c>
      <c r="Q60" s="63">
        <f>SUBTOTAL(9,Q57:Q59)</f>
        <v>0</v>
      </c>
      <c r="R60" s="33"/>
    </row>
    <row r="61" spans="1:18" ht="17.25" customHeight="1" outlineLevel="1">
      <c r="A61" s="35" t="s">
        <v>521</v>
      </c>
      <c r="B61" s="26"/>
      <c r="C61" s="27"/>
      <c r="D61" s="28"/>
      <c r="E61" s="29"/>
      <c r="F61" s="36"/>
      <c r="G61" s="37"/>
      <c r="H61" s="34">
        <f aca="true" t="shared" si="16" ref="H61:N61">SUBTOTAL(9,H20:H59)</f>
        <v>1814669</v>
      </c>
      <c r="I61" s="34">
        <f t="shared" si="16"/>
        <v>447507</v>
      </c>
      <c r="J61" s="34">
        <f t="shared" si="16"/>
        <v>415588</v>
      </c>
      <c r="K61" s="34">
        <f t="shared" si="16"/>
        <v>413104</v>
      </c>
      <c r="L61" s="34">
        <f t="shared" si="16"/>
        <v>382352</v>
      </c>
      <c r="M61" s="34">
        <f t="shared" si="16"/>
        <v>30752</v>
      </c>
      <c r="N61" s="34">
        <f t="shared" si="16"/>
        <v>335149.22849999997</v>
      </c>
      <c r="O61" s="55">
        <f>IF(K61=0,"0,0",N61*100/K61)</f>
        <v>81.12950455575351</v>
      </c>
      <c r="P61" s="63">
        <f>SUBTOTAL(9,P20:P59)</f>
        <v>312178.73709999997</v>
      </c>
      <c r="Q61" s="63">
        <f>SUBTOTAL(9,Q20:Q59)</f>
        <v>22970.4914</v>
      </c>
      <c r="R61" s="33"/>
    </row>
    <row r="62" spans="1:18" ht="17.25" customHeight="1" outlineLevel="3">
      <c r="A62" s="35">
        <v>23</v>
      </c>
      <c r="B62" s="20" t="s">
        <v>35</v>
      </c>
      <c r="C62" s="7" t="s">
        <v>342</v>
      </c>
      <c r="D62" s="8" t="s">
        <v>342</v>
      </c>
      <c r="E62" s="21" t="s">
        <v>189</v>
      </c>
      <c r="F62" s="40"/>
      <c r="G62" s="41"/>
      <c r="H62" s="34"/>
      <c r="I62" s="34"/>
      <c r="J62" s="34"/>
      <c r="K62" s="34"/>
      <c r="L62" s="34"/>
      <c r="M62" s="34"/>
      <c r="N62" s="34"/>
      <c r="O62" s="17"/>
      <c r="P62" s="63"/>
      <c r="Q62" s="63"/>
      <c r="R62" s="33"/>
    </row>
    <row r="63" spans="1:18" ht="17.25" customHeight="1" outlineLevel="3">
      <c r="A63" s="38">
        <v>23</v>
      </c>
      <c r="B63" s="26" t="s">
        <v>35</v>
      </c>
      <c r="C63" s="27">
        <v>4006</v>
      </c>
      <c r="D63" s="28" t="s">
        <v>319</v>
      </c>
      <c r="E63" s="29" t="s">
        <v>36</v>
      </c>
      <c r="F63" s="36" t="s">
        <v>4</v>
      </c>
      <c r="G63" s="41">
        <v>2002</v>
      </c>
      <c r="H63" s="32">
        <v>18000</v>
      </c>
      <c r="I63" s="32">
        <v>0</v>
      </c>
      <c r="J63" s="32">
        <v>3500</v>
      </c>
      <c r="K63" s="32">
        <f aca="true" t="shared" si="17" ref="K63:K103">+L63+M63</f>
        <v>100</v>
      </c>
      <c r="L63" s="32">
        <v>100</v>
      </c>
      <c r="M63" s="32"/>
      <c r="N63" s="32">
        <f aca="true" t="shared" si="18" ref="N63:N103">+P63+Q63</f>
        <v>0</v>
      </c>
      <c r="O63" s="17">
        <f aca="true" t="shared" si="19" ref="O63:O104">IF(K63=0,"0,0",N63*100/K63)</f>
        <v>0</v>
      </c>
      <c r="P63" s="62">
        <v>0</v>
      </c>
      <c r="Q63" s="62"/>
      <c r="R63" s="33" t="s">
        <v>314</v>
      </c>
    </row>
    <row r="64" spans="1:18" ht="17.25" customHeight="1" outlineLevel="3">
      <c r="A64" s="38">
        <v>23</v>
      </c>
      <c r="B64" s="26">
        <v>2310</v>
      </c>
      <c r="C64" s="27">
        <v>4032</v>
      </c>
      <c r="D64" s="28" t="s">
        <v>319</v>
      </c>
      <c r="E64" s="29" t="s">
        <v>484</v>
      </c>
      <c r="F64" s="30">
        <v>2000</v>
      </c>
      <c r="G64" s="41" t="s">
        <v>17</v>
      </c>
      <c r="H64" s="32">
        <v>30000</v>
      </c>
      <c r="I64" s="32"/>
      <c r="J64" s="32">
        <v>0</v>
      </c>
      <c r="K64" s="32">
        <f t="shared" si="17"/>
        <v>161</v>
      </c>
      <c r="L64" s="32">
        <v>161</v>
      </c>
      <c r="M64" s="32"/>
      <c r="N64" s="32">
        <f t="shared" si="18"/>
        <v>2.89</v>
      </c>
      <c r="O64" s="17">
        <f t="shared" si="19"/>
        <v>1.795031055900621</v>
      </c>
      <c r="P64" s="62">
        <v>2.89</v>
      </c>
      <c r="Q64" s="62"/>
      <c r="R64" s="33" t="s">
        <v>38</v>
      </c>
    </row>
    <row r="65" spans="1:18" ht="17.25" customHeight="1" outlineLevel="3">
      <c r="A65" s="38">
        <v>23</v>
      </c>
      <c r="B65" s="26" t="s">
        <v>35</v>
      </c>
      <c r="C65" s="27">
        <v>4040</v>
      </c>
      <c r="D65" s="28" t="s">
        <v>319</v>
      </c>
      <c r="E65" s="29" t="s">
        <v>37</v>
      </c>
      <c r="F65" s="36" t="s">
        <v>18</v>
      </c>
      <c r="G65" s="37" t="s">
        <v>13</v>
      </c>
      <c r="H65" s="32">
        <v>12820</v>
      </c>
      <c r="I65" s="32">
        <v>414</v>
      </c>
      <c r="J65" s="32">
        <v>8662</v>
      </c>
      <c r="K65" s="32">
        <f t="shared" si="17"/>
        <v>8152</v>
      </c>
      <c r="L65" s="32">
        <v>8152</v>
      </c>
      <c r="M65" s="32"/>
      <c r="N65" s="32">
        <f t="shared" si="18"/>
        <v>8151.2</v>
      </c>
      <c r="O65" s="17">
        <f t="shared" si="19"/>
        <v>99.99018645731108</v>
      </c>
      <c r="P65" s="62">
        <v>8151.2</v>
      </c>
      <c r="Q65" s="62"/>
      <c r="R65" s="33" t="s">
        <v>38</v>
      </c>
    </row>
    <row r="66" spans="1:18" ht="17.25" customHeight="1" outlineLevel="3">
      <c r="A66" s="38">
        <v>23</v>
      </c>
      <c r="B66" s="26" t="s">
        <v>35</v>
      </c>
      <c r="C66" s="27">
        <v>4052</v>
      </c>
      <c r="D66" s="28" t="s">
        <v>319</v>
      </c>
      <c r="E66" s="29" t="s">
        <v>39</v>
      </c>
      <c r="F66" s="36" t="s">
        <v>18</v>
      </c>
      <c r="G66" s="37" t="s">
        <v>13</v>
      </c>
      <c r="H66" s="32">
        <v>29600</v>
      </c>
      <c r="I66" s="32">
        <v>14400</v>
      </c>
      <c r="J66" s="32">
        <v>3600</v>
      </c>
      <c r="K66" s="32">
        <f t="shared" si="17"/>
        <v>4388</v>
      </c>
      <c r="L66" s="32">
        <v>4388</v>
      </c>
      <c r="M66" s="32"/>
      <c r="N66" s="32">
        <f t="shared" si="18"/>
        <v>4387.974</v>
      </c>
      <c r="O66" s="17">
        <f t="shared" si="19"/>
        <v>99.99940747493164</v>
      </c>
      <c r="P66" s="62">
        <v>4387.974</v>
      </c>
      <c r="Q66" s="62"/>
      <c r="R66" s="33" t="s">
        <v>38</v>
      </c>
    </row>
    <row r="67" spans="1:18" ht="17.25" customHeight="1" outlineLevel="3">
      <c r="A67" s="38">
        <v>23</v>
      </c>
      <c r="B67" s="26" t="s">
        <v>35</v>
      </c>
      <c r="C67" s="27">
        <v>4077</v>
      </c>
      <c r="D67" s="28" t="s">
        <v>319</v>
      </c>
      <c r="E67" s="29" t="s">
        <v>40</v>
      </c>
      <c r="F67" s="36" t="s">
        <v>20</v>
      </c>
      <c r="G67" s="37" t="s">
        <v>17</v>
      </c>
      <c r="H67" s="32">
        <v>30000</v>
      </c>
      <c r="I67" s="32">
        <v>19368</v>
      </c>
      <c r="J67" s="32">
        <v>7210</v>
      </c>
      <c r="K67" s="32">
        <f t="shared" si="17"/>
        <v>5000</v>
      </c>
      <c r="L67" s="32">
        <f>7210-2210</f>
        <v>5000</v>
      </c>
      <c r="M67" s="32"/>
      <c r="N67" s="32">
        <f t="shared" si="18"/>
        <v>4388.4275</v>
      </c>
      <c r="O67" s="17">
        <f t="shared" si="19"/>
        <v>87.76855</v>
      </c>
      <c r="P67" s="62">
        <v>4388.4275</v>
      </c>
      <c r="Q67" s="62"/>
      <c r="R67" s="33" t="s">
        <v>38</v>
      </c>
    </row>
    <row r="68" spans="1:18" ht="17.25" customHeight="1" outlineLevel="3">
      <c r="A68" s="38">
        <v>23</v>
      </c>
      <c r="B68" s="26" t="s">
        <v>35</v>
      </c>
      <c r="C68" s="27">
        <v>4081</v>
      </c>
      <c r="D68" s="28" t="s">
        <v>319</v>
      </c>
      <c r="E68" s="29" t="s">
        <v>252</v>
      </c>
      <c r="F68" s="36" t="s">
        <v>22</v>
      </c>
      <c r="G68" s="37" t="s">
        <v>4</v>
      </c>
      <c r="H68" s="32">
        <v>4151</v>
      </c>
      <c r="I68" s="32">
        <v>116</v>
      </c>
      <c r="J68" s="32">
        <v>3734</v>
      </c>
      <c r="K68" s="32">
        <f t="shared" si="17"/>
        <v>3916</v>
      </c>
      <c r="L68" s="32">
        <v>3916</v>
      </c>
      <c r="M68" s="32"/>
      <c r="N68" s="32">
        <f>+P68+Q68</f>
        <v>3609.282</v>
      </c>
      <c r="O68" s="17">
        <f t="shared" si="19"/>
        <v>92.16756894790603</v>
      </c>
      <c r="P68" s="62">
        <v>3609.282</v>
      </c>
      <c r="Q68" s="62"/>
      <c r="R68" s="33" t="s">
        <v>38</v>
      </c>
    </row>
    <row r="69" spans="1:18" ht="17.25" customHeight="1" outlineLevel="3">
      <c r="A69" s="38">
        <v>23</v>
      </c>
      <c r="B69" s="26" t="s">
        <v>35</v>
      </c>
      <c r="C69" s="27">
        <v>4090</v>
      </c>
      <c r="D69" s="28" t="s">
        <v>319</v>
      </c>
      <c r="E69" s="29" t="s">
        <v>41</v>
      </c>
      <c r="F69" s="36" t="s">
        <v>3</v>
      </c>
      <c r="G69" s="41">
        <v>2003</v>
      </c>
      <c r="H69" s="32">
        <v>0</v>
      </c>
      <c r="I69" s="32">
        <v>0</v>
      </c>
      <c r="J69" s="32">
        <v>1000</v>
      </c>
      <c r="K69" s="32">
        <f t="shared" si="17"/>
        <v>0</v>
      </c>
      <c r="L69" s="32">
        <v>0</v>
      </c>
      <c r="M69" s="32"/>
      <c r="N69" s="32">
        <f>+P69+Q69</f>
        <v>0</v>
      </c>
      <c r="O69" s="17" t="str">
        <f t="shared" si="19"/>
        <v>0,0</v>
      </c>
      <c r="P69" s="62">
        <v>0</v>
      </c>
      <c r="Q69" s="62"/>
      <c r="R69" s="33" t="s">
        <v>38</v>
      </c>
    </row>
    <row r="70" spans="1:18" ht="17.25" customHeight="1" outlineLevel="3">
      <c r="A70" s="38">
        <v>23</v>
      </c>
      <c r="B70" s="26" t="s">
        <v>35</v>
      </c>
      <c r="C70" s="27">
        <v>4092</v>
      </c>
      <c r="D70" s="28" t="s">
        <v>319</v>
      </c>
      <c r="E70" s="29" t="s">
        <v>42</v>
      </c>
      <c r="F70" s="36" t="s">
        <v>3</v>
      </c>
      <c r="G70" s="37" t="s">
        <v>4</v>
      </c>
      <c r="H70" s="32">
        <v>890</v>
      </c>
      <c r="I70" s="32">
        <v>0</v>
      </c>
      <c r="J70" s="32">
        <v>790</v>
      </c>
      <c r="K70" s="32">
        <f t="shared" si="17"/>
        <v>578</v>
      </c>
      <c r="L70" s="32">
        <v>578</v>
      </c>
      <c r="M70" s="32"/>
      <c r="N70" s="32">
        <f>+P70+Q70</f>
        <v>578.527</v>
      </c>
      <c r="O70" s="17">
        <f t="shared" si="19"/>
        <v>100.09117647058824</v>
      </c>
      <c r="P70" s="62">
        <v>578.527</v>
      </c>
      <c r="Q70" s="62"/>
      <c r="R70" s="33" t="s">
        <v>38</v>
      </c>
    </row>
    <row r="71" spans="1:18" ht="17.25" customHeight="1" outlineLevel="3">
      <c r="A71" s="38">
        <v>23</v>
      </c>
      <c r="B71" s="26" t="s">
        <v>35</v>
      </c>
      <c r="C71" s="27">
        <v>4103</v>
      </c>
      <c r="D71" s="28" t="s">
        <v>319</v>
      </c>
      <c r="E71" s="29" t="s">
        <v>43</v>
      </c>
      <c r="F71" s="36" t="s">
        <v>22</v>
      </c>
      <c r="G71" s="37" t="s">
        <v>13</v>
      </c>
      <c r="H71" s="32">
        <v>1300</v>
      </c>
      <c r="I71" s="32">
        <v>194</v>
      </c>
      <c r="J71" s="32">
        <v>1115</v>
      </c>
      <c r="K71" s="32">
        <f t="shared" si="17"/>
        <v>1029</v>
      </c>
      <c r="L71" s="32">
        <v>1029</v>
      </c>
      <c r="M71" s="32"/>
      <c r="N71" s="32">
        <f>+P71+Q71</f>
        <v>895.89</v>
      </c>
      <c r="O71" s="17">
        <f t="shared" si="19"/>
        <v>87.06413994169097</v>
      </c>
      <c r="P71" s="62">
        <v>895.89</v>
      </c>
      <c r="Q71" s="62"/>
      <c r="R71" s="33" t="s">
        <v>38</v>
      </c>
    </row>
    <row r="72" spans="1:18" ht="17.25" customHeight="1" outlineLevel="3">
      <c r="A72" s="38">
        <v>23</v>
      </c>
      <c r="B72" s="26" t="s">
        <v>35</v>
      </c>
      <c r="C72" s="27">
        <v>4109</v>
      </c>
      <c r="D72" s="28" t="s">
        <v>319</v>
      </c>
      <c r="E72" s="29" t="s">
        <v>309</v>
      </c>
      <c r="F72" s="36" t="s">
        <v>3</v>
      </c>
      <c r="G72" s="37" t="s">
        <v>11</v>
      </c>
      <c r="H72" s="32">
        <v>4000</v>
      </c>
      <c r="I72" s="32">
        <v>0</v>
      </c>
      <c r="J72" s="32">
        <v>1000</v>
      </c>
      <c r="K72" s="32">
        <f t="shared" si="17"/>
        <v>1000</v>
      </c>
      <c r="L72" s="32">
        <v>1000</v>
      </c>
      <c r="M72" s="32"/>
      <c r="N72" s="32">
        <f>+P72+Q72</f>
        <v>698.473</v>
      </c>
      <c r="O72" s="17">
        <f t="shared" si="19"/>
        <v>69.84729999999999</v>
      </c>
      <c r="P72" s="62">
        <v>698.473</v>
      </c>
      <c r="Q72" s="62"/>
      <c r="R72" s="33" t="s">
        <v>38</v>
      </c>
    </row>
    <row r="73" spans="1:18" ht="17.25" customHeight="1" outlineLevel="3">
      <c r="A73" s="38">
        <v>23</v>
      </c>
      <c r="B73" s="26" t="s">
        <v>35</v>
      </c>
      <c r="C73" s="27">
        <v>4149</v>
      </c>
      <c r="D73" s="28" t="s">
        <v>319</v>
      </c>
      <c r="E73" s="29" t="s">
        <v>44</v>
      </c>
      <c r="F73" s="36" t="s">
        <v>22</v>
      </c>
      <c r="G73" s="41" t="s">
        <v>13</v>
      </c>
      <c r="H73" s="32">
        <v>3000</v>
      </c>
      <c r="I73" s="32">
        <v>175</v>
      </c>
      <c r="J73" s="32">
        <v>3095</v>
      </c>
      <c r="K73" s="32">
        <f t="shared" si="17"/>
        <v>2462</v>
      </c>
      <c r="L73" s="32">
        <v>2462</v>
      </c>
      <c r="M73" s="32"/>
      <c r="N73" s="32">
        <f t="shared" si="18"/>
        <v>2461.3835</v>
      </c>
      <c r="O73" s="17">
        <f t="shared" si="19"/>
        <v>99.97495938261575</v>
      </c>
      <c r="P73" s="62">
        <v>2461.3835</v>
      </c>
      <c r="Q73" s="62"/>
      <c r="R73" s="33" t="s">
        <v>38</v>
      </c>
    </row>
    <row r="74" spans="1:18" ht="17.25" customHeight="1" outlineLevel="3">
      <c r="A74" s="38">
        <v>23</v>
      </c>
      <c r="B74" s="26" t="s">
        <v>35</v>
      </c>
      <c r="C74" s="27">
        <v>4182</v>
      </c>
      <c r="D74" s="28" t="s">
        <v>319</v>
      </c>
      <c r="E74" s="42" t="s">
        <v>218</v>
      </c>
      <c r="F74" s="30">
        <v>1999</v>
      </c>
      <c r="G74" s="31">
        <v>2002</v>
      </c>
      <c r="H74" s="32">
        <v>71504</v>
      </c>
      <c r="I74" s="45">
        <v>1000</v>
      </c>
      <c r="J74" s="32">
        <v>5000</v>
      </c>
      <c r="K74" s="32">
        <f t="shared" si="17"/>
        <v>5000</v>
      </c>
      <c r="L74" s="32">
        <v>5000</v>
      </c>
      <c r="M74" s="32"/>
      <c r="N74" s="32">
        <f t="shared" si="18"/>
        <v>761.3875</v>
      </c>
      <c r="O74" s="17">
        <f t="shared" si="19"/>
        <v>15.22775</v>
      </c>
      <c r="P74" s="62">
        <v>761.3875</v>
      </c>
      <c r="Q74" s="62"/>
      <c r="R74" s="33" t="s">
        <v>38</v>
      </c>
    </row>
    <row r="75" spans="1:18" ht="17.25" customHeight="1" outlineLevel="3">
      <c r="A75" s="38">
        <v>23</v>
      </c>
      <c r="B75" s="26" t="s">
        <v>35</v>
      </c>
      <c r="C75" s="27">
        <v>4193</v>
      </c>
      <c r="D75" s="28" t="s">
        <v>319</v>
      </c>
      <c r="E75" s="29" t="s">
        <v>45</v>
      </c>
      <c r="F75" s="36" t="s">
        <v>22</v>
      </c>
      <c r="G75" s="37" t="s">
        <v>11</v>
      </c>
      <c r="H75" s="32">
        <v>85000</v>
      </c>
      <c r="I75" s="45">
        <v>454</v>
      </c>
      <c r="J75" s="32">
        <v>500</v>
      </c>
      <c r="K75" s="32">
        <f t="shared" si="17"/>
        <v>360</v>
      </c>
      <c r="L75" s="32">
        <v>360</v>
      </c>
      <c r="M75" s="32"/>
      <c r="N75" s="32">
        <f t="shared" si="18"/>
        <v>359.55</v>
      </c>
      <c r="O75" s="17">
        <f t="shared" si="19"/>
        <v>99.875</v>
      </c>
      <c r="P75" s="62">
        <v>359.55</v>
      </c>
      <c r="Q75" s="62"/>
      <c r="R75" s="33" t="s">
        <v>38</v>
      </c>
    </row>
    <row r="76" spans="1:18" ht="17.25" customHeight="1" outlineLevel="3">
      <c r="A76" s="38">
        <v>23</v>
      </c>
      <c r="B76" s="26" t="s">
        <v>35</v>
      </c>
      <c r="C76" s="27">
        <v>4194</v>
      </c>
      <c r="D76" s="28" t="s">
        <v>319</v>
      </c>
      <c r="E76" s="29" t="s">
        <v>46</v>
      </c>
      <c r="F76" s="36" t="s">
        <v>22</v>
      </c>
      <c r="G76" s="41" t="s">
        <v>17</v>
      </c>
      <c r="H76" s="32">
        <v>3399</v>
      </c>
      <c r="I76" s="32">
        <v>199</v>
      </c>
      <c r="J76" s="32">
        <v>800</v>
      </c>
      <c r="K76" s="32">
        <f t="shared" si="17"/>
        <v>800</v>
      </c>
      <c r="L76" s="32">
        <v>800</v>
      </c>
      <c r="M76" s="32"/>
      <c r="N76" s="32">
        <f t="shared" si="18"/>
        <v>0</v>
      </c>
      <c r="O76" s="17">
        <f t="shared" si="19"/>
        <v>0</v>
      </c>
      <c r="P76" s="62">
        <v>0</v>
      </c>
      <c r="Q76" s="62"/>
      <c r="R76" s="33" t="s">
        <v>38</v>
      </c>
    </row>
    <row r="77" spans="1:18" ht="17.25" customHeight="1" outlineLevel="3">
      <c r="A77" s="38">
        <v>23</v>
      </c>
      <c r="B77" s="26" t="s">
        <v>35</v>
      </c>
      <c r="C77" s="27">
        <v>4195</v>
      </c>
      <c r="D77" s="28" t="s">
        <v>319</v>
      </c>
      <c r="E77" s="29" t="s">
        <v>253</v>
      </c>
      <c r="F77" s="36" t="s">
        <v>3</v>
      </c>
      <c r="G77" s="41" t="s">
        <v>13</v>
      </c>
      <c r="H77" s="32">
        <v>750</v>
      </c>
      <c r="I77" s="32">
        <v>99</v>
      </c>
      <c r="J77" s="32">
        <v>590</v>
      </c>
      <c r="K77" s="32">
        <f t="shared" si="17"/>
        <v>1342</v>
      </c>
      <c r="L77" s="32">
        <v>1342</v>
      </c>
      <c r="M77" s="32"/>
      <c r="N77" s="32">
        <f t="shared" si="18"/>
        <v>1130.966</v>
      </c>
      <c r="O77" s="17">
        <f t="shared" si="19"/>
        <v>84.2746646795827</v>
      </c>
      <c r="P77" s="62">
        <v>1130.966</v>
      </c>
      <c r="Q77" s="62"/>
      <c r="R77" s="33" t="s">
        <v>38</v>
      </c>
    </row>
    <row r="78" spans="1:18" ht="17.25" customHeight="1" outlineLevel="3">
      <c r="A78" s="38">
        <v>23</v>
      </c>
      <c r="B78" s="26" t="s">
        <v>35</v>
      </c>
      <c r="C78" s="27">
        <v>4198</v>
      </c>
      <c r="D78" s="28" t="s">
        <v>319</v>
      </c>
      <c r="E78" s="29" t="s">
        <v>254</v>
      </c>
      <c r="F78" s="36" t="s">
        <v>3</v>
      </c>
      <c r="G78" s="37" t="s">
        <v>13</v>
      </c>
      <c r="H78" s="32">
        <v>210</v>
      </c>
      <c r="I78" s="32">
        <v>25</v>
      </c>
      <c r="J78" s="32">
        <v>350</v>
      </c>
      <c r="K78" s="32">
        <f t="shared" si="17"/>
        <v>184</v>
      </c>
      <c r="L78" s="32">
        <v>184</v>
      </c>
      <c r="M78" s="32"/>
      <c r="N78" s="32">
        <f t="shared" si="18"/>
        <v>183.8161</v>
      </c>
      <c r="O78" s="17">
        <f t="shared" si="19"/>
        <v>99.90005434782609</v>
      </c>
      <c r="P78" s="62">
        <v>183.8161</v>
      </c>
      <c r="Q78" s="62"/>
      <c r="R78" s="33" t="s">
        <v>38</v>
      </c>
    </row>
    <row r="79" spans="1:18" ht="17.25" customHeight="1" outlineLevel="3">
      <c r="A79" s="38">
        <v>23</v>
      </c>
      <c r="B79" s="26" t="s">
        <v>35</v>
      </c>
      <c r="C79" s="27">
        <v>4199</v>
      </c>
      <c r="D79" s="28" t="s">
        <v>319</v>
      </c>
      <c r="E79" s="29" t="s">
        <v>255</v>
      </c>
      <c r="F79" s="36" t="s">
        <v>3</v>
      </c>
      <c r="G79" s="41" t="s">
        <v>13</v>
      </c>
      <c r="H79" s="32">
        <v>535</v>
      </c>
      <c r="I79" s="32">
        <v>39</v>
      </c>
      <c r="J79" s="32">
        <v>350</v>
      </c>
      <c r="K79" s="32">
        <f t="shared" si="17"/>
        <v>494</v>
      </c>
      <c r="L79" s="32">
        <v>494</v>
      </c>
      <c r="M79" s="32"/>
      <c r="N79" s="32">
        <f t="shared" si="18"/>
        <v>493.9314</v>
      </c>
      <c r="O79" s="17">
        <f t="shared" si="19"/>
        <v>99.98611336032388</v>
      </c>
      <c r="P79" s="62">
        <v>493.9314</v>
      </c>
      <c r="Q79" s="62"/>
      <c r="R79" s="33" t="s">
        <v>38</v>
      </c>
    </row>
    <row r="80" spans="1:18" ht="17.25" customHeight="1" outlineLevel="3">
      <c r="A80" s="38">
        <v>23</v>
      </c>
      <c r="B80" s="26" t="s">
        <v>35</v>
      </c>
      <c r="C80" s="27">
        <v>4341</v>
      </c>
      <c r="D80" s="28" t="s">
        <v>319</v>
      </c>
      <c r="E80" s="29" t="s">
        <v>256</v>
      </c>
      <c r="F80" s="36" t="s">
        <v>3</v>
      </c>
      <c r="G80" s="37" t="s">
        <v>4</v>
      </c>
      <c r="H80" s="32">
        <v>7000</v>
      </c>
      <c r="I80" s="32">
        <v>0</v>
      </c>
      <c r="J80" s="32">
        <v>9741</v>
      </c>
      <c r="K80" s="32">
        <f t="shared" si="17"/>
        <v>5801</v>
      </c>
      <c r="L80" s="45">
        <v>5801</v>
      </c>
      <c r="M80" s="32"/>
      <c r="N80" s="32">
        <f t="shared" si="18"/>
        <v>5801.629</v>
      </c>
      <c r="O80" s="17">
        <f t="shared" si="19"/>
        <v>100.01084295811067</v>
      </c>
      <c r="P80" s="62">
        <v>5801.629</v>
      </c>
      <c r="Q80" s="62"/>
      <c r="R80" s="33" t="s">
        <v>38</v>
      </c>
    </row>
    <row r="81" spans="1:18" ht="17.25" customHeight="1" outlineLevel="3">
      <c r="A81" s="38">
        <v>23</v>
      </c>
      <c r="B81" s="26" t="s">
        <v>35</v>
      </c>
      <c r="C81" s="27">
        <v>4344</v>
      </c>
      <c r="D81" s="28" t="s">
        <v>319</v>
      </c>
      <c r="E81" s="29" t="s">
        <v>48</v>
      </c>
      <c r="F81" s="36" t="s">
        <v>3</v>
      </c>
      <c r="G81" s="37" t="s">
        <v>4</v>
      </c>
      <c r="H81" s="32">
        <v>0</v>
      </c>
      <c r="I81" s="32">
        <v>0</v>
      </c>
      <c r="J81" s="32">
        <v>50</v>
      </c>
      <c r="K81" s="32">
        <f t="shared" si="17"/>
        <v>0</v>
      </c>
      <c r="L81" s="32">
        <f>50-50</f>
        <v>0</v>
      </c>
      <c r="M81" s="32"/>
      <c r="N81" s="32">
        <f t="shared" si="18"/>
        <v>0</v>
      </c>
      <c r="O81" s="17" t="str">
        <f t="shared" si="19"/>
        <v>0,0</v>
      </c>
      <c r="P81" s="62">
        <v>0</v>
      </c>
      <c r="Q81" s="62"/>
      <c r="R81" s="33" t="s">
        <v>38</v>
      </c>
    </row>
    <row r="82" spans="1:18" ht="17.25" customHeight="1" outlineLevel="3">
      <c r="A82" s="38">
        <v>23</v>
      </c>
      <c r="B82" s="26" t="s">
        <v>35</v>
      </c>
      <c r="C82" s="27">
        <v>4345</v>
      </c>
      <c r="D82" s="28" t="s">
        <v>319</v>
      </c>
      <c r="E82" s="29" t="s">
        <v>49</v>
      </c>
      <c r="F82" s="36" t="s">
        <v>3</v>
      </c>
      <c r="G82" s="37" t="s">
        <v>4</v>
      </c>
      <c r="H82" s="32">
        <v>1810</v>
      </c>
      <c r="I82" s="32">
        <v>10</v>
      </c>
      <c r="J82" s="32">
        <v>3193</v>
      </c>
      <c r="K82" s="32">
        <f t="shared" si="17"/>
        <v>1435</v>
      </c>
      <c r="L82" s="32">
        <v>1435</v>
      </c>
      <c r="M82" s="32"/>
      <c r="N82" s="32">
        <f t="shared" si="18"/>
        <v>1434.8862</v>
      </c>
      <c r="O82" s="17">
        <f t="shared" si="19"/>
        <v>99.99206968641114</v>
      </c>
      <c r="P82" s="62">
        <v>1434.8862</v>
      </c>
      <c r="Q82" s="62"/>
      <c r="R82" s="33" t="s">
        <v>38</v>
      </c>
    </row>
    <row r="83" spans="1:18" ht="17.25" customHeight="1" outlineLevel="3">
      <c r="A83" s="38">
        <v>23</v>
      </c>
      <c r="B83" s="26">
        <v>2310</v>
      </c>
      <c r="C83" s="27">
        <v>4351</v>
      </c>
      <c r="D83" s="28" t="s">
        <v>319</v>
      </c>
      <c r="E83" s="29" t="s">
        <v>50</v>
      </c>
      <c r="F83" s="30">
        <v>2000</v>
      </c>
      <c r="G83" s="31">
        <v>2000</v>
      </c>
      <c r="H83" s="32">
        <v>500</v>
      </c>
      <c r="I83" s="32">
        <v>0</v>
      </c>
      <c r="J83" s="32">
        <v>500</v>
      </c>
      <c r="K83" s="32">
        <f t="shared" si="17"/>
        <v>308</v>
      </c>
      <c r="L83" s="32">
        <v>308</v>
      </c>
      <c r="M83" s="32"/>
      <c r="N83" s="32">
        <f t="shared" si="18"/>
        <v>324.087</v>
      </c>
      <c r="O83" s="17">
        <f t="shared" si="19"/>
        <v>105.22305194805193</v>
      </c>
      <c r="P83" s="62">
        <v>324.087</v>
      </c>
      <c r="Q83" s="62"/>
      <c r="R83" s="33" t="s">
        <v>38</v>
      </c>
    </row>
    <row r="84" spans="1:18" ht="17.25" customHeight="1" outlineLevel="3">
      <c r="A84" s="38">
        <v>23</v>
      </c>
      <c r="B84" s="26" t="s">
        <v>35</v>
      </c>
      <c r="C84" s="27">
        <v>4353</v>
      </c>
      <c r="D84" s="28" t="s">
        <v>319</v>
      </c>
      <c r="E84" s="29" t="s">
        <v>257</v>
      </c>
      <c r="F84" s="36" t="s">
        <v>3</v>
      </c>
      <c r="G84" s="37" t="s">
        <v>4</v>
      </c>
      <c r="H84" s="32">
        <v>0</v>
      </c>
      <c r="I84" s="32">
        <v>0</v>
      </c>
      <c r="J84" s="32">
        <v>27</v>
      </c>
      <c r="K84" s="32">
        <f t="shared" si="17"/>
        <v>0</v>
      </c>
      <c r="L84" s="32">
        <f>27-27</f>
        <v>0</v>
      </c>
      <c r="M84" s="32"/>
      <c r="N84" s="32">
        <f t="shared" si="18"/>
        <v>0</v>
      </c>
      <c r="O84" s="17" t="str">
        <f t="shared" si="19"/>
        <v>0,0</v>
      </c>
      <c r="P84" s="62">
        <v>0</v>
      </c>
      <c r="Q84" s="62"/>
      <c r="R84" s="33" t="s">
        <v>38</v>
      </c>
    </row>
    <row r="85" spans="1:18" ht="17.25" customHeight="1" outlineLevel="3">
      <c r="A85" s="38">
        <v>23</v>
      </c>
      <c r="B85" s="26" t="s">
        <v>35</v>
      </c>
      <c r="C85" s="27">
        <v>4354</v>
      </c>
      <c r="D85" s="28" t="s">
        <v>319</v>
      </c>
      <c r="E85" s="29" t="s">
        <v>51</v>
      </c>
      <c r="F85" s="36" t="s">
        <v>3</v>
      </c>
      <c r="G85" s="37" t="s">
        <v>4</v>
      </c>
      <c r="H85" s="32">
        <v>0</v>
      </c>
      <c r="I85" s="32">
        <v>0</v>
      </c>
      <c r="J85" s="32">
        <v>82</v>
      </c>
      <c r="K85" s="32">
        <f t="shared" si="17"/>
        <v>0</v>
      </c>
      <c r="L85" s="32">
        <f>82-82</f>
        <v>0</v>
      </c>
      <c r="M85" s="32"/>
      <c r="N85" s="32">
        <f t="shared" si="18"/>
        <v>0</v>
      </c>
      <c r="O85" s="17" t="str">
        <f t="shared" si="19"/>
        <v>0,0</v>
      </c>
      <c r="P85" s="62">
        <v>0</v>
      </c>
      <c r="Q85" s="62"/>
      <c r="R85" s="33" t="s">
        <v>38</v>
      </c>
    </row>
    <row r="86" spans="1:18" ht="17.25" customHeight="1" outlineLevel="3">
      <c r="A86" s="38">
        <v>23</v>
      </c>
      <c r="B86" s="26" t="s">
        <v>35</v>
      </c>
      <c r="C86" s="27">
        <v>4363</v>
      </c>
      <c r="D86" s="28" t="s">
        <v>319</v>
      </c>
      <c r="E86" s="29" t="s">
        <v>52</v>
      </c>
      <c r="F86" s="36" t="s">
        <v>4</v>
      </c>
      <c r="G86" s="37" t="s">
        <v>13</v>
      </c>
      <c r="H86" s="32">
        <v>1500</v>
      </c>
      <c r="I86" s="32">
        <v>0</v>
      </c>
      <c r="J86" s="32">
        <v>100</v>
      </c>
      <c r="K86" s="32">
        <f t="shared" si="17"/>
        <v>93</v>
      </c>
      <c r="L86" s="32">
        <v>93</v>
      </c>
      <c r="M86" s="32"/>
      <c r="N86" s="32">
        <f t="shared" si="18"/>
        <v>92.462</v>
      </c>
      <c r="O86" s="17">
        <f t="shared" si="19"/>
        <v>99.4215053763441</v>
      </c>
      <c r="P86" s="62">
        <v>92.462</v>
      </c>
      <c r="Q86" s="62"/>
      <c r="R86" s="33" t="s">
        <v>38</v>
      </c>
    </row>
    <row r="87" spans="1:18" ht="17.25" customHeight="1" outlineLevel="3">
      <c r="A87" s="38">
        <v>23</v>
      </c>
      <c r="B87" s="26" t="s">
        <v>35</v>
      </c>
      <c r="C87" s="27">
        <v>4364</v>
      </c>
      <c r="D87" s="28" t="s">
        <v>319</v>
      </c>
      <c r="E87" s="29" t="s">
        <v>53</v>
      </c>
      <c r="F87" s="36" t="s">
        <v>4</v>
      </c>
      <c r="G87" s="37" t="s">
        <v>4</v>
      </c>
      <c r="H87" s="32">
        <v>5500</v>
      </c>
      <c r="I87" s="32">
        <v>0</v>
      </c>
      <c r="J87" s="32">
        <v>9475</v>
      </c>
      <c r="K87" s="32">
        <f t="shared" si="17"/>
        <v>5110</v>
      </c>
      <c r="L87" s="32">
        <v>5110</v>
      </c>
      <c r="M87" s="32"/>
      <c r="N87" s="32">
        <f t="shared" si="18"/>
        <v>5108.8205</v>
      </c>
      <c r="O87" s="17">
        <f t="shared" si="19"/>
        <v>99.97691780821917</v>
      </c>
      <c r="P87" s="62">
        <v>5108.8205</v>
      </c>
      <c r="Q87" s="62"/>
      <c r="R87" s="33" t="s">
        <v>38</v>
      </c>
    </row>
    <row r="88" spans="1:18" ht="17.25" customHeight="1" outlineLevel="3">
      <c r="A88" s="38">
        <v>23</v>
      </c>
      <c r="B88" s="26" t="s">
        <v>35</v>
      </c>
      <c r="C88" s="27">
        <v>4365</v>
      </c>
      <c r="D88" s="28" t="s">
        <v>319</v>
      </c>
      <c r="E88" s="29" t="s">
        <v>54</v>
      </c>
      <c r="F88" s="36" t="s">
        <v>3</v>
      </c>
      <c r="G88" s="41" t="s">
        <v>13</v>
      </c>
      <c r="H88" s="32">
        <v>0</v>
      </c>
      <c r="I88" s="32">
        <v>0</v>
      </c>
      <c r="J88" s="32">
        <v>1274</v>
      </c>
      <c r="K88" s="32">
        <f t="shared" si="17"/>
        <v>0</v>
      </c>
      <c r="L88" s="32">
        <f>1274-1274</f>
        <v>0</v>
      </c>
      <c r="M88" s="32"/>
      <c r="N88" s="32">
        <f t="shared" si="18"/>
        <v>0</v>
      </c>
      <c r="O88" s="17" t="str">
        <f t="shared" si="19"/>
        <v>0,0</v>
      </c>
      <c r="P88" s="62">
        <v>0</v>
      </c>
      <c r="Q88" s="62"/>
      <c r="R88" s="33" t="s">
        <v>38</v>
      </c>
    </row>
    <row r="89" spans="1:18" ht="17.25" customHeight="1" outlineLevel="3">
      <c r="A89" s="38">
        <v>23</v>
      </c>
      <c r="B89" s="26" t="s">
        <v>35</v>
      </c>
      <c r="C89" s="27">
        <v>4366</v>
      </c>
      <c r="D89" s="28" t="s">
        <v>319</v>
      </c>
      <c r="E89" s="29" t="s">
        <v>55</v>
      </c>
      <c r="F89" s="36" t="s">
        <v>4</v>
      </c>
      <c r="G89" s="37" t="s">
        <v>4</v>
      </c>
      <c r="H89" s="32">
        <v>5128</v>
      </c>
      <c r="I89" s="32">
        <v>0</v>
      </c>
      <c r="J89" s="32">
        <v>5128</v>
      </c>
      <c r="K89" s="32">
        <f t="shared" si="17"/>
        <v>106</v>
      </c>
      <c r="L89" s="32">
        <v>106</v>
      </c>
      <c r="M89" s="32"/>
      <c r="N89" s="32">
        <f t="shared" si="18"/>
        <v>105.8</v>
      </c>
      <c r="O89" s="17">
        <f t="shared" si="19"/>
        <v>99.81132075471699</v>
      </c>
      <c r="P89" s="62">
        <v>105.8</v>
      </c>
      <c r="Q89" s="62"/>
      <c r="R89" s="33" t="s">
        <v>38</v>
      </c>
    </row>
    <row r="90" spans="1:18" ht="17.25" customHeight="1" outlineLevel="3">
      <c r="A90" s="38">
        <v>23</v>
      </c>
      <c r="B90" s="26" t="s">
        <v>35</v>
      </c>
      <c r="C90" s="27">
        <v>4367</v>
      </c>
      <c r="D90" s="28" t="s">
        <v>319</v>
      </c>
      <c r="E90" s="29" t="s">
        <v>56</v>
      </c>
      <c r="F90" s="36" t="s">
        <v>4</v>
      </c>
      <c r="G90" s="37" t="s">
        <v>4</v>
      </c>
      <c r="H90" s="32">
        <v>2825</v>
      </c>
      <c r="I90" s="32">
        <v>0</v>
      </c>
      <c r="J90" s="32">
        <v>5788</v>
      </c>
      <c r="K90" s="32">
        <f t="shared" si="17"/>
        <v>2830</v>
      </c>
      <c r="L90" s="32">
        <v>2830</v>
      </c>
      <c r="M90" s="32"/>
      <c r="N90" s="32">
        <f t="shared" si="18"/>
        <v>2829.698</v>
      </c>
      <c r="O90" s="17">
        <f t="shared" si="19"/>
        <v>99.98932862190813</v>
      </c>
      <c r="P90" s="62">
        <v>2829.698</v>
      </c>
      <c r="Q90" s="62"/>
      <c r="R90" s="33" t="s">
        <v>38</v>
      </c>
    </row>
    <row r="91" spans="1:18" ht="17.25" customHeight="1" outlineLevel="3">
      <c r="A91" s="38">
        <v>23</v>
      </c>
      <c r="B91" s="26" t="s">
        <v>35</v>
      </c>
      <c r="C91" s="27">
        <v>4368</v>
      </c>
      <c r="D91" s="28" t="s">
        <v>319</v>
      </c>
      <c r="E91" s="29" t="s">
        <v>57</v>
      </c>
      <c r="F91" s="36" t="s">
        <v>4</v>
      </c>
      <c r="G91" s="37" t="s">
        <v>4</v>
      </c>
      <c r="H91" s="32">
        <v>0</v>
      </c>
      <c r="I91" s="32">
        <v>0</v>
      </c>
      <c r="J91" s="32">
        <v>670</v>
      </c>
      <c r="K91" s="32">
        <f t="shared" si="17"/>
        <v>0</v>
      </c>
      <c r="L91" s="32">
        <v>0</v>
      </c>
      <c r="M91" s="32"/>
      <c r="N91" s="32">
        <f t="shared" si="18"/>
        <v>66.3</v>
      </c>
      <c r="O91" s="17" t="str">
        <f t="shared" si="19"/>
        <v>0,0</v>
      </c>
      <c r="P91" s="62">
        <v>66.3</v>
      </c>
      <c r="Q91" s="62"/>
      <c r="R91" s="33" t="s">
        <v>38</v>
      </c>
    </row>
    <row r="92" spans="1:18" ht="17.25" customHeight="1" outlineLevel="3">
      <c r="A92" s="38">
        <v>23</v>
      </c>
      <c r="B92" s="26" t="s">
        <v>35</v>
      </c>
      <c r="C92" s="27">
        <v>4369</v>
      </c>
      <c r="D92" s="28" t="s">
        <v>319</v>
      </c>
      <c r="E92" s="29" t="s">
        <v>58</v>
      </c>
      <c r="F92" s="36" t="s">
        <v>4</v>
      </c>
      <c r="G92" s="37" t="s">
        <v>4</v>
      </c>
      <c r="H92" s="32">
        <v>300</v>
      </c>
      <c r="I92" s="32">
        <v>0</v>
      </c>
      <c r="J92" s="32">
        <v>200</v>
      </c>
      <c r="K92" s="32">
        <f t="shared" si="17"/>
        <v>371</v>
      </c>
      <c r="L92" s="32">
        <v>371</v>
      </c>
      <c r="M92" s="32"/>
      <c r="N92" s="32">
        <f t="shared" si="18"/>
        <v>370.38</v>
      </c>
      <c r="O92" s="70">
        <f t="shared" si="19"/>
        <v>99.83288409703503</v>
      </c>
      <c r="P92" s="62">
        <v>370.38</v>
      </c>
      <c r="Q92" s="62"/>
      <c r="R92" s="33" t="s">
        <v>38</v>
      </c>
    </row>
    <row r="93" spans="1:18" ht="17.25" customHeight="1" outlineLevel="3">
      <c r="A93" s="38">
        <v>23</v>
      </c>
      <c r="B93" s="26" t="s">
        <v>35</v>
      </c>
      <c r="C93" s="27">
        <v>4370</v>
      </c>
      <c r="D93" s="28" t="s">
        <v>319</v>
      </c>
      <c r="E93" s="29" t="s">
        <v>59</v>
      </c>
      <c r="F93" s="36" t="s">
        <v>4</v>
      </c>
      <c r="G93" s="37" t="s">
        <v>4</v>
      </c>
      <c r="H93" s="32">
        <v>350</v>
      </c>
      <c r="I93" s="32">
        <v>0</v>
      </c>
      <c r="J93" s="32">
        <v>110</v>
      </c>
      <c r="K93" s="32">
        <f t="shared" si="17"/>
        <v>295</v>
      </c>
      <c r="L93" s="32">
        <v>295</v>
      </c>
      <c r="M93" s="32"/>
      <c r="N93" s="32">
        <f t="shared" si="18"/>
        <v>294.1759</v>
      </c>
      <c r="O93" s="70">
        <f t="shared" si="19"/>
        <v>99.72064406779661</v>
      </c>
      <c r="P93" s="62">
        <v>294.1759</v>
      </c>
      <c r="Q93" s="62"/>
      <c r="R93" s="33" t="s">
        <v>38</v>
      </c>
    </row>
    <row r="94" spans="1:18" ht="17.25" customHeight="1" outlineLevel="3">
      <c r="A94" s="38">
        <v>23</v>
      </c>
      <c r="B94" s="26">
        <v>2310</v>
      </c>
      <c r="C94" s="27">
        <v>4379</v>
      </c>
      <c r="D94" s="28" t="s">
        <v>319</v>
      </c>
      <c r="E94" s="29" t="s">
        <v>370</v>
      </c>
      <c r="F94" s="36" t="s">
        <v>4</v>
      </c>
      <c r="G94" s="37" t="s">
        <v>4</v>
      </c>
      <c r="H94" s="32">
        <v>1000</v>
      </c>
      <c r="I94" s="32"/>
      <c r="J94" s="32">
        <v>0</v>
      </c>
      <c r="K94" s="32">
        <f t="shared" si="17"/>
        <v>89</v>
      </c>
      <c r="L94" s="32">
        <v>89</v>
      </c>
      <c r="M94" s="32"/>
      <c r="N94" s="32">
        <f t="shared" si="18"/>
        <v>86.8327</v>
      </c>
      <c r="O94" s="17">
        <f t="shared" si="19"/>
        <v>97.56483146067416</v>
      </c>
      <c r="P94" s="62">
        <v>86.8327</v>
      </c>
      <c r="Q94" s="62"/>
      <c r="R94" s="33" t="s">
        <v>38</v>
      </c>
    </row>
    <row r="95" spans="1:18" ht="17.25" customHeight="1" outlineLevel="3">
      <c r="A95" s="38">
        <v>23</v>
      </c>
      <c r="B95" s="26">
        <v>2310</v>
      </c>
      <c r="C95" s="27">
        <v>4380</v>
      </c>
      <c r="D95" s="28" t="s">
        <v>319</v>
      </c>
      <c r="E95" s="29" t="s">
        <v>371</v>
      </c>
      <c r="F95" s="36" t="s">
        <v>4</v>
      </c>
      <c r="G95" s="37" t="s">
        <v>4</v>
      </c>
      <c r="H95" s="32">
        <v>1200</v>
      </c>
      <c r="I95" s="32"/>
      <c r="J95" s="32">
        <v>0</v>
      </c>
      <c r="K95" s="32">
        <f t="shared" si="17"/>
        <v>1004</v>
      </c>
      <c r="L95" s="32">
        <v>1004</v>
      </c>
      <c r="M95" s="32"/>
      <c r="N95" s="32">
        <f t="shared" si="18"/>
        <v>998.07</v>
      </c>
      <c r="O95" s="17">
        <f t="shared" si="19"/>
        <v>99.4093625498008</v>
      </c>
      <c r="P95" s="62">
        <v>998.07</v>
      </c>
      <c r="Q95" s="62"/>
      <c r="R95" s="33" t="s">
        <v>38</v>
      </c>
    </row>
    <row r="96" spans="1:18" ht="17.25" customHeight="1" outlineLevel="3">
      <c r="A96" s="38">
        <v>23</v>
      </c>
      <c r="B96" s="26">
        <v>2310</v>
      </c>
      <c r="C96" s="27">
        <v>4384</v>
      </c>
      <c r="D96" s="28" t="s">
        <v>319</v>
      </c>
      <c r="E96" s="29" t="s">
        <v>372</v>
      </c>
      <c r="F96" s="36" t="s">
        <v>4</v>
      </c>
      <c r="G96" s="37" t="s">
        <v>4</v>
      </c>
      <c r="H96" s="32">
        <v>5400</v>
      </c>
      <c r="I96" s="32"/>
      <c r="J96" s="32">
        <v>0</v>
      </c>
      <c r="K96" s="32">
        <f t="shared" si="17"/>
        <v>102</v>
      </c>
      <c r="L96" s="32">
        <v>102</v>
      </c>
      <c r="M96" s="32"/>
      <c r="N96" s="32">
        <f t="shared" si="18"/>
        <v>99.9075</v>
      </c>
      <c r="O96" s="17">
        <f t="shared" si="19"/>
        <v>97.94852941176471</v>
      </c>
      <c r="P96" s="62">
        <v>99.9075</v>
      </c>
      <c r="Q96" s="62"/>
      <c r="R96" s="33" t="s">
        <v>38</v>
      </c>
    </row>
    <row r="97" spans="1:18" ht="17.25" customHeight="1" outlineLevel="3">
      <c r="A97" s="38">
        <v>23</v>
      </c>
      <c r="B97" s="26">
        <v>2310</v>
      </c>
      <c r="C97" s="27">
        <v>4385</v>
      </c>
      <c r="D97" s="28" t="s">
        <v>319</v>
      </c>
      <c r="E97" s="29" t="s">
        <v>373</v>
      </c>
      <c r="F97" s="36" t="s">
        <v>4</v>
      </c>
      <c r="G97" s="37" t="s">
        <v>4</v>
      </c>
      <c r="H97" s="32">
        <v>700</v>
      </c>
      <c r="I97" s="32"/>
      <c r="J97" s="32">
        <v>0</v>
      </c>
      <c r="K97" s="32">
        <f t="shared" si="17"/>
        <v>73</v>
      </c>
      <c r="L97" s="32">
        <v>73</v>
      </c>
      <c r="M97" s="32"/>
      <c r="N97" s="32">
        <f t="shared" si="18"/>
        <v>72.645</v>
      </c>
      <c r="O97" s="17">
        <f t="shared" si="19"/>
        <v>99.51369863013699</v>
      </c>
      <c r="P97" s="62">
        <v>72.645</v>
      </c>
      <c r="Q97" s="62"/>
      <c r="R97" s="33" t="s">
        <v>38</v>
      </c>
    </row>
    <row r="98" spans="1:18" ht="17.25" customHeight="1" outlineLevel="3">
      <c r="A98" s="38">
        <v>23</v>
      </c>
      <c r="B98" s="26">
        <v>2310</v>
      </c>
      <c r="C98" s="27">
        <v>4386</v>
      </c>
      <c r="D98" s="28" t="s">
        <v>319</v>
      </c>
      <c r="E98" s="29" t="s">
        <v>374</v>
      </c>
      <c r="F98" s="36" t="s">
        <v>4</v>
      </c>
      <c r="G98" s="37" t="s">
        <v>4</v>
      </c>
      <c r="H98" s="32">
        <v>1100</v>
      </c>
      <c r="I98" s="32"/>
      <c r="J98" s="32">
        <v>0</v>
      </c>
      <c r="K98" s="32">
        <f t="shared" si="17"/>
        <v>39</v>
      </c>
      <c r="L98" s="32">
        <v>39</v>
      </c>
      <c r="M98" s="32"/>
      <c r="N98" s="32">
        <f t="shared" si="18"/>
        <v>38.5725</v>
      </c>
      <c r="O98" s="17">
        <f t="shared" si="19"/>
        <v>98.90384615384616</v>
      </c>
      <c r="P98" s="62">
        <v>38.5725</v>
      </c>
      <c r="Q98" s="62"/>
      <c r="R98" s="33" t="s">
        <v>38</v>
      </c>
    </row>
    <row r="99" spans="1:18" ht="17.25" customHeight="1" outlineLevel="3">
      <c r="A99" s="38">
        <v>23</v>
      </c>
      <c r="B99" s="26">
        <v>2310</v>
      </c>
      <c r="C99" s="27">
        <v>4431</v>
      </c>
      <c r="D99" s="28" t="s">
        <v>319</v>
      </c>
      <c r="E99" s="29" t="s">
        <v>552</v>
      </c>
      <c r="F99" s="30">
        <v>2000</v>
      </c>
      <c r="G99" s="31">
        <v>2000</v>
      </c>
      <c r="H99" s="32">
        <v>1000</v>
      </c>
      <c r="I99" s="32"/>
      <c r="J99" s="32">
        <v>0</v>
      </c>
      <c r="K99" s="32">
        <f t="shared" si="17"/>
        <v>3138</v>
      </c>
      <c r="L99" s="32">
        <v>3138</v>
      </c>
      <c r="M99" s="32"/>
      <c r="N99" s="32">
        <f t="shared" si="18"/>
        <v>2659.7845</v>
      </c>
      <c r="O99" s="17">
        <f t="shared" si="19"/>
        <v>84.76050031867432</v>
      </c>
      <c r="P99" s="62">
        <v>2659.7845</v>
      </c>
      <c r="Q99" s="62"/>
      <c r="R99" s="33" t="s">
        <v>38</v>
      </c>
    </row>
    <row r="100" spans="1:18" ht="17.25" customHeight="1" outlineLevel="3">
      <c r="A100" s="38">
        <v>23</v>
      </c>
      <c r="B100" s="26">
        <v>2310</v>
      </c>
      <c r="C100" s="27">
        <v>4432</v>
      </c>
      <c r="D100" s="28" t="s">
        <v>319</v>
      </c>
      <c r="E100" s="29" t="s">
        <v>407</v>
      </c>
      <c r="F100" s="30">
        <v>2000</v>
      </c>
      <c r="G100" s="31">
        <v>2000</v>
      </c>
      <c r="H100" s="32">
        <v>1600</v>
      </c>
      <c r="I100" s="32"/>
      <c r="J100" s="32">
        <v>0</v>
      </c>
      <c r="K100" s="32">
        <f t="shared" si="17"/>
        <v>102</v>
      </c>
      <c r="L100" s="32">
        <v>102</v>
      </c>
      <c r="M100" s="32"/>
      <c r="N100" s="32">
        <f t="shared" si="18"/>
        <v>101.65</v>
      </c>
      <c r="O100" s="17">
        <f t="shared" si="19"/>
        <v>99.65686274509804</v>
      </c>
      <c r="P100" s="62">
        <v>101.65</v>
      </c>
      <c r="Q100" s="62"/>
      <c r="R100" s="33" t="s">
        <v>38</v>
      </c>
    </row>
    <row r="101" spans="1:18" ht="17.25" customHeight="1" outlineLevel="3">
      <c r="A101" s="38">
        <v>23</v>
      </c>
      <c r="B101" s="26">
        <v>2310</v>
      </c>
      <c r="C101" s="27">
        <v>4439</v>
      </c>
      <c r="D101" s="28" t="s">
        <v>319</v>
      </c>
      <c r="E101" s="29" t="s">
        <v>408</v>
      </c>
      <c r="F101" s="30">
        <v>2000</v>
      </c>
      <c r="G101" s="31">
        <v>2000</v>
      </c>
      <c r="H101" s="32">
        <v>1600</v>
      </c>
      <c r="I101" s="32"/>
      <c r="J101" s="32">
        <v>0</v>
      </c>
      <c r="K101" s="32">
        <f t="shared" si="17"/>
        <v>163</v>
      </c>
      <c r="L101" s="32">
        <v>163</v>
      </c>
      <c r="M101" s="32"/>
      <c r="N101" s="32">
        <f t="shared" si="18"/>
        <v>161.975</v>
      </c>
      <c r="O101" s="17">
        <f t="shared" si="19"/>
        <v>99.37116564417178</v>
      </c>
      <c r="P101" s="62">
        <v>161.975</v>
      </c>
      <c r="Q101" s="62"/>
      <c r="R101" s="33" t="s">
        <v>38</v>
      </c>
    </row>
    <row r="102" spans="1:18" ht="17.25" customHeight="1" outlineLevel="3">
      <c r="A102" s="38">
        <v>23</v>
      </c>
      <c r="B102" s="26">
        <v>2310</v>
      </c>
      <c r="C102" s="27">
        <v>4440</v>
      </c>
      <c r="D102" s="28" t="s">
        <v>319</v>
      </c>
      <c r="E102" s="29" t="s">
        <v>409</v>
      </c>
      <c r="F102" s="30">
        <v>2000</v>
      </c>
      <c r="G102" s="31">
        <v>2000</v>
      </c>
      <c r="H102" s="32">
        <v>1500</v>
      </c>
      <c r="I102" s="32"/>
      <c r="J102" s="32">
        <v>0</v>
      </c>
      <c r="K102" s="32">
        <f t="shared" si="17"/>
        <v>81</v>
      </c>
      <c r="L102" s="32">
        <v>81</v>
      </c>
      <c r="M102" s="32"/>
      <c r="N102" s="32">
        <f t="shared" si="18"/>
        <v>80.0358</v>
      </c>
      <c r="O102" s="17">
        <f t="shared" si="19"/>
        <v>98.80962962962963</v>
      </c>
      <c r="P102" s="62">
        <v>80.0358</v>
      </c>
      <c r="Q102" s="62"/>
      <c r="R102" s="33" t="s">
        <v>38</v>
      </c>
    </row>
    <row r="103" spans="1:18" ht="17.25" customHeight="1" outlineLevel="3">
      <c r="A103" s="38">
        <v>23</v>
      </c>
      <c r="B103" s="26">
        <v>2310</v>
      </c>
      <c r="C103" s="27">
        <v>4444</v>
      </c>
      <c r="D103" s="28" t="s">
        <v>319</v>
      </c>
      <c r="E103" s="29" t="s">
        <v>485</v>
      </c>
      <c r="F103" s="30">
        <v>2000</v>
      </c>
      <c r="G103" s="31">
        <v>2000</v>
      </c>
      <c r="H103" s="32">
        <v>530</v>
      </c>
      <c r="I103" s="32"/>
      <c r="J103" s="32">
        <v>0</v>
      </c>
      <c r="K103" s="32">
        <f t="shared" si="17"/>
        <v>530</v>
      </c>
      <c r="L103" s="32">
        <v>530</v>
      </c>
      <c r="M103" s="32"/>
      <c r="N103" s="32">
        <f t="shared" si="18"/>
        <v>529.575</v>
      </c>
      <c r="O103" s="17">
        <f t="shared" si="19"/>
        <v>99.91981132075473</v>
      </c>
      <c r="P103" s="62">
        <v>529.575</v>
      </c>
      <c r="Q103" s="62"/>
      <c r="R103" s="33" t="s">
        <v>38</v>
      </c>
    </row>
    <row r="104" spans="1:18" ht="17.25" customHeight="1" outlineLevel="2">
      <c r="A104" s="38"/>
      <c r="B104" s="20" t="s">
        <v>437</v>
      </c>
      <c r="C104" s="27"/>
      <c r="D104" s="28"/>
      <c r="E104" s="29"/>
      <c r="F104" s="30"/>
      <c r="G104" s="31"/>
      <c r="H104" s="34">
        <f aca="true" t="shared" si="20" ref="H104:N104">SUBTOTAL(9,H62:H103)</f>
        <v>335702</v>
      </c>
      <c r="I104" s="34">
        <f t="shared" si="20"/>
        <v>36493</v>
      </c>
      <c r="J104" s="34">
        <f t="shared" si="20"/>
        <v>77634</v>
      </c>
      <c r="K104" s="34">
        <f t="shared" si="20"/>
        <v>56636</v>
      </c>
      <c r="L104" s="34">
        <f t="shared" si="20"/>
        <v>56636</v>
      </c>
      <c r="M104" s="34">
        <f t="shared" si="20"/>
        <v>0</v>
      </c>
      <c r="N104" s="34">
        <f t="shared" si="20"/>
        <v>49360.984599999996</v>
      </c>
      <c r="O104" s="55">
        <f t="shared" si="19"/>
        <v>87.15478600183629</v>
      </c>
      <c r="P104" s="63">
        <f>SUBTOTAL(9,P62:P103)</f>
        <v>49360.984599999996</v>
      </c>
      <c r="Q104" s="63">
        <f>SUBTOTAL(9,Q62:Q103)</f>
        <v>0</v>
      </c>
      <c r="R104" s="33"/>
    </row>
    <row r="105" spans="1:18" ht="17.25" customHeight="1" outlineLevel="3">
      <c r="A105" s="35">
        <v>23</v>
      </c>
      <c r="B105" s="20" t="s">
        <v>60</v>
      </c>
      <c r="C105" s="7" t="s">
        <v>342</v>
      </c>
      <c r="D105" s="8" t="s">
        <v>342</v>
      </c>
      <c r="E105" s="9" t="s">
        <v>348</v>
      </c>
      <c r="F105" s="36"/>
      <c r="G105" s="37"/>
      <c r="H105" s="34"/>
      <c r="I105" s="34"/>
      <c r="J105" s="34"/>
      <c r="K105" s="34"/>
      <c r="L105" s="34"/>
      <c r="M105" s="34"/>
      <c r="N105" s="34"/>
      <c r="O105" s="17"/>
      <c r="P105" s="63"/>
      <c r="Q105" s="63"/>
      <c r="R105" s="33"/>
    </row>
    <row r="106" spans="1:18" ht="17.25" customHeight="1" outlineLevel="3">
      <c r="A106" s="38">
        <v>23</v>
      </c>
      <c r="B106" s="26" t="s">
        <v>60</v>
      </c>
      <c r="C106" s="27">
        <v>4003</v>
      </c>
      <c r="D106" s="28" t="s">
        <v>319</v>
      </c>
      <c r="E106" s="29" t="s">
        <v>346</v>
      </c>
      <c r="F106" s="36" t="s">
        <v>66</v>
      </c>
      <c r="G106" s="41">
        <v>2001</v>
      </c>
      <c r="H106" s="32">
        <v>206754</v>
      </c>
      <c r="I106" s="32">
        <v>196854</v>
      </c>
      <c r="J106" s="32">
        <v>3800</v>
      </c>
      <c r="K106" s="32">
        <f aca="true" t="shared" si="21" ref="K106:K136">+L106+M106</f>
        <v>8809</v>
      </c>
      <c r="L106" s="32">
        <v>8809</v>
      </c>
      <c r="M106" s="32"/>
      <c r="N106" s="32">
        <f aca="true" t="shared" si="22" ref="N106:N136">+P106+Q106</f>
        <v>7743.8109</v>
      </c>
      <c r="O106" s="17">
        <f aca="true" t="shared" si="23" ref="O106:O136">IF(K106=0,"0,0",N106*100/K106)</f>
        <v>87.90794528323306</v>
      </c>
      <c r="P106" s="62">
        <v>7743.8109</v>
      </c>
      <c r="Q106" s="62"/>
      <c r="R106" s="33" t="s">
        <v>38</v>
      </c>
    </row>
    <row r="107" spans="1:18" ht="17.25" customHeight="1" outlineLevel="3">
      <c r="A107" s="38">
        <v>23</v>
      </c>
      <c r="B107" s="26" t="s">
        <v>60</v>
      </c>
      <c r="C107" s="27">
        <v>4005</v>
      </c>
      <c r="D107" s="28" t="s">
        <v>319</v>
      </c>
      <c r="E107" s="29" t="s">
        <v>67</v>
      </c>
      <c r="F107" s="36" t="s">
        <v>8</v>
      </c>
      <c r="G107" s="37" t="s">
        <v>13</v>
      </c>
      <c r="H107" s="32">
        <v>56000</v>
      </c>
      <c r="I107" s="32">
        <v>18395</v>
      </c>
      <c r="J107" s="32">
        <v>8966</v>
      </c>
      <c r="K107" s="32">
        <f t="shared" si="21"/>
        <v>3000</v>
      </c>
      <c r="L107" s="32">
        <v>3000</v>
      </c>
      <c r="M107" s="32"/>
      <c r="N107" s="32">
        <f t="shared" si="22"/>
        <v>860.5969</v>
      </c>
      <c r="O107" s="17">
        <f t="shared" si="23"/>
        <v>28.686563333333336</v>
      </c>
      <c r="P107" s="62">
        <v>860.5969</v>
      </c>
      <c r="Q107" s="62"/>
      <c r="R107" s="33" t="s">
        <v>38</v>
      </c>
    </row>
    <row r="108" spans="1:18" ht="17.25" customHeight="1" outlineLevel="3">
      <c r="A108" s="38">
        <v>23</v>
      </c>
      <c r="B108" s="26" t="s">
        <v>60</v>
      </c>
      <c r="C108" s="27">
        <v>4007</v>
      </c>
      <c r="D108" s="28" t="s">
        <v>319</v>
      </c>
      <c r="E108" s="29" t="s">
        <v>258</v>
      </c>
      <c r="F108" s="36" t="s">
        <v>3</v>
      </c>
      <c r="G108" s="41">
        <v>2001</v>
      </c>
      <c r="H108" s="32">
        <v>18400</v>
      </c>
      <c r="I108" s="32">
        <v>0</v>
      </c>
      <c r="J108" s="32">
        <v>10900</v>
      </c>
      <c r="K108" s="32">
        <f t="shared" si="21"/>
        <v>18400</v>
      </c>
      <c r="L108" s="32">
        <f>11000+7400</f>
        <v>18400</v>
      </c>
      <c r="M108" s="32"/>
      <c r="N108" s="32">
        <f t="shared" si="22"/>
        <v>15362.3075</v>
      </c>
      <c r="O108" s="17">
        <f t="shared" si="23"/>
        <v>83.49080163043479</v>
      </c>
      <c r="P108" s="62">
        <v>15362.3075</v>
      </c>
      <c r="Q108" s="62"/>
      <c r="R108" s="33" t="s">
        <v>38</v>
      </c>
    </row>
    <row r="109" spans="1:18" ht="17.25" customHeight="1" outlineLevel="3">
      <c r="A109" s="38">
        <v>23</v>
      </c>
      <c r="B109" s="26">
        <v>2321</v>
      </c>
      <c r="C109" s="27">
        <v>4010</v>
      </c>
      <c r="D109" s="28" t="s">
        <v>319</v>
      </c>
      <c r="E109" s="29" t="s">
        <v>350</v>
      </c>
      <c r="F109" s="30">
        <v>1994</v>
      </c>
      <c r="G109" s="46" t="s">
        <v>3</v>
      </c>
      <c r="H109" s="32">
        <v>0</v>
      </c>
      <c r="I109" s="32"/>
      <c r="J109" s="32">
        <v>0</v>
      </c>
      <c r="K109" s="32">
        <f t="shared" si="21"/>
        <v>0</v>
      </c>
      <c r="L109" s="32">
        <v>0</v>
      </c>
      <c r="M109" s="32"/>
      <c r="N109" s="32">
        <f t="shared" si="22"/>
        <v>68.039</v>
      </c>
      <c r="O109" s="17" t="str">
        <f t="shared" si="23"/>
        <v>0,0</v>
      </c>
      <c r="P109" s="62">
        <v>0</v>
      </c>
      <c r="Q109" s="62">
        <v>68.039</v>
      </c>
      <c r="R109" s="33" t="s">
        <v>353</v>
      </c>
    </row>
    <row r="110" spans="1:18" ht="17.25" customHeight="1" outlineLevel="3">
      <c r="A110" s="38">
        <v>23</v>
      </c>
      <c r="B110" s="26">
        <v>2321</v>
      </c>
      <c r="C110" s="27">
        <v>4012</v>
      </c>
      <c r="D110" s="28" t="s">
        <v>319</v>
      </c>
      <c r="E110" s="29" t="s">
        <v>479</v>
      </c>
      <c r="F110" s="30">
        <v>1994</v>
      </c>
      <c r="G110" s="46" t="s">
        <v>3</v>
      </c>
      <c r="H110" s="32">
        <v>0</v>
      </c>
      <c r="I110" s="32"/>
      <c r="J110" s="32">
        <v>0</v>
      </c>
      <c r="K110" s="32">
        <f t="shared" si="21"/>
        <v>0</v>
      </c>
      <c r="L110" s="32">
        <v>0</v>
      </c>
      <c r="M110" s="32">
        <v>0</v>
      </c>
      <c r="N110" s="32">
        <f t="shared" si="22"/>
        <v>12.698</v>
      </c>
      <c r="O110" s="17" t="str">
        <f t="shared" si="23"/>
        <v>0,0</v>
      </c>
      <c r="P110" s="62">
        <v>0</v>
      </c>
      <c r="Q110" s="62">
        <v>12.698</v>
      </c>
      <c r="R110" s="33" t="s">
        <v>365</v>
      </c>
    </row>
    <row r="111" spans="1:18" ht="17.25" customHeight="1" outlineLevel="3">
      <c r="A111" s="38">
        <v>23</v>
      </c>
      <c r="B111" s="26">
        <v>2321</v>
      </c>
      <c r="C111" s="27">
        <v>4015</v>
      </c>
      <c r="D111" s="28" t="s">
        <v>319</v>
      </c>
      <c r="E111" s="29" t="s">
        <v>482</v>
      </c>
      <c r="F111" s="30">
        <v>1999</v>
      </c>
      <c r="G111" s="46" t="s">
        <v>4</v>
      </c>
      <c r="H111" s="32">
        <v>0</v>
      </c>
      <c r="I111" s="32"/>
      <c r="J111" s="32">
        <v>0</v>
      </c>
      <c r="K111" s="32">
        <f t="shared" si="21"/>
        <v>0</v>
      </c>
      <c r="L111" s="32">
        <v>0</v>
      </c>
      <c r="M111" s="32">
        <v>0</v>
      </c>
      <c r="N111" s="32">
        <f t="shared" si="22"/>
        <v>8004</v>
      </c>
      <c r="O111" s="17" t="str">
        <f t="shared" si="23"/>
        <v>0,0</v>
      </c>
      <c r="P111" s="62">
        <v>0</v>
      </c>
      <c r="Q111" s="64">
        <f>7635.3975+368.6025</f>
        <v>8004</v>
      </c>
      <c r="R111" s="33" t="s">
        <v>364</v>
      </c>
    </row>
    <row r="112" spans="1:18" ht="17.25" customHeight="1" outlineLevel="3">
      <c r="A112" s="38">
        <v>23</v>
      </c>
      <c r="B112" s="26" t="s">
        <v>60</v>
      </c>
      <c r="C112" s="27">
        <v>4020</v>
      </c>
      <c r="D112" s="28" t="s">
        <v>319</v>
      </c>
      <c r="E112" s="29" t="s">
        <v>69</v>
      </c>
      <c r="F112" s="36" t="s">
        <v>32</v>
      </c>
      <c r="G112" s="37" t="s">
        <v>4</v>
      </c>
      <c r="H112" s="32">
        <v>48807</v>
      </c>
      <c r="I112" s="32">
        <v>44992</v>
      </c>
      <c r="J112" s="32">
        <v>3807</v>
      </c>
      <c r="K112" s="32">
        <f t="shared" si="21"/>
        <v>3807</v>
      </c>
      <c r="L112" s="32">
        <v>0</v>
      </c>
      <c r="M112" s="32">
        <v>3807</v>
      </c>
      <c r="N112" s="32">
        <f t="shared" si="22"/>
        <v>3818.1699</v>
      </c>
      <c r="O112" s="17">
        <f t="shared" si="23"/>
        <v>100.29340425531915</v>
      </c>
      <c r="P112" s="62">
        <v>0</v>
      </c>
      <c r="Q112" s="62">
        <f>1726.9239+15.9+2075.346</f>
        <v>3818.1699</v>
      </c>
      <c r="R112" s="33" t="s">
        <v>354</v>
      </c>
    </row>
    <row r="113" spans="1:18" ht="17.25" customHeight="1" outlineLevel="3">
      <c r="A113" s="38">
        <v>23</v>
      </c>
      <c r="B113" s="26" t="s">
        <v>60</v>
      </c>
      <c r="C113" s="27">
        <v>4021</v>
      </c>
      <c r="D113" s="28" t="s">
        <v>319</v>
      </c>
      <c r="E113" s="29" t="s">
        <v>259</v>
      </c>
      <c r="F113" s="36" t="s">
        <v>68</v>
      </c>
      <c r="G113" s="37" t="s">
        <v>4</v>
      </c>
      <c r="H113" s="32">
        <v>57210</v>
      </c>
      <c r="I113" s="32">
        <v>51664</v>
      </c>
      <c r="J113" s="32">
        <v>5546</v>
      </c>
      <c r="K113" s="32">
        <f t="shared" si="21"/>
        <v>5546</v>
      </c>
      <c r="L113" s="32">
        <v>0</v>
      </c>
      <c r="M113" s="32">
        <v>5546</v>
      </c>
      <c r="N113" s="32">
        <f t="shared" si="22"/>
        <v>5546</v>
      </c>
      <c r="O113" s="17">
        <f t="shared" si="23"/>
        <v>100</v>
      </c>
      <c r="P113" s="62">
        <v>0</v>
      </c>
      <c r="Q113" s="62">
        <v>5546</v>
      </c>
      <c r="R113" s="33" t="s">
        <v>354</v>
      </c>
    </row>
    <row r="114" spans="1:18" ht="17.25" customHeight="1" outlineLevel="3">
      <c r="A114" s="38">
        <v>23</v>
      </c>
      <c r="B114" s="26" t="s">
        <v>60</v>
      </c>
      <c r="C114" s="27">
        <v>4032</v>
      </c>
      <c r="D114" s="28" t="s">
        <v>319</v>
      </c>
      <c r="E114" s="29" t="s">
        <v>70</v>
      </c>
      <c r="F114" s="36" t="s">
        <v>4</v>
      </c>
      <c r="G114" s="37" t="s">
        <v>17</v>
      </c>
      <c r="H114" s="32">
        <v>0</v>
      </c>
      <c r="I114" s="32">
        <v>0</v>
      </c>
      <c r="J114" s="32">
        <v>500</v>
      </c>
      <c r="K114" s="32">
        <f t="shared" si="21"/>
        <v>0</v>
      </c>
      <c r="L114" s="32">
        <v>0</v>
      </c>
      <c r="M114" s="32">
        <v>0</v>
      </c>
      <c r="N114" s="32">
        <f t="shared" si="22"/>
        <v>152.8782</v>
      </c>
      <c r="O114" s="17" t="str">
        <f t="shared" si="23"/>
        <v>0,0</v>
      </c>
      <c r="P114" s="62">
        <v>152.8782</v>
      </c>
      <c r="Q114" s="62"/>
      <c r="R114" s="33" t="s">
        <v>38</v>
      </c>
    </row>
    <row r="115" spans="1:18" ht="17.25" customHeight="1" outlineLevel="3">
      <c r="A115" s="38">
        <v>23</v>
      </c>
      <c r="B115" s="26" t="s">
        <v>60</v>
      </c>
      <c r="C115" s="27">
        <v>4033</v>
      </c>
      <c r="D115" s="28" t="s">
        <v>319</v>
      </c>
      <c r="E115" s="29" t="s">
        <v>71</v>
      </c>
      <c r="F115" s="36" t="s">
        <v>18</v>
      </c>
      <c r="G115" s="37" t="s">
        <v>13</v>
      </c>
      <c r="H115" s="32">
        <v>0</v>
      </c>
      <c r="I115" s="32">
        <v>0</v>
      </c>
      <c r="J115" s="32">
        <v>1000</v>
      </c>
      <c r="K115" s="32">
        <f t="shared" si="21"/>
        <v>0</v>
      </c>
      <c r="L115" s="32">
        <v>0</v>
      </c>
      <c r="M115" s="32">
        <v>0</v>
      </c>
      <c r="N115" s="32">
        <f t="shared" si="22"/>
        <v>0</v>
      </c>
      <c r="O115" s="17" t="str">
        <f t="shared" si="23"/>
        <v>0,0</v>
      </c>
      <c r="P115" s="62">
        <v>0</v>
      </c>
      <c r="Q115" s="62"/>
      <c r="R115" s="33" t="s">
        <v>38</v>
      </c>
    </row>
    <row r="116" spans="1:18" ht="17.25" customHeight="1" outlineLevel="3">
      <c r="A116" s="38">
        <v>23</v>
      </c>
      <c r="B116" s="26" t="s">
        <v>60</v>
      </c>
      <c r="C116" s="27">
        <v>4036</v>
      </c>
      <c r="D116" s="28" t="s">
        <v>319</v>
      </c>
      <c r="E116" s="29" t="s">
        <v>72</v>
      </c>
      <c r="F116" s="36" t="s">
        <v>18</v>
      </c>
      <c r="G116" s="41" t="s">
        <v>4</v>
      </c>
      <c r="H116" s="32">
        <v>13209</v>
      </c>
      <c r="I116" s="32">
        <v>5359</v>
      </c>
      <c r="J116" s="32">
        <v>5000</v>
      </c>
      <c r="K116" s="32">
        <f t="shared" si="21"/>
        <v>8296</v>
      </c>
      <c r="L116" s="32">
        <v>8296</v>
      </c>
      <c r="M116" s="32"/>
      <c r="N116" s="32">
        <f t="shared" si="22"/>
        <v>8149.6096</v>
      </c>
      <c r="O116" s="17">
        <f t="shared" si="23"/>
        <v>98.23540983606557</v>
      </c>
      <c r="P116" s="62">
        <v>8149.6096</v>
      </c>
      <c r="Q116" s="62"/>
      <c r="R116" s="33" t="s">
        <v>38</v>
      </c>
    </row>
    <row r="117" spans="1:18" ht="17.25" customHeight="1" outlineLevel="3">
      <c r="A117" s="38">
        <v>23</v>
      </c>
      <c r="B117" s="26" t="s">
        <v>60</v>
      </c>
      <c r="C117" s="27">
        <v>4055</v>
      </c>
      <c r="D117" s="28" t="s">
        <v>319</v>
      </c>
      <c r="E117" s="29" t="s">
        <v>73</v>
      </c>
      <c r="F117" s="36" t="s">
        <v>18</v>
      </c>
      <c r="G117" s="37" t="s">
        <v>4</v>
      </c>
      <c r="H117" s="32">
        <v>85730</v>
      </c>
      <c r="I117" s="32">
        <v>70156</v>
      </c>
      <c r="J117" s="32">
        <v>17829</v>
      </c>
      <c r="K117" s="32">
        <f t="shared" si="21"/>
        <v>15574</v>
      </c>
      <c r="L117" s="32">
        <v>15574</v>
      </c>
      <c r="M117" s="32"/>
      <c r="N117" s="32">
        <f t="shared" si="22"/>
        <v>15573.097</v>
      </c>
      <c r="O117" s="17">
        <f t="shared" si="23"/>
        <v>99.99420187491974</v>
      </c>
      <c r="P117" s="62">
        <v>15573.097</v>
      </c>
      <c r="Q117" s="62"/>
      <c r="R117" s="33" t="s">
        <v>38</v>
      </c>
    </row>
    <row r="118" spans="1:18" ht="17.25" customHeight="1" outlineLevel="3">
      <c r="A118" s="38">
        <v>23</v>
      </c>
      <c r="B118" s="26" t="s">
        <v>60</v>
      </c>
      <c r="C118" s="27">
        <v>4059</v>
      </c>
      <c r="D118" s="28" t="s">
        <v>319</v>
      </c>
      <c r="E118" s="29" t="s">
        <v>74</v>
      </c>
      <c r="F118" s="36" t="s">
        <v>8</v>
      </c>
      <c r="G118" s="37" t="s">
        <v>13</v>
      </c>
      <c r="H118" s="32">
        <v>98043</v>
      </c>
      <c r="I118" s="32">
        <v>89852</v>
      </c>
      <c r="J118" s="32">
        <v>4117</v>
      </c>
      <c r="K118" s="32">
        <f t="shared" si="21"/>
        <v>4117</v>
      </c>
      <c r="L118" s="32">
        <v>4117</v>
      </c>
      <c r="M118" s="32"/>
      <c r="N118" s="32">
        <f t="shared" si="22"/>
        <v>4116.28</v>
      </c>
      <c r="O118" s="17">
        <f t="shared" si="23"/>
        <v>99.98251153752733</v>
      </c>
      <c r="P118" s="62">
        <v>4116.28</v>
      </c>
      <c r="Q118" s="62"/>
      <c r="R118" s="33" t="s">
        <v>5</v>
      </c>
    </row>
    <row r="119" spans="1:18" ht="17.25" customHeight="1" outlineLevel="3">
      <c r="A119" s="38">
        <v>23</v>
      </c>
      <c r="B119" s="26" t="s">
        <v>60</v>
      </c>
      <c r="C119" s="27">
        <v>4061</v>
      </c>
      <c r="D119" s="28" t="s">
        <v>319</v>
      </c>
      <c r="E119" s="29" t="s">
        <v>260</v>
      </c>
      <c r="F119" s="36" t="s">
        <v>20</v>
      </c>
      <c r="G119" s="37" t="s">
        <v>13</v>
      </c>
      <c r="H119" s="32">
        <v>41567</v>
      </c>
      <c r="I119" s="32">
        <v>37242</v>
      </c>
      <c r="J119" s="32">
        <v>7441</v>
      </c>
      <c r="K119" s="32">
        <f t="shared" si="21"/>
        <v>4294</v>
      </c>
      <c r="L119" s="32">
        <v>4294</v>
      </c>
      <c r="M119" s="32"/>
      <c r="N119" s="32">
        <f t="shared" si="22"/>
        <v>4293.1589</v>
      </c>
      <c r="O119" s="17">
        <f t="shared" si="23"/>
        <v>99.98041220307405</v>
      </c>
      <c r="P119" s="62">
        <v>4293.1589</v>
      </c>
      <c r="Q119" s="62"/>
      <c r="R119" s="33" t="s">
        <v>38</v>
      </c>
    </row>
    <row r="120" spans="1:18" ht="17.25" customHeight="1" outlineLevel="3">
      <c r="A120" s="38">
        <v>23</v>
      </c>
      <c r="B120" s="26" t="s">
        <v>60</v>
      </c>
      <c r="C120" s="27">
        <v>4086</v>
      </c>
      <c r="D120" s="28" t="s">
        <v>319</v>
      </c>
      <c r="E120" s="29" t="s">
        <v>75</v>
      </c>
      <c r="F120" s="36" t="s">
        <v>22</v>
      </c>
      <c r="G120" s="37" t="s">
        <v>13</v>
      </c>
      <c r="H120" s="32">
        <v>60400</v>
      </c>
      <c r="I120" s="32">
        <v>597</v>
      </c>
      <c r="J120" s="32">
        <v>26588</v>
      </c>
      <c r="K120" s="32">
        <f t="shared" si="21"/>
        <v>41865</v>
      </c>
      <c r="L120" s="32">
        <v>41865</v>
      </c>
      <c r="M120" s="32"/>
      <c r="N120" s="32">
        <f t="shared" si="22"/>
        <v>41847.1387</v>
      </c>
      <c r="O120" s="17">
        <f t="shared" si="23"/>
        <v>99.95733596082647</v>
      </c>
      <c r="P120" s="62">
        <v>41847.1387</v>
      </c>
      <c r="Q120" s="62"/>
      <c r="R120" s="33" t="s">
        <v>38</v>
      </c>
    </row>
    <row r="121" spans="1:18" ht="17.25" customHeight="1" outlineLevel="3">
      <c r="A121" s="38">
        <v>23</v>
      </c>
      <c r="B121" s="26" t="s">
        <v>60</v>
      </c>
      <c r="C121" s="27">
        <v>4098</v>
      </c>
      <c r="D121" s="28" t="s">
        <v>319</v>
      </c>
      <c r="E121" s="29" t="s">
        <v>76</v>
      </c>
      <c r="F121" s="36" t="s">
        <v>3</v>
      </c>
      <c r="G121" s="37" t="s">
        <v>4</v>
      </c>
      <c r="H121" s="32">
        <v>3498</v>
      </c>
      <c r="I121" s="32">
        <v>98</v>
      </c>
      <c r="J121" s="32">
        <v>1080</v>
      </c>
      <c r="K121" s="32">
        <f t="shared" si="21"/>
        <v>3016</v>
      </c>
      <c r="L121" s="32">
        <v>3016</v>
      </c>
      <c r="M121" s="32"/>
      <c r="N121" s="32">
        <f t="shared" si="22"/>
        <v>3020.29</v>
      </c>
      <c r="O121" s="17">
        <f t="shared" si="23"/>
        <v>100.14224137931035</v>
      </c>
      <c r="P121" s="62">
        <v>3020.29</v>
      </c>
      <c r="Q121" s="62"/>
      <c r="R121" s="33" t="s">
        <v>38</v>
      </c>
    </row>
    <row r="122" spans="1:18" ht="17.25" customHeight="1" outlineLevel="3">
      <c r="A122" s="38">
        <v>23</v>
      </c>
      <c r="B122" s="26" t="s">
        <v>60</v>
      </c>
      <c r="C122" s="27">
        <v>4100</v>
      </c>
      <c r="D122" s="28" t="s">
        <v>319</v>
      </c>
      <c r="E122" s="29" t="s">
        <v>261</v>
      </c>
      <c r="F122" s="36" t="s">
        <v>3</v>
      </c>
      <c r="G122" s="37" t="s">
        <v>4</v>
      </c>
      <c r="H122" s="32">
        <v>0</v>
      </c>
      <c r="I122" s="32">
        <v>0</v>
      </c>
      <c r="J122" s="32">
        <v>1850</v>
      </c>
      <c r="K122" s="32">
        <f t="shared" si="21"/>
        <v>0</v>
      </c>
      <c r="L122" s="32">
        <f>1850-1850</f>
        <v>0</v>
      </c>
      <c r="M122" s="32"/>
      <c r="N122" s="32">
        <f t="shared" si="22"/>
        <v>0.5</v>
      </c>
      <c r="O122" s="17" t="str">
        <f t="shared" si="23"/>
        <v>0,0</v>
      </c>
      <c r="P122" s="62">
        <v>0.5</v>
      </c>
      <c r="Q122" s="62"/>
      <c r="R122" s="33" t="s">
        <v>38</v>
      </c>
    </row>
    <row r="123" spans="1:18" ht="17.25" customHeight="1" outlineLevel="3">
      <c r="A123" s="38">
        <v>23</v>
      </c>
      <c r="B123" s="26" t="s">
        <v>60</v>
      </c>
      <c r="C123" s="27">
        <v>4102</v>
      </c>
      <c r="D123" s="28" t="s">
        <v>319</v>
      </c>
      <c r="E123" s="29" t="s">
        <v>77</v>
      </c>
      <c r="F123" s="36" t="s">
        <v>20</v>
      </c>
      <c r="G123" s="37" t="s">
        <v>17</v>
      </c>
      <c r="H123" s="32">
        <v>40000</v>
      </c>
      <c r="I123" s="32">
        <v>292</v>
      </c>
      <c r="J123" s="32">
        <v>400</v>
      </c>
      <c r="K123" s="32">
        <f t="shared" si="21"/>
        <v>400</v>
      </c>
      <c r="L123" s="32">
        <v>400</v>
      </c>
      <c r="M123" s="32"/>
      <c r="N123" s="32">
        <f t="shared" si="22"/>
        <v>184.2232</v>
      </c>
      <c r="O123" s="17">
        <f t="shared" si="23"/>
        <v>46.0558</v>
      </c>
      <c r="P123" s="62">
        <v>184.2232</v>
      </c>
      <c r="Q123" s="62"/>
      <c r="R123" s="33" t="s">
        <v>38</v>
      </c>
    </row>
    <row r="124" spans="1:18" ht="17.25" customHeight="1" outlineLevel="3">
      <c r="A124" s="38">
        <v>23</v>
      </c>
      <c r="B124" s="26" t="s">
        <v>60</v>
      </c>
      <c r="C124" s="27">
        <v>4104</v>
      </c>
      <c r="D124" s="28" t="s">
        <v>319</v>
      </c>
      <c r="E124" s="29" t="s">
        <v>262</v>
      </c>
      <c r="F124" s="36" t="s">
        <v>22</v>
      </c>
      <c r="G124" s="37" t="s">
        <v>11</v>
      </c>
      <c r="H124" s="32">
        <v>0</v>
      </c>
      <c r="I124" s="32">
        <v>0</v>
      </c>
      <c r="J124" s="32">
        <v>500</v>
      </c>
      <c r="K124" s="32">
        <f t="shared" si="21"/>
        <v>0</v>
      </c>
      <c r="L124" s="32">
        <v>0</v>
      </c>
      <c r="M124" s="32"/>
      <c r="N124" s="32">
        <f t="shared" si="22"/>
        <v>0</v>
      </c>
      <c r="O124" s="17" t="str">
        <f t="shared" si="23"/>
        <v>0,0</v>
      </c>
      <c r="P124" s="62">
        <v>0</v>
      </c>
      <c r="Q124" s="62"/>
      <c r="R124" s="33" t="s">
        <v>38</v>
      </c>
    </row>
    <row r="125" spans="1:18" ht="17.25" customHeight="1" outlineLevel="3">
      <c r="A125" s="38">
        <v>23</v>
      </c>
      <c r="B125" s="26">
        <v>2321</v>
      </c>
      <c r="C125" s="27">
        <v>4106</v>
      </c>
      <c r="D125" s="28" t="s">
        <v>319</v>
      </c>
      <c r="E125" s="47" t="s">
        <v>376</v>
      </c>
      <c r="F125" s="30">
        <v>1997</v>
      </c>
      <c r="G125" s="31">
        <v>1999</v>
      </c>
      <c r="H125" s="32">
        <v>53411</v>
      </c>
      <c r="I125" s="32"/>
      <c r="J125" s="32">
        <v>0</v>
      </c>
      <c r="K125" s="32">
        <f t="shared" si="21"/>
        <v>1926</v>
      </c>
      <c r="L125" s="32">
        <v>1926</v>
      </c>
      <c r="M125" s="32"/>
      <c r="N125" s="32">
        <f t="shared" si="22"/>
        <v>1925.73</v>
      </c>
      <c r="O125" s="17">
        <f t="shared" si="23"/>
        <v>99.98598130841121</v>
      </c>
      <c r="P125" s="62">
        <v>1925.73</v>
      </c>
      <c r="Q125" s="62"/>
      <c r="R125" s="33" t="s">
        <v>5</v>
      </c>
    </row>
    <row r="126" spans="1:18" ht="17.25" customHeight="1" outlineLevel="3">
      <c r="A126" s="38">
        <v>23</v>
      </c>
      <c r="B126" s="26" t="s">
        <v>60</v>
      </c>
      <c r="C126" s="27">
        <v>4107</v>
      </c>
      <c r="D126" s="28" t="s">
        <v>319</v>
      </c>
      <c r="E126" s="29" t="s">
        <v>263</v>
      </c>
      <c r="F126" s="36" t="s">
        <v>22</v>
      </c>
      <c r="G126" s="37" t="s">
        <v>13</v>
      </c>
      <c r="H126" s="32">
        <v>49000</v>
      </c>
      <c r="I126" s="32">
        <v>451</v>
      </c>
      <c r="J126" s="32">
        <v>21000</v>
      </c>
      <c r="K126" s="32">
        <f t="shared" si="21"/>
        <v>11400</v>
      </c>
      <c r="L126" s="32">
        <v>11400</v>
      </c>
      <c r="M126" s="32"/>
      <c r="N126" s="32">
        <f t="shared" si="22"/>
        <v>11053.042</v>
      </c>
      <c r="O126" s="17">
        <f t="shared" si="23"/>
        <v>96.95650877192982</v>
      </c>
      <c r="P126" s="62">
        <v>11053.042</v>
      </c>
      <c r="Q126" s="62"/>
      <c r="R126" s="33" t="s">
        <v>5</v>
      </c>
    </row>
    <row r="127" spans="1:18" ht="17.25" customHeight="1" outlineLevel="3">
      <c r="A127" s="38">
        <v>23</v>
      </c>
      <c r="B127" s="26" t="s">
        <v>60</v>
      </c>
      <c r="C127" s="27">
        <v>4117</v>
      </c>
      <c r="D127" s="28" t="s">
        <v>319</v>
      </c>
      <c r="E127" s="29" t="s">
        <v>264</v>
      </c>
      <c r="F127" s="36" t="s">
        <v>20</v>
      </c>
      <c r="G127" s="37" t="s">
        <v>4</v>
      </c>
      <c r="H127" s="32">
        <f>9868+10193</f>
        <v>20061</v>
      </c>
      <c r="I127" s="32">
        <v>368</v>
      </c>
      <c r="J127" s="32">
        <v>13007</v>
      </c>
      <c r="K127" s="32">
        <f t="shared" si="21"/>
        <v>19693</v>
      </c>
      <c r="L127" s="32">
        <f>13007-3507+10193</f>
        <v>19693</v>
      </c>
      <c r="M127" s="32"/>
      <c r="N127" s="32">
        <f t="shared" si="22"/>
        <v>16867.7879</v>
      </c>
      <c r="O127" s="17">
        <f t="shared" si="23"/>
        <v>85.6537241659473</v>
      </c>
      <c r="P127" s="62">
        <v>16867.7879</v>
      </c>
      <c r="Q127" s="62"/>
      <c r="R127" s="33" t="s">
        <v>38</v>
      </c>
    </row>
    <row r="128" spans="1:18" ht="17.25" customHeight="1" outlineLevel="3">
      <c r="A128" s="38">
        <v>23</v>
      </c>
      <c r="B128" s="26" t="s">
        <v>60</v>
      </c>
      <c r="C128" s="27">
        <v>4130</v>
      </c>
      <c r="D128" s="28" t="s">
        <v>319</v>
      </c>
      <c r="E128" s="29" t="s">
        <v>78</v>
      </c>
      <c r="F128" s="36" t="s">
        <v>22</v>
      </c>
      <c r="G128" s="37" t="s">
        <v>11</v>
      </c>
      <c r="H128" s="32">
        <v>8000</v>
      </c>
      <c r="I128" s="32">
        <v>535</v>
      </c>
      <c r="J128" s="32">
        <v>1000</v>
      </c>
      <c r="K128" s="32">
        <f t="shared" si="21"/>
        <v>1000</v>
      </c>
      <c r="L128" s="32">
        <v>1000</v>
      </c>
      <c r="M128" s="32"/>
      <c r="N128" s="32">
        <f t="shared" si="22"/>
        <v>218.256</v>
      </c>
      <c r="O128" s="17">
        <f t="shared" si="23"/>
        <v>21.825599999999998</v>
      </c>
      <c r="P128" s="62">
        <v>218.256</v>
      </c>
      <c r="Q128" s="62"/>
      <c r="R128" s="33" t="s">
        <v>38</v>
      </c>
    </row>
    <row r="129" spans="1:18" ht="17.25" customHeight="1" outlineLevel="3">
      <c r="A129" s="38">
        <v>23</v>
      </c>
      <c r="B129" s="26" t="s">
        <v>60</v>
      </c>
      <c r="C129" s="27">
        <v>4132</v>
      </c>
      <c r="D129" s="28" t="s">
        <v>319</v>
      </c>
      <c r="E129" s="29" t="s">
        <v>79</v>
      </c>
      <c r="F129" s="36" t="s">
        <v>22</v>
      </c>
      <c r="G129" s="37" t="s">
        <v>4</v>
      </c>
      <c r="H129" s="32">
        <v>0</v>
      </c>
      <c r="I129" s="32">
        <v>0</v>
      </c>
      <c r="J129" s="32">
        <v>115</v>
      </c>
      <c r="K129" s="32">
        <f t="shared" si="21"/>
        <v>0</v>
      </c>
      <c r="L129" s="32">
        <f>115-115</f>
        <v>0</v>
      </c>
      <c r="M129" s="32"/>
      <c r="N129" s="32">
        <f t="shared" si="22"/>
        <v>0</v>
      </c>
      <c r="O129" s="17" t="str">
        <f t="shared" si="23"/>
        <v>0,0</v>
      </c>
      <c r="P129" s="62">
        <v>0</v>
      </c>
      <c r="Q129" s="62"/>
      <c r="R129" s="33" t="s">
        <v>38</v>
      </c>
    </row>
    <row r="130" spans="1:18" ht="17.25" customHeight="1" outlineLevel="3">
      <c r="A130" s="38">
        <v>23</v>
      </c>
      <c r="B130" s="26" t="s">
        <v>60</v>
      </c>
      <c r="C130" s="27">
        <v>4133</v>
      </c>
      <c r="D130" s="28" t="s">
        <v>319</v>
      </c>
      <c r="E130" s="29" t="s">
        <v>80</v>
      </c>
      <c r="F130" s="36" t="s">
        <v>22</v>
      </c>
      <c r="G130" s="37" t="s">
        <v>4</v>
      </c>
      <c r="H130" s="32">
        <v>0</v>
      </c>
      <c r="I130" s="32">
        <v>0</v>
      </c>
      <c r="J130" s="32">
        <v>125</v>
      </c>
      <c r="K130" s="32">
        <f t="shared" si="21"/>
        <v>0</v>
      </c>
      <c r="L130" s="32">
        <f>125-125</f>
        <v>0</v>
      </c>
      <c r="M130" s="32"/>
      <c r="N130" s="32">
        <f t="shared" si="22"/>
        <v>0</v>
      </c>
      <c r="O130" s="17" t="str">
        <f t="shared" si="23"/>
        <v>0,0</v>
      </c>
      <c r="P130" s="62">
        <v>0</v>
      </c>
      <c r="Q130" s="62"/>
      <c r="R130" s="33" t="s">
        <v>38</v>
      </c>
    </row>
    <row r="131" spans="1:18" ht="17.25" customHeight="1" outlineLevel="3">
      <c r="A131" s="38">
        <v>23</v>
      </c>
      <c r="B131" s="26" t="s">
        <v>60</v>
      </c>
      <c r="C131" s="27">
        <v>4134</v>
      </c>
      <c r="D131" s="28" t="s">
        <v>319</v>
      </c>
      <c r="E131" s="29" t="s">
        <v>81</v>
      </c>
      <c r="F131" s="36" t="s">
        <v>22</v>
      </c>
      <c r="G131" s="37" t="s">
        <v>4</v>
      </c>
      <c r="H131" s="32">
        <v>0</v>
      </c>
      <c r="I131" s="32">
        <v>0</v>
      </c>
      <c r="J131" s="32">
        <v>133</v>
      </c>
      <c r="K131" s="32">
        <f t="shared" si="21"/>
        <v>0</v>
      </c>
      <c r="L131" s="32">
        <f>133-133</f>
        <v>0</v>
      </c>
      <c r="M131" s="32"/>
      <c r="N131" s="32">
        <f t="shared" si="22"/>
        <v>0</v>
      </c>
      <c r="O131" s="17" t="str">
        <f t="shared" si="23"/>
        <v>0,0</v>
      </c>
      <c r="P131" s="62">
        <v>0</v>
      </c>
      <c r="Q131" s="62"/>
      <c r="R131" s="33" t="s">
        <v>38</v>
      </c>
    </row>
    <row r="132" spans="1:18" ht="17.25" customHeight="1" outlineLevel="3">
      <c r="A132" s="38">
        <v>23</v>
      </c>
      <c r="B132" s="26" t="s">
        <v>60</v>
      </c>
      <c r="C132" s="27">
        <v>4137</v>
      </c>
      <c r="D132" s="28" t="s">
        <v>319</v>
      </c>
      <c r="E132" s="29" t="s">
        <v>82</v>
      </c>
      <c r="F132" s="36" t="s">
        <v>22</v>
      </c>
      <c r="G132" s="37" t="s">
        <v>4</v>
      </c>
      <c r="H132" s="32">
        <v>0</v>
      </c>
      <c r="I132" s="32">
        <v>0</v>
      </c>
      <c r="J132" s="32">
        <v>131</v>
      </c>
      <c r="K132" s="32">
        <f t="shared" si="21"/>
        <v>0</v>
      </c>
      <c r="L132" s="32">
        <f>131-131</f>
        <v>0</v>
      </c>
      <c r="M132" s="32"/>
      <c r="N132" s="32">
        <f t="shared" si="22"/>
        <v>0</v>
      </c>
      <c r="O132" s="17" t="str">
        <f t="shared" si="23"/>
        <v>0,0</v>
      </c>
      <c r="P132" s="62">
        <v>0</v>
      </c>
      <c r="Q132" s="62"/>
      <c r="R132" s="33" t="s">
        <v>38</v>
      </c>
    </row>
    <row r="133" spans="1:18" ht="17.25" customHeight="1" outlineLevel="3">
      <c r="A133" s="38">
        <v>23</v>
      </c>
      <c r="B133" s="26" t="s">
        <v>60</v>
      </c>
      <c r="C133" s="27">
        <v>4153</v>
      </c>
      <c r="D133" s="28" t="s">
        <v>319</v>
      </c>
      <c r="E133" s="29" t="s">
        <v>83</v>
      </c>
      <c r="F133" s="36" t="s">
        <v>22</v>
      </c>
      <c r="G133" s="41">
        <v>2001</v>
      </c>
      <c r="H133" s="32">
        <v>7200</v>
      </c>
      <c r="I133" s="32">
        <v>2640</v>
      </c>
      <c r="J133" s="32">
        <v>0</v>
      </c>
      <c r="K133" s="32">
        <f t="shared" si="21"/>
        <v>4100</v>
      </c>
      <c r="L133" s="32">
        <v>4100</v>
      </c>
      <c r="M133" s="32"/>
      <c r="N133" s="32">
        <f t="shared" si="22"/>
        <v>4099.9186</v>
      </c>
      <c r="O133" s="17">
        <f t="shared" si="23"/>
        <v>99.99801463414634</v>
      </c>
      <c r="P133" s="62">
        <v>4099.9186</v>
      </c>
      <c r="Q133" s="62"/>
      <c r="R133" s="33" t="s">
        <v>38</v>
      </c>
    </row>
    <row r="134" spans="1:18" ht="17.25" customHeight="1" outlineLevel="3">
      <c r="A134" s="38">
        <v>23</v>
      </c>
      <c r="B134" s="26" t="s">
        <v>60</v>
      </c>
      <c r="C134" s="27">
        <v>4154</v>
      </c>
      <c r="D134" s="28" t="s">
        <v>319</v>
      </c>
      <c r="E134" s="29" t="s">
        <v>481</v>
      </c>
      <c r="F134" s="36" t="s">
        <v>22</v>
      </c>
      <c r="G134" s="37" t="s">
        <v>4</v>
      </c>
      <c r="H134" s="32">
        <v>0</v>
      </c>
      <c r="I134" s="32">
        <v>0</v>
      </c>
      <c r="J134" s="32">
        <v>10</v>
      </c>
      <c r="K134" s="32">
        <f t="shared" si="21"/>
        <v>0</v>
      </c>
      <c r="L134" s="32">
        <f>10-10</f>
        <v>0</v>
      </c>
      <c r="M134" s="32"/>
      <c r="N134" s="32">
        <f t="shared" si="22"/>
        <v>0</v>
      </c>
      <c r="O134" s="17" t="str">
        <f t="shared" si="23"/>
        <v>0,0</v>
      </c>
      <c r="P134" s="62">
        <v>0</v>
      </c>
      <c r="Q134" s="62"/>
      <c r="R134" s="33" t="s">
        <v>38</v>
      </c>
    </row>
    <row r="135" spans="1:18" ht="17.25" customHeight="1" outlineLevel="3">
      <c r="A135" s="38">
        <v>23</v>
      </c>
      <c r="B135" s="26" t="s">
        <v>60</v>
      </c>
      <c r="C135" s="27">
        <v>4155</v>
      </c>
      <c r="D135" s="28" t="s">
        <v>319</v>
      </c>
      <c r="E135" s="29" t="s">
        <v>84</v>
      </c>
      <c r="F135" s="36" t="s">
        <v>22</v>
      </c>
      <c r="G135" s="37" t="s">
        <v>4</v>
      </c>
      <c r="H135" s="32">
        <v>0</v>
      </c>
      <c r="I135" s="32">
        <v>0</v>
      </c>
      <c r="J135" s="32">
        <v>410</v>
      </c>
      <c r="K135" s="32">
        <f t="shared" si="21"/>
        <v>0</v>
      </c>
      <c r="L135" s="32">
        <f>410-410</f>
        <v>0</v>
      </c>
      <c r="M135" s="32"/>
      <c r="N135" s="32">
        <f t="shared" si="22"/>
        <v>0</v>
      </c>
      <c r="O135" s="17" t="str">
        <f t="shared" si="23"/>
        <v>0,0</v>
      </c>
      <c r="P135" s="62">
        <v>0</v>
      </c>
      <c r="Q135" s="62"/>
      <c r="R135" s="33" t="s">
        <v>38</v>
      </c>
    </row>
    <row r="136" spans="1:18" ht="17.25" customHeight="1" outlineLevel="3">
      <c r="A136" s="38">
        <v>23</v>
      </c>
      <c r="B136" s="26" t="s">
        <v>60</v>
      </c>
      <c r="C136" s="27">
        <v>4158</v>
      </c>
      <c r="D136" s="28" t="s">
        <v>319</v>
      </c>
      <c r="E136" s="29" t="s">
        <v>85</v>
      </c>
      <c r="F136" s="36" t="s">
        <v>22</v>
      </c>
      <c r="G136" s="37" t="s">
        <v>4</v>
      </c>
      <c r="H136" s="32">
        <v>0</v>
      </c>
      <c r="I136" s="32">
        <v>0</v>
      </c>
      <c r="J136" s="32">
        <v>99</v>
      </c>
      <c r="K136" s="32">
        <f t="shared" si="21"/>
        <v>0</v>
      </c>
      <c r="L136" s="32">
        <f>99-99</f>
        <v>0</v>
      </c>
      <c r="M136" s="32"/>
      <c r="N136" s="32">
        <f t="shared" si="22"/>
        <v>0</v>
      </c>
      <c r="O136" s="17" t="str">
        <f t="shared" si="23"/>
        <v>0,0</v>
      </c>
      <c r="P136" s="62">
        <v>0</v>
      </c>
      <c r="Q136" s="62"/>
      <c r="R136" s="33" t="s">
        <v>38</v>
      </c>
    </row>
    <row r="137" spans="1:18" ht="17.25" customHeight="1" outlineLevel="3">
      <c r="A137" s="38">
        <v>23</v>
      </c>
      <c r="B137" s="26" t="s">
        <v>60</v>
      </c>
      <c r="C137" s="27">
        <v>4159</v>
      </c>
      <c r="D137" s="28" t="s">
        <v>319</v>
      </c>
      <c r="E137" s="29" t="s">
        <v>86</v>
      </c>
      <c r="F137" s="36" t="s">
        <v>22</v>
      </c>
      <c r="G137" s="37" t="s">
        <v>4</v>
      </c>
      <c r="H137" s="32">
        <v>0</v>
      </c>
      <c r="I137" s="32">
        <v>0</v>
      </c>
      <c r="J137" s="32">
        <v>84</v>
      </c>
      <c r="K137" s="32">
        <f aca="true" t="shared" si="24" ref="K137:K168">+L137+M137</f>
        <v>0</v>
      </c>
      <c r="L137" s="32">
        <f>84-84</f>
        <v>0</v>
      </c>
      <c r="M137" s="32"/>
      <c r="N137" s="32">
        <f aca="true" t="shared" si="25" ref="N137:N168">+P137+Q137</f>
        <v>0</v>
      </c>
      <c r="O137" s="17" t="str">
        <f aca="true" t="shared" si="26" ref="O137:O168">IF(K137=0,"0,0",N137*100/K137)</f>
        <v>0,0</v>
      </c>
      <c r="P137" s="62">
        <v>0</v>
      </c>
      <c r="Q137" s="62"/>
      <c r="R137" s="33" t="s">
        <v>38</v>
      </c>
    </row>
    <row r="138" spans="1:18" ht="17.25" customHeight="1" outlineLevel="3">
      <c r="A138" s="38">
        <v>23</v>
      </c>
      <c r="B138" s="26" t="s">
        <v>60</v>
      </c>
      <c r="C138" s="27">
        <v>4173</v>
      </c>
      <c r="D138" s="28" t="s">
        <v>319</v>
      </c>
      <c r="E138" s="29" t="s">
        <v>87</v>
      </c>
      <c r="F138" s="36" t="s">
        <v>22</v>
      </c>
      <c r="G138" s="37" t="s">
        <v>4</v>
      </c>
      <c r="H138" s="32">
        <v>0</v>
      </c>
      <c r="I138" s="32">
        <v>0</v>
      </c>
      <c r="J138" s="32">
        <v>1760</v>
      </c>
      <c r="K138" s="32">
        <f t="shared" si="24"/>
        <v>0</v>
      </c>
      <c r="L138" s="32">
        <v>0</v>
      </c>
      <c r="M138" s="32"/>
      <c r="N138" s="32">
        <f t="shared" si="25"/>
        <v>0</v>
      </c>
      <c r="O138" s="70" t="str">
        <f t="shared" si="26"/>
        <v>0,0</v>
      </c>
      <c r="P138" s="62">
        <v>0</v>
      </c>
      <c r="Q138" s="62"/>
      <c r="R138" s="33" t="s">
        <v>38</v>
      </c>
    </row>
    <row r="139" spans="1:18" ht="17.25" customHeight="1" outlineLevel="3">
      <c r="A139" s="38">
        <v>23</v>
      </c>
      <c r="B139" s="26" t="s">
        <v>60</v>
      </c>
      <c r="C139" s="27">
        <v>4174</v>
      </c>
      <c r="D139" s="28" t="s">
        <v>319</v>
      </c>
      <c r="E139" s="42" t="s">
        <v>310</v>
      </c>
      <c r="F139" s="30">
        <v>1998</v>
      </c>
      <c r="G139" s="31">
        <v>2002</v>
      </c>
      <c r="H139" s="32">
        <v>37000</v>
      </c>
      <c r="I139" s="32">
        <v>512</v>
      </c>
      <c r="J139" s="32">
        <v>5000</v>
      </c>
      <c r="K139" s="32">
        <f t="shared" si="24"/>
        <v>5000</v>
      </c>
      <c r="L139" s="32">
        <v>5000</v>
      </c>
      <c r="M139" s="32"/>
      <c r="N139" s="32">
        <f t="shared" si="25"/>
        <v>253.4258</v>
      </c>
      <c r="O139" s="70">
        <f t="shared" si="26"/>
        <v>5.068516000000001</v>
      </c>
      <c r="P139" s="62">
        <v>253.4258</v>
      </c>
      <c r="Q139" s="62"/>
      <c r="R139" s="33" t="s">
        <v>38</v>
      </c>
    </row>
    <row r="140" spans="1:18" ht="17.25" customHeight="1" outlineLevel="3">
      <c r="A140" s="38">
        <v>23</v>
      </c>
      <c r="B140" s="26" t="s">
        <v>60</v>
      </c>
      <c r="C140" s="27">
        <v>4176</v>
      </c>
      <c r="D140" s="28" t="s">
        <v>319</v>
      </c>
      <c r="E140" s="29" t="s">
        <v>88</v>
      </c>
      <c r="F140" s="36" t="s">
        <v>22</v>
      </c>
      <c r="G140" s="37" t="s">
        <v>4</v>
      </c>
      <c r="H140" s="32">
        <v>0</v>
      </c>
      <c r="I140" s="32">
        <v>0</v>
      </c>
      <c r="J140" s="32">
        <v>155</v>
      </c>
      <c r="K140" s="32">
        <f t="shared" si="24"/>
        <v>0</v>
      </c>
      <c r="L140" s="32">
        <f>155-155</f>
        <v>0</v>
      </c>
      <c r="M140" s="32"/>
      <c r="N140" s="32">
        <f t="shared" si="25"/>
        <v>0</v>
      </c>
      <c r="O140" s="17" t="str">
        <f t="shared" si="26"/>
        <v>0,0</v>
      </c>
      <c r="P140" s="62">
        <v>0</v>
      </c>
      <c r="Q140" s="62"/>
      <c r="R140" s="33" t="s">
        <v>38</v>
      </c>
    </row>
    <row r="141" spans="1:18" ht="17.25" customHeight="1" outlineLevel="3">
      <c r="A141" s="38">
        <v>23</v>
      </c>
      <c r="B141" s="26" t="s">
        <v>60</v>
      </c>
      <c r="C141" s="27">
        <v>4179</v>
      </c>
      <c r="D141" s="28" t="s">
        <v>319</v>
      </c>
      <c r="E141" s="29" t="s">
        <v>89</v>
      </c>
      <c r="F141" s="36" t="s">
        <v>22</v>
      </c>
      <c r="G141" s="37" t="s">
        <v>4</v>
      </c>
      <c r="H141" s="32">
        <v>9974</v>
      </c>
      <c r="I141" s="32">
        <v>7274</v>
      </c>
      <c r="J141" s="32">
        <v>1591</v>
      </c>
      <c r="K141" s="32">
        <f t="shared" si="24"/>
        <v>2036</v>
      </c>
      <c r="L141" s="32">
        <v>2036</v>
      </c>
      <c r="M141" s="32"/>
      <c r="N141" s="32">
        <f t="shared" si="25"/>
        <v>2035.1312</v>
      </c>
      <c r="O141" s="17">
        <f t="shared" si="26"/>
        <v>99.95732809430255</v>
      </c>
      <c r="P141" s="62">
        <v>2035.1312</v>
      </c>
      <c r="Q141" s="62"/>
      <c r="R141" s="33" t="s">
        <v>38</v>
      </c>
    </row>
    <row r="142" spans="1:18" ht="17.25" customHeight="1" outlineLevel="3">
      <c r="A142" s="38">
        <v>23</v>
      </c>
      <c r="B142" s="26" t="s">
        <v>60</v>
      </c>
      <c r="C142" s="27">
        <v>4183</v>
      </c>
      <c r="D142" s="28" t="s">
        <v>319</v>
      </c>
      <c r="E142" s="29" t="s">
        <v>90</v>
      </c>
      <c r="F142" s="36" t="s">
        <v>22</v>
      </c>
      <c r="G142" s="41">
        <v>2001</v>
      </c>
      <c r="H142" s="32">
        <v>7374</v>
      </c>
      <c r="I142" s="32">
        <v>5554</v>
      </c>
      <c r="J142" s="32">
        <v>1286</v>
      </c>
      <c r="K142" s="32">
        <f t="shared" si="24"/>
        <v>1813</v>
      </c>
      <c r="L142" s="32">
        <v>1813</v>
      </c>
      <c r="M142" s="32"/>
      <c r="N142" s="32">
        <f t="shared" si="25"/>
        <v>1812.41</v>
      </c>
      <c r="O142" s="17">
        <f t="shared" si="26"/>
        <v>99.96745725317155</v>
      </c>
      <c r="P142" s="62">
        <v>1812.41</v>
      </c>
      <c r="Q142" s="62"/>
      <c r="R142" s="33" t="s">
        <v>38</v>
      </c>
    </row>
    <row r="143" spans="1:18" ht="17.25" customHeight="1" outlineLevel="3">
      <c r="A143" s="38">
        <v>23</v>
      </c>
      <c r="B143" s="26">
        <v>2321</v>
      </c>
      <c r="C143" s="27">
        <v>4185</v>
      </c>
      <c r="D143" s="28" t="s">
        <v>319</v>
      </c>
      <c r="E143" s="29" t="s">
        <v>474</v>
      </c>
      <c r="F143" s="30">
        <v>2000</v>
      </c>
      <c r="G143" s="41" t="s">
        <v>13</v>
      </c>
      <c r="H143" s="32">
        <v>14000</v>
      </c>
      <c r="I143" s="32">
        <v>0</v>
      </c>
      <c r="J143" s="32">
        <v>0</v>
      </c>
      <c r="K143" s="32">
        <f t="shared" si="24"/>
        <v>103</v>
      </c>
      <c r="L143" s="32">
        <v>103</v>
      </c>
      <c r="M143" s="32"/>
      <c r="N143" s="32">
        <f t="shared" si="25"/>
        <v>102.71</v>
      </c>
      <c r="O143" s="17">
        <f t="shared" si="26"/>
        <v>99.71844660194175</v>
      </c>
      <c r="P143" s="62">
        <v>102.71</v>
      </c>
      <c r="Q143" s="62"/>
      <c r="R143" s="33" t="s">
        <v>38</v>
      </c>
    </row>
    <row r="144" spans="1:18" ht="17.25" customHeight="1" outlineLevel="3">
      <c r="A144" s="38">
        <v>23</v>
      </c>
      <c r="B144" s="26">
        <v>2321</v>
      </c>
      <c r="C144" s="27">
        <v>4189</v>
      </c>
      <c r="D144" s="28" t="s">
        <v>319</v>
      </c>
      <c r="E144" s="29" t="s">
        <v>475</v>
      </c>
      <c r="F144" s="30">
        <v>2000</v>
      </c>
      <c r="G144" s="41" t="s">
        <v>4</v>
      </c>
      <c r="H144" s="32">
        <v>1000</v>
      </c>
      <c r="I144" s="32"/>
      <c r="J144" s="32">
        <v>0</v>
      </c>
      <c r="K144" s="32">
        <f t="shared" si="24"/>
        <v>2052</v>
      </c>
      <c r="L144" s="32">
        <v>2052</v>
      </c>
      <c r="M144" s="32"/>
      <c r="N144" s="32">
        <f t="shared" si="25"/>
        <v>1767.3079</v>
      </c>
      <c r="O144" s="17">
        <f t="shared" si="26"/>
        <v>86.12611598440546</v>
      </c>
      <c r="P144" s="62">
        <v>1767.3079</v>
      </c>
      <c r="Q144" s="62"/>
      <c r="R144" s="33" t="s">
        <v>38</v>
      </c>
    </row>
    <row r="145" spans="1:18" ht="17.25" customHeight="1" outlineLevel="3">
      <c r="A145" s="38">
        <v>23</v>
      </c>
      <c r="B145" s="26" t="s">
        <v>60</v>
      </c>
      <c r="C145" s="27">
        <v>4191</v>
      </c>
      <c r="D145" s="28" t="s">
        <v>319</v>
      </c>
      <c r="E145" s="42" t="s">
        <v>221</v>
      </c>
      <c r="F145" s="30">
        <v>1998</v>
      </c>
      <c r="G145" s="31">
        <v>2002</v>
      </c>
      <c r="H145" s="32">
        <v>203000</v>
      </c>
      <c r="I145" s="32">
        <v>800</v>
      </c>
      <c r="J145" s="32">
        <v>500</v>
      </c>
      <c r="K145" s="32">
        <f t="shared" si="24"/>
        <v>2000</v>
      </c>
      <c r="L145" s="32">
        <f>500+1500</f>
        <v>2000</v>
      </c>
      <c r="M145" s="32"/>
      <c r="N145" s="32">
        <f t="shared" si="25"/>
        <v>1804.0896</v>
      </c>
      <c r="O145" s="17">
        <f t="shared" si="26"/>
        <v>90.20447999999999</v>
      </c>
      <c r="P145" s="62">
        <v>1804.0896</v>
      </c>
      <c r="Q145" s="62"/>
      <c r="R145" s="33" t="s">
        <v>38</v>
      </c>
    </row>
    <row r="146" spans="1:18" ht="17.25" customHeight="1" outlineLevel="3">
      <c r="A146" s="38">
        <v>23</v>
      </c>
      <c r="B146" s="26" t="s">
        <v>60</v>
      </c>
      <c r="C146" s="27">
        <v>4192</v>
      </c>
      <c r="D146" s="28" t="s">
        <v>319</v>
      </c>
      <c r="E146" s="42" t="s">
        <v>222</v>
      </c>
      <c r="F146" s="30">
        <v>1998</v>
      </c>
      <c r="G146" s="31">
        <v>2003</v>
      </c>
      <c r="H146" s="32">
        <v>211000</v>
      </c>
      <c r="I146" s="32">
        <v>950</v>
      </c>
      <c r="J146" s="32">
        <v>500</v>
      </c>
      <c r="K146" s="32">
        <f t="shared" si="24"/>
        <v>2000</v>
      </c>
      <c r="L146" s="32">
        <v>2000</v>
      </c>
      <c r="M146" s="32"/>
      <c r="N146" s="32">
        <f t="shared" si="25"/>
        <v>1775.6683</v>
      </c>
      <c r="O146" s="17">
        <f t="shared" si="26"/>
        <v>88.783415</v>
      </c>
      <c r="P146" s="62">
        <v>1775.6683</v>
      </c>
      <c r="Q146" s="62"/>
      <c r="R146" s="33" t="s">
        <v>38</v>
      </c>
    </row>
    <row r="147" spans="1:18" ht="17.25" customHeight="1" outlineLevel="3">
      <c r="A147" s="38">
        <v>23</v>
      </c>
      <c r="B147" s="26" t="s">
        <v>60</v>
      </c>
      <c r="C147" s="27">
        <v>4196</v>
      </c>
      <c r="D147" s="28" t="s">
        <v>319</v>
      </c>
      <c r="E147" s="42" t="s">
        <v>220</v>
      </c>
      <c r="F147" s="30">
        <v>2000</v>
      </c>
      <c r="G147" s="31">
        <v>2003</v>
      </c>
      <c r="H147" s="32">
        <v>358988</v>
      </c>
      <c r="I147" s="32">
        <v>0</v>
      </c>
      <c r="J147" s="32">
        <v>1000</v>
      </c>
      <c r="K147" s="32">
        <f t="shared" si="24"/>
        <v>105</v>
      </c>
      <c r="L147" s="32">
        <v>105</v>
      </c>
      <c r="M147" s="32"/>
      <c r="N147" s="32">
        <f t="shared" si="25"/>
        <v>779.931</v>
      </c>
      <c r="O147" s="17">
        <f t="shared" si="26"/>
        <v>742.7914285714286</v>
      </c>
      <c r="P147" s="62">
        <v>779.931</v>
      </c>
      <c r="Q147" s="62"/>
      <c r="R147" s="33" t="s">
        <v>5</v>
      </c>
    </row>
    <row r="148" spans="1:18" ht="17.25" customHeight="1" outlineLevel="3">
      <c r="A148" s="38">
        <v>23</v>
      </c>
      <c r="B148" s="26" t="s">
        <v>60</v>
      </c>
      <c r="C148" s="27">
        <v>4340</v>
      </c>
      <c r="D148" s="28" t="s">
        <v>319</v>
      </c>
      <c r="E148" s="29" t="s">
        <v>265</v>
      </c>
      <c r="F148" s="36" t="s">
        <v>3</v>
      </c>
      <c r="G148" s="37" t="s">
        <v>13</v>
      </c>
      <c r="H148" s="32">
        <v>6600</v>
      </c>
      <c r="I148" s="45">
        <v>253</v>
      </c>
      <c r="J148" s="32">
        <v>100</v>
      </c>
      <c r="K148" s="32">
        <f t="shared" si="24"/>
        <v>6600</v>
      </c>
      <c r="L148" s="32">
        <f>100+6500</f>
        <v>6600</v>
      </c>
      <c r="M148" s="32"/>
      <c r="N148" s="32">
        <f t="shared" si="25"/>
        <v>3471.6736</v>
      </c>
      <c r="O148" s="17">
        <f t="shared" si="26"/>
        <v>52.60111515151515</v>
      </c>
      <c r="P148" s="62">
        <v>3471.6736</v>
      </c>
      <c r="Q148" s="62"/>
      <c r="R148" s="33" t="s">
        <v>38</v>
      </c>
    </row>
    <row r="149" spans="1:18" ht="17.25" customHeight="1" outlineLevel="3">
      <c r="A149" s="38">
        <v>23</v>
      </c>
      <c r="B149" s="26" t="s">
        <v>60</v>
      </c>
      <c r="C149" s="27">
        <v>4342</v>
      </c>
      <c r="D149" s="28" t="s">
        <v>319</v>
      </c>
      <c r="E149" s="29" t="s">
        <v>266</v>
      </c>
      <c r="F149" s="36" t="s">
        <v>3</v>
      </c>
      <c r="G149" s="37" t="s">
        <v>13</v>
      </c>
      <c r="H149" s="32">
        <v>20811</v>
      </c>
      <c r="I149" s="32">
        <v>0</v>
      </c>
      <c r="J149" s="32">
        <v>100</v>
      </c>
      <c r="K149" s="32">
        <f t="shared" si="24"/>
        <v>450</v>
      </c>
      <c r="L149" s="32">
        <v>450</v>
      </c>
      <c r="M149" s="32"/>
      <c r="N149" s="32">
        <f t="shared" si="25"/>
        <v>422.6688</v>
      </c>
      <c r="O149" s="17">
        <f t="shared" si="26"/>
        <v>93.9264</v>
      </c>
      <c r="P149" s="62">
        <v>422.6688</v>
      </c>
      <c r="Q149" s="62"/>
      <c r="R149" s="33" t="s">
        <v>38</v>
      </c>
    </row>
    <row r="150" spans="1:18" ht="17.25" customHeight="1" outlineLevel="3">
      <c r="A150" s="38">
        <v>23</v>
      </c>
      <c r="B150" s="26" t="s">
        <v>60</v>
      </c>
      <c r="C150" s="27">
        <v>4343</v>
      </c>
      <c r="D150" s="28" t="s">
        <v>319</v>
      </c>
      <c r="E150" s="42" t="s">
        <v>223</v>
      </c>
      <c r="F150" s="30">
        <v>1999</v>
      </c>
      <c r="G150" s="31">
        <v>2001</v>
      </c>
      <c r="H150" s="32">
        <v>21000</v>
      </c>
      <c r="I150" s="32">
        <v>100</v>
      </c>
      <c r="J150" s="32">
        <v>200</v>
      </c>
      <c r="K150" s="32">
        <f t="shared" si="24"/>
        <v>670</v>
      </c>
      <c r="L150" s="32">
        <f>200+470</f>
        <v>670</v>
      </c>
      <c r="M150" s="32"/>
      <c r="N150" s="32">
        <f t="shared" si="25"/>
        <v>541.5617</v>
      </c>
      <c r="O150" s="17">
        <f t="shared" si="26"/>
        <v>80.83010447761194</v>
      </c>
      <c r="P150" s="62">
        <v>541.5617</v>
      </c>
      <c r="Q150" s="62"/>
      <c r="R150" s="33" t="s">
        <v>38</v>
      </c>
    </row>
    <row r="151" spans="1:18" ht="17.25" customHeight="1" outlineLevel="3">
      <c r="A151" s="38">
        <v>23</v>
      </c>
      <c r="B151" s="26" t="s">
        <v>60</v>
      </c>
      <c r="C151" s="27">
        <v>4347</v>
      </c>
      <c r="D151" s="28" t="s">
        <v>319</v>
      </c>
      <c r="E151" s="29" t="s">
        <v>267</v>
      </c>
      <c r="F151" s="36" t="s">
        <v>3</v>
      </c>
      <c r="G151" s="37" t="s">
        <v>13</v>
      </c>
      <c r="H151" s="32">
        <v>8400</v>
      </c>
      <c r="I151" s="32">
        <v>304</v>
      </c>
      <c r="J151" s="32">
        <v>6500</v>
      </c>
      <c r="K151" s="32">
        <f t="shared" si="24"/>
        <v>9083</v>
      </c>
      <c r="L151" s="32">
        <v>9083</v>
      </c>
      <c r="M151" s="32"/>
      <c r="N151" s="32">
        <f t="shared" si="25"/>
        <v>7432.7133</v>
      </c>
      <c r="O151" s="17">
        <f t="shared" si="26"/>
        <v>81.83103930419466</v>
      </c>
      <c r="P151" s="62">
        <v>7432.7133</v>
      </c>
      <c r="Q151" s="62"/>
      <c r="R151" s="33" t="s">
        <v>38</v>
      </c>
    </row>
    <row r="152" spans="1:18" ht="17.25" customHeight="1" outlineLevel="3">
      <c r="A152" s="38">
        <v>23</v>
      </c>
      <c r="B152" s="26" t="s">
        <v>60</v>
      </c>
      <c r="C152" s="27">
        <v>4348</v>
      </c>
      <c r="D152" s="28" t="s">
        <v>319</v>
      </c>
      <c r="E152" s="29" t="s">
        <v>91</v>
      </c>
      <c r="F152" s="36" t="s">
        <v>3</v>
      </c>
      <c r="G152" s="37" t="s">
        <v>13</v>
      </c>
      <c r="H152" s="32">
        <v>33000</v>
      </c>
      <c r="I152" s="32">
        <v>572</v>
      </c>
      <c r="J152" s="32">
        <v>15000</v>
      </c>
      <c r="K152" s="32">
        <f t="shared" si="24"/>
        <v>385</v>
      </c>
      <c r="L152" s="32">
        <v>385</v>
      </c>
      <c r="M152" s="32"/>
      <c r="N152" s="32">
        <f t="shared" si="25"/>
        <v>194.274</v>
      </c>
      <c r="O152" s="17">
        <f t="shared" si="26"/>
        <v>50.46077922077922</v>
      </c>
      <c r="P152" s="62">
        <v>194.274</v>
      </c>
      <c r="Q152" s="62"/>
      <c r="R152" s="33" t="s">
        <v>38</v>
      </c>
    </row>
    <row r="153" spans="1:18" ht="17.25" customHeight="1" outlineLevel="3">
      <c r="A153" s="38">
        <v>23</v>
      </c>
      <c r="B153" s="26" t="s">
        <v>60</v>
      </c>
      <c r="C153" s="27">
        <v>4349</v>
      </c>
      <c r="D153" s="28" t="s">
        <v>319</v>
      </c>
      <c r="E153" s="29" t="s">
        <v>268</v>
      </c>
      <c r="F153" s="36" t="s">
        <v>3</v>
      </c>
      <c r="G153" s="37" t="s">
        <v>4</v>
      </c>
      <c r="H153" s="32">
        <v>6000</v>
      </c>
      <c r="I153" s="32">
        <v>193</v>
      </c>
      <c r="J153" s="32">
        <v>5685</v>
      </c>
      <c r="K153" s="32">
        <f t="shared" si="24"/>
        <v>4151</v>
      </c>
      <c r="L153" s="32">
        <v>4151</v>
      </c>
      <c r="M153" s="32"/>
      <c r="N153" s="32">
        <f t="shared" si="25"/>
        <v>4149.496</v>
      </c>
      <c r="O153" s="17">
        <f t="shared" si="26"/>
        <v>99.96376776680319</v>
      </c>
      <c r="P153" s="62">
        <v>4149.496</v>
      </c>
      <c r="Q153" s="62"/>
      <c r="R153" s="33" t="s">
        <v>38</v>
      </c>
    </row>
    <row r="154" spans="1:18" ht="17.25" customHeight="1" outlineLevel="3">
      <c r="A154" s="38">
        <v>23</v>
      </c>
      <c r="B154" s="26" t="s">
        <v>60</v>
      </c>
      <c r="C154" s="27">
        <v>4350</v>
      </c>
      <c r="D154" s="28" t="s">
        <v>319</v>
      </c>
      <c r="E154" s="29" t="s">
        <v>269</v>
      </c>
      <c r="F154" s="36" t="s">
        <v>3</v>
      </c>
      <c r="G154" s="37" t="s">
        <v>13</v>
      </c>
      <c r="H154" s="32">
        <v>8900</v>
      </c>
      <c r="I154" s="32">
        <v>237</v>
      </c>
      <c r="J154" s="32">
        <v>100</v>
      </c>
      <c r="K154" s="32">
        <f t="shared" si="24"/>
        <v>8739</v>
      </c>
      <c r="L154" s="32">
        <v>8739</v>
      </c>
      <c r="M154" s="32"/>
      <c r="N154" s="32">
        <f t="shared" si="25"/>
        <v>8757.9979</v>
      </c>
      <c r="O154" s="17">
        <f t="shared" si="26"/>
        <v>100.2173921501316</v>
      </c>
      <c r="P154" s="62">
        <v>8757.9979</v>
      </c>
      <c r="Q154" s="62"/>
      <c r="R154" s="33" t="s">
        <v>38</v>
      </c>
    </row>
    <row r="155" spans="1:18" ht="17.25" customHeight="1" outlineLevel="3">
      <c r="A155" s="38">
        <v>23</v>
      </c>
      <c r="B155" s="26" t="s">
        <v>60</v>
      </c>
      <c r="C155" s="27">
        <v>4352</v>
      </c>
      <c r="D155" s="28" t="s">
        <v>319</v>
      </c>
      <c r="E155" s="42" t="s">
        <v>224</v>
      </c>
      <c r="F155" s="30">
        <v>1999</v>
      </c>
      <c r="G155" s="31">
        <v>2002</v>
      </c>
      <c r="H155" s="32">
        <v>130000</v>
      </c>
      <c r="I155" s="32">
        <v>1950</v>
      </c>
      <c r="J155" s="32">
        <v>5000</v>
      </c>
      <c r="K155" s="32">
        <f t="shared" si="24"/>
        <v>5000</v>
      </c>
      <c r="L155" s="32">
        <v>5000</v>
      </c>
      <c r="M155" s="32"/>
      <c r="N155" s="32">
        <f t="shared" si="25"/>
        <v>544.6219</v>
      </c>
      <c r="O155" s="17">
        <f t="shared" si="26"/>
        <v>10.892437999999999</v>
      </c>
      <c r="P155" s="62">
        <v>544.6219</v>
      </c>
      <c r="Q155" s="62"/>
      <c r="R155" s="33" t="s">
        <v>38</v>
      </c>
    </row>
    <row r="156" spans="1:18" ht="17.25" customHeight="1" outlineLevel="3">
      <c r="A156" s="38">
        <v>23</v>
      </c>
      <c r="B156" s="26">
        <v>2321</v>
      </c>
      <c r="C156" s="27">
        <v>4356</v>
      </c>
      <c r="D156" s="28" t="s">
        <v>319</v>
      </c>
      <c r="E156" s="42" t="s">
        <v>423</v>
      </c>
      <c r="F156" s="30">
        <v>2000</v>
      </c>
      <c r="G156" s="31">
        <v>2000</v>
      </c>
      <c r="H156" s="32">
        <v>200</v>
      </c>
      <c r="I156" s="32">
        <v>0</v>
      </c>
      <c r="J156" s="32">
        <v>0</v>
      </c>
      <c r="K156" s="32">
        <f t="shared" si="24"/>
        <v>200</v>
      </c>
      <c r="L156" s="32">
        <v>200</v>
      </c>
      <c r="M156" s="32"/>
      <c r="N156" s="32">
        <f t="shared" si="25"/>
        <v>20</v>
      </c>
      <c r="O156" s="17">
        <f t="shared" si="26"/>
        <v>10</v>
      </c>
      <c r="P156" s="62">
        <v>20</v>
      </c>
      <c r="Q156" s="62"/>
      <c r="R156" s="33" t="s">
        <v>5</v>
      </c>
    </row>
    <row r="157" spans="1:18" ht="17.25" customHeight="1" outlineLevel="3">
      <c r="A157" s="38">
        <v>23</v>
      </c>
      <c r="B157" s="26" t="s">
        <v>60</v>
      </c>
      <c r="C157" s="27">
        <v>4357</v>
      </c>
      <c r="D157" s="28" t="s">
        <v>319</v>
      </c>
      <c r="E157" s="29" t="s">
        <v>62</v>
      </c>
      <c r="F157" s="36" t="s">
        <v>4</v>
      </c>
      <c r="G157" s="37" t="s">
        <v>17</v>
      </c>
      <c r="H157" s="32">
        <v>41966</v>
      </c>
      <c r="I157" s="32">
        <v>0</v>
      </c>
      <c r="J157" s="32">
        <v>14000</v>
      </c>
      <c r="K157" s="32">
        <f t="shared" si="24"/>
        <v>14000</v>
      </c>
      <c r="L157" s="32">
        <v>14000</v>
      </c>
      <c r="M157" s="32"/>
      <c r="N157" s="32">
        <f t="shared" si="25"/>
        <v>3524.16</v>
      </c>
      <c r="O157" s="17">
        <f t="shared" si="26"/>
        <v>25.172571428571427</v>
      </c>
      <c r="P157" s="62">
        <v>3524.16</v>
      </c>
      <c r="Q157" s="62"/>
      <c r="R157" s="33" t="s">
        <v>5</v>
      </c>
    </row>
    <row r="158" spans="1:18" ht="17.25" customHeight="1" outlineLevel="3">
      <c r="A158" s="38">
        <v>23</v>
      </c>
      <c r="B158" s="26" t="s">
        <v>60</v>
      </c>
      <c r="C158" s="27">
        <v>4359</v>
      </c>
      <c r="D158" s="28" t="s">
        <v>319</v>
      </c>
      <c r="E158" s="29" t="s">
        <v>334</v>
      </c>
      <c r="F158" s="36" t="s">
        <v>4</v>
      </c>
      <c r="G158" s="37" t="s">
        <v>4</v>
      </c>
      <c r="H158" s="32">
        <v>1200</v>
      </c>
      <c r="I158" s="32">
        <v>0</v>
      </c>
      <c r="J158" s="32">
        <v>2000</v>
      </c>
      <c r="K158" s="32">
        <f t="shared" si="24"/>
        <v>1002</v>
      </c>
      <c r="L158" s="32">
        <v>1002</v>
      </c>
      <c r="M158" s="32"/>
      <c r="N158" s="32">
        <f t="shared" si="25"/>
        <v>976.0138</v>
      </c>
      <c r="O158" s="17">
        <f t="shared" si="26"/>
        <v>97.40656686626745</v>
      </c>
      <c r="P158" s="62">
        <v>976.0138</v>
      </c>
      <c r="Q158" s="62"/>
      <c r="R158" s="33" t="s">
        <v>38</v>
      </c>
    </row>
    <row r="159" spans="1:18" ht="17.25" customHeight="1" outlineLevel="3">
      <c r="A159" s="38">
        <v>23</v>
      </c>
      <c r="B159" s="26" t="s">
        <v>60</v>
      </c>
      <c r="C159" s="27">
        <v>4360</v>
      </c>
      <c r="D159" s="28" t="s">
        <v>319</v>
      </c>
      <c r="E159" s="29" t="s">
        <v>270</v>
      </c>
      <c r="F159" s="36" t="s">
        <v>3</v>
      </c>
      <c r="G159" s="37" t="s">
        <v>17</v>
      </c>
      <c r="H159" s="32">
        <v>0</v>
      </c>
      <c r="I159" s="32">
        <v>886</v>
      </c>
      <c r="J159" s="32">
        <v>100</v>
      </c>
      <c r="K159" s="32">
        <f t="shared" si="24"/>
        <v>0</v>
      </c>
      <c r="L159" s="32">
        <v>0</v>
      </c>
      <c r="M159" s="32"/>
      <c r="N159" s="32">
        <f t="shared" si="25"/>
        <v>0</v>
      </c>
      <c r="O159" s="17" t="str">
        <f t="shared" si="26"/>
        <v>0,0</v>
      </c>
      <c r="P159" s="62">
        <v>0</v>
      </c>
      <c r="Q159" s="62"/>
      <c r="R159" s="33" t="s">
        <v>38</v>
      </c>
    </row>
    <row r="160" spans="1:18" ht="17.25" customHeight="1" outlineLevel="3">
      <c r="A160" s="38">
        <v>23</v>
      </c>
      <c r="B160" s="26" t="s">
        <v>60</v>
      </c>
      <c r="C160" s="27">
        <v>4361</v>
      </c>
      <c r="D160" s="28" t="s">
        <v>319</v>
      </c>
      <c r="E160" s="29" t="s">
        <v>271</v>
      </c>
      <c r="F160" s="36" t="s">
        <v>3</v>
      </c>
      <c r="G160" s="37" t="s">
        <v>13</v>
      </c>
      <c r="H160" s="32">
        <v>26000</v>
      </c>
      <c r="I160" s="32">
        <v>0</v>
      </c>
      <c r="J160" s="32">
        <v>23000</v>
      </c>
      <c r="K160" s="32">
        <f t="shared" si="24"/>
        <v>25758</v>
      </c>
      <c r="L160" s="32">
        <v>25758</v>
      </c>
      <c r="M160" s="32"/>
      <c r="N160" s="32">
        <f t="shared" si="25"/>
        <v>25293.4113</v>
      </c>
      <c r="O160" s="17">
        <f t="shared" si="26"/>
        <v>98.19633240158397</v>
      </c>
      <c r="P160" s="62">
        <v>25293.4113</v>
      </c>
      <c r="Q160" s="62"/>
      <c r="R160" s="33" t="s">
        <v>38</v>
      </c>
    </row>
    <row r="161" spans="1:18" ht="17.25" customHeight="1" outlineLevel="3">
      <c r="A161" s="38">
        <v>23</v>
      </c>
      <c r="B161" s="26" t="s">
        <v>60</v>
      </c>
      <c r="C161" s="27">
        <v>4362</v>
      </c>
      <c r="D161" s="28" t="s">
        <v>319</v>
      </c>
      <c r="E161" s="29" t="s">
        <v>272</v>
      </c>
      <c r="F161" s="36" t="s">
        <v>4</v>
      </c>
      <c r="G161" s="37" t="s">
        <v>13</v>
      </c>
      <c r="H161" s="32">
        <v>0</v>
      </c>
      <c r="I161" s="32">
        <v>0</v>
      </c>
      <c r="J161" s="32">
        <v>200</v>
      </c>
      <c r="K161" s="32">
        <f t="shared" si="24"/>
        <v>0</v>
      </c>
      <c r="L161" s="32">
        <f>200-200</f>
        <v>0</v>
      </c>
      <c r="M161" s="32"/>
      <c r="N161" s="32">
        <f t="shared" si="25"/>
        <v>0</v>
      </c>
      <c r="O161" s="17" t="str">
        <f t="shared" si="26"/>
        <v>0,0</v>
      </c>
      <c r="P161" s="62">
        <v>0</v>
      </c>
      <c r="Q161" s="62"/>
      <c r="R161" s="33" t="s">
        <v>38</v>
      </c>
    </row>
    <row r="162" spans="1:18" ht="17.25" customHeight="1" outlineLevel="3">
      <c r="A162" s="38">
        <v>23</v>
      </c>
      <c r="B162" s="26" t="s">
        <v>60</v>
      </c>
      <c r="C162" s="27">
        <v>4371</v>
      </c>
      <c r="D162" s="28" t="s">
        <v>319</v>
      </c>
      <c r="E162" s="29" t="s">
        <v>273</v>
      </c>
      <c r="F162" s="36" t="s">
        <v>4</v>
      </c>
      <c r="G162" s="37" t="s">
        <v>4</v>
      </c>
      <c r="H162" s="32">
        <v>20000</v>
      </c>
      <c r="I162" s="32">
        <v>0</v>
      </c>
      <c r="J162" s="32">
        <v>20000</v>
      </c>
      <c r="K162" s="32">
        <f t="shared" si="24"/>
        <v>1500</v>
      </c>
      <c r="L162" s="32">
        <v>1500</v>
      </c>
      <c r="M162" s="32"/>
      <c r="N162" s="32">
        <f t="shared" si="25"/>
        <v>1500.1262</v>
      </c>
      <c r="O162" s="17">
        <f t="shared" si="26"/>
        <v>100.00841333333334</v>
      </c>
      <c r="P162" s="62">
        <v>1500.1262</v>
      </c>
      <c r="Q162" s="62"/>
      <c r="R162" s="33" t="s">
        <v>38</v>
      </c>
    </row>
    <row r="163" spans="1:18" ht="17.25" customHeight="1" outlineLevel="3">
      <c r="A163" s="38">
        <v>23</v>
      </c>
      <c r="B163" s="26" t="s">
        <v>60</v>
      </c>
      <c r="C163" s="27">
        <v>4372</v>
      </c>
      <c r="D163" s="28" t="s">
        <v>319</v>
      </c>
      <c r="E163" s="29" t="s">
        <v>274</v>
      </c>
      <c r="F163" s="36" t="s">
        <v>4</v>
      </c>
      <c r="G163" s="37" t="s">
        <v>4</v>
      </c>
      <c r="H163" s="32">
        <v>1600</v>
      </c>
      <c r="I163" s="32">
        <v>0</v>
      </c>
      <c r="J163" s="32">
        <v>2000</v>
      </c>
      <c r="K163" s="32">
        <f t="shared" si="24"/>
        <v>1536</v>
      </c>
      <c r="L163" s="32">
        <v>1536</v>
      </c>
      <c r="M163" s="32"/>
      <c r="N163" s="32">
        <f t="shared" si="25"/>
        <v>1459.1682</v>
      </c>
      <c r="O163" s="17">
        <f t="shared" si="26"/>
        <v>94.9979296875</v>
      </c>
      <c r="P163" s="62">
        <v>1459.1682</v>
      </c>
      <c r="Q163" s="62"/>
      <c r="R163" s="33" t="s">
        <v>38</v>
      </c>
    </row>
    <row r="164" spans="1:18" ht="17.25" customHeight="1" outlineLevel="3">
      <c r="A164" s="38">
        <v>23</v>
      </c>
      <c r="B164" s="26" t="s">
        <v>60</v>
      </c>
      <c r="C164" s="27">
        <v>4373</v>
      </c>
      <c r="D164" s="28" t="s">
        <v>319</v>
      </c>
      <c r="E164" s="29" t="s">
        <v>93</v>
      </c>
      <c r="F164" s="36" t="s">
        <v>4</v>
      </c>
      <c r="G164" s="37" t="s">
        <v>13</v>
      </c>
      <c r="H164" s="32">
        <v>0</v>
      </c>
      <c r="I164" s="32">
        <v>0</v>
      </c>
      <c r="J164" s="32">
        <v>500</v>
      </c>
      <c r="K164" s="32">
        <f t="shared" si="24"/>
        <v>0</v>
      </c>
      <c r="L164" s="32">
        <v>0</v>
      </c>
      <c r="M164" s="32"/>
      <c r="N164" s="32">
        <f t="shared" si="25"/>
        <v>0</v>
      </c>
      <c r="O164" s="17" t="str">
        <f t="shared" si="26"/>
        <v>0,0</v>
      </c>
      <c r="P164" s="62">
        <v>0</v>
      </c>
      <c r="Q164" s="62"/>
      <c r="R164" s="33" t="s">
        <v>38</v>
      </c>
    </row>
    <row r="165" spans="1:18" ht="17.25" customHeight="1" outlineLevel="3">
      <c r="A165" s="38">
        <v>23</v>
      </c>
      <c r="B165" s="26" t="s">
        <v>60</v>
      </c>
      <c r="C165" s="27">
        <v>4374</v>
      </c>
      <c r="D165" s="28" t="s">
        <v>319</v>
      </c>
      <c r="E165" s="42" t="s">
        <v>275</v>
      </c>
      <c r="F165" s="30">
        <v>2000</v>
      </c>
      <c r="G165" s="31">
        <v>2004</v>
      </c>
      <c r="H165" s="32">
        <v>161018</v>
      </c>
      <c r="I165" s="32">
        <v>30</v>
      </c>
      <c r="J165" s="32">
        <v>8000</v>
      </c>
      <c r="K165" s="32">
        <f t="shared" si="24"/>
        <v>1842</v>
      </c>
      <c r="L165" s="32">
        <v>1842</v>
      </c>
      <c r="M165" s="32"/>
      <c r="N165" s="32">
        <f t="shared" si="25"/>
        <v>829.8035</v>
      </c>
      <c r="O165" s="17">
        <f t="shared" si="26"/>
        <v>45.04904994571119</v>
      </c>
      <c r="P165" s="62">
        <v>829.8035</v>
      </c>
      <c r="Q165" s="62"/>
      <c r="R165" s="33" t="s">
        <v>5</v>
      </c>
    </row>
    <row r="166" spans="1:18" ht="17.25" customHeight="1" outlineLevel="3">
      <c r="A166" s="38">
        <v>23</v>
      </c>
      <c r="B166" s="26" t="s">
        <v>60</v>
      </c>
      <c r="C166" s="27">
        <v>4375</v>
      </c>
      <c r="D166" s="28" t="s">
        <v>319</v>
      </c>
      <c r="E166" s="29" t="s">
        <v>94</v>
      </c>
      <c r="F166" s="36" t="s">
        <v>4</v>
      </c>
      <c r="G166" s="37" t="s">
        <v>4</v>
      </c>
      <c r="H166" s="32">
        <v>1600</v>
      </c>
      <c r="I166" s="32">
        <v>0</v>
      </c>
      <c r="J166" s="32">
        <v>400</v>
      </c>
      <c r="K166" s="32">
        <f t="shared" si="24"/>
        <v>136</v>
      </c>
      <c r="L166" s="32">
        <v>136</v>
      </c>
      <c r="M166" s="32"/>
      <c r="N166" s="32">
        <f t="shared" si="25"/>
        <v>135.154</v>
      </c>
      <c r="O166" s="17">
        <f t="shared" si="26"/>
        <v>99.37794117647059</v>
      </c>
      <c r="P166" s="62">
        <v>135.154</v>
      </c>
      <c r="Q166" s="62"/>
      <c r="R166" s="33" t="s">
        <v>38</v>
      </c>
    </row>
    <row r="167" spans="1:18" ht="17.25" customHeight="1" outlineLevel="3">
      <c r="A167" s="38">
        <v>23</v>
      </c>
      <c r="B167" s="26" t="s">
        <v>60</v>
      </c>
      <c r="C167" s="27">
        <v>4376</v>
      </c>
      <c r="D167" s="28" t="s">
        <v>319</v>
      </c>
      <c r="E167" s="29" t="s">
        <v>61</v>
      </c>
      <c r="F167" s="36" t="s">
        <v>4</v>
      </c>
      <c r="G167" s="37" t="s">
        <v>17</v>
      </c>
      <c r="H167" s="32">
        <v>18250</v>
      </c>
      <c r="I167" s="32">
        <v>0</v>
      </c>
      <c r="J167" s="32">
        <v>5500</v>
      </c>
      <c r="K167" s="32">
        <f t="shared" si="24"/>
        <v>500</v>
      </c>
      <c r="L167" s="32">
        <v>500</v>
      </c>
      <c r="M167" s="32"/>
      <c r="N167" s="32">
        <f t="shared" si="25"/>
        <v>308.7</v>
      </c>
      <c r="O167" s="17">
        <f t="shared" si="26"/>
        <v>61.74</v>
      </c>
      <c r="P167" s="62">
        <v>308.7</v>
      </c>
      <c r="Q167" s="62"/>
      <c r="R167" s="33" t="s">
        <v>5</v>
      </c>
    </row>
    <row r="168" spans="1:18" ht="17.25" customHeight="1" outlineLevel="3">
      <c r="A168" s="38">
        <v>23</v>
      </c>
      <c r="B168" s="26" t="s">
        <v>60</v>
      </c>
      <c r="C168" s="27">
        <v>4377</v>
      </c>
      <c r="D168" s="28" t="s">
        <v>319</v>
      </c>
      <c r="E168" s="29" t="s">
        <v>63</v>
      </c>
      <c r="F168" s="36" t="s">
        <v>4</v>
      </c>
      <c r="G168" s="37" t="s">
        <v>11</v>
      </c>
      <c r="H168" s="32">
        <v>0</v>
      </c>
      <c r="I168" s="32">
        <v>0</v>
      </c>
      <c r="J168" s="32">
        <v>4500</v>
      </c>
      <c r="K168" s="32">
        <f t="shared" si="24"/>
        <v>0</v>
      </c>
      <c r="L168" s="32">
        <v>0</v>
      </c>
      <c r="M168" s="32"/>
      <c r="N168" s="32">
        <f t="shared" si="25"/>
        <v>0</v>
      </c>
      <c r="O168" s="17" t="str">
        <f t="shared" si="26"/>
        <v>0,0</v>
      </c>
      <c r="P168" s="62">
        <v>0</v>
      </c>
      <c r="Q168" s="62"/>
      <c r="R168" s="33" t="s">
        <v>5</v>
      </c>
    </row>
    <row r="169" spans="1:18" ht="17.25" customHeight="1" outlineLevel="3">
      <c r="A169" s="38">
        <v>23</v>
      </c>
      <c r="B169" s="26" t="s">
        <v>60</v>
      </c>
      <c r="C169" s="27">
        <v>4378</v>
      </c>
      <c r="D169" s="28" t="s">
        <v>319</v>
      </c>
      <c r="E169" s="29" t="s">
        <v>64</v>
      </c>
      <c r="F169" s="36" t="s">
        <v>4</v>
      </c>
      <c r="G169" s="37" t="s">
        <v>65</v>
      </c>
      <c r="H169" s="32">
        <v>62959</v>
      </c>
      <c r="I169" s="32">
        <v>0</v>
      </c>
      <c r="J169" s="32">
        <v>12000</v>
      </c>
      <c r="K169" s="32">
        <f aca="true" t="shared" si="27" ref="K169:K175">+L169+M169</f>
        <v>12000</v>
      </c>
      <c r="L169" s="32">
        <v>0</v>
      </c>
      <c r="M169" s="32">
        <v>12000</v>
      </c>
      <c r="N169" s="32">
        <f aca="true" t="shared" si="28" ref="N169:N175">+P169+Q169</f>
        <v>11999.998599999999</v>
      </c>
      <c r="O169" s="17">
        <f aca="true" t="shared" si="29" ref="O169:O176">IF(K169=0,"0,0",N169*100/K169)</f>
        <v>99.99998833333332</v>
      </c>
      <c r="P169" s="62">
        <v>0</v>
      </c>
      <c r="Q169" s="62">
        <f>11008.7586+991.24</f>
        <v>11999.998599999999</v>
      </c>
      <c r="R169" s="33" t="s">
        <v>354</v>
      </c>
    </row>
    <row r="170" spans="1:18" ht="17.25" customHeight="1" outlineLevel="3">
      <c r="A170" s="38">
        <v>23</v>
      </c>
      <c r="B170" s="26">
        <v>2321</v>
      </c>
      <c r="C170" s="27">
        <v>4387</v>
      </c>
      <c r="D170" s="28" t="s">
        <v>319</v>
      </c>
      <c r="E170" s="29" t="s">
        <v>410</v>
      </c>
      <c r="F170" s="30">
        <v>2000</v>
      </c>
      <c r="G170" s="31">
        <v>2000</v>
      </c>
      <c r="H170" s="32">
        <v>1600</v>
      </c>
      <c r="I170" s="32">
        <v>0</v>
      </c>
      <c r="J170" s="32">
        <v>0</v>
      </c>
      <c r="K170" s="32">
        <f t="shared" si="27"/>
        <v>1194</v>
      </c>
      <c r="L170" s="32">
        <v>1194</v>
      </c>
      <c r="M170" s="32"/>
      <c r="N170" s="32">
        <f t="shared" si="28"/>
        <v>955.3885</v>
      </c>
      <c r="O170" s="17">
        <f t="shared" si="29"/>
        <v>80.01578726968175</v>
      </c>
      <c r="P170" s="62">
        <v>955.3885</v>
      </c>
      <c r="Q170" s="62"/>
      <c r="R170" s="33" t="s">
        <v>38</v>
      </c>
    </row>
    <row r="171" spans="1:18" ht="17.25" customHeight="1" outlineLevel="3">
      <c r="A171" s="38">
        <v>23</v>
      </c>
      <c r="B171" s="26">
        <v>2321</v>
      </c>
      <c r="C171" s="27">
        <v>4430</v>
      </c>
      <c r="D171" s="28" t="s">
        <v>319</v>
      </c>
      <c r="E171" s="29" t="s">
        <v>375</v>
      </c>
      <c r="F171" s="36" t="s">
        <v>4</v>
      </c>
      <c r="G171" s="36" t="s">
        <v>4</v>
      </c>
      <c r="H171" s="32">
        <v>4600</v>
      </c>
      <c r="I171" s="32">
        <v>0</v>
      </c>
      <c r="J171" s="32">
        <v>0</v>
      </c>
      <c r="K171" s="32">
        <f t="shared" si="27"/>
        <v>688</v>
      </c>
      <c r="L171" s="32">
        <v>688</v>
      </c>
      <c r="M171" s="32"/>
      <c r="N171" s="32">
        <f t="shared" si="28"/>
        <v>687.0715</v>
      </c>
      <c r="O171" s="17">
        <f t="shared" si="29"/>
        <v>99.86504360465115</v>
      </c>
      <c r="P171" s="62">
        <v>687.0715</v>
      </c>
      <c r="Q171" s="62"/>
      <c r="R171" s="33" t="s">
        <v>38</v>
      </c>
    </row>
    <row r="172" spans="1:18" ht="17.25" customHeight="1" outlineLevel="3">
      <c r="A172" s="38">
        <v>23</v>
      </c>
      <c r="B172" s="26">
        <v>2321</v>
      </c>
      <c r="C172" s="27">
        <v>4433</v>
      </c>
      <c r="D172" s="28" t="s">
        <v>319</v>
      </c>
      <c r="E172" s="29" t="s">
        <v>411</v>
      </c>
      <c r="F172" s="30">
        <v>2000</v>
      </c>
      <c r="G172" s="31">
        <v>2000</v>
      </c>
      <c r="H172" s="32">
        <v>1000</v>
      </c>
      <c r="I172" s="32">
        <v>0</v>
      </c>
      <c r="J172" s="32">
        <v>0</v>
      </c>
      <c r="K172" s="32">
        <f t="shared" si="27"/>
        <v>92</v>
      </c>
      <c r="L172" s="32">
        <v>92</v>
      </c>
      <c r="M172" s="32"/>
      <c r="N172" s="32">
        <f t="shared" si="28"/>
        <v>91.053</v>
      </c>
      <c r="O172" s="17">
        <f t="shared" si="29"/>
        <v>98.97065217391304</v>
      </c>
      <c r="P172" s="62">
        <v>91.053</v>
      </c>
      <c r="Q172" s="62"/>
      <c r="R172" s="33" t="s">
        <v>38</v>
      </c>
    </row>
    <row r="173" spans="1:18" ht="17.25" customHeight="1" outlineLevel="3">
      <c r="A173" s="38">
        <v>23</v>
      </c>
      <c r="B173" s="26">
        <v>2321</v>
      </c>
      <c r="C173" s="27">
        <v>4434</v>
      </c>
      <c r="D173" s="28" t="s">
        <v>319</v>
      </c>
      <c r="E173" s="29" t="s">
        <v>551</v>
      </c>
      <c r="F173" s="30">
        <v>2000</v>
      </c>
      <c r="G173" s="31">
        <v>2003</v>
      </c>
      <c r="H173" s="32">
        <v>36873</v>
      </c>
      <c r="I173" s="32">
        <v>0</v>
      </c>
      <c r="J173" s="32">
        <v>0</v>
      </c>
      <c r="K173" s="32">
        <f t="shared" si="27"/>
        <v>8600</v>
      </c>
      <c r="L173" s="32">
        <v>0</v>
      </c>
      <c r="M173" s="32">
        <v>8600</v>
      </c>
      <c r="N173" s="32">
        <f t="shared" si="28"/>
        <v>8596.22</v>
      </c>
      <c r="O173" s="17">
        <f t="shared" si="29"/>
        <v>99.95604651162789</v>
      </c>
      <c r="P173" s="62">
        <v>-3.78</v>
      </c>
      <c r="Q173" s="62">
        <f>8440.858+159.142</f>
        <v>8600</v>
      </c>
      <c r="R173" s="33" t="s">
        <v>365</v>
      </c>
    </row>
    <row r="174" spans="1:18" ht="17.25" customHeight="1" outlineLevel="3">
      <c r="A174" s="38">
        <v>23</v>
      </c>
      <c r="B174" s="26">
        <v>2321</v>
      </c>
      <c r="C174" s="27">
        <v>4437</v>
      </c>
      <c r="D174" s="28" t="s">
        <v>319</v>
      </c>
      <c r="E174" s="29" t="s">
        <v>480</v>
      </c>
      <c r="F174" s="30">
        <v>2000</v>
      </c>
      <c r="G174" s="31">
        <v>2000</v>
      </c>
      <c r="H174" s="32">
        <v>3181</v>
      </c>
      <c r="I174" s="32">
        <v>0</v>
      </c>
      <c r="J174" s="32">
        <v>0</v>
      </c>
      <c r="K174" s="32">
        <f t="shared" si="27"/>
        <v>3181</v>
      </c>
      <c r="L174" s="32">
        <v>0</v>
      </c>
      <c r="M174" s="32">
        <v>3181</v>
      </c>
      <c r="N174" s="32">
        <f t="shared" si="28"/>
        <v>3181.5</v>
      </c>
      <c r="O174" s="17">
        <f t="shared" si="29"/>
        <v>100.01571832756994</v>
      </c>
      <c r="P174" s="62">
        <v>0</v>
      </c>
      <c r="Q174" s="62">
        <v>3181.5</v>
      </c>
      <c r="R174" s="33" t="s">
        <v>358</v>
      </c>
    </row>
    <row r="175" spans="1:18" ht="17.25" customHeight="1" outlineLevel="3">
      <c r="A175" s="38">
        <v>23</v>
      </c>
      <c r="B175" s="26">
        <v>2321</v>
      </c>
      <c r="C175" s="27">
        <v>4450</v>
      </c>
      <c r="D175" s="28" t="s">
        <v>319</v>
      </c>
      <c r="E175" s="29" t="s">
        <v>486</v>
      </c>
      <c r="F175" s="30">
        <v>2000</v>
      </c>
      <c r="G175" s="31">
        <v>2000</v>
      </c>
      <c r="H175" s="32">
        <v>10200</v>
      </c>
      <c r="I175" s="32">
        <v>0</v>
      </c>
      <c r="J175" s="32">
        <v>0</v>
      </c>
      <c r="K175" s="32">
        <f t="shared" si="27"/>
        <v>10200</v>
      </c>
      <c r="L175" s="32">
        <v>10200</v>
      </c>
      <c r="M175" s="32"/>
      <c r="N175" s="32">
        <f t="shared" si="28"/>
        <v>8311.215</v>
      </c>
      <c r="O175" s="17">
        <f t="shared" si="29"/>
        <v>81.4825</v>
      </c>
      <c r="P175" s="62">
        <v>8311.215</v>
      </c>
      <c r="Q175" s="62"/>
      <c r="R175" s="33" t="s">
        <v>38</v>
      </c>
    </row>
    <row r="176" spans="1:18" ht="17.25" customHeight="1" outlineLevel="2">
      <c r="A176" s="38"/>
      <c r="B176" s="20" t="s">
        <v>438</v>
      </c>
      <c r="C176" s="27"/>
      <c r="D176" s="28"/>
      <c r="E176" s="29"/>
      <c r="F176" s="30"/>
      <c r="G176" s="31"/>
      <c r="H176" s="34">
        <f aca="true" t="shared" si="30" ref="H176:N176">SUBTOTAL(9,H105:H175)</f>
        <v>2336584</v>
      </c>
      <c r="I176" s="34">
        <f t="shared" si="30"/>
        <v>539110</v>
      </c>
      <c r="J176" s="34">
        <f t="shared" si="30"/>
        <v>272115</v>
      </c>
      <c r="K176" s="34">
        <f t="shared" si="30"/>
        <v>287859</v>
      </c>
      <c r="L176" s="34">
        <f t="shared" si="30"/>
        <v>254725</v>
      </c>
      <c r="M176" s="34">
        <f t="shared" si="30"/>
        <v>33134</v>
      </c>
      <c r="N176" s="34">
        <f t="shared" si="30"/>
        <v>256632.19690000007</v>
      </c>
      <c r="O176" s="55">
        <f t="shared" si="29"/>
        <v>89.15204905874059</v>
      </c>
      <c r="P176" s="63">
        <f>SUBTOTAL(9,P105:P175)</f>
        <v>215401.79140000007</v>
      </c>
      <c r="Q176" s="63">
        <f>SUBTOTAL(9,Q106:Q175)</f>
        <v>41230.4055</v>
      </c>
      <c r="R176" s="33"/>
    </row>
    <row r="177" spans="1:18" ht="17.25" customHeight="1" outlineLevel="3">
      <c r="A177" s="35">
        <v>23</v>
      </c>
      <c r="B177" s="20">
        <v>2329</v>
      </c>
      <c r="C177" s="7" t="s">
        <v>342</v>
      </c>
      <c r="D177" s="8" t="s">
        <v>342</v>
      </c>
      <c r="E177" s="21" t="s">
        <v>190</v>
      </c>
      <c r="F177" s="36"/>
      <c r="G177" s="37"/>
      <c r="H177" s="34"/>
      <c r="I177" s="34"/>
      <c r="J177" s="34"/>
      <c r="K177" s="34"/>
      <c r="L177" s="34"/>
      <c r="M177" s="34"/>
      <c r="N177" s="34"/>
      <c r="O177" s="17"/>
      <c r="P177" s="63"/>
      <c r="Q177" s="63"/>
      <c r="R177" s="33"/>
    </row>
    <row r="178" spans="1:18" ht="17.25" customHeight="1" outlineLevel="3">
      <c r="A178" s="38">
        <v>23</v>
      </c>
      <c r="B178" s="26" t="s">
        <v>95</v>
      </c>
      <c r="C178" s="27">
        <v>4056</v>
      </c>
      <c r="D178" s="28" t="s">
        <v>319</v>
      </c>
      <c r="E178" s="29" t="s">
        <v>276</v>
      </c>
      <c r="F178" s="36" t="s">
        <v>18</v>
      </c>
      <c r="G178" s="41" t="s">
        <v>167</v>
      </c>
      <c r="H178" s="32">
        <v>30369</v>
      </c>
      <c r="I178" s="32">
        <v>14087</v>
      </c>
      <c r="J178" s="32">
        <v>8725</v>
      </c>
      <c r="K178" s="32">
        <f>+L178+M178</f>
        <v>6149</v>
      </c>
      <c r="L178" s="32">
        <v>6149</v>
      </c>
      <c r="M178" s="32"/>
      <c r="N178" s="32">
        <f>+P178+Q178</f>
        <v>1919.4114</v>
      </c>
      <c r="O178" s="17">
        <f>IF(K178=0,"0,0",N178*100/K178)</f>
        <v>31.215017075947305</v>
      </c>
      <c r="P178" s="65">
        <v>1919.4114</v>
      </c>
      <c r="Q178" s="62"/>
      <c r="R178" s="33" t="s">
        <v>38</v>
      </c>
    </row>
    <row r="179" spans="1:18" ht="17.25" customHeight="1" outlineLevel="2">
      <c r="A179" s="38"/>
      <c r="B179" s="20" t="s">
        <v>439</v>
      </c>
      <c r="C179" s="27"/>
      <c r="D179" s="28"/>
      <c r="E179" s="29"/>
      <c r="F179" s="36"/>
      <c r="G179" s="41"/>
      <c r="H179" s="34">
        <f aca="true" t="shared" si="31" ref="H179:N179">SUBTOTAL(9,H177:H178)</f>
        <v>30369</v>
      </c>
      <c r="I179" s="34">
        <f t="shared" si="31"/>
        <v>14087</v>
      </c>
      <c r="J179" s="34">
        <f t="shared" si="31"/>
        <v>8725</v>
      </c>
      <c r="K179" s="34">
        <f t="shared" si="31"/>
        <v>6149</v>
      </c>
      <c r="L179" s="34">
        <f t="shared" si="31"/>
        <v>6149</v>
      </c>
      <c r="M179" s="34">
        <f t="shared" si="31"/>
        <v>0</v>
      </c>
      <c r="N179" s="34">
        <f t="shared" si="31"/>
        <v>1919.4114</v>
      </c>
      <c r="O179" s="55">
        <f>IF(K179=0,"0,0",N179*100/K179)</f>
        <v>31.215017075947305</v>
      </c>
      <c r="P179" s="66">
        <f>SUBTOTAL(9,P177:P178)</f>
        <v>1919.4114</v>
      </c>
      <c r="Q179" s="63">
        <f>SUBTOTAL(9,Q177:Q178)</f>
        <v>0</v>
      </c>
      <c r="R179" s="33"/>
    </row>
    <row r="180" spans="1:18" ht="17.25" customHeight="1" outlineLevel="3">
      <c r="A180" s="35">
        <v>23</v>
      </c>
      <c r="B180" s="20">
        <v>2333</v>
      </c>
      <c r="C180" s="7" t="s">
        <v>342</v>
      </c>
      <c r="D180" s="8" t="s">
        <v>342</v>
      </c>
      <c r="E180" s="21" t="s">
        <v>191</v>
      </c>
      <c r="F180" s="36"/>
      <c r="G180" s="41"/>
      <c r="H180" s="34"/>
      <c r="I180" s="34"/>
      <c r="J180" s="34"/>
      <c r="K180" s="34"/>
      <c r="L180" s="34"/>
      <c r="M180" s="34"/>
      <c r="N180" s="34"/>
      <c r="O180" s="17"/>
      <c r="P180" s="63"/>
      <c r="Q180" s="63"/>
      <c r="R180" s="33"/>
    </row>
    <row r="181" spans="1:18" ht="17.25" customHeight="1" outlineLevel="3">
      <c r="A181" s="38">
        <v>23</v>
      </c>
      <c r="B181" s="26" t="s">
        <v>96</v>
      </c>
      <c r="C181" s="27">
        <v>4197</v>
      </c>
      <c r="D181" s="28" t="s">
        <v>319</v>
      </c>
      <c r="E181" s="29" t="s">
        <v>277</v>
      </c>
      <c r="F181" s="36" t="s">
        <v>3</v>
      </c>
      <c r="G181" s="41">
        <v>2000</v>
      </c>
      <c r="H181" s="32">
        <v>9084</v>
      </c>
      <c r="I181" s="32">
        <v>217</v>
      </c>
      <c r="J181" s="32">
        <v>8863</v>
      </c>
      <c r="K181" s="32">
        <f>+L181+M181</f>
        <v>867</v>
      </c>
      <c r="L181" s="32">
        <f>8863+4-8000</f>
        <v>867</v>
      </c>
      <c r="M181" s="32"/>
      <c r="N181" s="32">
        <f>+P181+Q181</f>
        <v>143.8294</v>
      </c>
      <c r="O181" s="17">
        <f>IF(K181=0,"0,0",N181*100/K181)</f>
        <v>16.58931949250288</v>
      </c>
      <c r="P181" s="62">
        <f>141.3619+2.4675</f>
        <v>143.8294</v>
      </c>
      <c r="Q181" s="62"/>
      <c r="R181" s="33" t="s">
        <v>5</v>
      </c>
    </row>
    <row r="182" spans="1:18" ht="17.25" customHeight="1" outlineLevel="2">
      <c r="A182" s="38"/>
      <c r="B182" s="20" t="s">
        <v>440</v>
      </c>
      <c r="C182" s="27"/>
      <c r="D182" s="28"/>
      <c r="E182" s="29"/>
      <c r="F182" s="36"/>
      <c r="G182" s="41"/>
      <c r="H182" s="34">
        <f aca="true" t="shared" si="32" ref="H182:N182">SUBTOTAL(9,H180:H181)</f>
        <v>9084</v>
      </c>
      <c r="I182" s="34">
        <f t="shared" si="32"/>
        <v>217</v>
      </c>
      <c r="J182" s="34">
        <f t="shared" si="32"/>
        <v>8863</v>
      </c>
      <c r="K182" s="34">
        <f t="shared" si="32"/>
        <v>867</v>
      </c>
      <c r="L182" s="34">
        <f t="shared" si="32"/>
        <v>867</v>
      </c>
      <c r="M182" s="34">
        <f t="shared" si="32"/>
        <v>0</v>
      </c>
      <c r="N182" s="34">
        <f t="shared" si="32"/>
        <v>143.8294</v>
      </c>
      <c r="O182" s="55">
        <f>IF(K182=0,"0,0",N182*100/K182)</f>
        <v>16.58931949250288</v>
      </c>
      <c r="P182" s="63">
        <f>SUBTOTAL(9,P180:P181)</f>
        <v>143.8294</v>
      </c>
      <c r="Q182" s="63">
        <f>SUBTOTAL(9,Q180:Q181)</f>
        <v>0</v>
      </c>
      <c r="R182" s="33"/>
    </row>
    <row r="183" spans="1:18" ht="17.25" customHeight="1" outlineLevel="1">
      <c r="A183" s="35" t="s">
        <v>522</v>
      </c>
      <c r="B183" s="26"/>
      <c r="C183" s="27"/>
      <c r="D183" s="28"/>
      <c r="E183" s="29"/>
      <c r="F183" s="36"/>
      <c r="G183" s="41"/>
      <c r="H183" s="34">
        <f aca="true" t="shared" si="33" ref="H183:N183">SUBTOTAL(9,H62:H181)</f>
        <v>2711739</v>
      </c>
      <c r="I183" s="34">
        <f t="shared" si="33"/>
        <v>589907</v>
      </c>
      <c r="J183" s="34">
        <f t="shared" si="33"/>
        <v>367337</v>
      </c>
      <c r="K183" s="34">
        <f t="shared" si="33"/>
        <v>351511</v>
      </c>
      <c r="L183" s="34">
        <f t="shared" si="33"/>
        <v>318377</v>
      </c>
      <c r="M183" s="34">
        <f t="shared" si="33"/>
        <v>33134</v>
      </c>
      <c r="N183" s="34">
        <f t="shared" si="33"/>
        <v>308056.4223</v>
      </c>
      <c r="O183" s="55">
        <f>IF(K183=0,"0,0",N183*100/K183)</f>
        <v>87.63777585907695</v>
      </c>
      <c r="P183" s="63">
        <f>SUBTOTAL(9,P62:P181)</f>
        <v>266826.01680000004</v>
      </c>
      <c r="Q183" s="63">
        <f>SUBTOTAL(9,Q62:Q181)</f>
        <v>41230.4055</v>
      </c>
      <c r="R183" s="33"/>
    </row>
    <row r="184" spans="1:18" ht="17.25" customHeight="1" outlineLevel="3">
      <c r="A184" s="35">
        <v>31</v>
      </c>
      <c r="B184" s="20">
        <v>3113</v>
      </c>
      <c r="C184" s="7" t="s">
        <v>342</v>
      </c>
      <c r="D184" s="8" t="s">
        <v>342</v>
      </c>
      <c r="E184" s="21" t="s">
        <v>192</v>
      </c>
      <c r="F184" s="36"/>
      <c r="G184" s="41"/>
      <c r="H184" s="34"/>
      <c r="I184" s="34"/>
      <c r="J184" s="34"/>
      <c r="K184" s="34"/>
      <c r="L184" s="34"/>
      <c r="M184" s="34"/>
      <c r="N184" s="34"/>
      <c r="O184" s="70"/>
      <c r="P184" s="63"/>
      <c r="Q184" s="63"/>
      <c r="R184" s="33"/>
    </row>
    <row r="185" spans="1:18" ht="17.25" customHeight="1" outlineLevel="3">
      <c r="A185" s="38">
        <v>31</v>
      </c>
      <c r="B185" s="26">
        <v>3113</v>
      </c>
      <c r="C185" s="27">
        <v>4307</v>
      </c>
      <c r="D185" s="8" t="s">
        <v>319</v>
      </c>
      <c r="E185" s="29" t="s">
        <v>404</v>
      </c>
      <c r="F185" s="30">
        <v>1994</v>
      </c>
      <c r="G185" s="41" t="s">
        <v>4</v>
      </c>
      <c r="H185" s="32">
        <v>61991</v>
      </c>
      <c r="I185" s="32">
        <v>58100</v>
      </c>
      <c r="J185" s="32">
        <v>0</v>
      </c>
      <c r="K185" s="32">
        <f aca="true" t="shared" si="34" ref="K185:K197">+L185+M185</f>
        <v>3874</v>
      </c>
      <c r="L185" s="32"/>
      <c r="M185" s="32">
        <v>3874</v>
      </c>
      <c r="N185" s="32">
        <f aca="true" t="shared" si="35" ref="N185:N197">+P185+Q185</f>
        <v>3891</v>
      </c>
      <c r="O185" s="70">
        <f aca="true" t="shared" si="36" ref="O185:O198">IF(K185=0,"0,0",N185*100/K185)</f>
        <v>100.4388229220444</v>
      </c>
      <c r="P185" s="62">
        <v>0</v>
      </c>
      <c r="Q185" s="62">
        <v>3891</v>
      </c>
      <c r="R185" s="33" t="s">
        <v>421</v>
      </c>
    </row>
    <row r="186" spans="1:18" ht="17.25" customHeight="1" outlineLevel="3">
      <c r="A186" s="38">
        <v>31</v>
      </c>
      <c r="B186" s="26">
        <v>3113</v>
      </c>
      <c r="C186" s="27">
        <v>4308</v>
      </c>
      <c r="D186" s="28" t="s">
        <v>319</v>
      </c>
      <c r="E186" s="29" t="s">
        <v>384</v>
      </c>
      <c r="F186" s="30">
        <v>1994</v>
      </c>
      <c r="G186" s="46" t="s">
        <v>3</v>
      </c>
      <c r="H186" s="32">
        <v>0</v>
      </c>
      <c r="I186" s="32">
        <v>0</v>
      </c>
      <c r="J186" s="32">
        <v>0</v>
      </c>
      <c r="K186" s="32">
        <f t="shared" si="34"/>
        <v>0</v>
      </c>
      <c r="L186" s="32">
        <v>0</v>
      </c>
      <c r="M186" s="32">
        <v>0</v>
      </c>
      <c r="N186" s="32">
        <f t="shared" si="35"/>
        <v>6.95</v>
      </c>
      <c r="O186" s="17" t="str">
        <f t="shared" si="36"/>
        <v>0,0</v>
      </c>
      <c r="P186" s="62">
        <v>0</v>
      </c>
      <c r="Q186" s="62">
        <v>6.95</v>
      </c>
      <c r="R186" s="33" t="s">
        <v>385</v>
      </c>
    </row>
    <row r="187" spans="1:18" ht="17.25" customHeight="1" outlineLevel="3">
      <c r="A187" s="38">
        <v>31</v>
      </c>
      <c r="B187" s="26" t="s">
        <v>97</v>
      </c>
      <c r="C187" s="27">
        <v>4321</v>
      </c>
      <c r="D187" s="28" t="s">
        <v>319</v>
      </c>
      <c r="E187" s="29" t="s">
        <v>279</v>
      </c>
      <c r="F187" s="36" t="s">
        <v>22</v>
      </c>
      <c r="G187" s="37" t="s">
        <v>13</v>
      </c>
      <c r="H187" s="32">
        <v>115458</v>
      </c>
      <c r="I187" s="32">
        <v>45406</v>
      </c>
      <c r="J187" s="32">
        <v>44868</v>
      </c>
      <c r="K187" s="32">
        <f t="shared" si="34"/>
        <v>33580</v>
      </c>
      <c r="L187" s="32">
        <v>33580</v>
      </c>
      <c r="M187" s="32"/>
      <c r="N187" s="32">
        <f t="shared" si="35"/>
        <v>15762.0203</v>
      </c>
      <c r="O187" s="17">
        <f t="shared" si="36"/>
        <v>46.93871441334127</v>
      </c>
      <c r="P187" s="62">
        <v>15762.0203</v>
      </c>
      <c r="Q187" s="62"/>
      <c r="R187" s="33" t="s">
        <v>5</v>
      </c>
    </row>
    <row r="188" spans="1:18" ht="17.25" customHeight="1" outlineLevel="3">
      <c r="A188" s="38">
        <v>31</v>
      </c>
      <c r="B188" s="26" t="s">
        <v>97</v>
      </c>
      <c r="C188" s="27">
        <v>4323</v>
      </c>
      <c r="D188" s="28" t="s">
        <v>319</v>
      </c>
      <c r="E188" s="29" t="s">
        <v>104</v>
      </c>
      <c r="F188" s="36" t="s">
        <v>3</v>
      </c>
      <c r="G188" s="37" t="s">
        <v>4</v>
      </c>
      <c r="H188" s="32">
        <v>24086</v>
      </c>
      <c r="I188" s="32">
        <v>5000</v>
      </c>
      <c r="J188" s="32">
        <v>19086</v>
      </c>
      <c r="K188" s="32">
        <f t="shared" si="34"/>
        <v>19086</v>
      </c>
      <c r="L188" s="32">
        <v>0</v>
      </c>
      <c r="M188" s="32">
        <v>19086</v>
      </c>
      <c r="N188" s="32">
        <f t="shared" si="35"/>
        <v>19085.9365</v>
      </c>
      <c r="O188" s="17">
        <f t="shared" si="36"/>
        <v>99.99966729539976</v>
      </c>
      <c r="P188" s="62">
        <v>-0.0635</v>
      </c>
      <c r="Q188" s="62">
        <f>18940.62724+145.37276</f>
        <v>19086</v>
      </c>
      <c r="R188" s="33" t="s">
        <v>355</v>
      </c>
    </row>
    <row r="189" spans="1:18" ht="17.25" customHeight="1" outlineLevel="3">
      <c r="A189" s="38">
        <v>31</v>
      </c>
      <c r="B189" s="26" t="s">
        <v>97</v>
      </c>
      <c r="C189" s="27">
        <v>4324</v>
      </c>
      <c r="D189" s="28" t="s">
        <v>319</v>
      </c>
      <c r="E189" s="29" t="s">
        <v>280</v>
      </c>
      <c r="F189" s="36" t="s">
        <v>4</v>
      </c>
      <c r="G189" s="37" t="s">
        <v>17</v>
      </c>
      <c r="H189" s="32">
        <v>64674</v>
      </c>
      <c r="I189" s="32">
        <v>0</v>
      </c>
      <c r="J189" s="32">
        <v>28500</v>
      </c>
      <c r="K189" s="32">
        <f t="shared" si="34"/>
        <v>8500</v>
      </c>
      <c r="L189" s="32">
        <f>28500-20000</f>
        <v>8500</v>
      </c>
      <c r="M189" s="32"/>
      <c r="N189" s="32">
        <f t="shared" si="35"/>
        <v>549.8613</v>
      </c>
      <c r="O189" s="17">
        <f t="shared" si="36"/>
        <v>6.468956470588235</v>
      </c>
      <c r="P189" s="62">
        <v>549.8613</v>
      </c>
      <c r="Q189" s="62"/>
      <c r="R189" s="33" t="s">
        <v>5</v>
      </c>
    </row>
    <row r="190" spans="1:18" ht="17.25" customHeight="1" outlineLevel="3">
      <c r="A190" s="38">
        <v>31</v>
      </c>
      <c r="B190" s="26" t="s">
        <v>97</v>
      </c>
      <c r="C190" s="27">
        <v>4325</v>
      </c>
      <c r="D190" s="28" t="s">
        <v>319</v>
      </c>
      <c r="E190" s="29" t="s">
        <v>281</v>
      </c>
      <c r="F190" s="36" t="s">
        <v>4</v>
      </c>
      <c r="G190" s="37" t="s">
        <v>13</v>
      </c>
      <c r="H190" s="32">
        <v>34410</v>
      </c>
      <c r="I190" s="32">
        <v>0</v>
      </c>
      <c r="J190" s="32">
        <v>9000</v>
      </c>
      <c r="K190" s="32">
        <f t="shared" si="34"/>
        <v>9000</v>
      </c>
      <c r="L190" s="32">
        <v>9000</v>
      </c>
      <c r="M190" s="32"/>
      <c r="N190" s="32">
        <f t="shared" si="35"/>
        <v>434.5762</v>
      </c>
      <c r="O190" s="17">
        <f t="shared" si="36"/>
        <v>4.8286244444444435</v>
      </c>
      <c r="P190" s="62">
        <v>434.5762</v>
      </c>
      <c r="Q190" s="62"/>
      <c r="R190" s="33" t="s">
        <v>5</v>
      </c>
    </row>
    <row r="191" spans="1:18" ht="17.25" customHeight="1" outlineLevel="3">
      <c r="A191" s="38">
        <v>31</v>
      </c>
      <c r="B191" s="26">
        <v>3113</v>
      </c>
      <c r="C191" s="27">
        <v>4326</v>
      </c>
      <c r="D191" s="28" t="s">
        <v>319</v>
      </c>
      <c r="E191" s="29" t="s">
        <v>383</v>
      </c>
      <c r="F191" s="30">
        <v>1999</v>
      </c>
      <c r="G191" s="31">
        <v>1999</v>
      </c>
      <c r="H191" s="32">
        <v>0</v>
      </c>
      <c r="I191" s="32">
        <v>0</v>
      </c>
      <c r="J191" s="32">
        <v>0</v>
      </c>
      <c r="K191" s="32">
        <f t="shared" si="34"/>
        <v>0</v>
      </c>
      <c r="L191" s="32">
        <v>0</v>
      </c>
      <c r="M191" s="32">
        <v>0</v>
      </c>
      <c r="N191" s="32">
        <f t="shared" si="35"/>
        <v>244.633</v>
      </c>
      <c r="O191" s="17" t="str">
        <f t="shared" si="36"/>
        <v>0,0</v>
      </c>
      <c r="P191" s="62">
        <v>0</v>
      </c>
      <c r="Q191" s="62">
        <v>244.633</v>
      </c>
      <c r="R191" s="33" t="s">
        <v>356</v>
      </c>
    </row>
    <row r="192" spans="1:18" ht="17.25" customHeight="1" outlineLevel="3">
      <c r="A192" s="38">
        <v>31</v>
      </c>
      <c r="B192" s="26" t="s">
        <v>97</v>
      </c>
      <c r="C192" s="27">
        <v>4327</v>
      </c>
      <c r="D192" s="28" t="s">
        <v>319</v>
      </c>
      <c r="E192" s="29" t="s">
        <v>282</v>
      </c>
      <c r="F192" s="36" t="s">
        <v>4</v>
      </c>
      <c r="G192" s="37" t="s">
        <v>13</v>
      </c>
      <c r="H192" s="32">
        <v>11389</v>
      </c>
      <c r="I192" s="32">
        <v>0</v>
      </c>
      <c r="J192" s="32">
        <v>8500</v>
      </c>
      <c r="K192" s="32">
        <f t="shared" si="34"/>
        <v>8500</v>
      </c>
      <c r="L192" s="32">
        <v>0</v>
      </c>
      <c r="M192" s="32">
        <v>8500</v>
      </c>
      <c r="N192" s="32">
        <f t="shared" si="35"/>
        <v>8147.35405</v>
      </c>
      <c r="O192" s="17">
        <f t="shared" si="36"/>
        <v>95.85122411764706</v>
      </c>
      <c r="P192" s="62">
        <v>0</v>
      </c>
      <c r="Q192" s="62">
        <v>8147.35405</v>
      </c>
      <c r="R192" s="33" t="s">
        <v>357</v>
      </c>
    </row>
    <row r="193" spans="1:18" ht="17.25" customHeight="1" outlineLevel="3">
      <c r="A193" s="38">
        <v>31</v>
      </c>
      <c r="B193" s="26" t="s">
        <v>97</v>
      </c>
      <c r="C193" s="27">
        <v>4328</v>
      </c>
      <c r="D193" s="28" t="s">
        <v>319</v>
      </c>
      <c r="E193" s="29" t="s">
        <v>98</v>
      </c>
      <c r="F193" s="36" t="s">
        <v>4</v>
      </c>
      <c r="G193" s="37" t="s">
        <v>17</v>
      </c>
      <c r="H193" s="32">
        <v>25352</v>
      </c>
      <c r="I193" s="32">
        <v>0</v>
      </c>
      <c r="J193" s="32">
        <v>6500</v>
      </c>
      <c r="K193" s="32">
        <f t="shared" si="34"/>
        <v>10500</v>
      </c>
      <c r="L193" s="32">
        <v>0</v>
      </c>
      <c r="M193" s="32">
        <v>10500</v>
      </c>
      <c r="N193" s="32">
        <f t="shared" si="35"/>
        <v>10499.944</v>
      </c>
      <c r="O193" s="17">
        <f t="shared" si="36"/>
        <v>99.99946666666666</v>
      </c>
      <c r="P193" s="62">
        <v>0</v>
      </c>
      <c r="Q193" s="62">
        <v>10499.944</v>
      </c>
      <c r="R193" s="33" t="s">
        <v>354</v>
      </c>
    </row>
    <row r="194" spans="1:18" ht="17.25" customHeight="1" outlineLevel="3">
      <c r="A194" s="38">
        <v>31</v>
      </c>
      <c r="B194" s="26" t="s">
        <v>97</v>
      </c>
      <c r="C194" s="27">
        <v>4329</v>
      </c>
      <c r="D194" s="28" t="s">
        <v>319</v>
      </c>
      <c r="E194" s="29" t="s">
        <v>99</v>
      </c>
      <c r="F194" s="36" t="s">
        <v>4</v>
      </c>
      <c r="G194" s="37" t="s">
        <v>11</v>
      </c>
      <c r="H194" s="32">
        <v>74508</v>
      </c>
      <c r="I194" s="32">
        <v>0</v>
      </c>
      <c r="J194" s="32">
        <v>7000</v>
      </c>
      <c r="K194" s="32">
        <f t="shared" si="34"/>
        <v>7000</v>
      </c>
      <c r="L194" s="32">
        <v>7000</v>
      </c>
      <c r="M194" s="32"/>
      <c r="N194" s="32">
        <f t="shared" si="35"/>
        <v>513.9878</v>
      </c>
      <c r="O194" s="17">
        <f t="shared" si="36"/>
        <v>7.342682857142857</v>
      </c>
      <c r="P194" s="62">
        <v>513.9878</v>
      </c>
      <c r="Q194" s="62"/>
      <c r="R194" s="33" t="s">
        <v>5</v>
      </c>
    </row>
    <row r="195" spans="1:18" ht="17.25" customHeight="1" outlineLevel="3">
      <c r="A195" s="38">
        <v>31</v>
      </c>
      <c r="B195" s="26" t="s">
        <v>97</v>
      </c>
      <c r="C195" s="27">
        <v>4330</v>
      </c>
      <c r="D195" s="28" t="s">
        <v>319</v>
      </c>
      <c r="E195" s="29" t="s">
        <v>100</v>
      </c>
      <c r="F195" s="36" t="s">
        <v>4</v>
      </c>
      <c r="G195" s="37" t="s">
        <v>13</v>
      </c>
      <c r="H195" s="32">
        <v>23771</v>
      </c>
      <c r="I195" s="32">
        <v>0</v>
      </c>
      <c r="J195" s="32">
        <v>9000</v>
      </c>
      <c r="K195" s="32">
        <f t="shared" si="34"/>
        <v>9000</v>
      </c>
      <c r="L195" s="32">
        <v>0</v>
      </c>
      <c r="M195" s="32">
        <v>9000</v>
      </c>
      <c r="N195" s="32">
        <f t="shared" si="35"/>
        <v>9000</v>
      </c>
      <c r="O195" s="17">
        <f t="shared" si="36"/>
        <v>100</v>
      </c>
      <c r="P195" s="62">
        <v>0</v>
      </c>
      <c r="Q195" s="62">
        <v>9000</v>
      </c>
      <c r="R195" s="33" t="s">
        <v>355</v>
      </c>
    </row>
    <row r="196" spans="1:18" ht="17.25" customHeight="1" outlineLevel="3">
      <c r="A196" s="38">
        <v>31</v>
      </c>
      <c r="B196" s="26" t="s">
        <v>97</v>
      </c>
      <c r="C196" s="27">
        <v>4331</v>
      </c>
      <c r="D196" s="28" t="s">
        <v>319</v>
      </c>
      <c r="E196" s="29" t="s">
        <v>278</v>
      </c>
      <c r="F196" s="36" t="s">
        <v>4</v>
      </c>
      <c r="G196" s="37" t="s">
        <v>4</v>
      </c>
      <c r="H196" s="32">
        <v>9240</v>
      </c>
      <c r="I196" s="32">
        <v>0</v>
      </c>
      <c r="J196" s="32">
        <v>9240</v>
      </c>
      <c r="K196" s="32">
        <f t="shared" si="34"/>
        <v>9240</v>
      </c>
      <c r="L196" s="32">
        <v>9240</v>
      </c>
      <c r="M196" s="32"/>
      <c r="N196" s="32">
        <f t="shared" si="35"/>
        <v>9220.8455</v>
      </c>
      <c r="O196" s="17">
        <f t="shared" si="36"/>
        <v>99.79270021645021</v>
      </c>
      <c r="P196" s="62">
        <v>9220.8455</v>
      </c>
      <c r="Q196" s="62"/>
      <c r="R196" s="33" t="s">
        <v>5</v>
      </c>
    </row>
    <row r="197" spans="1:18" ht="17.25" customHeight="1" outlineLevel="3">
      <c r="A197" s="38">
        <v>31</v>
      </c>
      <c r="B197" s="26">
        <v>3113</v>
      </c>
      <c r="C197" s="27">
        <v>4861</v>
      </c>
      <c r="D197" s="28" t="s">
        <v>319</v>
      </c>
      <c r="E197" s="29" t="s">
        <v>399</v>
      </c>
      <c r="F197" s="30">
        <v>2000</v>
      </c>
      <c r="G197" s="31">
        <v>2000</v>
      </c>
      <c r="H197" s="32">
        <v>400</v>
      </c>
      <c r="I197" s="32">
        <v>0</v>
      </c>
      <c r="J197" s="32">
        <v>0</v>
      </c>
      <c r="K197" s="32">
        <f t="shared" si="34"/>
        <v>400</v>
      </c>
      <c r="L197" s="32">
        <v>400</v>
      </c>
      <c r="M197" s="32"/>
      <c r="N197" s="32">
        <f t="shared" si="35"/>
        <v>400</v>
      </c>
      <c r="O197" s="17">
        <f t="shared" si="36"/>
        <v>100</v>
      </c>
      <c r="P197" s="62">
        <v>400</v>
      </c>
      <c r="Q197" s="62"/>
      <c r="R197" s="33" t="s">
        <v>5</v>
      </c>
    </row>
    <row r="198" spans="1:18" ht="17.25" customHeight="1" outlineLevel="2">
      <c r="A198" s="38"/>
      <c r="B198" s="20" t="s">
        <v>441</v>
      </c>
      <c r="C198" s="27"/>
      <c r="D198" s="28"/>
      <c r="E198" s="29"/>
      <c r="F198" s="30"/>
      <c r="G198" s="31"/>
      <c r="H198" s="34">
        <f aca="true" t="shared" si="37" ref="H198:N198">SUBTOTAL(9,H184:H197)</f>
        <v>445279</v>
      </c>
      <c r="I198" s="34">
        <f t="shared" si="37"/>
        <v>108506</v>
      </c>
      <c r="J198" s="34">
        <f t="shared" si="37"/>
        <v>141694</v>
      </c>
      <c r="K198" s="34">
        <f t="shared" si="37"/>
        <v>118680</v>
      </c>
      <c r="L198" s="34">
        <f t="shared" si="37"/>
        <v>67720</v>
      </c>
      <c r="M198" s="34">
        <f t="shared" si="37"/>
        <v>50960</v>
      </c>
      <c r="N198" s="34">
        <f t="shared" si="37"/>
        <v>77757.10865</v>
      </c>
      <c r="O198" s="55">
        <f t="shared" si="36"/>
        <v>65.51829175092685</v>
      </c>
      <c r="P198" s="63">
        <f>SUBTOTAL(9,P184:P197)</f>
        <v>26881.2276</v>
      </c>
      <c r="Q198" s="63">
        <f>SUBTOTAL(9,Q184:Q197)</f>
        <v>50875.881049999996</v>
      </c>
      <c r="R198" s="33"/>
    </row>
    <row r="199" spans="1:18" ht="17.25" customHeight="1" outlineLevel="3">
      <c r="A199" s="35">
        <v>31</v>
      </c>
      <c r="B199" s="20">
        <v>3141</v>
      </c>
      <c r="C199" s="7" t="s">
        <v>342</v>
      </c>
      <c r="D199" s="8" t="s">
        <v>342</v>
      </c>
      <c r="E199" s="21" t="s">
        <v>359</v>
      </c>
      <c r="F199" s="30"/>
      <c r="G199" s="31"/>
      <c r="H199" s="34"/>
      <c r="I199" s="34"/>
      <c r="J199" s="34"/>
      <c r="K199" s="34"/>
      <c r="L199" s="34"/>
      <c r="M199" s="34"/>
      <c r="N199" s="34"/>
      <c r="O199" s="17"/>
      <c r="P199" s="63"/>
      <c r="Q199" s="63"/>
      <c r="R199" s="33"/>
    </row>
    <row r="200" spans="1:18" ht="17.25" customHeight="1" outlineLevel="3">
      <c r="A200" s="38">
        <v>31</v>
      </c>
      <c r="B200" s="26" t="s">
        <v>105</v>
      </c>
      <c r="C200" s="27">
        <v>4332</v>
      </c>
      <c r="D200" s="28" t="s">
        <v>319</v>
      </c>
      <c r="E200" s="29" t="s">
        <v>283</v>
      </c>
      <c r="F200" s="36" t="s">
        <v>4</v>
      </c>
      <c r="G200" s="37" t="s">
        <v>4</v>
      </c>
      <c r="H200" s="32">
        <v>5446</v>
      </c>
      <c r="I200" s="32">
        <v>0</v>
      </c>
      <c r="J200" s="32">
        <v>5446</v>
      </c>
      <c r="K200" s="32">
        <f>+L200+M200</f>
        <v>5446</v>
      </c>
      <c r="L200" s="32">
        <v>5446</v>
      </c>
      <c r="M200" s="32"/>
      <c r="N200" s="32">
        <f>+P200+Q200</f>
        <v>84</v>
      </c>
      <c r="O200" s="17">
        <f>IF(K200=0,"0,0",N200*100/K200)</f>
        <v>1.5424164524421593</v>
      </c>
      <c r="P200" s="62">
        <v>84</v>
      </c>
      <c r="Q200" s="62"/>
      <c r="R200" s="33" t="s">
        <v>5</v>
      </c>
    </row>
    <row r="201" spans="1:18" ht="17.25" customHeight="1" outlineLevel="2">
      <c r="A201" s="38"/>
      <c r="B201" s="20" t="s">
        <v>442</v>
      </c>
      <c r="C201" s="27"/>
      <c r="D201" s="28"/>
      <c r="E201" s="29"/>
      <c r="F201" s="36"/>
      <c r="G201" s="37"/>
      <c r="H201" s="34">
        <f aca="true" t="shared" si="38" ref="H201:N201">SUBTOTAL(9,H199:H200)</f>
        <v>5446</v>
      </c>
      <c r="I201" s="34">
        <f t="shared" si="38"/>
        <v>0</v>
      </c>
      <c r="J201" s="34">
        <f t="shared" si="38"/>
        <v>5446</v>
      </c>
      <c r="K201" s="34">
        <f t="shared" si="38"/>
        <v>5446</v>
      </c>
      <c r="L201" s="34">
        <f t="shared" si="38"/>
        <v>5446</v>
      </c>
      <c r="M201" s="34">
        <f t="shared" si="38"/>
        <v>0</v>
      </c>
      <c r="N201" s="34">
        <f t="shared" si="38"/>
        <v>84</v>
      </c>
      <c r="O201" s="55">
        <f>IF(K201=0,"0,0",N201*100/K201)</f>
        <v>1.5424164524421593</v>
      </c>
      <c r="P201" s="63">
        <f>SUBTOTAL(9,P199:P200)</f>
        <v>84</v>
      </c>
      <c r="Q201" s="63">
        <f>SUBTOTAL(9,Q199:Q200)</f>
        <v>0</v>
      </c>
      <c r="R201" s="33"/>
    </row>
    <row r="202" spans="1:18" ht="17.25" customHeight="1" outlineLevel="1">
      <c r="A202" s="35" t="s">
        <v>523</v>
      </c>
      <c r="B202" s="26"/>
      <c r="C202" s="27"/>
      <c r="D202" s="28"/>
      <c r="E202" s="29"/>
      <c r="F202" s="36"/>
      <c r="G202" s="37"/>
      <c r="H202" s="34">
        <f aca="true" t="shared" si="39" ref="H202:N202">SUBTOTAL(9,H184:H200)</f>
        <v>450725</v>
      </c>
      <c r="I202" s="34">
        <f t="shared" si="39"/>
        <v>108506</v>
      </c>
      <c r="J202" s="34">
        <f t="shared" si="39"/>
        <v>147140</v>
      </c>
      <c r="K202" s="34">
        <f t="shared" si="39"/>
        <v>124126</v>
      </c>
      <c r="L202" s="34">
        <f t="shared" si="39"/>
        <v>73166</v>
      </c>
      <c r="M202" s="34">
        <f t="shared" si="39"/>
        <v>50960</v>
      </c>
      <c r="N202" s="34">
        <f t="shared" si="39"/>
        <v>77841.10865</v>
      </c>
      <c r="O202" s="55">
        <f>IF(K202=0,"0,0",N202*100/K202)</f>
        <v>62.71136478255965</v>
      </c>
      <c r="P202" s="63">
        <f>SUBTOTAL(9,P184:P200)</f>
        <v>26965.2276</v>
      </c>
      <c r="Q202" s="63">
        <f>SUBTOTAL(9,Q184:Q200)</f>
        <v>50875.881049999996</v>
      </c>
      <c r="R202" s="33"/>
    </row>
    <row r="203" spans="1:18" ht="17.25" customHeight="1" outlineLevel="3">
      <c r="A203" s="35">
        <v>33</v>
      </c>
      <c r="B203" s="20">
        <v>3311</v>
      </c>
      <c r="C203" s="7" t="s">
        <v>342</v>
      </c>
      <c r="D203" s="8" t="s">
        <v>342</v>
      </c>
      <c r="E203" s="21" t="s">
        <v>170</v>
      </c>
      <c r="F203" s="36"/>
      <c r="G203" s="37"/>
      <c r="H203" s="34"/>
      <c r="I203" s="34"/>
      <c r="J203" s="34"/>
      <c r="K203" s="34"/>
      <c r="L203" s="34"/>
      <c r="M203" s="34"/>
      <c r="N203" s="34"/>
      <c r="O203" s="17"/>
      <c r="P203" s="63"/>
      <c r="Q203" s="63"/>
      <c r="R203" s="33"/>
    </row>
    <row r="204" spans="1:18" ht="17.25" customHeight="1" outlineLevel="3">
      <c r="A204" s="38">
        <v>33</v>
      </c>
      <c r="B204" s="26">
        <v>3311</v>
      </c>
      <c r="C204" s="27">
        <v>4508</v>
      </c>
      <c r="D204" s="28" t="s">
        <v>319</v>
      </c>
      <c r="E204" s="42" t="s">
        <v>225</v>
      </c>
      <c r="F204" s="30">
        <v>2000</v>
      </c>
      <c r="G204" s="31">
        <v>2000</v>
      </c>
      <c r="H204" s="32">
        <v>6369</v>
      </c>
      <c r="I204" s="32">
        <v>0</v>
      </c>
      <c r="J204" s="32">
        <v>6369</v>
      </c>
      <c r="K204" s="32">
        <f aca="true" t="shared" si="40" ref="K204:K219">+L204+M204</f>
        <v>6369</v>
      </c>
      <c r="L204" s="32">
        <v>6369</v>
      </c>
      <c r="M204" s="32"/>
      <c r="N204" s="32">
        <f aca="true" t="shared" si="41" ref="N204:N219">+P204+Q204</f>
        <v>2419.865</v>
      </c>
      <c r="O204" s="17">
        <f aca="true" t="shared" si="42" ref="O204:O220">IF(K204=0,"0,0",N204*100/K204)</f>
        <v>37.99442612655047</v>
      </c>
      <c r="P204" s="62">
        <v>2419.865</v>
      </c>
      <c r="Q204" s="62"/>
      <c r="R204" s="33" t="s">
        <v>5</v>
      </c>
    </row>
    <row r="205" spans="1:18" ht="17.25" customHeight="1" outlineLevel="3">
      <c r="A205" s="38">
        <v>33</v>
      </c>
      <c r="B205" s="26">
        <v>3311</v>
      </c>
      <c r="C205" s="27">
        <v>4511</v>
      </c>
      <c r="D205" s="28" t="s">
        <v>319</v>
      </c>
      <c r="E205" s="29" t="s">
        <v>287</v>
      </c>
      <c r="F205" s="36" t="s">
        <v>3</v>
      </c>
      <c r="G205" s="37" t="s">
        <v>13</v>
      </c>
      <c r="H205" s="32">
        <f>25600</f>
        <v>25600</v>
      </c>
      <c r="I205" s="32">
        <v>496</v>
      </c>
      <c r="J205" s="32">
        <v>17770</v>
      </c>
      <c r="K205" s="32">
        <f t="shared" si="40"/>
        <v>25104</v>
      </c>
      <c r="L205" s="32">
        <f>17770+5+7329</f>
        <v>25104</v>
      </c>
      <c r="M205" s="32"/>
      <c r="N205" s="32">
        <f t="shared" si="41"/>
        <v>23958.964</v>
      </c>
      <c r="O205" s="17">
        <f t="shared" si="42"/>
        <v>95.4388304652645</v>
      </c>
      <c r="P205" s="62">
        <v>23958.964</v>
      </c>
      <c r="Q205" s="62"/>
      <c r="R205" s="33" t="s">
        <v>5</v>
      </c>
    </row>
    <row r="206" spans="1:18" ht="17.25" customHeight="1" outlineLevel="3">
      <c r="A206" s="38">
        <v>33</v>
      </c>
      <c r="B206" s="26" t="s">
        <v>106</v>
      </c>
      <c r="C206" s="27">
        <v>4512</v>
      </c>
      <c r="D206" s="28" t="s">
        <v>319</v>
      </c>
      <c r="E206" s="29" t="s">
        <v>107</v>
      </c>
      <c r="F206" s="36" t="s">
        <v>3</v>
      </c>
      <c r="G206" s="37" t="s">
        <v>11</v>
      </c>
      <c r="H206" s="32">
        <v>319887</v>
      </c>
      <c r="I206" s="32">
        <v>100</v>
      </c>
      <c r="J206" s="32">
        <v>5000</v>
      </c>
      <c r="K206" s="32">
        <f t="shared" si="40"/>
        <v>3362</v>
      </c>
      <c r="L206" s="32">
        <f>5000-1641+3</f>
        <v>3362</v>
      </c>
      <c r="M206" s="32"/>
      <c r="N206" s="32">
        <f t="shared" si="41"/>
        <v>0</v>
      </c>
      <c r="O206" s="17">
        <f t="shared" si="42"/>
        <v>0</v>
      </c>
      <c r="P206" s="62">
        <v>0</v>
      </c>
      <c r="Q206" s="62"/>
      <c r="R206" s="33" t="s">
        <v>5</v>
      </c>
    </row>
    <row r="207" spans="1:18" ht="17.25" customHeight="1" outlineLevel="3">
      <c r="A207" s="38">
        <v>33</v>
      </c>
      <c r="B207" s="26" t="s">
        <v>106</v>
      </c>
      <c r="C207" s="27">
        <v>4513</v>
      </c>
      <c r="D207" s="28" t="s">
        <v>319</v>
      </c>
      <c r="E207" s="42" t="s">
        <v>226</v>
      </c>
      <c r="F207" s="30">
        <v>1999</v>
      </c>
      <c r="G207" s="31">
        <v>2001</v>
      </c>
      <c r="H207" s="32">
        <v>76564</v>
      </c>
      <c r="I207" s="32">
        <v>0</v>
      </c>
      <c r="J207" s="32">
        <v>19295</v>
      </c>
      <c r="K207" s="32">
        <f t="shared" si="40"/>
        <v>19295</v>
      </c>
      <c r="L207" s="32">
        <v>19295</v>
      </c>
      <c r="M207" s="32"/>
      <c r="N207" s="32">
        <f t="shared" si="41"/>
        <v>19284.32011</v>
      </c>
      <c r="O207" s="17">
        <f t="shared" si="42"/>
        <v>99.94464944286084</v>
      </c>
      <c r="P207" s="62">
        <v>19284.32011</v>
      </c>
      <c r="Q207" s="62"/>
      <c r="R207" s="33" t="s">
        <v>5</v>
      </c>
    </row>
    <row r="208" spans="1:18" ht="17.25" customHeight="1" outlineLevel="3">
      <c r="A208" s="38">
        <v>33</v>
      </c>
      <c r="B208" s="26" t="s">
        <v>106</v>
      </c>
      <c r="C208" s="27">
        <v>4516</v>
      </c>
      <c r="D208" s="28" t="s">
        <v>319</v>
      </c>
      <c r="E208" s="29" t="s">
        <v>285</v>
      </c>
      <c r="F208" s="36" t="s">
        <v>4</v>
      </c>
      <c r="G208" s="37" t="s">
        <v>17</v>
      </c>
      <c r="H208" s="32">
        <v>50453</v>
      </c>
      <c r="I208" s="32">
        <v>0</v>
      </c>
      <c r="J208" s="32">
        <v>1000</v>
      </c>
      <c r="K208" s="32">
        <f t="shared" si="40"/>
        <v>1000</v>
      </c>
      <c r="L208" s="32">
        <v>1000</v>
      </c>
      <c r="M208" s="32"/>
      <c r="N208" s="32">
        <f t="shared" si="41"/>
        <v>955.92</v>
      </c>
      <c r="O208" s="17">
        <f t="shared" si="42"/>
        <v>95.592</v>
      </c>
      <c r="P208" s="62">
        <v>955.92</v>
      </c>
      <c r="Q208" s="62"/>
      <c r="R208" s="33" t="s">
        <v>5</v>
      </c>
    </row>
    <row r="209" spans="1:18" ht="17.25" customHeight="1" outlineLevel="3">
      <c r="A209" s="38">
        <v>33</v>
      </c>
      <c r="B209" s="26" t="s">
        <v>106</v>
      </c>
      <c r="C209" s="27">
        <v>4523</v>
      </c>
      <c r="D209" s="28" t="s">
        <v>319</v>
      </c>
      <c r="E209" s="29" t="s">
        <v>284</v>
      </c>
      <c r="F209" s="36" t="s">
        <v>4</v>
      </c>
      <c r="G209" s="37" t="s">
        <v>4</v>
      </c>
      <c r="H209" s="32">
        <f>6000+25000</f>
        <v>31000</v>
      </c>
      <c r="I209" s="32">
        <v>0</v>
      </c>
      <c r="J209" s="32">
        <v>6000</v>
      </c>
      <c r="K209" s="32">
        <f t="shared" si="40"/>
        <v>28000</v>
      </c>
      <c r="L209" s="32">
        <v>28000</v>
      </c>
      <c r="M209" s="32"/>
      <c r="N209" s="32">
        <f t="shared" si="41"/>
        <v>0</v>
      </c>
      <c r="O209" s="17">
        <f t="shared" si="42"/>
        <v>0</v>
      </c>
      <c r="P209" s="62">
        <v>0</v>
      </c>
      <c r="Q209" s="62"/>
      <c r="R209" s="33" t="s">
        <v>5</v>
      </c>
    </row>
    <row r="210" spans="1:18" ht="17.25" customHeight="1" outlineLevel="3">
      <c r="A210" s="38">
        <v>33</v>
      </c>
      <c r="B210" s="26" t="s">
        <v>106</v>
      </c>
      <c r="C210" s="27">
        <v>4524</v>
      </c>
      <c r="D210" s="28" t="s">
        <v>319</v>
      </c>
      <c r="E210" s="29" t="s">
        <v>286</v>
      </c>
      <c r="F210" s="36" t="s">
        <v>4</v>
      </c>
      <c r="G210" s="37" t="s">
        <v>4</v>
      </c>
      <c r="H210" s="32">
        <v>5000</v>
      </c>
      <c r="I210" s="32">
        <v>0</v>
      </c>
      <c r="J210" s="32">
        <v>5000</v>
      </c>
      <c r="K210" s="32">
        <f t="shared" si="40"/>
        <v>4486</v>
      </c>
      <c r="L210" s="32">
        <v>4486</v>
      </c>
      <c r="M210" s="32"/>
      <c r="N210" s="32">
        <f t="shared" si="41"/>
        <v>4336.438</v>
      </c>
      <c r="O210" s="17">
        <f t="shared" si="42"/>
        <v>96.6660276415515</v>
      </c>
      <c r="P210" s="65">
        <v>4336.438</v>
      </c>
      <c r="Q210" s="62"/>
      <c r="R210" s="33" t="s">
        <v>5</v>
      </c>
    </row>
    <row r="211" spans="1:18" ht="17.25" customHeight="1" outlineLevel="3">
      <c r="A211" s="38">
        <v>33</v>
      </c>
      <c r="B211" s="26">
        <v>3311</v>
      </c>
      <c r="C211" s="27">
        <v>4525</v>
      </c>
      <c r="D211" s="28" t="s">
        <v>487</v>
      </c>
      <c r="E211" s="29" t="s">
        <v>476</v>
      </c>
      <c r="F211" s="30">
        <v>2000</v>
      </c>
      <c r="G211" s="31">
        <v>2000</v>
      </c>
      <c r="H211" s="32">
        <v>3000</v>
      </c>
      <c r="I211" s="32"/>
      <c r="J211" s="32">
        <v>0</v>
      </c>
      <c r="K211" s="32">
        <f t="shared" si="40"/>
        <v>3000</v>
      </c>
      <c r="L211" s="32">
        <v>3000</v>
      </c>
      <c r="M211" s="32"/>
      <c r="N211" s="32">
        <f t="shared" si="41"/>
        <v>2992.5</v>
      </c>
      <c r="O211" s="17">
        <f t="shared" si="42"/>
        <v>99.75</v>
      </c>
      <c r="P211" s="65">
        <v>2992.5</v>
      </c>
      <c r="Q211" s="62"/>
      <c r="R211" s="33" t="s">
        <v>5</v>
      </c>
    </row>
    <row r="212" spans="1:18" ht="17.25" customHeight="1" outlineLevel="3">
      <c r="A212" s="38">
        <v>33</v>
      </c>
      <c r="B212" s="26" t="s">
        <v>106</v>
      </c>
      <c r="C212" s="27">
        <v>9122</v>
      </c>
      <c r="D212" s="28" t="s">
        <v>319</v>
      </c>
      <c r="E212" s="29" t="s">
        <v>208</v>
      </c>
      <c r="F212" s="36" t="s">
        <v>4</v>
      </c>
      <c r="G212" s="37" t="s">
        <v>4</v>
      </c>
      <c r="H212" s="32">
        <v>500</v>
      </c>
      <c r="I212" s="32">
        <v>0</v>
      </c>
      <c r="J212" s="32">
        <v>500</v>
      </c>
      <c r="K212" s="32">
        <f t="shared" si="40"/>
        <v>500</v>
      </c>
      <c r="L212" s="32">
        <v>500</v>
      </c>
      <c r="M212" s="32"/>
      <c r="N212" s="32">
        <f t="shared" si="41"/>
        <v>500</v>
      </c>
      <c r="O212" s="17">
        <f t="shared" si="42"/>
        <v>100</v>
      </c>
      <c r="P212" s="62">
        <v>500</v>
      </c>
      <c r="Q212" s="62"/>
      <c r="R212" s="33" t="s">
        <v>5</v>
      </c>
    </row>
    <row r="213" spans="1:18" ht="17.25" customHeight="1" outlineLevel="3">
      <c r="A213" s="38">
        <v>33</v>
      </c>
      <c r="B213" s="26" t="s">
        <v>106</v>
      </c>
      <c r="C213" s="27">
        <v>9122</v>
      </c>
      <c r="D213" s="28" t="s">
        <v>319</v>
      </c>
      <c r="E213" s="29" t="s">
        <v>154</v>
      </c>
      <c r="F213" s="36" t="s">
        <v>4</v>
      </c>
      <c r="G213" s="37" t="s">
        <v>4</v>
      </c>
      <c r="H213" s="32">
        <v>200</v>
      </c>
      <c r="I213" s="32">
        <v>0</v>
      </c>
      <c r="J213" s="32">
        <v>200</v>
      </c>
      <c r="K213" s="32">
        <f t="shared" si="40"/>
        <v>200</v>
      </c>
      <c r="L213" s="32">
        <v>200</v>
      </c>
      <c r="M213" s="32"/>
      <c r="N213" s="32">
        <f t="shared" si="41"/>
        <v>200</v>
      </c>
      <c r="O213" s="17">
        <f t="shared" si="42"/>
        <v>100</v>
      </c>
      <c r="P213" s="62">
        <v>200</v>
      </c>
      <c r="Q213" s="62"/>
      <c r="R213" s="33" t="s">
        <v>5</v>
      </c>
    </row>
    <row r="214" spans="1:18" ht="17.25" customHeight="1" outlineLevel="3">
      <c r="A214" s="38">
        <v>33</v>
      </c>
      <c r="B214" s="26" t="s">
        <v>106</v>
      </c>
      <c r="C214" s="27">
        <v>9122</v>
      </c>
      <c r="D214" s="28" t="s">
        <v>319</v>
      </c>
      <c r="E214" s="29" t="s">
        <v>155</v>
      </c>
      <c r="F214" s="36" t="s">
        <v>4</v>
      </c>
      <c r="G214" s="37" t="s">
        <v>4</v>
      </c>
      <c r="H214" s="32">
        <v>500</v>
      </c>
      <c r="I214" s="32">
        <v>0</v>
      </c>
      <c r="J214" s="32">
        <v>500</v>
      </c>
      <c r="K214" s="32">
        <f t="shared" si="40"/>
        <v>500</v>
      </c>
      <c r="L214" s="32">
        <v>500</v>
      </c>
      <c r="M214" s="32"/>
      <c r="N214" s="32">
        <f t="shared" si="41"/>
        <v>500</v>
      </c>
      <c r="O214" s="17">
        <f t="shared" si="42"/>
        <v>100</v>
      </c>
      <c r="P214" s="62">
        <v>500</v>
      </c>
      <c r="Q214" s="62"/>
      <c r="R214" s="33" t="s">
        <v>5</v>
      </c>
    </row>
    <row r="215" spans="1:18" ht="17.25" customHeight="1" outlineLevel="3">
      <c r="A215" s="38">
        <v>33</v>
      </c>
      <c r="B215" s="26">
        <v>3311</v>
      </c>
      <c r="C215" s="27">
        <v>9123</v>
      </c>
      <c r="D215" s="28" t="s">
        <v>487</v>
      </c>
      <c r="E215" s="29" t="s">
        <v>502</v>
      </c>
      <c r="F215" s="30">
        <v>2000</v>
      </c>
      <c r="G215" s="31">
        <v>2000</v>
      </c>
      <c r="H215" s="32">
        <v>20000</v>
      </c>
      <c r="I215" s="32">
        <v>0</v>
      </c>
      <c r="J215" s="32">
        <v>0</v>
      </c>
      <c r="K215" s="32">
        <f t="shared" si="40"/>
        <v>20000</v>
      </c>
      <c r="L215" s="32">
        <v>20000</v>
      </c>
      <c r="M215" s="32"/>
      <c r="N215" s="32">
        <f>+P215+Q215</f>
        <v>19999.9998</v>
      </c>
      <c r="O215" s="17">
        <f>IF(K215=0,"0,0",N215*100/K215)</f>
        <v>99.99999900000002</v>
      </c>
      <c r="P215" s="62">
        <v>19999.9998</v>
      </c>
      <c r="Q215" s="62"/>
      <c r="R215" s="33" t="s">
        <v>542</v>
      </c>
    </row>
    <row r="216" spans="1:18" ht="17.25" customHeight="1" outlineLevel="3">
      <c r="A216" s="38">
        <v>33</v>
      </c>
      <c r="B216" s="26" t="s">
        <v>106</v>
      </c>
      <c r="C216" s="27">
        <v>9123</v>
      </c>
      <c r="D216" s="28" t="s">
        <v>319</v>
      </c>
      <c r="E216" s="29" t="s">
        <v>204</v>
      </c>
      <c r="F216" s="36" t="s">
        <v>4</v>
      </c>
      <c r="G216" s="37" t="s">
        <v>4</v>
      </c>
      <c r="H216" s="32">
        <v>250</v>
      </c>
      <c r="I216" s="32">
        <v>0</v>
      </c>
      <c r="J216" s="32">
        <v>250</v>
      </c>
      <c r="K216" s="32">
        <f t="shared" si="40"/>
        <v>250</v>
      </c>
      <c r="L216" s="32">
        <v>250</v>
      </c>
      <c r="M216" s="32"/>
      <c r="N216" s="32">
        <f t="shared" si="41"/>
        <v>250</v>
      </c>
      <c r="O216" s="17">
        <f t="shared" si="42"/>
        <v>100</v>
      </c>
      <c r="P216" s="62">
        <v>250</v>
      </c>
      <c r="Q216" s="62"/>
      <c r="R216" s="33" t="s">
        <v>5</v>
      </c>
    </row>
    <row r="217" spans="1:18" ht="17.25" customHeight="1" outlineLevel="3">
      <c r="A217" s="38">
        <v>33</v>
      </c>
      <c r="B217" s="26" t="s">
        <v>106</v>
      </c>
      <c r="C217" s="27">
        <v>9123</v>
      </c>
      <c r="D217" s="28" t="s">
        <v>319</v>
      </c>
      <c r="E217" s="29" t="s">
        <v>206</v>
      </c>
      <c r="F217" s="36" t="s">
        <v>4</v>
      </c>
      <c r="G217" s="37" t="s">
        <v>4</v>
      </c>
      <c r="H217" s="32">
        <v>500</v>
      </c>
      <c r="I217" s="32">
        <v>0</v>
      </c>
      <c r="J217" s="32">
        <v>500</v>
      </c>
      <c r="K217" s="32">
        <f t="shared" si="40"/>
        <v>500</v>
      </c>
      <c r="L217" s="32">
        <v>500</v>
      </c>
      <c r="M217" s="32"/>
      <c r="N217" s="32">
        <f t="shared" si="41"/>
        <v>500</v>
      </c>
      <c r="O217" s="17">
        <f t="shared" si="42"/>
        <v>100</v>
      </c>
      <c r="P217" s="62">
        <v>500</v>
      </c>
      <c r="Q217" s="62"/>
      <c r="R217" s="33" t="s">
        <v>5</v>
      </c>
    </row>
    <row r="218" spans="1:18" ht="17.25" customHeight="1" outlineLevel="3">
      <c r="A218" s="38">
        <v>33</v>
      </c>
      <c r="B218" s="26" t="s">
        <v>106</v>
      </c>
      <c r="C218" s="27">
        <v>9123</v>
      </c>
      <c r="D218" s="28" t="s">
        <v>319</v>
      </c>
      <c r="E218" s="29" t="s">
        <v>205</v>
      </c>
      <c r="F218" s="36" t="s">
        <v>4</v>
      </c>
      <c r="G218" s="37" t="s">
        <v>4</v>
      </c>
      <c r="H218" s="32">
        <v>600</v>
      </c>
      <c r="I218" s="32">
        <v>0</v>
      </c>
      <c r="J218" s="32">
        <v>600</v>
      </c>
      <c r="K218" s="32">
        <f t="shared" si="40"/>
        <v>600</v>
      </c>
      <c r="L218" s="32">
        <v>600</v>
      </c>
      <c r="M218" s="32"/>
      <c r="N218" s="32">
        <f t="shared" si="41"/>
        <v>600</v>
      </c>
      <c r="O218" s="17">
        <f t="shared" si="42"/>
        <v>100</v>
      </c>
      <c r="P218" s="62">
        <v>600</v>
      </c>
      <c r="Q218" s="62"/>
      <c r="R218" s="33" t="s">
        <v>5</v>
      </c>
    </row>
    <row r="219" spans="1:18" ht="17.25" customHeight="1" outlineLevel="3">
      <c r="A219" s="38">
        <v>33</v>
      </c>
      <c r="B219" s="26" t="s">
        <v>106</v>
      </c>
      <c r="C219" s="27">
        <v>9123</v>
      </c>
      <c r="D219" s="28" t="s">
        <v>319</v>
      </c>
      <c r="E219" s="29" t="s">
        <v>207</v>
      </c>
      <c r="F219" s="36" t="s">
        <v>4</v>
      </c>
      <c r="G219" s="37" t="s">
        <v>4</v>
      </c>
      <c r="H219" s="32">
        <v>650</v>
      </c>
      <c r="I219" s="32">
        <v>0</v>
      </c>
      <c r="J219" s="32">
        <v>650</v>
      </c>
      <c r="K219" s="32">
        <f t="shared" si="40"/>
        <v>650</v>
      </c>
      <c r="L219" s="32">
        <v>650</v>
      </c>
      <c r="M219" s="32"/>
      <c r="N219" s="32">
        <f t="shared" si="41"/>
        <v>650</v>
      </c>
      <c r="O219" s="17">
        <f t="shared" si="42"/>
        <v>100</v>
      </c>
      <c r="P219" s="62">
        <v>650</v>
      </c>
      <c r="Q219" s="62"/>
      <c r="R219" s="33" t="s">
        <v>5</v>
      </c>
    </row>
    <row r="220" spans="1:18" ht="17.25" customHeight="1" outlineLevel="2">
      <c r="A220" s="38"/>
      <c r="B220" s="20" t="s">
        <v>443</v>
      </c>
      <c r="C220" s="27"/>
      <c r="D220" s="28"/>
      <c r="E220" s="29"/>
      <c r="F220" s="36"/>
      <c r="G220" s="37"/>
      <c r="H220" s="34">
        <f aca="true" t="shared" si="43" ref="H220:N220">SUBTOTAL(9,H203:H219)</f>
        <v>541073</v>
      </c>
      <c r="I220" s="34">
        <f t="shared" si="43"/>
        <v>596</v>
      </c>
      <c r="J220" s="34">
        <f t="shared" si="43"/>
        <v>63634</v>
      </c>
      <c r="K220" s="34">
        <f t="shared" si="43"/>
        <v>113816</v>
      </c>
      <c r="L220" s="34">
        <f t="shared" si="43"/>
        <v>113816</v>
      </c>
      <c r="M220" s="34">
        <f t="shared" si="43"/>
        <v>0</v>
      </c>
      <c r="N220" s="34">
        <f t="shared" si="43"/>
        <v>77148.00691</v>
      </c>
      <c r="O220" s="55">
        <f t="shared" si="42"/>
        <v>67.78309456491178</v>
      </c>
      <c r="P220" s="63">
        <f>SUBTOTAL(9,P203:P219)</f>
        <v>77148.00691</v>
      </c>
      <c r="Q220" s="63">
        <f>SUBTOTAL(9,Q203:Q219)</f>
        <v>0</v>
      </c>
      <c r="R220" s="33"/>
    </row>
    <row r="221" spans="1:18" ht="17.25" customHeight="1" outlineLevel="3">
      <c r="A221" s="35">
        <v>33</v>
      </c>
      <c r="B221" s="20">
        <v>3312</v>
      </c>
      <c r="C221" s="50" t="s">
        <v>342</v>
      </c>
      <c r="D221" s="51" t="s">
        <v>342</v>
      </c>
      <c r="E221" s="21" t="s">
        <v>507</v>
      </c>
      <c r="F221" s="36"/>
      <c r="G221" s="37"/>
      <c r="H221" s="34"/>
      <c r="I221" s="34"/>
      <c r="J221" s="34"/>
      <c r="K221" s="34"/>
      <c r="L221" s="34"/>
      <c r="M221" s="34"/>
      <c r="N221" s="34"/>
      <c r="O221" s="55"/>
      <c r="P221" s="63"/>
      <c r="Q221" s="63"/>
      <c r="R221" s="33"/>
    </row>
    <row r="222" spans="1:18" ht="17.25" customHeight="1" outlineLevel="3">
      <c r="A222" s="38">
        <v>33</v>
      </c>
      <c r="B222" s="20">
        <v>3312</v>
      </c>
      <c r="C222" s="27">
        <v>9129</v>
      </c>
      <c r="D222" s="28" t="s">
        <v>487</v>
      </c>
      <c r="E222" s="29" t="s">
        <v>511</v>
      </c>
      <c r="F222" s="30">
        <v>2000</v>
      </c>
      <c r="G222" s="31">
        <v>2000</v>
      </c>
      <c r="H222" s="32">
        <v>2500</v>
      </c>
      <c r="I222" s="32"/>
      <c r="J222" s="32">
        <v>0</v>
      </c>
      <c r="K222" s="32">
        <f>+L222+M222</f>
        <v>2500</v>
      </c>
      <c r="L222" s="32">
        <v>2500</v>
      </c>
      <c r="M222" s="32"/>
      <c r="N222" s="32">
        <f>+P222+Q222</f>
        <v>2500</v>
      </c>
      <c r="O222" s="17">
        <f>IF(K222=0,"0,0",N222*100/K222)</f>
        <v>100</v>
      </c>
      <c r="P222" s="62">
        <v>2500</v>
      </c>
      <c r="Q222" s="62"/>
      <c r="R222" s="33" t="s">
        <v>506</v>
      </c>
    </row>
    <row r="223" spans="1:18" ht="17.25" customHeight="1" outlineLevel="2">
      <c r="A223" s="38"/>
      <c r="B223" s="20" t="s">
        <v>508</v>
      </c>
      <c r="C223" s="27"/>
      <c r="D223" s="28"/>
      <c r="E223" s="29"/>
      <c r="F223" s="36"/>
      <c r="G223" s="37"/>
      <c r="H223" s="34">
        <f aca="true" t="shared" si="44" ref="H223:N223">SUBTOTAL(9,H221:H222)</f>
        <v>2500</v>
      </c>
      <c r="I223" s="34">
        <f t="shared" si="44"/>
        <v>0</v>
      </c>
      <c r="J223" s="34">
        <f t="shared" si="44"/>
        <v>0</v>
      </c>
      <c r="K223" s="34">
        <f t="shared" si="44"/>
        <v>2500</v>
      </c>
      <c r="L223" s="34">
        <f t="shared" si="44"/>
        <v>2500</v>
      </c>
      <c r="M223" s="34">
        <f t="shared" si="44"/>
        <v>0</v>
      </c>
      <c r="N223" s="34">
        <f t="shared" si="44"/>
        <v>2500</v>
      </c>
      <c r="O223" s="55">
        <f>IF(K223=0,"0,0",N223*100/K223)</f>
        <v>100</v>
      </c>
      <c r="P223" s="63">
        <f>SUBTOTAL(9,P221:P222)</f>
        <v>2500</v>
      </c>
      <c r="Q223" s="63">
        <f>SUBTOTAL(9,Q221:Q222)</f>
        <v>0</v>
      </c>
      <c r="R223" s="33"/>
    </row>
    <row r="224" spans="1:18" ht="17.25" customHeight="1" outlineLevel="3">
      <c r="A224" s="35">
        <v>33</v>
      </c>
      <c r="B224" s="20" t="s">
        <v>153</v>
      </c>
      <c r="C224" s="7" t="s">
        <v>342</v>
      </c>
      <c r="D224" s="8" t="s">
        <v>342</v>
      </c>
      <c r="E224" s="39" t="s">
        <v>171</v>
      </c>
      <c r="F224" s="36"/>
      <c r="G224" s="37"/>
      <c r="H224" s="34"/>
      <c r="I224" s="34"/>
      <c r="J224" s="34"/>
      <c r="K224" s="34"/>
      <c r="L224" s="34"/>
      <c r="M224" s="34"/>
      <c r="N224" s="34"/>
      <c r="O224" s="17"/>
      <c r="P224" s="63"/>
      <c r="Q224" s="63"/>
      <c r="R224" s="33"/>
    </row>
    <row r="225" spans="1:18" ht="17.25" customHeight="1" outlineLevel="3">
      <c r="A225" s="38">
        <v>33</v>
      </c>
      <c r="B225" s="26" t="s">
        <v>153</v>
      </c>
      <c r="C225" s="27">
        <v>4507</v>
      </c>
      <c r="D225" s="28" t="s">
        <v>319</v>
      </c>
      <c r="E225" s="29" t="s">
        <v>227</v>
      </c>
      <c r="F225" s="40" t="s">
        <v>22</v>
      </c>
      <c r="G225" s="41" t="s">
        <v>13</v>
      </c>
      <c r="H225" s="32">
        <v>136800</v>
      </c>
      <c r="I225" s="32">
        <v>75019</v>
      </c>
      <c r="J225" s="32">
        <v>41800</v>
      </c>
      <c r="K225" s="32">
        <f>+L225+M225</f>
        <v>41800</v>
      </c>
      <c r="L225" s="32">
        <v>41800</v>
      </c>
      <c r="M225" s="32"/>
      <c r="N225" s="32">
        <f>+P225+Q225</f>
        <v>36107.9297</v>
      </c>
      <c r="O225" s="17">
        <f>IF(K225=0,"0,0",N225*100/K225)</f>
        <v>86.38260693779905</v>
      </c>
      <c r="P225" s="62">
        <v>36107.9297</v>
      </c>
      <c r="Q225" s="62"/>
      <c r="R225" s="33" t="s">
        <v>5</v>
      </c>
    </row>
    <row r="226" spans="1:18" ht="17.25" customHeight="1" outlineLevel="3">
      <c r="A226" s="38">
        <v>33</v>
      </c>
      <c r="B226" s="26" t="s">
        <v>153</v>
      </c>
      <c r="C226" s="27">
        <v>4520</v>
      </c>
      <c r="D226" s="28" t="s">
        <v>319</v>
      </c>
      <c r="E226" s="29" t="s">
        <v>413</v>
      </c>
      <c r="F226" s="40" t="s">
        <v>4</v>
      </c>
      <c r="G226" s="41" t="s">
        <v>17</v>
      </c>
      <c r="H226" s="32">
        <v>27204</v>
      </c>
      <c r="I226" s="32">
        <v>0</v>
      </c>
      <c r="J226" s="32">
        <v>11547</v>
      </c>
      <c r="K226" s="32">
        <f>+L226+M226</f>
        <v>6547</v>
      </c>
      <c r="L226" s="32">
        <f>11547-5000</f>
        <v>6547</v>
      </c>
      <c r="M226" s="32"/>
      <c r="N226" s="32">
        <f>+P226+Q226</f>
        <v>767.175</v>
      </c>
      <c r="O226" s="17">
        <f>IF(K226=0,"0,0",N226*100/K226)</f>
        <v>11.717962425538415</v>
      </c>
      <c r="P226" s="62">
        <v>767.175</v>
      </c>
      <c r="Q226" s="62"/>
      <c r="R226" s="33" t="s">
        <v>5</v>
      </c>
    </row>
    <row r="227" spans="1:18" ht="17.25" customHeight="1" outlineLevel="3">
      <c r="A227" s="38">
        <v>33</v>
      </c>
      <c r="B227" s="26" t="s">
        <v>153</v>
      </c>
      <c r="C227" s="27">
        <v>9120</v>
      </c>
      <c r="D227" s="28" t="s">
        <v>319</v>
      </c>
      <c r="E227" s="29" t="s">
        <v>413</v>
      </c>
      <c r="F227" s="40" t="s">
        <v>4</v>
      </c>
      <c r="G227" s="41" t="s">
        <v>4</v>
      </c>
      <c r="H227" s="32">
        <v>340</v>
      </c>
      <c r="I227" s="32">
        <v>0</v>
      </c>
      <c r="J227" s="32">
        <v>0</v>
      </c>
      <c r="K227" s="32">
        <f>+L227+M227</f>
        <v>340</v>
      </c>
      <c r="L227" s="32">
        <v>340</v>
      </c>
      <c r="M227" s="32"/>
      <c r="N227" s="32">
        <f>+P227+Q227</f>
        <v>299.9934</v>
      </c>
      <c r="O227" s="17">
        <f>IF(K227=0,"0,0",N227*100/K227)</f>
        <v>88.23335294117648</v>
      </c>
      <c r="P227" s="62">
        <v>299.9934</v>
      </c>
      <c r="Q227" s="62"/>
      <c r="R227" s="33" t="s">
        <v>5</v>
      </c>
    </row>
    <row r="228" spans="1:18" ht="17.25" customHeight="1" outlineLevel="2">
      <c r="A228" s="38"/>
      <c r="B228" s="20" t="s">
        <v>444</v>
      </c>
      <c r="C228" s="27"/>
      <c r="D228" s="28"/>
      <c r="E228" s="29"/>
      <c r="F228" s="40"/>
      <c r="G228" s="41"/>
      <c r="H228" s="34">
        <f aca="true" t="shared" si="45" ref="H228:N228">SUBTOTAL(9,H224:H227)</f>
        <v>164344</v>
      </c>
      <c r="I228" s="34">
        <f t="shared" si="45"/>
        <v>75019</v>
      </c>
      <c r="J228" s="34">
        <f t="shared" si="45"/>
        <v>53347</v>
      </c>
      <c r="K228" s="34">
        <f t="shared" si="45"/>
        <v>48687</v>
      </c>
      <c r="L228" s="34">
        <f t="shared" si="45"/>
        <v>48687</v>
      </c>
      <c r="M228" s="34">
        <f t="shared" si="45"/>
        <v>0</v>
      </c>
      <c r="N228" s="34">
        <f t="shared" si="45"/>
        <v>37175.0981</v>
      </c>
      <c r="O228" s="55">
        <f>IF(K228=0,"0,0",N228*100/K228)</f>
        <v>76.3552860106394</v>
      </c>
      <c r="P228" s="63">
        <f>SUBTOTAL(9,P224:P227)</f>
        <v>37175.0981</v>
      </c>
      <c r="Q228" s="63">
        <f>SUBTOTAL(9,Q224:Q227)</f>
        <v>0</v>
      </c>
      <c r="R228" s="33"/>
    </row>
    <row r="229" spans="1:18" ht="17.25" customHeight="1" outlineLevel="3">
      <c r="A229" s="35">
        <v>33</v>
      </c>
      <c r="B229" s="20" t="s">
        <v>109</v>
      </c>
      <c r="C229" s="7" t="s">
        <v>342</v>
      </c>
      <c r="D229" s="8" t="s">
        <v>342</v>
      </c>
      <c r="E229" s="39" t="s">
        <v>193</v>
      </c>
      <c r="F229" s="40"/>
      <c r="G229" s="41"/>
      <c r="H229" s="34"/>
      <c r="I229" s="34"/>
      <c r="J229" s="34"/>
      <c r="K229" s="34"/>
      <c r="L229" s="34"/>
      <c r="M229" s="34"/>
      <c r="N229" s="34"/>
      <c r="O229" s="17"/>
      <c r="P229" s="63"/>
      <c r="Q229" s="63"/>
      <c r="R229" s="33"/>
    </row>
    <row r="230" spans="1:18" ht="17.25" customHeight="1" outlineLevel="3">
      <c r="A230" s="38">
        <v>33</v>
      </c>
      <c r="B230" s="26" t="s">
        <v>109</v>
      </c>
      <c r="C230" s="27">
        <v>4522</v>
      </c>
      <c r="D230" s="28" t="s">
        <v>319</v>
      </c>
      <c r="E230" s="29" t="s">
        <v>110</v>
      </c>
      <c r="F230" s="36" t="s">
        <v>4</v>
      </c>
      <c r="G230" s="37" t="s">
        <v>4</v>
      </c>
      <c r="H230" s="32">
        <v>1179</v>
      </c>
      <c r="I230" s="32">
        <v>0</v>
      </c>
      <c r="J230" s="32">
        <v>1179</v>
      </c>
      <c r="K230" s="32">
        <f>+L230+M230</f>
        <v>1179</v>
      </c>
      <c r="L230" s="32">
        <v>1179</v>
      </c>
      <c r="M230" s="32"/>
      <c r="N230" s="32">
        <f>+P230+Q230</f>
        <v>1174.052</v>
      </c>
      <c r="O230" s="70">
        <f>IF(K230=0,"0,0",N230*100/K230)</f>
        <v>99.58032230703986</v>
      </c>
      <c r="P230" s="62">
        <v>1174.052</v>
      </c>
      <c r="Q230" s="62"/>
      <c r="R230" s="33" t="s">
        <v>5</v>
      </c>
    </row>
    <row r="231" spans="1:18" ht="17.25" customHeight="1" outlineLevel="2">
      <c r="A231" s="38"/>
      <c r="B231" s="20" t="s">
        <v>445</v>
      </c>
      <c r="C231" s="27"/>
      <c r="D231" s="28"/>
      <c r="E231" s="29"/>
      <c r="F231" s="36"/>
      <c r="G231" s="37"/>
      <c r="H231" s="34">
        <f aca="true" t="shared" si="46" ref="H231:N231">SUBTOTAL(9,H229:H230)</f>
        <v>1179</v>
      </c>
      <c r="I231" s="34">
        <f t="shared" si="46"/>
        <v>0</v>
      </c>
      <c r="J231" s="34">
        <f t="shared" si="46"/>
        <v>1179</v>
      </c>
      <c r="K231" s="34">
        <f t="shared" si="46"/>
        <v>1179</v>
      </c>
      <c r="L231" s="34">
        <f t="shared" si="46"/>
        <v>1179</v>
      </c>
      <c r="M231" s="34">
        <f t="shared" si="46"/>
        <v>0</v>
      </c>
      <c r="N231" s="34">
        <f t="shared" si="46"/>
        <v>1174.052</v>
      </c>
      <c r="O231" s="69">
        <f>IF(K231=0,"0,0",N231*100/K231)</f>
        <v>99.58032230703986</v>
      </c>
      <c r="P231" s="63">
        <f>SUBTOTAL(9,P229:P230)</f>
        <v>1174.052</v>
      </c>
      <c r="Q231" s="63">
        <f>SUBTOTAL(9,Q229:Q230)</f>
        <v>0</v>
      </c>
      <c r="R231" s="33"/>
    </row>
    <row r="232" spans="1:18" ht="17.25" customHeight="1" outlineLevel="3">
      <c r="A232" s="35">
        <v>33</v>
      </c>
      <c r="B232" s="20">
        <v>3319</v>
      </c>
      <c r="C232" s="7" t="s">
        <v>342</v>
      </c>
      <c r="D232" s="8" t="s">
        <v>342</v>
      </c>
      <c r="E232" s="21" t="s">
        <v>194</v>
      </c>
      <c r="F232" s="30"/>
      <c r="G232" s="31"/>
      <c r="H232" s="34"/>
      <c r="I232" s="34"/>
      <c r="J232" s="34"/>
      <c r="K232" s="34"/>
      <c r="L232" s="34"/>
      <c r="M232" s="34"/>
      <c r="N232" s="34"/>
      <c r="O232" s="17"/>
      <c r="P232" s="63"/>
      <c r="Q232" s="63"/>
      <c r="R232" s="33"/>
    </row>
    <row r="233" spans="1:18" ht="17.25" customHeight="1" outlineLevel="3">
      <c r="A233" s="38">
        <v>33</v>
      </c>
      <c r="B233" s="26">
        <v>3319</v>
      </c>
      <c r="C233" s="27">
        <v>4509</v>
      </c>
      <c r="D233" s="28" t="s">
        <v>319</v>
      </c>
      <c r="E233" s="29" t="s">
        <v>335</v>
      </c>
      <c r="F233" s="30">
        <v>2000</v>
      </c>
      <c r="G233" s="31">
        <v>2000</v>
      </c>
      <c r="H233" s="32">
        <v>34905</v>
      </c>
      <c r="I233" s="32">
        <v>12333</v>
      </c>
      <c r="J233" s="32">
        <v>0</v>
      </c>
      <c r="K233" s="32">
        <f>+L233+M233</f>
        <v>22545</v>
      </c>
      <c r="L233" s="32">
        <f>4509+18036</f>
        <v>22545</v>
      </c>
      <c r="M233" s="32">
        <v>0</v>
      </c>
      <c r="N233" s="32">
        <f>+P233+Q233</f>
        <v>22517.32795</v>
      </c>
      <c r="O233" s="17">
        <f>IF(K233=0,"0,0",N233*100/K233)</f>
        <v>99.87725859392326</v>
      </c>
      <c r="P233" s="62">
        <v>22517.32795</v>
      </c>
      <c r="Q233" s="62"/>
      <c r="R233" s="33" t="s">
        <v>5</v>
      </c>
    </row>
    <row r="234" spans="1:18" ht="17.25" customHeight="1" outlineLevel="3">
      <c r="A234" s="38">
        <v>33</v>
      </c>
      <c r="B234" s="26" t="s">
        <v>111</v>
      </c>
      <c r="C234" s="27">
        <v>4521</v>
      </c>
      <c r="D234" s="28" t="s">
        <v>319</v>
      </c>
      <c r="E234" s="42" t="s">
        <v>313</v>
      </c>
      <c r="F234" s="30">
        <v>2000</v>
      </c>
      <c r="G234" s="46" t="s">
        <v>4</v>
      </c>
      <c r="H234" s="32">
        <v>6325</v>
      </c>
      <c r="I234" s="32"/>
      <c r="J234" s="32">
        <v>6325</v>
      </c>
      <c r="K234" s="32">
        <f>+L234+M234</f>
        <v>6325</v>
      </c>
      <c r="L234" s="32">
        <v>6325</v>
      </c>
      <c r="M234" s="32"/>
      <c r="N234" s="32">
        <f>+P234+Q234</f>
        <v>6238.775</v>
      </c>
      <c r="O234" s="17">
        <f>IF(K234=0,"0,0",N234*100/K234)</f>
        <v>98.63675889328063</v>
      </c>
      <c r="P234" s="62">
        <v>6238.775</v>
      </c>
      <c r="Q234" s="62"/>
      <c r="R234" s="33" t="s">
        <v>5</v>
      </c>
    </row>
    <row r="235" spans="1:18" ht="17.25" customHeight="1" outlineLevel="2">
      <c r="A235" s="38"/>
      <c r="B235" s="20" t="s">
        <v>446</v>
      </c>
      <c r="C235" s="27"/>
      <c r="D235" s="28"/>
      <c r="E235" s="42"/>
      <c r="F235" s="30"/>
      <c r="G235" s="46"/>
      <c r="H235" s="34">
        <f aca="true" t="shared" si="47" ref="H235:N235">SUBTOTAL(9,H232:H234)</f>
        <v>41230</v>
      </c>
      <c r="I235" s="34">
        <f t="shared" si="47"/>
        <v>12333</v>
      </c>
      <c r="J235" s="34">
        <f t="shared" si="47"/>
        <v>6325</v>
      </c>
      <c r="K235" s="34">
        <f t="shared" si="47"/>
        <v>28870</v>
      </c>
      <c r="L235" s="34">
        <f t="shared" si="47"/>
        <v>28870</v>
      </c>
      <c r="M235" s="34">
        <f t="shared" si="47"/>
        <v>0</v>
      </c>
      <c r="N235" s="34">
        <f t="shared" si="47"/>
        <v>28756.10295</v>
      </c>
      <c r="O235" s="55">
        <f>IF(K235=0,"0,0",N235*100/K235)</f>
        <v>99.60548302736404</v>
      </c>
      <c r="P235" s="63">
        <f>SUBTOTAL(9,P232:P234)</f>
        <v>28756.10295</v>
      </c>
      <c r="Q235" s="63">
        <f>SUBTOTAL(9,Q232:Q234)</f>
        <v>0</v>
      </c>
      <c r="R235" s="33"/>
    </row>
    <row r="236" spans="1:18" ht="17.25" customHeight="1" outlineLevel="3">
      <c r="A236" s="35">
        <v>33</v>
      </c>
      <c r="B236" s="20">
        <v>3322</v>
      </c>
      <c r="C236" s="7" t="s">
        <v>342</v>
      </c>
      <c r="D236" s="8" t="s">
        <v>342</v>
      </c>
      <c r="E236" s="9" t="s">
        <v>229</v>
      </c>
      <c r="F236" s="36"/>
      <c r="G236" s="37"/>
      <c r="H236" s="34"/>
      <c r="I236" s="34"/>
      <c r="J236" s="34"/>
      <c r="K236" s="34"/>
      <c r="L236" s="34"/>
      <c r="M236" s="34"/>
      <c r="N236" s="34"/>
      <c r="O236" s="17"/>
      <c r="P236" s="63"/>
      <c r="Q236" s="63"/>
      <c r="R236" s="33"/>
    </row>
    <row r="237" spans="1:18" ht="17.25" customHeight="1" outlineLevel="3">
      <c r="A237" s="38">
        <v>33</v>
      </c>
      <c r="B237" s="26">
        <v>3322</v>
      </c>
      <c r="C237" s="27">
        <v>4501</v>
      </c>
      <c r="D237" s="28" t="s">
        <v>319</v>
      </c>
      <c r="E237" s="42" t="s">
        <v>230</v>
      </c>
      <c r="F237" s="30">
        <v>1990</v>
      </c>
      <c r="G237" s="46" t="s">
        <v>4</v>
      </c>
      <c r="H237" s="32">
        <v>440813</v>
      </c>
      <c r="I237" s="32">
        <v>403711</v>
      </c>
      <c r="J237" s="32">
        <v>37102</v>
      </c>
      <c r="K237" s="32">
        <f>+L237+M237</f>
        <v>38281</v>
      </c>
      <c r="L237" s="32">
        <f>37102+1179</f>
        <v>38281</v>
      </c>
      <c r="M237" s="32"/>
      <c r="N237" s="32">
        <f>+P237+Q237</f>
        <v>29629.05</v>
      </c>
      <c r="O237" s="17">
        <f>IF(K237=0,"0,0",N237*100/K237)</f>
        <v>77.3988401556908</v>
      </c>
      <c r="P237" s="62">
        <v>29629.05</v>
      </c>
      <c r="Q237" s="62"/>
      <c r="R237" s="33" t="s">
        <v>5</v>
      </c>
    </row>
    <row r="238" spans="1:18" ht="17.25" customHeight="1" outlineLevel="3">
      <c r="A238" s="38">
        <v>33</v>
      </c>
      <c r="B238" s="26">
        <v>3322</v>
      </c>
      <c r="C238" s="27">
        <v>4505</v>
      </c>
      <c r="D238" s="28" t="s">
        <v>319</v>
      </c>
      <c r="E238" s="42" t="s">
        <v>228</v>
      </c>
      <c r="F238" s="30">
        <v>2000</v>
      </c>
      <c r="G238" s="46" t="s">
        <v>13</v>
      </c>
      <c r="H238" s="32">
        <v>54031</v>
      </c>
      <c r="I238" s="32"/>
      <c r="J238" s="32">
        <v>2000</v>
      </c>
      <c r="K238" s="32">
        <f>+L238+M238</f>
        <v>2000</v>
      </c>
      <c r="L238" s="32">
        <v>2000</v>
      </c>
      <c r="M238" s="32"/>
      <c r="N238" s="32">
        <f>+P238+Q238</f>
        <v>519.59</v>
      </c>
      <c r="O238" s="17">
        <f>IF(K238=0,"0,0",N238*100/K238)</f>
        <v>25.9795</v>
      </c>
      <c r="P238" s="62">
        <v>519.59</v>
      </c>
      <c r="Q238" s="62"/>
      <c r="R238" s="33" t="s">
        <v>5</v>
      </c>
    </row>
    <row r="239" spans="1:18" ht="17.25" customHeight="1" outlineLevel="3">
      <c r="A239" s="38">
        <v>33</v>
      </c>
      <c r="B239" s="26">
        <v>3322</v>
      </c>
      <c r="C239" s="27">
        <v>9105</v>
      </c>
      <c r="D239" s="8" t="s">
        <v>494</v>
      </c>
      <c r="E239" s="42" t="s">
        <v>514</v>
      </c>
      <c r="F239" s="30">
        <v>2000</v>
      </c>
      <c r="G239" s="31">
        <v>2000</v>
      </c>
      <c r="H239" s="32">
        <v>500</v>
      </c>
      <c r="I239" s="34"/>
      <c r="J239" s="34"/>
      <c r="K239" s="32">
        <f>+L239+M239</f>
        <v>500</v>
      </c>
      <c r="L239" s="32">
        <v>500</v>
      </c>
      <c r="M239" s="34"/>
      <c r="N239" s="32">
        <f>+P239+Q239</f>
        <v>500</v>
      </c>
      <c r="O239" s="17">
        <f>IF(K239=0,"0,0",N239*100/K239)</f>
        <v>100</v>
      </c>
      <c r="P239" s="62">
        <v>500</v>
      </c>
      <c r="Q239" s="63"/>
      <c r="R239" s="33" t="s">
        <v>495</v>
      </c>
    </row>
    <row r="240" spans="1:18" ht="17.25" customHeight="1" outlineLevel="2">
      <c r="A240" s="38"/>
      <c r="B240" s="20" t="s">
        <v>447</v>
      </c>
      <c r="C240" s="7"/>
      <c r="D240" s="8"/>
      <c r="E240" s="42"/>
      <c r="F240" s="36"/>
      <c r="G240" s="37"/>
      <c r="H240" s="34">
        <f aca="true" t="shared" si="48" ref="H240:N240">SUBTOTAL(9,H236:H239)</f>
        <v>495344</v>
      </c>
      <c r="I240" s="34">
        <f t="shared" si="48"/>
        <v>403711</v>
      </c>
      <c r="J240" s="34">
        <f t="shared" si="48"/>
        <v>39102</v>
      </c>
      <c r="K240" s="34">
        <f t="shared" si="48"/>
        <v>40781</v>
      </c>
      <c r="L240" s="34">
        <f t="shared" si="48"/>
        <v>40781</v>
      </c>
      <c r="M240" s="34">
        <f t="shared" si="48"/>
        <v>0</v>
      </c>
      <c r="N240" s="34">
        <f t="shared" si="48"/>
        <v>30648.64</v>
      </c>
      <c r="O240" s="55">
        <f>IF(K240=0,"0,0",N240*100/K240)</f>
        <v>75.15421397219293</v>
      </c>
      <c r="P240" s="63">
        <f>SUBTOTAL(9,P236:P239)</f>
        <v>30648.64</v>
      </c>
      <c r="Q240" s="63">
        <f>SUBTOTAL(9,Q236:Q239)</f>
        <v>0</v>
      </c>
      <c r="R240" s="33"/>
    </row>
    <row r="241" spans="1:18" ht="17.25" customHeight="1" outlineLevel="3">
      <c r="A241" s="35">
        <v>33</v>
      </c>
      <c r="B241" s="20">
        <v>3326</v>
      </c>
      <c r="C241" s="7" t="s">
        <v>342</v>
      </c>
      <c r="D241" s="8" t="s">
        <v>342</v>
      </c>
      <c r="E241" s="21" t="s">
        <v>360</v>
      </c>
      <c r="F241" s="36"/>
      <c r="G241" s="41"/>
      <c r="H241" s="34"/>
      <c r="I241" s="34"/>
      <c r="J241" s="34"/>
      <c r="K241" s="34"/>
      <c r="L241" s="34"/>
      <c r="M241" s="34"/>
      <c r="N241" s="34"/>
      <c r="O241" s="17"/>
      <c r="P241" s="63"/>
      <c r="Q241" s="63"/>
      <c r="R241" s="33"/>
    </row>
    <row r="242" spans="1:18" ht="17.25" customHeight="1" outlineLevel="3">
      <c r="A242" s="38">
        <v>33</v>
      </c>
      <c r="B242" s="26" t="s">
        <v>112</v>
      </c>
      <c r="C242" s="27">
        <v>4514</v>
      </c>
      <c r="D242" s="28" t="s">
        <v>319</v>
      </c>
      <c r="E242" s="29" t="s">
        <v>113</v>
      </c>
      <c r="F242" s="36" t="s">
        <v>3</v>
      </c>
      <c r="G242" s="37" t="s">
        <v>4</v>
      </c>
      <c r="H242" s="32">
        <v>7051</v>
      </c>
      <c r="I242" s="32">
        <v>4000</v>
      </c>
      <c r="J242" s="32">
        <v>3051</v>
      </c>
      <c r="K242" s="32">
        <f>+L242+M242</f>
        <v>3051</v>
      </c>
      <c r="L242" s="32">
        <v>3051</v>
      </c>
      <c r="M242" s="32"/>
      <c r="N242" s="32">
        <f>+P242+Q242</f>
        <v>2360</v>
      </c>
      <c r="O242" s="17">
        <f>IF(K242=0,"0,0",N242*100/K242)</f>
        <v>77.35168797115699</v>
      </c>
      <c r="P242" s="62">
        <v>2360</v>
      </c>
      <c r="Q242" s="62"/>
      <c r="R242" s="33" t="s">
        <v>5</v>
      </c>
    </row>
    <row r="243" spans="1:18" ht="17.25" customHeight="1" outlineLevel="2">
      <c r="A243" s="38"/>
      <c r="B243" s="20" t="s">
        <v>524</v>
      </c>
      <c r="C243" s="27"/>
      <c r="D243" s="28"/>
      <c r="E243" s="29"/>
      <c r="F243" s="36"/>
      <c r="G243" s="37"/>
      <c r="H243" s="34">
        <f aca="true" t="shared" si="49" ref="H243:N243">SUBTOTAL(9,H241:H242)</f>
        <v>7051</v>
      </c>
      <c r="I243" s="34">
        <f t="shared" si="49"/>
        <v>4000</v>
      </c>
      <c r="J243" s="34">
        <f t="shared" si="49"/>
        <v>3051</v>
      </c>
      <c r="K243" s="34">
        <f t="shared" si="49"/>
        <v>3051</v>
      </c>
      <c r="L243" s="34">
        <f t="shared" si="49"/>
        <v>3051</v>
      </c>
      <c r="M243" s="34">
        <f t="shared" si="49"/>
        <v>0</v>
      </c>
      <c r="N243" s="34">
        <f t="shared" si="49"/>
        <v>2360</v>
      </c>
      <c r="O243" s="55">
        <f>IF(K243=0,"0,0",N243*100/K243)</f>
        <v>77.35168797115699</v>
      </c>
      <c r="P243" s="63">
        <f>SUBTOTAL(9,P241:P242)</f>
        <v>2360</v>
      </c>
      <c r="Q243" s="63">
        <f>SUBTOTAL(9,Q241:Q242)</f>
        <v>0</v>
      </c>
      <c r="R243" s="33"/>
    </row>
    <row r="244" spans="1:18" ht="17.25" customHeight="1" outlineLevel="1">
      <c r="A244" s="35" t="s">
        <v>525</v>
      </c>
      <c r="B244" s="26"/>
      <c r="C244" s="27"/>
      <c r="D244" s="28"/>
      <c r="E244" s="29"/>
      <c r="F244" s="36"/>
      <c r="G244" s="37"/>
      <c r="H244" s="34">
        <f aca="true" t="shared" si="50" ref="H244:N244">SUBTOTAL(9,H203:H242)</f>
        <v>1252721</v>
      </c>
      <c r="I244" s="34">
        <f t="shared" si="50"/>
        <v>495659</v>
      </c>
      <c r="J244" s="34">
        <f t="shared" si="50"/>
        <v>166638</v>
      </c>
      <c r="K244" s="34">
        <f t="shared" si="50"/>
        <v>238884</v>
      </c>
      <c r="L244" s="34">
        <f t="shared" si="50"/>
        <v>238884</v>
      </c>
      <c r="M244" s="34">
        <f t="shared" si="50"/>
        <v>0</v>
      </c>
      <c r="N244" s="34">
        <f t="shared" si="50"/>
        <v>179761.89995999998</v>
      </c>
      <c r="O244" s="55">
        <f>IF(K244=0,"0,0",N244*100/K244)</f>
        <v>75.25070743959411</v>
      </c>
      <c r="P244" s="63">
        <f>SUBTOTAL(9,P203:P242)</f>
        <v>179761.89995999998</v>
      </c>
      <c r="Q244" s="63">
        <f>SUBTOTAL(9,Q203:Q242)</f>
        <v>0</v>
      </c>
      <c r="R244" s="33"/>
    </row>
    <row r="245" spans="1:18" ht="17.25" customHeight="1" outlineLevel="3">
      <c r="A245" s="35">
        <v>34</v>
      </c>
      <c r="B245" s="20">
        <v>3419</v>
      </c>
      <c r="C245" s="7" t="s">
        <v>342</v>
      </c>
      <c r="D245" s="8" t="s">
        <v>342</v>
      </c>
      <c r="E245" s="21" t="s">
        <v>172</v>
      </c>
      <c r="F245" s="36"/>
      <c r="G245" s="37"/>
      <c r="H245" s="34"/>
      <c r="I245" s="34"/>
      <c r="J245" s="34"/>
      <c r="K245" s="34"/>
      <c r="L245" s="34"/>
      <c r="M245" s="34"/>
      <c r="N245" s="34"/>
      <c r="O245" s="17"/>
      <c r="P245" s="63"/>
      <c r="Q245" s="63"/>
      <c r="R245" s="33"/>
    </row>
    <row r="246" spans="1:18" ht="17.25" customHeight="1" outlineLevel="3">
      <c r="A246" s="38">
        <v>34</v>
      </c>
      <c r="B246" s="26">
        <v>3419</v>
      </c>
      <c r="C246" s="27">
        <v>0</v>
      </c>
      <c r="D246" s="28" t="s">
        <v>319</v>
      </c>
      <c r="E246" s="29" t="s">
        <v>379</v>
      </c>
      <c r="F246" s="30">
        <v>2000</v>
      </c>
      <c r="G246" s="31" t="s">
        <v>4</v>
      </c>
      <c r="H246" s="32">
        <v>425</v>
      </c>
      <c r="I246" s="32">
        <v>0</v>
      </c>
      <c r="J246" s="32">
        <v>0</v>
      </c>
      <c r="K246" s="32">
        <f aca="true" t="shared" si="51" ref="K246:K255">+L246+M246</f>
        <v>425</v>
      </c>
      <c r="L246" s="32">
        <v>425</v>
      </c>
      <c r="M246" s="32"/>
      <c r="N246" s="32">
        <f aca="true" t="shared" si="52" ref="N246:N255">+P246+Q246</f>
        <v>425</v>
      </c>
      <c r="O246" s="17">
        <f aca="true" t="shared" si="53" ref="O246:O257">IF(K246=0,"0,0",N246*100/K246)</f>
        <v>100</v>
      </c>
      <c r="P246" s="62">
        <v>425</v>
      </c>
      <c r="Q246" s="62"/>
      <c r="R246" s="33" t="s">
        <v>5</v>
      </c>
    </row>
    <row r="247" spans="1:18" ht="17.25" customHeight="1" outlineLevel="3">
      <c r="A247" s="38">
        <v>34</v>
      </c>
      <c r="B247" s="26">
        <v>3419</v>
      </c>
      <c r="C247" s="27">
        <v>0</v>
      </c>
      <c r="D247" s="28" t="s">
        <v>319</v>
      </c>
      <c r="E247" s="29" t="s">
        <v>380</v>
      </c>
      <c r="F247" s="30">
        <v>2000</v>
      </c>
      <c r="G247" s="31">
        <v>2000</v>
      </c>
      <c r="H247" s="32">
        <v>500</v>
      </c>
      <c r="I247" s="32">
        <v>0</v>
      </c>
      <c r="J247" s="32">
        <v>0</v>
      </c>
      <c r="K247" s="32">
        <f t="shared" si="51"/>
        <v>500</v>
      </c>
      <c r="L247" s="32">
        <v>500</v>
      </c>
      <c r="M247" s="32"/>
      <c r="N247" s="32">
        <f t="shared" si="52"/>
        <v>500</v>
      </c>
      <c r="O247" s="17">
        <f t="shared" si="53"/>
        <v>100</v>
      </c>
      <c r="P247" s="62">
        <v>500</v>
      </c>
      <c r="Q247" s="62"/>
      <c r="R247" s="33" t="s">
        <v>5</v>
      </c>
    </row>
    <row r="248" spans="1:18" ht="17.25" customHeight="1" outlineLevel="3">
      <c r="A248" s="38">
        <v>34</v>
      </c>
      <c r="B248" s="26">
        <v>3419</v>
      </c>
      <c r="C248" s="27">
        <v>4333</v>
      </c>
      <c r="D248" s="28" t="s">
        <v>319</v>
      </c>
      <c r="E248" s="29" t="s">
        <v>406</v>
      </c>
      <c r="F248" s="30">
        <v>2000</v>
      </c>
      <c r="G248" s="31">
        <v>2000</v>
      </c>
      <c r="H248" s="32">
        <v>17000</v>
      </c>
      <c r="I248" s="32">
        <v>0</v>
      </c>
      <c r="J248" s="32">
        <v>0</v>
      </c>
      <c r="K248" s="32">
        <f t="shared" si="51"/>
        <v>17000</v>
      </c>
      <c r="L248" s="32">
        <v>17000</v>
      </c>
      <c r="M248" s="32"/>
      <c r="N248" s="32">
        <f t="shared" si="52"/>
        <v>0</v>
      </c>
      <c r="O248" s="17">
        <f t="shared" si="53"/>
        <v>0</v>
      </c>
      <c r="P248" s="62">
        <v>0</v>
      </c>
      <c r="Q248" s="62"/>
      <c r="R248" s="33" t="s">
        <v>5</v>
      </c>
    </row>
    <row r="249" spans="1:18" ht="17.25" customHeight="1" outlineLevel="3">
      <c r="A249" s="38">
        <v>34</v>
      </c>
      <c r="B249" s="26">
        <v>3419</v>
      </c>
      <c r="C249" s="27">
        <v>4839</v>
      </c>
      <c r="D249" s="28" t="s">
        <v>319</v>
      </c>
      <c r="E249" s="29" t="s">
        <v>115</v>
      </c>
      <c r="F249" s="36" t="s">
        <v>3</v>
      </c>
      <c r="G249" s="37" t="s">
        <v>4</v>
      </c>
      <c r="H249" s="32">
        <v>17125</v>
      </c>
      <c r="I249" s="32">
        <v>13500</v>
      </c>
      <c r="J249" s="32">
        <v>3625</v>
      </c>
      <c r="K249" s="32">
        <f t="shared" si="51"/>
        <v>3625</v>
      </c>
      <c r="L249" s="32">
        <v>3625</v>
      </c>
      <c r="M249" s="32"/>
      <c r="N249" s="32">
        <f t="shared" si="52"/>
        <v>3625</v>
      </c>
      <c r="O249" s="17">
        <f t="shared" si="53"/>
        <v>100</v>
      </c>
      <c r="P249" s="62">
        <v>3625</v>
      </c>
      <c r="Q249" s="62"/>
      <c r="R249" s="33" t="s">
        <v>108</v>
      </c>
    </row>
    <row r="250" spans="1:18" ht="17.25" customHeight="1" outlineLevel="3">
      <c r="A250" s="38">
        <v>34</v>
      </c>
      <c r="B250" s="26" t="s">
        <v>114</v>
      </c>
      <c r="C250" s="27">
        <v>4840</v>
      </c>
      <c r="D250" s="28" t="s">
        <v>319</v>
      </c>
      <c r="E250" s="29" t="s">
        <v>116</v>
      </c>
      <c r="F250" s="36" t="s">
        <v>3</v>
      </c>
      <c r="G250" s="37" t="s">
        <v>4</v>
      </c>
      <c r="H250" s="32">
        <v>12000</v>
      </c>
      <c r="I250" s="32">
        <v>6000</v>
      </c>
      <c r="J250" s="32">
        <v>6000</v>
      </c>
      <c r="K250" s="32">
        <f t="shared" si="51"/>
        <v>6000</v>
      </c>
      <c r="L250" s="32">
        <v>6000</v>
      </c>
      <c r="M250" s="32"/>
      <c r="N250" s="32">
        <f t="shared" si="52"/>
        <v>6000</v>
      </c>
      <c r="O250" s="17">
        <f t="shared" si="53"/>
        <v>100</v>
      </c>
      <c r="P250" s="62">
        <v>6000</v>
      </c>
      <c r="Q250" s="62"/>
      <c r="R250" s="33" t="s">
        <v>108</v>
      </c>
    </row>
    <row r="251" spans="1:18" ht="17.25" customHeight="1" outlineLevel="3">
      <c r="A251" s="38">
        <v>34</v>
      </c>
      <c r="B251" s="26" t="s">
        <v>114</v>
      </c>
      <c r="C251" s="27">
        <v>4842</v>
      </c>
      <c r="D251" s="28" t="s">
        <v>319</v>
      </c>
      <c r="E251" s="29" t="s">
        <v>288</v>
      </c>
      <c r="F251" s="40" t="s">
        <v>3</v>
      </c>
      <c r="G251" s="41" t="s">
        <v>13</v>
      </c>
      <c r="H251" s="32">
        <v>79875</v>
      </c>
      <c r="I251" s="32"/>
      <c r="J251" s="32">
        <v>40000</v>
      </c>
      <c r="K251" s="32">
        <f t="shared" si="51"/>
        <v>50000</v>
      </c>
      <c r="L251" s="32">
        <v>50000</v>
      </c>
      <c r="M251" s="32"/>
      <c r="N251" s="32">
        <f t="shared" si="52"/>
        <v>49549</v>
      </c>
      <c r="O251" s="17">
        <f t="shared" si="53"/>
        <v>99.098</v>
      </c>
      <c r="P251" s="62">
        <v>49549</v>
      </c>
      <c r="Q251" s="62"/>
      <c r="R251" s="33" t="s">
        <v>5</v>
      </c>
    </row>
    <row r="252" spans="1:18" ht="17.25" customHeight="1" outlineLevel="3">
      <c r="A252" s="38">
        <v>34</v>
      </c>
      <c r="B252" s="26" t="s">
        <v>114</v>
      </c>
      <c r="C252" s="27">
        <v>4849</v>
      </c>
      <c r="D252" s="28" t="s">
        <v>319</v>
      </c>
      <c r="E252" s="42" t="s">
        <v>231</v>
      </c>
      <c r="F252" s="30">
        <v>2000</v>
      </c>
      <c r="G252" s="31">
        <v>2001</v>
      </c>
      <c r="H252" s="32">
        <v>24951</v>
      </c>
      <c r="I252" s="32"/>
      <c r="J252" s="32">
        <v>4951</v>
      </c>
      <c r="K252" s="32">
        <f t="shared" si="51"/>
        <v>4951</v>
      </c>
      <c r="L252" s="32">
        <v>0</v>
      </c>
      <c r="M252" s="32">
        <v>4951</v>
      </c>
      <c r="N252" s="32">
        <f t="shared" si="52"/>
        <v>4951</v>
      </c>
      <c r="O252" s="17">
        <f t="shared" si="53"/>
        <v>100</v>
      </c>
      <c r="P252" s="62">
        <v>0</v>
      </c>
      <c r="Q252" s="62">
        <v>4951</v>
      </c>
      <c r="R252" s="33" t="s">
        <v>546</v>
      </c>
    </row>
    <row r="253" spans="1:18" ht="17.25" customHeight="1" outlineLevel="3">
      <c r="A253" s="38">
        <v>34</v>
      </c>
      <c r="B253" s="26" t="s">
        <v>114</v>
      </c>
      <c r="C253" s="27">
        <v>4850</v>
      </c>
      <c r="D253" s="28" t="s">
        <v>319</v>
      </c>
      <c r="E253" s="29" t="s">
        <v>311</v>
      </c>
      <c r="F253" s="40" t="s">
        <v>4</v>
      </c>
      <c r="G253" s="41" t="s">
        <v>17</v>
      </c>
      <c r="H253" s="32">
        <v>125049</v>
      </c>
      <c r="I253" s="32"/>
      <c r="J253" s="32">
        <v>25000</v>
      </c>
      <c r="K253" s="32">
        <f t="shared" si="51"/>
        <v>10000</v>
      </c>
      <c r="L253" s="32"/>
      <c r="M253" s="32">
        <v>10000</v>
      </c>
      <c r="N253" s="32">
        <f t="shared" si="52"/>
        <v>7207.41553</v>
      </c>
      <c r="O253" s="17">
        <f t="shared" si="53"/>
        <v>72.0741553</v>
      </c>
      <c r="P253" s="62">
        <v>0</v>
      </c>
      <c r="Q253" s="62">
        <f>331.61553+2655+4220.8</f>
        <v>7207.41553</v>
      </c>
      <c r="R253" s="33" t="s">
        <v>546</v>
      </c>
    </row>
    <row r="254" spans="1:18" ht="17.25" customHeight="1" outlineLevel="3">
      <c r="A254" s="38">
        <v>34</v>
      </c>
      <c r="B254" s="26">
        <v>3419</v>
      </c>
      <c r="C254" s="27">
        <v>4864</v>
      </c>
      <c r="D254" s="28" t="s">
        <v>319</v>
      </c>
      <c r="E254" s="29" t="s">
        <v>493</v>
      </c>
      <c r="F254" s="40" t="s">
        <v>4</v>
      </c>
      <c r="G254" s="41" t="s">
        <v>4</v>
      </c>
      <c r="H254" s="32">
        <v>514</v>
      </c>
      <c r="I254" s="32"/>
      <c r="J254" s="32"/>
      <c r="K254" s="32">
        <f t="shared" si="51"/>
        <v>514</v>
      </c>
      <c r="L254" s="32"/>
      <c r="M254" s="32">
        <v>514</v>
      </c>
      <c r="N254" s="32">
        <f>+P254+Q254</f>
        <v>239.905</v>
      </c>
      <c r="O254" s="17">
        <f t="shared" si="53"/>
        <v>46.67412451361868</v>
      </c>
      <c r="P254" s="62">
        <v>0</v>
      </c>
      <c r="Q254" s="62">
        <v>239.905</v>
      </c>
      <c r="R254" s="33" t="s">
        <v>547</v>
      </c>
    </row>
    <row r="255" spans="1:18" ht="17.25" customHeight="1" outlineLevel="3">
      <c r="A255" s="38">
        <v>34</v>
      </c>
      <c r="B255" s="26" t="s">
        <v>114</v>
      </c>
      <c r="C255" s="27">
        <v>9103</v>
      </c>
      <c r="D255" s="28" t="s">
        <v>319</v>
      </c>
      <c r="E255" s="29" t="s">
        <v>156</v>
      </c>
      <c r="F255" s="40" t="s">
        <v>4</v>
      </c>
      <c r="G255" s="41" t="s">
        <v>4</v>
      </c>
      <c r="H255" s="32">
        <v>2000</v>
      </c>
      <c r="I255" s="32">
        <v>0</v>
      </c>
      <c r="J255" s="32">
        <v>2000</v>
      </c>
      <c r="K255" s="32">
        <f t="shared" si="51"/>
        <v>2000</v>
      </c>
      <c r="L255" s="32">
        <v>2000</v>
      </c>
      <c r="M255" s="32"/>
      <c r="N255" s="32">
        <f t="shared" si="52"/>
        <v>2000</v>
      </c>
      <c r="O255" s="17">
        <f t="shared" si="53"/>
        <v>100</v>
      </c>
      <c r="P255" s="62">
        <v>2000</v>
      </c>
      <c r="Q255" s="62"/>
      <c r="R255" s="33" t="s">
        <v>5</v>
      </c>
    </row>
    <row r="256" spans="1:18" ht="17.25" customHeight="1" outlineLevel="2">
      <c r="A256" s="38"/>
      <c r="B256" s="20" t="s">
        <v>448</v>
      </c>
      <c r="C256" s="27"/>
      <c r="D256" s="28"/>
      <c r="E256" s="29"/>
      <c r="F256" s="40"/>
      <c r="G256" s="41"/>
      <c r="H256" s="34">
        <f aca="true" t="shared" si="54" ref="H256:N256">SUBTOTAL(9,H245:H255)</f>
        <v>279439</v>
      </c>
      <c r="I256" s="34">
        <f t="shared" si="54"/>
        <v>19500</v>
      </c>
      <c r="J256" s="34">
        <f t="shared" si="54"/>
        <v>81576</v>
      </c>
      <c r="K256" s="34">
        <f t="shared" si="54"/>
        <v>95015</v>
      </c>
      <c r="L256" s="34">
        <f t="shared" si="54"/>
        <v>79550</v>
      </c>
      <c r="M256" s="34">
        <f t="shared" si="54"/>
        <v>15465</v>
      </c>
      <c r="N256" s="34">
        <f t="shared" si="54"/>
        <v>74497.32053</v>
      </c>
      <c r="O256" s="55">
        <f t="shared" si="53"/>
        <v>78.40585226543176</v>
      </c>
      <c r="P256" s="63">
        <f>SUBTOTAL(9,P245:P255)</f>
        <v>62099</v>
      </c>
      <c r="Q256" s="63">
        <f>SUBTOTAL(9,Q245:Q255)</f>
        <v>12398.32053</v>
      </c>
      <c r="R256" s="33"/>
    </row>
    <row r="257" spans="1:18" ht="17.25" customHeight="1" outlineLevel="1">
      <c r="A257" s="35" t="s">
        <v>526</v>
      </c>
      <c r="B257" s="26"/>
      <c r="C257" s="27"/>
      <c r="D257" s="28"/>
      <c r="E257" s="29"/>
      <c r="F257" s="40"/>
      <c r="G257" s="41"/>
      <c r="H257" s="34">
        <f aca="true" t="shared" si="55" ref="H257:N257">SUBTOTAL(9,H245:H255)</f>
        <v>279439</v>
      </c>
      <c r="I257" s="34">
        <f t="shared" si="55"/>
        <v>19500</v>
      </c>
      <c r="J257" s="34">
        <f t="shared" si="55"/>
        <v>81576</v>
      </c>
      <c r="K257" s="34">
        <f t="shared" si="55"/>
        <v>95015</v>
      </c>
      <c r="L257" s="34">
        <f t="shared" si="55"/>
        <v>79550</v>
      </c>
      <c r="M257" s="34">
        <f t="shared" si="55"/>
        <v>15465</v>
      </c>
      <c r="N257" s="34">
        <f t="shared" si="55"/>
        <v>74497.32053</v>
      </c>
      <c r="O257" s="55">
        <f t="shared" si="53"/>
        <v>78.40585226543176</v>
      </c>
      <c r="P257" s="63">
        <f>SUBTOTAL(9,P245:P255)</f>
        <v>62099</v>
      </c>
      <c r="Q257" s="63">
        <f>SUBTOTAL(9,Q245:Q255)</f>
        <v>12398.32053</v>
      </c>
      <c r="R257" s="33"/>
    </row>
    <row r="258" spans="1:18" ht="17.25" customHeight="1" outlineLevel="3">
      <c r="A258" s="35">
        <v>35</v>
      </c>
      <c r="B258" s="20">
        <v>3522</v>
      </c>
      <c r="C258" s="7" t="s">
        <v>342</v>
      </c>
      <c r="D258" s="8" t="s">
        <v>342</v>
      </c>
      <c r="E258" s="21" t="s">
        <v>173</v>
      </c>
      <c r="F258" s="36"/>
      <c r="G258" s="37"/>
      <c r="H258" s="34"/>
      <c r="I258" s="34"/>
      <c r="J258" s="34"/>
      <c r="K258" s="34"/>
      <c r="L258" s="34"/>
      <c r="M258" s="34"/>
      <c r="N258" s="34"/>
      <c r="O258" s="17"/>
      <c r="P258" s="63"/>
      <c r="Q258" s="63"/>
      <c r="R258" s="33"/>
    </row>
    <row r="259" spans="1:18" ht="17.25" customHeight="1" outlineLevel="3">
      <c r="A259" s="38">
        <v>35</v>
      </c>
      <c r="B259" s="26">
        <v>3522</v>
      </c>
      <c r="C259" s="27">
        <v>4458</v>
      </c>
      <c r="D259" s="8" t="s">
        <v>319</v>
      </c>
      <c r="E259" s="29" t="s">
        <v>488</v>
      </c>
      <c r="F259" s="30">
        <v>2000</v>
      </c>
      <c r="G259" s="31">
        <v>2003</v>
      </c>
      <c r="H259" s="32">
        <v>90000</v>
      </c>
      <c r="I259" s="34"/>
      <c r="J259" s="32">
        <v>0</v>
      </c>
      <c r="K259" s="32">
        <f>+L259+M259</f>
        <v>5000</v>
      </c>
      <c r="L259" s="32">
        <v>5000</v>
      </c>
      <c r="M259" s="34"/>
      <c r="N259" s="32">
        <f>+P259+Q259</f>
        <v>3000</v>
      </c>
      <c r="O259" s="17">
        <f aca="true" t="shared" si="56" ref="O259:O264">IF(K259=0,"0,0",N259*100/K259)</f>
        <v>60</v>
      </c>
      <c r="P259" s="62">
        <v>3000</v>
      </c>
      <c r="Q259" s="63"/>
      <c r="R259" s="33" t="s">
        <v>5</v>
      </c>
    </row>
    <row r="260" spans="1:18" ht="17.25" customHeight="1" outlineLevel="3">
      <c r="A260" s="38">
        <v>35</v>
      </c>
      <c r="B260" s="26">
        <v>3522</v>
      </c>
      <c r="C260" s="27">
        <v>9108</v>
      </c>
      <c r="D260" s="8" t="s">
        <v>416</v>
      </c>
      <c r="E260" s="29" t="s">
        <v>503</v>
      </c>
      <c r="F260" s="30">
        <v>2000</v>
      </c>
      <c r="G260" s="31">
        <v>2000</v>
      </c>
      <c r="H260" s="32">
        <v>85</v>
      </c>
      <c r="I260" s="34"/>
      <c r="J260" s="32"/>
      <c r="K260" s="32">
        <f>+L260+M260</f>
        <v>0</v>
      </c>
      <c r="L260" s="32">
        <v>0</v>
      </c>
      <c r="M260" s="34"/>
      <c r="N260" s="32">
        <f>+P260+Q260</f>
        <v>85</v>
      </c>
      <c r="O260" s="17" t="str">
        <f t="shared" si="56"/>
        <v>0,0</v>
      </c>
      <c r="P260" s="62">
        <v>85</v>
      </c>
      <c r="Q260" s="63"/>
      <c r="R260" s="33"/>
    </row>
    <row r="261" spans="1:18" ht="17.25" customHeight="1" outlineLevel="3">
      <c r="A261" s="38">
        <v>35</v>
      </c>
      <c r="B261" s="26">
        <v>3522</v>
      </c>
      <c r="C261" s="27">
        <v>9109</v>
      </c>
      <c r="D261" s="8" t="s">
        <v>319</v>
      </c>
      <c r="E261" s="29" t="s">
        <v>477</v>
      </c>
      <c r="F261" s="30">
        <v>2000</v>
      </c>
      <c r="G261" s="31">
        <v>2000</v>
      </c>
      <c r="H261" s="32">
        <v>1200</v>
      </c>
      <c r="I261" s="34"/>
      <c r="J261" s="32">
        <v>0</v>
      </c>
      <c r="K261" s="32">
        <f>+L261+M261</f>
        <v>1200</v>
      </c>
      <c r="L261" s="32">
        <v>1200</v>
      </c>
      <c r="M261" s="34"/>
      <c r="N261" s="32">
        <f>+P261+Q261</f>
        <v>1200</v>
      </c>
      <c r="O261" s="17">
        <f t="shared" si="56"/>
        <v>100</v>
      </c>
      <c r="P261" s="62">
        <v>1200</v>
      </c>
      <c r="Q261" s="63"/>
      <c r="R261" s="33" t="s">
        <v>5</v>
      </c>
    </row>
    <row r="262" spans="1:18" ht="17.25" customHeight="1" outlineLevel="3">
      <c r="A262" s="38">
        <v>35</v>
      </c>
      <c r="B262" s="26">
        <v>3522</v>
      </c>
      <c r="C262" s="27">
        <v>9112</v>
      </c>
      <c r="D262" s="28" t="s">
        <v>319</v>
      </c>
      <c r="E262" s="29" t="s">
        <v>158</v>
      </c>
      <c r="F262" s="30">
        <v>2000</v>
      </c>
      <c r="G262" s="31">
        <v>2000</v>
      </c>
      <c r="H262" s="32">
        <v>120</v>
      </c>
      <c r="I262" s="32"/>
      <c r="J262" s="32">
        <v>120</v>
      </c>
      <c r="K262" s="32">
        <f>+L262+M262</f>
        <v>120</v>
      </c>
      <c r="L262" s="32">
        <v>120</v>
      </c>
      <c r="M262" s="32"/>
      <c r="N262" s="32">
        <f>+P262+Q262</f>
        <v>120</v>
      </c>
      <c r="O262" s="17">
        <f t="shared" si="56"/>
        <v>100</v>
      </c>
      <c r="P262" s="62">
        <v>120</v>
      </c>
      <c r="Q262" s="62"/>
      <c r="R262" s="33" t="s">
        <v>5</v>
      </c>
    </row>
    <row r="263" spans="1:18" ht="17.25" customHeight="1" outlineLevel="3">
      <c r="A263" s="38">
        <v>35</v>
      </c>
      <c r="B263" s="26" t="s">
        <v>157</v>
      </c>
      <c r="C263" s="27">
        <v>9119</v>
      </c>
      <c r="D263" s="28" t="s">
        <v>319</v>
      </c>
      <c r="E263" s="29" t="s">
        <v>209</v>
      </c>
      <c r="F263" s="40" t="s">
        <v>4</v>
      </c>
      <c r="G263" s="41" t="s">
        <v>4</v>
      </c>
      <c r="H263" s="32">
        <v>13330</v>
      </c>
      <c r="I263" s="32"/>
      <c r="J263" s="32">
        <v>13330</v>
      </c>
      <c r="K263" s="32">
        <f>+L263+M263</f>
        <v>13330</v>
      </c>
      <c r="L263" s="32">
        <v>13330</v>
      </c>
      <c r="M263" s="32"/>
      <c r="N263" s="32">
        <f>+P263+Q263</f>
        <v>13330</v>
      </c>
      <c r="O263" s="17">
        <f t="shared" si="56"/>
        <v>100</v>
      </c>
      <c r="P263" s="62">
        <v>13330</v>
      </c>
      <c r="Q263" s="62"/>
      <c r="R263" s="33" t="s">
        <v>5</v>
      </c>
    </row>
    <row r="264" spans="1:18" ht="17.25" customHeight="1" outlineLevel="2">
      <c r="A264" s="38"/>
      <c r="B264" s="20" t="s">
        <v>449</v>
      </c>
      <c r="C264" s="27"/>
      <c r="D264" s="28"/>
      <c r="E264" s="29"/>
      <c r="F264" s="40"/>
      <c r="G264" s="41"/>
      <c r="H264" s="34">
        <f aca="true" t="shared" si="57" ref="H264:N264">SUBTOTAL(9,H258:H263)</f>
        <v>104735</v>
      </c>
      <c r="I264" s="34">
        <f t="shared" si="57"/>
        <v>0</v>
      </c>
      <c r="J264" s="34">
        <f t="shared" si="57"/>
        <v>13450</v>
      </c>
      <c r="K264" s="34">
        <f t="shared" si="57"/>
        <v>19650</v>
      </c>
      <c r="L264" s="34">
        <f t="shared" si="57"/>
        <v>19650</v>
      </c>
      <c r="M264" s="34">
        <f t="shared" si="57"/>
        <v>0</v>
      </c>
      <c r="N264" s="34">
        <f t="shared" si="57"/>
        <v>17735</v>
      </c>
      <c r="O264" s="55">
        <f t="shared" si="56"/>
        <v>90.25445292620866</v>
      </c>
      <c r="P264" s="63">
        <f>SUBTOTAL(9,P258:P263)</f>
        <v>17735</v>
      </c>
      <c r="Q264" s="63">
        <f>SUBTOTAL(9,Q258:Q263)</f>
        <v>0</v>
      </c>
      <c r="R264" s="33"/>
    </row>
    <row r="265" spans="1:18" ht="17.25" customHeight="1" outlineLevel="3">
      <c r="A265" s="35">
        <v>35</v>
      </c>
      <c r="B265" s="20" t="s">
        <v>117</v>
      </c>
      <c r="C265" s="7" t="s">
        <v>342</v>
      </c>
      <c r="D265" s="8" t="s">
        <v>342</v>
      </c>
      <c r="E265" s="39" t="s">
        <v>174</v>
      </c>
      <c r="F265" s="36"/>
      <c r="G265" s="37"/>
      <c r="H265" s="34"/>
      <c r="I265" s="34"/>
      <c r="J265" s="34"/>
      <c r="K265" s="34"/>
      <c r="L265" s="34"/>
      <c r="M265" s="34"/>
      <c r="N265" s="34"/>
      <c r="O265" s="17"/>
      <c r="P265" s="63"/>
      <c r="Q265" s="63"/>
      <c r="R265" s="33"/>
    </row>
    <row r="266" spans="1:18" ht="17.25" customHeight="1" outlineLevel="3">
      <c r="A266" s="38">
        <v>35</v>
      </c>
      <c r="B266" s="26" t="s">
        <v>117</v>
      </c>
      <c r="C266" s="27">
        <v>4713</v>
      </c>
      <c r="D266" s="28" t="s">
        <v>319</v>
      </c>
      <c r="E266" s="29" t="s">
        <v>118</v>
      </c>
      <c r="F266" s="36" t="s">
        <v>4</v>
      </c>
      <c r="G266" s="37" t="s">
        <v>4</v>
      </c>
      <c r="H266" s="32">
        <v>6910</v>
      </c>
      <c r="I266" s="32">
        <v>0</v>
      </c>
      <c r="J266" s="32">
        <v>6910</v>
      </c>
      <c r="K266" s="32">
        <f aca="true" t="shared" si="58" ref="K266:K271">+L266+M266</f>
        <v>6910</v>
      </c>
      <c r="L266" s="32">
        <v>6910</v>
      </c>
      <c r="M266" s="32"/>
      <c r="N266" s="32">
        <f aca="true" t="shared" si="59" ref="N266:N271">+P266+Q266</f>
        <v>6910</v>
      </c>
      <c r="O266" s="17">
        <f aca="true" t="shared" si="60" ref="O266:O272">IF(K266=0,"0,0",N266*100/K266)</f>
        <v>100</v>
      </c>
      <c r="P266" s="62">
        <v>6910</v>
      </c>
      <c r="Q266" s="62"/>
      <c r="R266" s="33" t="s">
        <v>5</v>
      </c>
    </row>
    <row r="267" spans="1:18" ht="17.25" customHeight="1" outlineLevel="3">
      <c r="A267" s="38">
        <v>35</v>
      </c>
      <c r="B267" s="26" t="s">
        <v>117</v>
      </c>
      <c r="C267" s="27">
        <v>4714</v>
      </c>
      <c r="D267" s="28" t="s">
        <v>319</v>
      </c>
      <c r="E267" s="29" t="s">
        <v>119</v>
      </c>
      <c r="F267" s="36" t="s">
        <v>4</v>
      </c>
      <c r="G267" s="37" t="s">
        <v>4</v>
      </c>
      <c r="H267" s="32">
        <v>5610</v>
      </c>
      <c r="I267" s="32">
        <v>0</v>
      </c>
      <c r="J267" s="32">
        <v>5610</v>
      </c>
      <c r="K267" s="32">
        <f t="shared" si="58"/>
        <v>5610</v>
      </c>
      <c r="L267" s="32">
        <v>5610</v>
      </c>
      <c r="M267" s="32"/>
      <c r="N267" s="32">
        <f t="shared" si="59"/>
        <v>5610</v>
      </c>
      <c r="O267" s="17">
        <f t="shared" si="60"/>
        <v>100</v>
      </c>
      <c r="P267" s="62">
        <v>5610</v>
      </c>
      <c r="Q267" s="62"/>
      <c r="R267" s="33" t="s">
        <v>108</v>
      </c>
    </row>
    <row r="268" spans="1:18" ht="17.25" customHeight="1" outlineLevel="3">
      <c r="A268" s="38">
        <v>35</v>
      </c>
      <c r="B268" s="26" t="s">
        <v>117</v>
      </c>
      <c r="C268" s="27">
        <v>4715</v>
      </c>
      <c r="D268" s="28" t="s">
        <v>319</v>
      </c>
      <c r="E268" s="29" t="s">
        <v>289</v>
      </c>
      <c r="F268" s="36" t="s">
        <v>4</v>
      </c>
      <c r="G268" s="37" t="s">
        <v>4</v>
      </c>
      <c r="H268" s="32">
        <v>1155</v>
      </c>
      <c r="I268" s="32">
        <v>0</v>
      </c>
      <c r="J268" s="32">
        <v>1155</v>
      </c>
      <c r="K268" s="32">
        <f t="shared" si="58"/>
        <v>1155</v>
      </c>
      <c r="L268" s="32">
        <v>1155</v>
      </c>
      <c r="M268" s="32"/>
      <c r="N268" s="32">
        <f t="shared" si="59"/>
        <v>1155</v>
      </c>
      <c r="O268" s="17">
        <f t="shared" si="60"/>
        <v>100</v>
      </c>
      <c r="P268" s="62">
        <v>1155</v>
      </c>
      <c r="Q268" s="62"/>
      <c r="R268" s="33" t="s">
        <v>108</v>
      </c>
    </row>
    <row r="269" spans="1:18" ht="17.25" customHeight="1" outlineLevel="3">
      <c r="A269" s="38">
        <v>35</v>
      </c>
      <c r="B269" s="26" t="s">
        <v>117</v>
      </c>
      <c r="C269" s="27">
        <v>4716</v>
      </c>
      <c r="D269" s="28" t="s">
        <v>319</v>
      </c>
      <c r="E269" s="29" t="s">
        <v>120</v>
      </c>
      <c r="F269" s="36" t="s">
        <v>4</v>
      </c>
      <c r="G269" s="37" t="s">
        <v>4</v>
      </c>
      <c r="H269" s="32">
        <v>1500</v>
      </c>
      <c r="I269" s="32">
        <v>0</v>
      </c>
      <c r="J269" s="32">
        <v>1500</v>
      </c>
      <c r="K269" s="32">
        <f t="shared" si="58"/>
        <v>1500</v>
      </c>
      <c r="L269" s="32">
        <v>1500</v>
      </c>
      <c r="M269" s="32"/>
      <c r="N269" s="32">
        <f t="shared" si="59"/>
        <v>1500</v>
      </c>
      <c r="O269" s="17">
        <f t="shared" si="60"/>
        <v>100</v>
      </c>
      <c r="P269" s="62">
        <v>1500</v>
      </c>
      <c r="Q269" s="62"/>
      <c r="R269" s="33" t="s">
        <v>5</v>
      </c>
    </row>
    <row r="270" spans="1:18" ht="17.25" customHeight="1" outlineLevel="3">
      <c r="A270" s="38">
        <v>35</v>
      </c>
      <c r="B270" s="26">
        <v>3523</v>
      </c>
      <c r="C270" s="27">
        <v>9119</v>
      </c>
      <c r="D270" s="28" t="s">
        <v>416</v>
      </c>
      <c r="E270" s="29" t="s">
        <v>504</v>
      </c>
      <c r="F270" s="30">
        <v>2000</v>
      </c>
      <c r="G270" s="31">
        <v>2000</v>
      </c>
      <c r="H270" s="32">
        <v>130</v>
      </c>
      <c r="I270" s="32">
        <v>0</v>
      </c>
      <c r="J270" s="32"/>
      <c r="K270" s="32">
        <f t="shared" si="58"/>
        <v>0</v>
      </c>
      <c r="L270" s="32">
        <v>0</v>
      </c>
      <c r="M270" s="32"/>
      <c r="N270" s="32">
        <f t="shared" si="59"/>
        <v>130</v>
      </c>
      <c r="O270" s="17" t="str">
        <f t="shared" si="60"/>
        <v>0,0</v>
      </c>
      <c r="P270" s="62">
        <v>130</v>
      </c>
      <c r="Q270" s="62"/>
      <c r="R270" s="33"/>
    </row>
    <row r="271" spans="1:18" ht="17.25" customHeight="1" outlineLevel="3">
      <c r="A271" s="38">
        <v>35</v>
      </c>
      <c r="B271" s="26">
        <v>3523</v>
      </c>
      <c r="C271" s="27">
        <v>9119</v>
      </c>
      <c r="D271" s="28" t="s">
        <v>416</v>
      </c>
      <c r="E271" s="29" t="s">
        <v>505</v>
      </c>
      <c r="F271" s="30">
        <v>2000</v>
      </c>
      <c r="G271" s="31">
        <v>2000</v>
      </c>
      <c r="H271" s="32">
        <v>4993</v>
      </c>
      <c r="I271" s="32">
        <v>0</v>
      </c>
      <c r="J271" s="32"/>
      <c r="K271" s="32">
        <f t="shared" si="58"/>
        <v>0</v>
      </c>
      <c r="L271" s="32">
        <v>0</v>
      </c>
      <c r="M271" s="32"/>
      <c r="N271" s="32">
        <f t="shared" si="59"/>
        <v>4993</v>
      </c>
      <c r="O271" s="17" t="str">
        <f t="shared" si="60"/>
        <v>0,0</v>
      </c>
      <c r="P271" s="62">
        <v>4993</v>
      </c>
      <c r="Q271" s="62"/>
      <c r="R271" s="33"/>
    </row>
    <row r="272" spans="1:18" ht="17.25" customHeight="1" outlineLevel="2">
      <c r="A272" s="38"/>
      <c r="B272" s="20" t="s">
        <v>450</v>
      </c>
      <c r="C272" s="27"/>
      <c r="D272" s="28"/>
      <c r="E272" s="29"/>
      <c r="F272" s="30"/>
      <c r="G272" s="31"/>
      <c r="H272" s="34">
        <f aca="true" t="shared" si="61" ref="H272:N272">SUBTOTAL(9,H265:H271)</f>
        <v>20298</v>
      </c>
      <c r="I272" s="34">
        <f t="shared" si="61"/>
        <v>0</v>
      </c>
      <c r="J272" s="34">
        <f t="shared" si="61"/>
        <v>15175</v>
      </c>
      <c r="K272" s="34">
        <f t="shared" si="61"/>
        <v>15175</v>
      </c>
      <c r="L272" s="34">
        <f t="shared" si="61"/>
        <v>15175</v>
      </c>
      <c r="M272" s="34">
        <f t="shared" si="61"/>
        <v>0</v>
      </c>
      <c r="N272" s="34">
        <f t="shared" si="61"/>
        <v>20298</v>
      </c>
      <c r="O272" s="55">
        <f t="shared" si="60"/>
        <v>133.75947281713346</v>
      </c>
      <c r="P272" s="63">
        <f>SUBTOTAL(9,P265:P271)</f>
        <v>20298</v>
      </c>
      <c r="Q272" s="63">
        <f>SUBTOTAL(9,Q265:Q271)</f>
        <v>0</v>
      </c>
      <c r="R272" s="33"/>
    </row>
    <row r="273" spans="1:18" ht="17.25" customHeight="1" outlineLevel="3">
      <c r="A273" s="35">
        <v>35</v>
      </c>
      <c r="B273" s="20">
        <v>3541</v>
      </c>
      <c r="C273" s="50" t="s">
        <v>342</v>
      </c>
      <c r="D273" s="51" t="s">
        <v>342</v>
      </c>
      <c r="E273" s="21" t="s">
        <v>550</v>
      </c>
      <c r="F273" s="36"/>
      <c r="G273" s="37"/>
      <c r="H273" s="34"/>
      <c r="I273" s="34"/>
      <c r="J273" s="34"/>
      <c r="K273" s="34"/>
      <c r="L273" s="34"/>
      <c r="M273" s="34"/>
      <c r="N273" s="34"/>
      <c r="O273" s="17"/>
      <c r="P273" s="63"/>
      <c r="Q273" s="63"/>
      <c r="R273" s="33"/>
    </row>
    <row r="274" spans="1:18" ht="17.25" customHeight="1" outlineLevel="3">
      <c r="A274" s="38">
        <v>35</v>
      </c>
      <c r="B274" s="26">
        <v>3541</v>
      </c>
      <c r="C274" s="27">
        <v>0</v>
      </c>
      <c r="D274" s="28" t="s">
        <v>416</v>
      </c>
      <c r="E274" s="29" t="s">
        <v>417</v>
      </c>
      <c r="F274" s="30">
        <v>2000</v>
      </c>
      <c r="G274" s="31">
        <v>2000</v>
      </c>
      <c r="H274" s="32">
        <v>33</v>
      </c>
      <c r="I274" s="32">
        <v>0</v>
      </c>
      <c r="J274" s="32">
        <v>0</v>
      </c>
      <c r="K274" s="32">
        <f>+L274+M274</f>
        <v>53</v>
      </c>
      <c r="L274" s="32">
        <v>53</v>
      </c>
      <c r="M274" s="32"/>
      <c r="N274" s="32">
        <f>+P274+Q274</f>
        <v>54.29</v>
      </c>
      <c r="O274" s="17">
        <f>IF(K274=0,"0,0",N274*100/K274)</f>
        <v>102.43396226415095</v>
      </c>
      <c r="P274" s="62">
        <v>54.29</v>
      </c>
      <c r="Q274" s="62"/>
      <c r="R274" s="33" t="s">
        <v>418</v>
      </c>
    </row>
    <row r="275" spans="1:18" ht="17.25" customHeight="1" outlineLevel="2">
      <c r="A275" s="38"/>
      <c r="B275" s="20" t="s">
        <v>527</v>
      </c>
      <c r="C275" s="27"/>
      <c r="D275" s="28"/>
      <c r="E275" s="29"/>
      <c r="F275" s="30"/>
      <c r="G275" s="31"/>
      <c r="H275" s="34">
        <f aca="true" t="shared" si="62" ref="H275:N275">SUBTOTAL(9,H273:H274)</f>
        <v>33</v>
      </c>
      <c r="I275" s="34">
        <f t="shared" si="62"/>
        <v>0</v>
      </c>
      <c r="J275" s="34">
        <f t="shared" si="62"/>
        <v>0</v>
      </c>
      <c r="K275" s="34">
        <f t="shared" si="62"/>
        <v>53</v>
      </c>
      <c r="L275" s="34">
        <f t="shared" si="62"/>
        <v>53</v>
      </c>
      <c r="M275" s="34">
        <f t="shared" si="62"/>
        <v>0</v>
      </c>
      <c r="N275" s="34">
        <f t="shared" si="62"/>
        <v>54.29</v>
      </c>
      <c r="O275" s="55">
        <f>IF(K275=0,"0,0",N275*100/K275)</f>
        <v>102.43396226415095</v>
      </c>
      <c r="P275" s="63">
        <f>SUBTOTAL(9,P273:P274)</f>
        <v>54.29</v>
      </c>
      <c r="Q275" s="63">
        <f>SUBTOTAL(9,Q273:Q274)</f>
        <v>0</v>
      </c>
      <c r="R275" s="33"/>
    </row>
    <row r="276" spans="1:18" ht="17.25" customHeight="1" outlineLevel="1">
      <c r="A276" s="35" t="s">
        <v>528</v>
      </c>
      <c r="B276" s="26"/>
      <c r="C276" s="27"/>
      <c r="D276" s="28"/>
      <c r="E276" s="29"/>
      <c r="F276" s="30"/>
      <c r="G276" s="31"/>
      <c r="H276" s="34">
        <f aca="true" t="shared" si="63" ref="H276:N276">SUBTOTAL(9,H258:H274)</f>
        <v>125066</v>
      </c>
      <c r="I276" s="34">
        <f t="shared" si="63"/>
        <v>0</v>
      </c>
      <c r="J276" s="34">
        <f t="shared" si="63"/>
        <v>28625</v>
      </c>
      <c r="K276" s="34">
        <f t="shared" si="63"/>
        <v>34878</v>
      </c>
      <c r="L276" s="34">
        <f t="shared" si="63"/>
        <v>34878</v>
      </c>
      <c r="M276" s="34">
        <f t="shared" si="63"/>
        <v>0</v>
      </c>
      <c r="N276" s="34">
        <f t="shared" si="63"/>
        <v>38087.29</v>
      </c>
      <c r="O276" s="69">
        <f>IF(K276=0,"0,0",N276*100/K276)</f>
        <v>109.20147370835484</v>
      </c>
      <c r="P276" s="63">
        <f>SUBTOTAL(9,P258:P274)</f>
        <v>38087.29</v>
      </c>
      <c r="Q276" s="63">
        <f>SUBTOTAL(9,Q258:Q274)</f>
        <v>0</v>
      </c>
      <c r="R276" s="33"/>
    </row>
    <row r="277" spans="1:18" ht="17.25" customHeight="1" outlineLevel="3">
      <c r="A277" s="35">
        <v>36</v>
      </c>
      <c r="B277" s="20">
        <v>3612</v>
      </c>
      <c r="C277" s="7" t="s">
        <v>342</v>
      </c>
      <c r="D277" s="8" t="s">
        <v>342</v>
      </c>
      <c r="E277" s="21" t="s">
        <v>195</v>
      </c>
      <c r="F277" s="40"/>
      <c r="G277" s="41"/>
      <c r="H277" s="34"/>
      <c r="I277" s="34"/>
      <c r="J277" s="34"/>
      <c r="K277" s="34"/>
      <c r="L277" s="34"/>
      <c r="M277" s="34"/>
      <c r="N277" s="34"/>
      <c r="O277" s="70"/>
      <c r="P277" s="63"/>
      <c r="Q277" s="63"/>
      <c r="R277" s="33"/>
    </row>
    <row r="278" spans="1:18" ht="17.25" customHeight="1" outlineLevel="3">
      <c r="A278" s="38">
        <v>36</v>
      </c>
      <c r="B278" s="26">
        <v>3612</v>
      </c>
      <c r="C278" s="27">
        <v>0</v>
      </c>
      <c r="D278" s="28" t="s">
        <v>377</v>
      </c>
      <c r="E278" s="29" t="s">
        <v>470</v>
      </c>
      <c r="F278" s="30">
        <v>2000</v>
      </c>
      <c r="G278" s="31">
        <v>2000</v>
      </c>
      <c r="H278" s="32">
        <v>457</v>
      </c>
      <c r="I278" s="32"/>
      <c r="J278" s="32">
        <v>0</v>
      </c>
      <c r="K278" s="32">
        <f aca="true" t="shared" si="64" ref="K278:K298">+L278+M278</f>
        <v>457</v>
      </c>
      <c r="L278" s="32">
        <v>457</v>
      </c>
      <c r="M278" s="32"/>
      <c r="N278" s="32">
        <f aca="true" t="shared" si="65" ref="N278:N297">+P278+Q278</f>
        <v>456.75</v>
      </c>
      <c r="O278" s="17">
        <f aca="true" t="shared" si="66" ref="O278:O297">IF(K278=0,"0,0",N278*100/K278)</f>
        <v>99.945295404814</v>
      </c>
      <c r="P278" s="62">
        <v>456.75</v>
      </c>
      <c r="Q278" s="62">
        <v>0</v>
      </c>
      <c r="R278" s="33" t="s">
        <v>378</v>
      </c>
    </row>
    <row r="279" spans="1:18" ht="17.25" customHeight="1" outlineLevel="3">
      <c r="A279" s="38">
        <v>36</v>
      </c>
      <c r="B279" s="26">
        <v>3612</v>
      </c>
      <c r="C279" s="27">
        <v>0</v>
      </c>
      <c r="D279" s="28" t="s">
        <v>377</v>
      </c>
      <c r="E279" s="29" t="s">
        <v>471</v>
      </c>
      <c r="F279" s="30">
        <v>2000</v>
      </c>
      <c r="G279" s="31">
        <v>2000</v>
      </c>
      <c r="H279" s="32">
        <v>19877</v>
      </c>
      <c r="I279" s="32"/>
      <c r="J279" s="32"/>
      <c r="K279" s="32">
        <f t="shared" si="64"/>
        <v>19877</v>
      </c>
      <c r="L279" s="32">
        <v>19877</v>
      </c>
      <c r="M279" s="32"/>
      <c r="N279" s="32">
        <f t="shared" si="65"/>
        <v>19877.35565</v>
      </c>
      <c r="O279" s="17">
        <f t="shared" si="66"/>
        <v>100.00178925391157</v>
      </c>
      <c r="P279" s="62">
        <v>19877.35565</v>
      </c>
      <c r="Q279" s="62"/>
      <c r="R279" s="33" t="s">
        <v>378</v>
      </c>
    </row>
    <row r="280" spans="1:18" ht="17.25" customHeight="1" outlineLevel="3">
      <c r="A280" s="38">
        <v>36</v>
      </c>
      <c r="B280" s="26">
        <v>3612</v>
      </c>
      <c r="C280" s="27">
        <v>0</v>
      </c>
      <c r="D280" s="28" t="s">
        <v>496</v>
      </c>
      <c r="E280" s="29" t="s">
        <v>497</v>
      </c>
      <c r="F280" s="30">
        <v>2000</v>
      </c>
      <c r="G280" s="31">
        <v>2000</v>
      </c>
      <c r="H280" s="32"/>
      <c r="I280" s="32"/>
      <c r="J280" s="32"/>
      <c r="K280" s="32">
        <f t="shared" si="64"/>
        <v>34819</v>
      </c>
      <c r="L280" s="32">
        <v>34819</v>
      </c>
      <c r="M280" s="32"/>
      <c r="N280" s="32">
        <f>+P280+Q280</f>
        <v>34819</v>
      </c>
      <c r="O280" s="17">
        <f>IF(K280=0,"0,0",N280*100/K280)</f>
        <v>100</v>
      </c>
      <c r="P280" s="62">
        <v>34819</v>
      </c>
      <c r="Q280" s="62"/>
      <c r="R280" s="33"/>
    </row>
    <row r="281" spans="1:18" ht="17.25" customHeight="1" outlineLevel="3">
      <c r="A281" s="38">
        <v>36</v>
      </c>
      <c r="B281" s="26">
        <v>3612</v>
      </c>
      <c r="C281" s="27">
        <v>0</v>
      </c>
      <c r="D281" s="28" t="s">
        <v>377</v>
      </c>
      <c r="E281" s="29" t="s">
        <v>472</v>
      </c>
      <c r="F281" s="30">
        <v>2000</v>
      </c>
      <c r="G281" s="31">
        <v>2000</v>
      </c>
      <c r="H281" s="32">
        <v>1373</v>
      </c>
      <c r="I281" s="32"/>
      <c r="J281" s="32"/>
      <c r="K281" s="32">
        <f t="shared" si="64"/>
        <v>1373</v>
      </c>
      <c r="L281" s="32">
        <v>1373</v>
      </c>
      <c r="M281" s="32"/>
      <c r="N281" s="32">
        <f>+P281+Q281</f>
        <v>1373.0089</v>
      </c>
      <c r="O281" s="17">
        <f>IF(K281=0,"0,0",N281*100/K281)</f>
        <v>100.00064821558632</v>
      </c>
      <c r="P281" s="62">
        <v>1373.0089</v>
      </c>
      <c r="Q281" s="62"/>
      <c r="R281" s="33" t="s">
        <v>378</v>
      </c>
    </row>
    <row r="282" spans="1:18" ht="17.25" customHeight="1" outlineLevel="3">
      <c r="A282" s="38">
        <v>36</v>
      </c>
      <c r="B282" s="26">
        <v>3612</v>
      </c>
      <c r="C282" s="27">
        <v>0</v>
      </c>
      <c r="D282" s="28" t="s">
        <v>496</v>
      </c>
      <c r="E282" s="29" t="s">
        <v>498</v>
      </c>
      <c r="F282" s="30">
        <v>2000</v>
      </c>
      <c r="G282" s="31">
        <v>2000</v>
      </c>
      <c r="H282" s="32"/>
      <c r="I282" s="32"/>
      <c r="J282" s="32"/>
      <c r="K282" s="32">
        <f t="shared" si="64"/>
        <v>84</v>
      </c>
      <c r="L282" s="32">
        <v>84</v>
      </c>
      <c r="M282" s="32"/>
      <c r="N282" s="32">
        <f>+P282+Q282</f>
        <v>84</v>
      </c>
      <c r="O282" s="17">
        <f>IF(K282=0,"0,0",N282*100/K282)</f>
        <v>100</v>
      </c>
      <c r="P282" s="62">
        <v>84</v>
      </c>
      <c r="Q282" s="62"/>
      <c r="R282" s="33"/>
    </row>
    <row r="283" spans="1:18" ht="17.25" customHeight="1" outlineLevel="3">
      <c r="A283" s="38">
        <v>36</v>
      </c>
      <c r="B283" s="26">
        <v>3612</v>
      </c>
      <c r="C283" s="27">
        <v>0</v>
      </c>
      <c r="D283" s="28" t="s">
        <v>496</v>
      </c>
      <c r="E283" s="29" t="s">
        <v>500</v>
      </c>
      <c r="F283" s="30">
        <v>2000</v>
      </c>
      <c r="G283" s="31">
        <v>2000</v>
      </c>
      <c r="H283" s="32"/>
      <c r="I283" s="32"/>
      <c r="J283" s="32"/>
      <c r="K283" s="32">
        <f t="shared" si="64"/>
        <v>98</v>
      </c>
      <c r="L283" s="32">
        <v>98</v>
      </c>
      <c r="M283" s="32"/>
      <c r="N283" s="32">
        <f>+P283+Q283</f>
        <v>98</v>
      </c>
      <c r="O283" s="17">
        <f>IF(K283=0,"0,0",N283*100/K283)</f>
        <v>100</v>
      </c>
      <c r="P283" s="62">
        <v>98</v>
      </c>
      <c r="Q283" s="62"/>
      <c r="R283" s="33"/>
    </row>
    <row r="284" spans="1:18" ht="17.25" customHeight="1" outlineLevel="3">
      <c r="A284" s="38">
        <v>36</v>
      </c>
      <c r="B284" s="26">
        <v>3612</v>
      </c>
      <c r="C284" s="27">
        <v>0</v>
      </c>
      <c r="D284" s="28" t="s">
        <v>496</v>
      </c>
      <c r="E284" s="29" t="s">
        <v>499</v>
      </c>
      <c r="F284" s="30">
        <v>2000</v>
      </c>
      <c r="G284" s="31">
        <v>2000</v>
      </c>
      <c r="H284" s="32"/>
      <c r="I284" s="32"/>
      <c r="J284" s="32"/>
      <c r="K284" s="32">
        <f t="shared" si="64"/>
        <v>29</v>
      </c>
      <c r="L284" s="32">
        <v>29</v>
      </c>
      <c r="M284" s="32"/>
      <c r="N284" s="32">
        <f>+P284+Q284</f>
        <v>29</v>
      </c>
      <c r="O284" s="17">
        <f>IF(K284=0,"0,0",N284*100/K284)</f>
        <v>100</v>
      </c>
      <c r="P284" s="62">
        <v>29</v>
      </c>
      <c r="Q284" s="62"/>
      <c r="R284" s="33"/>
    </row>
    <row r="285" spans="1:18" ht="17.25" customHeight="1" outlineLevel="3">
      <c r="A285" s="38">
        <v>36</v>
      </c>
      <c r="B285" s="26">
        <v>3612</v>
      </c>
      <c r="C285" s="27">
        <v>0</v>
      </c>
      <c r="D285" s="28" t="s">
        <v>377</v>
      </c>
      <c r="E285" s="29" t="s">
        <v>473</v>
      </c>
      <c r="F285" s="30">
        <v>2000</v>
      </c>
      <c r="G285" s="31">
        <v>2000</v>
      </c>
      <c r="H285" s="32">
        <v>60</v>
      </c>
      <c r="I285" s="32"/>
      <c r="J285" s="32"/>
      <c r="K285" s="32">
        <f t="shared" si="64"/>
        <v>60</v>
      </c>
      <c r="L285" s="32">
        <v>60</v>
      </c>
      <c r="M285" s="32"/>
      <c r="N285" s="32">
        <f t="shared" si="65"/>
        <v>60.4587</v>
      </c>
      <c r="O285" s="17">
        <f t="shared" si="66"/>
        <v>100.7645</v>
      </c>
      <c r="P285" s="62">
        <v>60.4587</v>
      </c>
      <c r="Q285" s="62"/>
      <c r="R285" s="33" t="s">
        <v>378</v>
      </c>
    </row>
    <row r="286" spans="1:18" ht="17.25" customHeight="1" outlineLevel="3">
      <c r="A286" s="38">
        <v>36</v>
      </c>
      <c r="B286" s="26">
        <v>3612</v>
      </c>
      <c r="C286" s="27">
        <v>4901</v>
      </c>
      <c r="D286" s="28" t="s">
        <v>319</v>
      </c>
      <c r="E286" s="29" t="s">
        <v>351</v>
      </c>
      <c r="F286" s="30">
        <v>1998</v>
      </c>
      <c r="G286" s="31">
        <v>1998</v>
      </c>
      <c r="H286" s="32">
        <v>0</v>
      </c>
      <c r="I286" s="32"/>
      <c r="J286" s="32">
        <v>0</v>
      </c>
      <c r="K286" s="32">
        <f t="shared" si="64"/>
        <v>0</v>
      </c>
      <c r="L286" s="32">
        <v>0</v>
      </c>
      <c r="M286" s="32"/>
      <c r="N286" s="32">
        <f t="shared" si="65"/>
        <v>52.6618</v>
      </c>
      <c r="O286" s="17" t="str">
        <f t="shared" si="66"/>
        <v>0,0</v>
      </c>
      <c r="P286" s="62">
        <v>0</v>
      </c>
      <c r="Q286" s="62">
        <v>52.6618</v>
      </c>
      <c r="R286" s="33" t="s">
        <v>352</v>
      </c>
    </row>
    <row r="287" spans="1:18" ht="17.25" customHeight="1" outlineLevel="3">
      <c r="A287" s="38">
        <v>36</v>
      </c>
      <c r="B287" s="26" t="s">
        <v>121</v>
      </c>
      <c r="C287" s="27">
        <v>4914</v>
      </c>
      <c r="D287" s="28" t="s">
        <v>319</v>
      </c>
      <c r="E287" s="29" t="s">
        <v>122</v>
      </c>
      <c r="F287" s="36" t="s">
        <v>4</v>
      </c>
      <c r="G287" s="37" t="s">
        <v>4</v>
      </c>
      <c r="H287" s="32">
        <f>5000+1100+2091</f>
        <v>8191</v>
      </c>
      <c r="I287" s="32">
        <v>0</v>
      </c>
      <c r="J287" s="32">
        <v>5000</v>
      </c>
      <c r="K287" s="32">
        <f t="shared" si="64"/>
        <v>8191</v>
      </c>
      <c r="L287" s="32">
        <v>8191</v>
      </c>
      <c r="M287" s="32"/>
      <c r="N287" s="32">
        <f t="shared" si="65"/>
        <v>3999.412</v>
      </c>
      <c r="O287" s="17">
        <f t="shared" si="66"/>
        <v>48.826907581491874</v>
      </c>
      <c r="P287" s="65">
        <v>3999.412</v>
      </c>
      <c r="Q287" s="62"/>
      <c r="R287" s="33" t="s">
        <v>5</v>
      </c>
    </row>
    <row r="288" spans="1:18" ht="17.25" customHeight="1" outlineLevel="3">
      <c r="A288" s="38">
        <v>36</v>
      </c>
      <c r="B288" s="26">
        <v>3612</v>
      </c>
      <c r="C288" s="27">
        <v>4946</v>
      </c>
      <c r="D288" s="28" t="s">
        <v>319</v>
      </c>
      <c r="E288" s="29" t="s">
        <v>327</v>
      </c>
      <c r="F288" s="30">
        <v>1999</v>
      </c>
      <c r="G288" s="31">
        <v>2000</v>
      </c>
      <c r="H288" s="32">
        <f>14171+9500+4849</f>
        <v>28520</v>
      </c>
      <c r="I288" s="32">
        <v>14171</v>
      </c>
      <c r="J288" s="32">
        <v>0</v>
      </c>
      <c r="K288" s="32">
        <f t="shared" si="64"/>
        <v>24549</v>
      </c>
      <c r="L288" s="32">
        <f>9500+4849+10200</f>
        <v>24549</v>
      </c>
      <c r="M288" s="32">
        <v>0</v>
      </c>
      <c r="N288" s="32">
        <f t="shared" si="65"/>
        <v>24549</v>
      </c>
      <c r="O288" s="17">
        <f t="shared" si="66"/>
        <v>100</v>
      </c>
      <c r="P288" s="62">
        <v>24549</v>
      </c>
      <c r="Q288" s="62"/>
      <c r="R288" s="33" t="s">
        <v>5</v>
      </c>
    </row>
    <row r="289" spans="1:18" ht="17.25" customHeight="1" outlineLevel="3">
      <c r="A289" s="38">
        <v>36</v>
      </c>
      <c r="B289" s="26" t="s">
        <v>121</v>
      </c>
      <c r="C289" s="27" t="s">
        <v>123</v>
      </c>
      <c r="D289" s="28" t="s">
        <v>319</v>
      </c>
      <c r="E289" s="29" t="s">
        <v>124</v>
      </c>
      <c r="F289" s="36" t="s">
        <v>3</v>
      </c>
      <c r="G289" s="37" t="s">
        <v>3</v>
      </c>
      <c r="H289" s="32">
        <f>12200+7000+5000+6000</f>
        <v>30200</v>
      </c>
      <c r="I289" s="32">
        <v>12200</v>
      </c>
      <c r="J289" s="32">
        <v>0</v>
      </c>
      <c r="K289" s="32">
        <f t="shared" si="64"/>
        <v>24900</v>
      </c>
      <c r="L289" s="32">
        <f>7000+6000+5000+6900</f>
        <v>24900</v>
      </c>
      <c r="M289" s="45"/>
      <c r="N289" s="32">
        <f t="shared" si="65"/>
        <v>24900</v>
      </c>
      <c r="O289" s="17">
        <f t="shared" si="66"/>
        <v>100</v>
      </c>
      <c r="P289" s="62">
        <v>24900</v>
      </c>
      <c r="Q289" s="62">
        <v>0</v>
      </c>
      <c r="R289" s="33" t="s">
        <v>422</v>
      </c>
    </row>
    <row r="290" spans="1:18" ht="17.25" customHeight="1" outlineLevel="3">
      <c r="A290" s="38">
        <v>36</v>
      </c>
      <c r="B290" s="26" t="s">
        <v>121</v>
      </c>
      <c r="C290" s="27" t="s">
        <v>126</v>
      </c>
      <c r="D290" s="28" t="s">
        <v>319</v>
      </c>
      <c r="E290" s="29" t="s">
        <v>414</v>
      </c>
      <c r="F290" s="36" t="s">
        <v>3</v>
      </c>
      <c r="G290" s="37" t="s">
        <v>3</v>
      </c>
      <c r="H290" s="32">
        <v>5760</v>
      </c>
      <c r="I290" s="32">
        <v>5760</v>
      </c>
      <c r="J290" s="32">
        <v>0</v>
      </c>
      <c r="K290" s="32">
        <f t="shared" si="64"/>
        <v>11880</v>
      </c>
      <c r="L290" s="32">
        <v>11880</v>
      </c>
      <c r="M290" s="32"/>
      <c r="N290" s="32">
        <f t="shared" si="65"/>
        <v>11880</v>
      </c>
      <c r="O290" s="17">
        <f t="shared" si="66"/>
        <v>100</v>
      </c>
      <c r="P290" s="62">
        <v>11880</v>
      </c>
      <c r="Q290" s="62">
        <v>0</v>
      </c>
      <c r="R290" s="33" t="s">
        <v>422</v>
      </c>
    </row>
    <row r="291" spans="1:18" ht="17.25" customHeight="1" outlineLevel="3">
      <c r="A291" s="38">
        <v>36</v>
      </c>
      <c r="B291" s="26">
        <v>3612</v>
      </c>
      <c r="C291" s="27">
        <v>4949</v>
      </c>
      <c r="D291" s="28" t="s">
        <v>319</v>
      </c>
      <c r="E291" s="29" t="s">
        <v>428</v>
      </c>
      <c r="F291" s="30">
        <v>2000</v>
      </c>
      <c r="G291" s="31">
        <v>2000</v>
      </c>
      <c r="H291" s="32">
        <v>3840</v>
      </c>
      <c r="I291" s="32"/>
      <c r="J291" s="32">
        <v>0</v>
      </c>
      <c r="K291" s="32">
        <f t="shared" si="64"/>
        <v>3840</v>
      </c>
      <c r="L291" s="32">
        <v>3840</v>
      </c>
      <c r="M291" s="32"/>
      <c r="N291" s="32">
        <f t="shared" si="65"/>
        <v>3840</v>
      </c>
      <c r="O291" s="17">
        <f t="shared" si="66"/>
        <v>100</v>
      </c>
      <c r="P291" s="62">
        <v>3840</v>
      </c>
      <c r="Q291" s="62"/>
      <c r="R291" s="33" t="s">
        <v>5</v>
      </c>
    </row>
    <row r="292" spans="1:18" ht="17.25" customHeight="1" outlineLevel="3">
      <c r="A292" s="38">
        <v>36</v>
      </c>
      <c r="B292" s="26">
        <v>3612</v>
      </c>
      <c r="C292" s="27">
        <v>4951</v>
      </c>
      <c r="D292" s="28" t="s">
        <v>319</v>
      </c>
      <c r="E292" s="29" t="s">
        <v>336</v>
      </c>
      <c r="F292" s="30">
        <v>1999</v>
      </c>
      <c r="G292" s="31">
        <v>1999</v>
      </c>
      <c r="H292" s="32">
        <f>3000+5000</f>
        <v>8000</v>
      </c>
      <c r="I292" s="32">
        <v>3000</v>
      </c>
      <c r="J292" s="32">
        <v>0</v>
      </c>
      <c r="K292" s="32">
        <f t="shared" si="64"/>
        <v>8000</v>
      </c>
      <c r="L292" s="32">
        <f>5000+3000</f>
        <v>8000</v>
      </c>
      <c r="M292" s="32">
        <v>0</v>
      </c>
      <c r="N292" s="32">
        <f t="shared" si="65"/>
        <v>8000</v>
      </c>
      <c r="O292" s="17">
        <f t="shared" si="66"/>
        <v>100</v>
      </c>
      <c r="P292" s="62">
        <v>8000</v>
      </c>
      <c r="Q292" s="65">
        <v>0</v>
      </c>
      <c r="R292" s="33" t="s">
        <v>5</v>
      </c>
    </row>
    <row r="293" spans="1:18" ht="17.25" customHeight="1" outlineLevel="3">
      <c r="A293" s="38">
        <v>36</v>
      </c>
      <c r="B293" s="26">
        <v>3612</v>
      </c>
      <c r="C293" s="27">
        <v>4952</v>
      </c>
      <c r="D293" s="28" t="s">
        <v>319</v>
      </c>
      <c r="E293" s="29" t="s">
        <v>127</v>
      </c>
      <c r="F293" s="30">
        <v>2000</v>
      </c>
      <c r="G293" s="31">
        <v>2000</v>
      </c>
      <c r="H293" s="32">
        <f>7000+5500</f>
        <v>12500</v>
      </c>
      <c r="I293" s="32">
        <v>0</v>
      </c>
      <c r="J293" s="32">
        <v>0</v>
      </c>
      <c r="K293" s="32">
        <f t="shared" si="64"/>
        <v>12500</v>
      </c>
      <c r="L293" s="32">
        <f>7000+5500</f>
        <v>12500</v>
      </c>
      <c r="M293" s="32">
        <v>0</v>
      </c>
      <c r="N293" s="32">
        <f t="shared" si="65"/>
        <v>12500</v>
      </c>
      <c r="O293" s="17">
        <f t="shared" si="66"/>
        <v>100</v>
      </c>
      <c r="P293" s="62">
        <v>12500</v>
      </c>
      <c r="Q293" s="62"/>
      <c r="R293" s="33" t="s">
        <v>5</v>
      </c>
    </row>
    <row r="294" spans="1:18" ht="17.25" customHeight="1" outlineLevel="3">
      <c r="A294" s="38">
        <v>36</v>
      </c>
      <c r="B294" s="26">
        <v>3612</v>
      </c>
      <c r="C294" s="27">
        <v>4961</v>
      </c>
      <c r="D294" s="28" t="s">
        <v>319</v>
      </c>
      <c r="E294" s="29" t="s">
        <v>425</v>
      </c>
      <c r="F294" s="30">
        <v>2000</v>
      </c>
      <c r="G294" s="31">
        <v>2000</v>
      </c>
      <c r="H294" s="32">
        <v>5000</v>
      </c>
      <c r="I294" s="32"/>
      <c r="J294" s="32"/>
      <c r="K294" s="32">
        <f t="shared" si="64"/>
        <v>6000</v>
      </c>
      <c r="L294" s="32">
        <v>6000</v>
      </c>
      <c r="M294" s="32"/>
      <c r="N294" s="32">
        <f t="shared" si="65"/>
        <v>6000</v>
      </c>
      <c r="O294" s="17">
        <f t="shared" si="66"/>
        <v>100</v>
      </c>
      <c r="P294" s="62">
        <v>6000</v>
      </c>
      <c r="Q294" s="65"/>
      <c r="R294" s="33" t="s">
        <v>5</v>
      </c>
    </row>
    <row r="295" spans="1:18" ht="17.25" customHeight="1" outlineLevel="3">
      <c r="A295" s="38">
        <v>36</v>
      </c>
      <c r="B295" s="26">
        <v>3612</v>
      </c>
      <c r="C295" s="27">
        <v>4962</v>
      </c>
      <c r="D295" s="28" t="s">
        <v>319</v>
      </c>
      <c r="E295" s="29" t="s">
        <v>426</v>
      </c>
      <c r="F295" s="30">
        <v>2000</v>
      </c>
      <c r="G295" s="31">
        <v>2000</v>
      </c>
      <c r="H295" s="32">
        <v>5100</v>
      </c>
      <c r="I295" s="32"/>
      <c r="J295" s="32"/>
      <c r="K295" s="32">
        <f t="shared" si="64"/>
        <v>6100</v>
      </c>
      <c r="L295" s="32">
        <v>6100</v>
      </c>
      <c r="M295" s="32"/>
      <c r="N295" s="32">
        <f t="shared" si="65"/>
        <v>6100</v>
      </c>
      <c r="O295" s="17">
        <f t="shared" si="66"/>
        <v>100</v>
      </c>
      <c r="P295" s="62">
        <v>6100</v>
      </c>
      <c r="Q295" s="65"/>
      <c r="R295" s="33" t="s">
        <v>5</v>
      </c>
    </row>
    <row r="296" spans="1:18" ht="17.25" customHeight="1" outlineLevel="3">
      <c r="A296" s="38">
        <v>36</v>
      </c>
      <c r="B296" s="26">
        <v>3612</v>
      </c>
      <c r="C296" s="27">
        <v>4965</v>
      </c>
      <c r="D296" s="28" t="s">
        <v>319</v>
      </c>
      <c r="E296" s="29" t="s">
        <v>424</v>
      </c>
      <c r="F296" s="30">
        <v>2000</v>
      </c>
      <c r="G296" s="31">
        <v>2000</v>
      </c>
      <c r="H296" s="32">
        <v>1000</v>
      </c>
      <c r="I296" s="32"/>
      <c r="J296" s="32"/>
      <c r="K296" s="32">
        <f t="shared" si="64"/>
        <v>4200</v>
      </c>
      <c r="L296" s="32">
        <v>4200</v>
      </c>
      <c r="M296" s="32"/>
      <c r="N296" s="32">
        <f t="shared" si="65"/>
        <v>4200</v>
      </c>
      <c r="O296" s="17">
        <f t="shared" si="66"/>
        <v>100</v>
      </c>
      <c r="P296" s="62">
        <v>4200</v>
      </c>
      <c r="Q296" s="62"/>
      <c r="R296" s="33" t="s">
        <v>5</v>
      </c>
    </row>
    <row r="297" spans="1:18" ht="17.25" customHeight="1" outlineLevel="3">
      <c r="A297" s="38">
        <v>36</v>
      </c>
      <c r="B297" s="26">
        <v>3612</v>
      </c>
      <c r="C297" s="27">
        <v>4966</v>
      </c>
      <c r="D297" s="28" t="s">
        <v>319</v>
      </c>
      <c r="E297" s="29" t="s">
        <v>424</v>
      </c>
      <c r="F297" s="30">
        <v>2000</v>
      </c>
      <c r="G297" s="31">
        <v>2000</v>
      </c>
      <c r="H297" s="32">
        <v>3900</v>
      </c>
      <c r="I297" s="32"/>
      <c r="J297" s="32"/>
      <c r="K297" s="32">
        <f t="shared" si="64"/>
        <v>5900</v>
      </c>
      <c r="L297" s="32">
        <v>5900</v>
      </c>
      <c r="M297" s="32"/>
      <c r="N297" s="32">
        <f t="shared" si="65"/>
        <v>5900</v>
      </c>
      <c r="O297" s="17">
        <f t="shared" si="66"/>
        <v>100</v>
      </c>
      <c r="P297" s="62">
        <v>5900</v>
      </c>
      <c r="Q297" s="62"/>
      <c r="R297" s="33" t="s">
        <v>5</v>
      </c>
    </row>
    <row r="298" spans="1:18" ht="17.25" customHeight="1" outlineLevel="3">
      <c r="A298" s="38">
        <v>36</v>
      </c>
      <c r="B298" s="26">
        <v>3612</v>
      </c>
      <c r="C298" s="27">
        <v>4967</v>
      </c>
      <c r="D298" s="28" t="s">
        <v>319</v>
      </c>
      <c r="E298" s="29" t="s">
        <v>513</v>
      </c>
      <c r="F298" s="30">
        <v>2000</v>
      </c>
      <c r="G298" s="31">
        <v>2000</v>
      </c>
      <c r="H298" s="32">
        <v>1600</v>
      </c>
      <c r="I298" s="32"/>
      <c r="J298" s="32"/>
      <c r="K298" s="32">
        <f t="shared" si="64"/>
        <v>1600</v>
      </c>
      <c r="L298" s="32">
        <v>1600</v>
      </c>
      <c r="M298" s="32"/>
      <c r="N298" s="32">
        <f>+P298+Q298</f>
        <v>1600</v>
      </c>
      <c r="O298" s="17">
        <f>IF(K298=0,"0,0",N298*100/K298)</f>
        <v>100</v>
      </c>
      <c r="P298" s="62">
        <v>1600</v>
      </c>
      <c r="Q298" s="62"/>
      <c r="R298" s="33" t="s">
        <v>5</v>
      </c>
    </row>
    <row r="299" spans="1:18" ht="17.25" customHeight="1" outlineLevel="2">
      <c r="A299" s="38"/>
      <c r="B299" s="20" t="s">
        <v>451</v>
      </c>
      <c r="C299" s="27"/>
      <c r="D299" s="28"/>
      <c r="E299" s="29"/>
      <c r="F299" s="30"/>
      <c r="G299" s="31"/>
      <c r="H299" s="34">
        <f aca="true" t="shared" si="67" ref="H299:N299">SUBTOTAL(9,H277:H298)</f>
        <v>135378</v>
      </c>
      <c r="I299" s="34">
        <f t="shared" si="67"/>
        <v>35131</v>
      </c>
      <c r="J299" s="34">
        <f t="shared" si="67"/>
        <v>5000</v>
      </c>
      <c r="K299" s="34">
        <f t="shared" si="67"/>
        <v>174457</v>
      </c>
      <c r="L299" s="34">
        <f t="shared" si="67"/>
        <v>174457</v>
      </c>
      <c r="M299" s="34">
        <f t="shared" si="67"/>
        <v>0</v>
      </c>
      <c r="N299" s="34">
        <f t="shared" si="67"/>
        <v>170318.64705</v>
      </c>
      <c r="O299" s="55">
        <f>IF(K299=0,"0,0",N299*100/K299)</f>
        <v>97.62786649432238</v>
      </c>
      <c r="P299" s="63">
        <f>SUBTOTAL(9,P277:P298)</f>
        <v>170265.98525</v>
      </c>
      <c r="Q299" s="63">
        <f>SUBTOTAL(9,Q277:Q298)</f>
        <v>52.6618</v>
      </c>
      <c r="R299" s="33"/>
    </row>
    <row r="300" spans="1:18" ht="17.25" customHeight="1" outlineLevel="3">
      <c r="A300" s="35">
        <v>36</v>
      </c>
      <c r="B300" s="20">
        <v>3631</v>
      </c>
      <c r="C300" s="7" t="s">
        <v>342</v>
      </c>
      <c r="D300" s="8" t="s">
        <v>342</v>
      </c>
      <c r="E300" s="21" t="s">
        <v>196</v>
      </c>
      <c r="F300" s="36"/>
      <c r="G300" s="37"/>
      <c r="H300" s="34"/>
      <c r="I300" s="34"/>
      <c r="J300" s="34"/>
      <c r="K300" s="34"/>
      <c r="L300" s="34"/>
      <c r="M300" s="34"/>
      <c r="N300" s="34"/>
      <c r="O300" s="17"/>
      <c r="P300" s="63"/>
      <c r="Q300" s="63"/>
      <c r="R300" s="33"/>
    </row>
    <row r="301" spans="1:18" ht="17.25" customHeight="1" outlineLevel="3">
      <c r="A301" s="38">
        <v>36</v>
      </c>
      <c r="B301" s="26">
        <v>3631</v>
      </c>
      <c r="C301" s="27">
        <v>6200</v>
      </c>
      <c r="D301" s="27">
        <v>5700</v>
      </c>
      <c r="E301" s="29" t="s">
        <v>333</v>
      </c>
      <c r="F301" s="30">
        <v>2000</v>
      </c>
      <c r="G301" s="31">
        <v>2000</v>
      </c>
      <c r="H301" s="32">
        <v>2906.862</v>
      </c>
      <c r="I301" s="32"/>
      <c r="J301" s="32">
        <v>0</v>
      </c>
      <c r="K301" s="32">
        <f>+L301+M301</f>
        <v>2906.862</v>
      </c>
      <c r="L301" s="32">
        <v>2906.862</v>
      </c>
      <c r="M301" s="32"/>
      <c r="N301" s="32">
        <f>+P301+Q301</f>
        <v>2907</v>
      </c>
      <c r="O301" s="17">
        <f>IF(K301=0,"0,0",N301*100/K301)</f>
        <v>100.00474738738887</v>
      </c>
      <c r="P301" s="62">
        <v>2907</v>
      </c>
      <c r="Q301" s="62"/>
      <c r="R301" s="33" t="s">
        <v>367</v>
      </c>
    </row>
    <row r="302" spans="1:18" ht="17.25" customHeight="1" outlineLevel="3">
      <c r="A302" s="38">
        <v>36</v>
      </c>
      <c r="B302" s="26">
        <v>3631</v>
      </c>
      <c r="C302" s="27">
        <v>4862</v>
      </c>
      <c r="D302" s="27">
        <v>5600</v>
      </c>
      <c r="E302" s="29" t="s">
        <v>400</v>
      </c>
      <c r="F302" s="30">
        <v>2000</v>
      </c>
      <c r="G302" s="31">
        <v>2000</v>
      </c>
      <c r="H302" s="32">
        <v>600</v>
      </c>
      <c r="I302" s="32">
        <v>0</v>
      </c>
      <c r="J302" s="32">
        <v>0</v>
      </c>
      <c r="K302" s="32">
        <f>+L302+M302</f>
        <v>600</v>
      </c>
      <c r="L302" s="32">
        <v>600</v>
      </c>
      <c r="M302" s="32"/>
      <c r="N302" s="32">
        <f>+P302+Q302</f>
        <v>534.365</v>
      </c>
      <c r="O302" s="17">
        <f>IF(K302=0,"0,0",N302*100/K302)</f>
        <v>89.06083333333333</v>
      </c>
      <c r="P302" s="62">
        <v>534.365</v>
      </c>
      <c r="Q302" s="62"/>
      <c r="R302" s="33" t="s">
        <v>5</v>
      </c>
    </row>
    <row r="303" spans="1:18" ht="17.25" customHeight="1" outlineLevel="2">
      <c r="A303" s="38"/>
      <c r="B303" s="20" t="s">
        <v>452</v>
      </c>
      <c r="C303" s="27"/>
      <c r="D303" s="27"/>
      <c r="E303" s="29"/>
      <c r="F303" s="30"/>
      <c r="G303" s="31"/>
      <c r="H303" s="34">
        <f aca="true" t="shared" si="68" ref="H303:N303">SUBTOTAL(9,H300:H302)</f>
        <v>3506.862</v>
      </c>
      <c r="I303" s="34">
        <f t="shared" si="68"/>
        <v>0</v>
      </c>
      <c r="J303" s="34">
        <f t="shared" si="68"/>
        <v>0</v>
      </c>
      <c r="K303" s="34">
        <f t="shared" si="68"/>
        <v>3506.862</v>
      </c>
      <c r="L303" s="34">
        <f t="shared" si="68"/>
        <v>3506.862</v>
      </c>
      <c r="M303" s="34">
        <f t="shared" si="68"/>
        <v>0</v>
      </c>
      <c r="N303" s="34">
        <f t="shared" si="68"/>
        <v>3441.365</v>
      </c>
      <c r="O303" s="55">
        <f>IF(K303=0,"0,0",N303*100/K303)</f>
        <v>98.13231886512786</v>
      </c>
      <c r="P303" s="63">
        <f>SUBTOTAL(9,P300:P302)</f>
        <v>3441.365</v>
      </c>
      <c r="Q303" s="63">
        <f>SUBTOTAL(9,Q300:Q302)</f>
        <v>0</v>
      </c>
      <c r="R303" s="33"/>
    </row>
    <row r="304" spans="1:18" ht="17.25" customHeight="1" outlineLevel="3">
      <c r="A304" s="35">
        <v>36</v>
      </c>
      <c r="B304" s="20">
        <v>3632</v>
      </c>
      <c r="C304" s="7" t="s">
        <v>342</v>
      </c>
      <c r="D304" s="8" t="s">
        <v>342</v>
      </c>
      <c r="E304" s="21" t="s">
        <v>175</v>
      </c>
      <c r="F304" s="36"/>
      <c r="G304" s="37"/>
      <c r="H304" s="34"/>
      <c r="I304" s="34"/>
      <c r="J304" s="34"/>
      <c r="K304" s="34"/>
      <c r="L304" s="34"/>
      <c r="M304" s="34"/>
      <c r="N304" s="34"/>
      <c r="O304" s="17"/>
      <c r="P304" s="63"/>
      <c r="Q304" s="63"/>
      <c r="R304" s="33"/>
    </row>
    <row r="305" spans="1:18" ht="17.25" customHeight="1" outlineLevel="3">
      <c r="A305" s="38">
        <v>36</v>
      </c>
      <c r="B305" s="26" t="s">
        <v>128</v>
      </c>
      <c r="C305" s="27">
        <v>4815</v>
      </c>
      <c r="D305" s="28" t="s">
        <v>319</v>
      </c>
      <c r="E305" s="29" t="s">
        <v>130</v>
      </c>
      <c r="F305" s="36" t="s">
        <v>3</v>
      </c>
      <c r="G305" s="37" t="s">
        <v>4</v>
      </c>
      <c r="H305" s="32">
        <v>2659</v>
      </c>
      <c r="I305" s="32">
        <v>942</v>
      </c>
      <c r="J305" s="32">
        <v>1699</v>
      </c>
      <c r="K305" s="32">
        <f aca="true" t="shared" si="69" ref="K305:K315">+L305+M305</f>
        <v>1717</v>
      </c>
      <c r="L305" s="32">
        <f>1699+18</f>
        <v>1717</v>
      </c>
      <c r="M305" s="32"/>
      <c r="N305" s="32">
        <f aca="true" t="shared" si="70" ref="N305:N315">+P305+Q305</f>
        <v>1604.426</v>
      </c>
      <c r="O305" s="17">
        <f aca="true" t="shared" si="71" ref="O305:O316">IF(K305=0,"0,0",N305*100/K305)</f>
        <v>93.44356435643564</v>
      </c>
      <c r="P305" s="62">
        <v>1604.426</v>
      </c>
      <c r="Q305" s="62"/>
      <c r="R305" s="33" t="s">
        <v>5</v>
      </c>
    </row>
    <row r="306" spans="1:18" ht="17.25" customHeight="1" outlineLevel="3">
      <c r="A306" s="38">
        <v>36</v>
      </c>
      <c r="B306" s="26">
        <v>3632</v>
      </c>
      <c r="C306" s="27">
        <v>4817</v>
      </c>
      <c r="D306" s="28" t="s">
        <v>319</v>
      </c>
      <c r="E306" s="29" t="s">
        <v>392</v>
      </c>
      <c r="F306" s="30">
        <v>1999</v>
      </c>
      <c r="G306" s="31">
        <v>2000</v>
      </c>
      <c r="H306" s="32">
        <v>8086</v>
      </c>
      <c r="I306" s="32">
        <v>6172</v>
      </c>
      <c r="J306" s="32">
        <v>0</v>
      </c>
      <c r="K306" s="32">
        <f t="shared" si="69"/>
        <v>1914</v>
      </c>
      <c r="L306" s="32">
        <v>1914</v>
      </c>
      <c r="M306" s="32"/>
      <c r="N306" s="32">
        <f t="shared" si="70"/>
        <v>1661.85</v>
      </c>
      <c r="O306" s="17">
        <f t="shared" si="71"/>
        <v>86.82601880877743</v>
      </c>
      <c r="P306" s="62">
        <v>1661.85</v>
      </c>
      <c r="Q306" s="62"/>
      <c r="R306" s="33" t="s">
        <v>5</v>
      </c>
    </row>
    <row r="307" spans="1:18" ht="17.25" customHeight="1" outlineLevel="3">
      <c r="A307" s="38">
        <v>36</v>
      </c>
      <c r="B307" s="26" t="s">
        <v>128</v>
      </c>
      <c r="C307" s="27">
        <v>4818</v>
      </c>
      <c r="D307" s="28" t="s">
        <v>319</v>
      </c>
      <c r="E307" s="29" t="s">
        <v>131</v>
      </c>
      <c r="F307" s="36" t="s">
        <v>22</v>
      </c>
      <c r="G307" s="41">
        <v>2001</v>
      </c>
      <c r="H307" s="32">
        <v>8311</v>
      </c>
      <c r="I307" s="32">
        <v>173</v>
      </c>
      <c r="J307" s="32">
        <v>4883</v>
      </c>
      <c r="K307" s="32">
        <f t="shared" si="69"/>
        <v>2462</v>
      </c>
      <c r="L307" s="32">
        <f>4883-2421</f>
        <v>2462</v>
      </c>
      <c r="M307" s="32"/>
      <c r="N307" s="32">
        <f t="shared" si="70"/>
        <v>128.3011</v>
      </c>
      <c r="O307" s="17">
        <f t="shared" si="71"/>
        <v>5.211255077173029</v>
      </c>
      <c r="P307" s="62">
        <v>128.3011</v>
      </c>
      <c r="Q307" s="62"/>
      <c r="R307" s="33" t="s">
        <v>5</v>
      </c>
    </row>
    <row r="308" spans="1:18" ht="17.25" customHeight="1" outlineLevel="3">
      <c r="A308" s="38">
        <v>36</v>
      </c>
      <c r="B308" s="26" t="s">
        <v>128</v>
      </c>
      <c r="C308" s="27">
        <v>4833</v>
      </c>
      <c r="D308" s="28" t="s">
        <v>319</v>
      </c>
      <c r="E308" s="29" t="s">
        <v>291</v>
      </c>
      <c r="F308" s="36" t="s">
        <v>3</v>
      </c>
      <c r="G308" s="37" t="s">
        <v>4</v>
      </c>
      <c r="H308" s="32">
        <v>5166</v>
      </c>
      <c r="I308" s="32">
        <v>2630</v>
      </c>
      <c r="J308" s="32">
        <v>2500</v>
      </c>
      <c r="K308" s="32">
        <f t="shared" si="69"/>
        <v>2110</v>
      </c>
      <c r="L308" s="32">
        <v>2110</v>
      </c>
      <c r="M308" s="32"/>
      <c r="N308" s="32">
        <f t="shared" si="70"/>
        <v>1950.2186</v>
      </c>
      <c r="O308" s="17">
        <f t="shared" si="71"/>
        <v>92.42742180094785</v>
      </c>
      <c r="P308" s="62">
        <v>1950.2186</v>
      </c>
      <c r="Q308" s="62"/>
      <c r="R308" s="33" t="s">
        <v>5</v>
      </c>
    </row>
    <row r="309" spans="1:18" ht="17.25" customHeight="1" outlineLevel="3">
      <c r="A309" s="38">
        <v>36</v>
      </c>
      <c r="B309" s="26" t="s">
        <v>128</v>
      </c>
      <c r="C309" s="27">
        <v>4834</v>
      </c>
      <c r="D309" s="28" t="s">
        <v>319</v>
      </c>
      <c r="E309" s="29" t="s">
        <v>290</v>
      </c>
      <c r="F309" s="36" t="s">
        <v>4</v>
      </c>
      <c r="G309" s="37" t="s">
        <v>4</v>
      </c>
      <c r="H309" s="32">
        <v>2499</v>
      </c>
      <c r="I309" s="32">
        <v>0</v>
      </c>
      <c r="J309" s="32">
        <v>2499</v>
      </c>
      <c r="K309" s="32">
        <f t="shared" si="69"/>
        <v>4920</v>
      </c>
      <c r="L309" s="32">
        <v>4920</v>
      </c>
      <c r="M309" s="32"/>
      <c r="N309" s="32">
        <f t="shared" si="70"/>
        <v>3788.021</v>
      </c>
      <c r="O309" s="17">
        <f t="shared" si="71"/>
        <v>76.99229674796749</v>
      </c>
      <c r="P309" s="62">
        <v>3788.021</v>
      </c>
      <c r="Q309" s="62"/>
      <c r="R309" s="33" t="s">
        <v>5</v>
      </c>
    </row>
    <row r="310" spans="1:18" ht="17.25" customHeight="1" outlineLevel="3">
      <c r="A310" s="38">
        <v>36</v>
      </c>
      <c r="B310" s="26" t="s">
        <v>128</v>
      </c>
      <c r="C310" s="27">
        <v>4838</v>
      </c>
      <c r="D310" s="28" t="s">
        <v>319</v>
      </c>
      <c r="E310" s="29" t="s">
        <v>129</v>
      </c>
      <c r="F310" s="36" t="s">
        <v>4</v>
      </c>
      <c r="G310" s="37" t="s">
        <v>17</v>
      </c>
      <c r="H310" s="32">
        <v>9670</v>
      </c>
      <c r="I310" s="32">
        <v>0</v>
      </c>
      <c r="J310" s="32">
        <v>3320</v>
      </c>
      <c r="K310" s="32">
        <f t="shared" si="69"/>
        <v>3320</v>
      </c>
      <c r="L310" s="32">
        <v>0</v>
      </c>
      <c r="M310" s="32">
        <v>3320</v>
      </c>
      <c r="N310" s="32">
        <f t="shared" si="70"/>
        <v>2584.4331</v>
      </c>
      <c r="O310" s="17">
        <f t="shared" si="71"/>
        <v>77.84437048192773</v>
      </c>
      <c r="P310" s="62">
        <v>0</v>
      </c>
      <c r="Q310" s="62">
        <v>2584.4331</v>
      </c>
      <c r="R310" s="33" t="s">
        <v>382</v>
      </c>
    </row>
    <row r="311" spans="1:18" ht="17.25" customHeight="1" outlineLevel="3">
      <c r="A311" s="38">
        <v>36</v>
      </c>
      <c r="B311" s="26">
        <v>3632</v>
      </c>
      <c r="C311" s="27">
        <v>4857</v>
      </c>
      <c r="D311" s="28" t="s">
        <v>319</v>
      </c>
      <c r="E311" s="29" t="s">
        <v>396</v>
      </c>
      <c r="F311" s="30">
        <v>2000</v>
      </c>
      <c r="G311" s="31">
        <v>2000</v>
      </c>
      <c r="H311" s="32">
        <v>90</v>
      </c>
      <c r="I311" s="32">
        <v>0</v>
      </c>
      <c r="J311" s="32">
        <v>0</v>
      </c>
      <c r="K311" s="32">
        <f t="shared" si="69"/>
        <v>90</v>
      </c>
      <c r="L311" s="32">
        <v>90</v>
      </c>
      <c r="M311" s="32"/>
      <c r="N311" s="32">
        <f t="shared" si="70"/>
        <v>98.8859</v>
      </c>
      <c r="O311" s="17">
        <f t="shared" si="71"/>
        <v>109.87322222222222</v>
      </c>
      <c r="P311" s="62">
        <v>98.8859</v>
      </c>
      <c r="Q311" s="62"/>
      <c r="R311" s="33" t="s">
        <v>5</v>
      </c>
    </row>
    <row r="312" spans="1:18" ht="17.25" customHeight="1" outlineLevel="3">
      <c r="A312" s="38">
        <v>36</v>
      </c>
      <c r="B312" s="26">
        <v>3632</v>
      </c>
      <c r="C312" s="27">
        <v>4858</v>
      </c>
      <c r="D312" s="28" t="s">
        <v>319</v>
      </c>
      <c r="E312" s="29" t="s">
        <v>397</v>
      </c>
      <c r="F312" s="30">
        <v>2000</v>
      </c>
      <c r="G312" s="31">
        <v>2000</v>
      </c>
      <c r="H312" s="32">
        <v>2500</v>
      </c>
      <c r="I312" s="32">
        <v>0</v>
      </c>
      <c r="J312" s="32">
        <v>0</v>
      </c>
      <c r="K312" s="32">
        <f t="shared" si="69"/>
        <v>2500</v>
      </c>
      <c r="L312" s="32">
        <v>2500</v>
      </c>
      <c r="M312" s="32"/>
      <c r="N312" s="32">
        <f t="shared" si="70"/>
        <v>99.645</v>
      </c>
      <c r="O312" s="17">
        <f t="shared" si="71"/>
        <v>3.9858</v>
      </c>
      <c r="P312" s="62">
        <v>99.645</v>
      </c>
      <c r="Q312" s="62"/>
      <c r="R312" s="33" t="s">
        <v>5</v>
      </c>
    </row>
    <row r="313" spans="1:18" ht="17.25" customHeight="1" outlineLevel="3">
      <c r="A313" s="38">
        <v>36</v>
      </c>
      <c r="B313" s="26" t="s">
        <v>128</v>
      </c>
      <c r="C313" s="27">
        <v>9106</v>
      </c>
      <c r="D313" s="28" t="s">
        <v>319</v>
      </c>
      <c r="E313" s="29" t="s">
        <v>210</v>
      </c>
      <c r="F313" s="40" t="s">
        <v>4</v>
      </c>
      <c r="G313" s="41" t="s">
        <v>4</v>
      </c>
      <c r="H313" s="32">
        <v>611</v>
      </c>
      <c r="I313" s="32">
        <v>0</v>
      </c>
      <c r="J313" s="32">
        <v>611</v>
      </c>
      <c r="K313" s="32">
        <f t="shared" si="69"/>
        <v>611</v>
      </c>
      <c r="L313" s="32">
        <v>611</v>
      </c>
      <c r="M313" s="32"/>
      <c r="N313" s="32">
        <f t="shared" si="70"/>
        <v>611</v>
      </c>
      <c r="O313" s="17">
        <f t="shared" si="71"/>
        <v>100</v>
      </c>
      <c r="P313" s="62">
        <v>611</v>
      </c>
      <c r="Q313" s="62"/>
      <c r="R313" s="33" t="s">
        <v>5</v>
      </c>
    </row>
    <row r="314" spans="1:18" ht="17.25" customHeight="1" outlineLevel="3">
      <c r="A314" s="38">
        <v>36</v>
      </c>
      <c r="B314" s="26">
        <v>3632</v>
      </c>
      <c r="C314" s="27">
        <v>9106</v>
      </c>
      <c r="D314" s="28" t="s">
        <v>319</v>
      </c>
      <c r="E314" s="29" t="s">
        <v>386</v>
      </c>
      <c r="F314" s="40" t="s">
        <v>4</v>
      </c>
      <c r="G314" s="41" t="s">
        <v>4</v>
      </c>
      <c r="H314" s="32">
        <v>460</v>
      </c>
      <c r="I314" s="32">
        <v>0</v>
      </c>
      <c r="J314" s="32">
        <v>0</v>
      </c>
      <c r="K314" s="32">
        <f t="shared" si="69"/>
        <v>460</v>
      </c>
      <c r="L314" s="32">
        <v>460</v>
      </c>
      <c r="M314" s="32"/>
      <c r="N314" s="32">
        <f t="shared" si="70"/>
        <v>460</v>
      </c>
      <c r="O314" s="17">
        <f t="shared" si="71"/>
        <v>100</v>
      </c>
      <c r="P314" s="62">
        <v>460</v>
      </c>
      <c r="Q314" s="62"/>
      <c r="R314" s="33" t="s">
        <v>5</v>
      </c>
    </row>
    <row r="315" spans="1:18" ht="17.25" customHeight="1" outlineLevel="3">
      <c r="A315" s="38">
        <v>36</v>
      </c>
      <c r="B315" s="26" t="s">
        <v>128</v>
      </c>
      <c r="C315" s="27">
        <v>9106</v>
      </c>
      <c r="D315" s="28" t="s">
        <v>319</v>
      </c>
      <c r="E315" s="29" t="s">
        <v>211</v>
      </c>
      <c r="F315" s="40" t="s">
        <v>4</v>
      </c>
      <c r="G315" s="41" t="s">
        <v>4</v>
      </c>
      <c r="H315" s="32">
        <v>270</v>
      </c>
      <c r="I315" s="32">
        <v>0</v>
      </c>
      <c r="J315" s="32">
        <v>270</v>
      </c>
      <c r="K315" s="32">
        <f t="shared" si="69"/>
        <v>270</v>
      </c>
      <c r="L315" s="32">
        <v>270</v>
      </c>
      <c r="M315" s="32"/>
      <c r="N315" s="32">
        <f t="shared" si="70"/>
        <v>270</v>
      </c>
      <c r="O315" s="17">
        <f t="shared" si="71"/>
        <v>100</v>
      </c>
      <c r="P315" s="62">
        <v>270</v>
      </c>
      <c r="Q315" s="62"/>
      <c r="R315" s="33" t="s">
        <v>5</v>
      </c>
    </row>
    <row r="316" spans="1:18" ht="17.25" customHeight="1" outlineLevel="2">
      <c r="A316" s="38"/>
      <c r="B316" s="20" t="s">
        <v>453</v>
      </c>
      <c r="C316" s="27"/>
      <c r="D316" s="28"/>
      <c r="E316" s="29"/>
      <c r="F316" s="40"/>
      <c r="G316" s="41"/>
      <c r="H316" s="34">
        <f aca="true" t="shared" si="72" ref="H316:N316">SUBTOTAL(9,H304:H315)</f>
        <v>40322</v>
      </c>
      <c r="I316" s="34">
        <f t="shared" si="72"/>
        <v>9917</v>
      </c>
      <c r="J316" s="34">
        <f t="shared" si="72"/>
        <v>15782</v>
      </c>
      <c r="K316" s="34">
        <f t="shared" si="72"/>
        <v>20374</v>
      </c>
      <c r="L316" s="34">
        <f t="shared" si="72"/>
        <v>17054</v>
      </c>
      <c r="M316" s="34">
        <f t="shared" si="72"/>
        <v>3320</v>
      </c>
      <c r="N316" s="34">
        <f t="shared" si="72"/>
        <v>13256.7807</v>
      </c>
      <c r="O316" s="55">
        <f t="shared" si="71"/>
        <v>65.06714783547658</v>
      </c>
      <c r="P316" s="63">
        <f>SUBTOTAL(9,P304:P315)</f>
        <v>10672.3476</v>
      </c>
      <c r="Q316" s="63">
        <f>SUBTOTAL(9,Q304:Q315)</f>
        <v>2584.4331</v>
      </c>
      <c r="R316" s="33"/>
    </row>
    <row r="317" spans="1:18" ht="17.25" customHeight="1" outlineLevel="3">
      <c r="A317" s="35">
        <v>36</v>
      </c>
      <c r="B317" s="20" t="s">
        <v>232</v>
      </c>
      <c r="C317" s="7" t="s">
        <v>342</v>
      </c>
      <c r="D317" s="8" t="s">
        <v>342</v>
      </c>
      <c r="E317" s="39" t="s">
        <v>233</v>
      </c>
      <c r="F317" s="40"/>
      <c r="G317" s="41"/>
      <c r="H317" s="34"/>
      <c r="I317" s="34"/>
      <c r="J317" s="34"/>
      <c r="K317" s="34"/>
      <c r="L317" s="34"/>
      <c r="M317" s="34"/>
      <c r="N317" s="34"/>
      <c r="O317" s="17"/>
      <c r="P317" s="63"/>
      <c r="Q317" s="63"/>
      <c r="R317" s="33"/>
    </row>
    <row r="318" spans="1:18" ht="17.25" customHeight="1" outlineLevel="3">
      <c r="A318" s="38">
        <v>36</v>
      </c>
      <c r="B318" s="26" t="s">
        <v>232</v>
      </c>
      <c r="C318" s="27">
        <v>4821</v>
      </c>
      <c r="D318" s="28" t="s">
        <v>319</v>
      </c>
      <c r="E318" s="29" t="s">
        <v>297</v>
      </c>
      <c r="F318" s="40" t="s">
        <v>68</v>
      </c>
      <c r="G318" s="41" t="s">
        <v>4</v>
      </c>
      <c r="H318" s="32">
        <v>88889</v>
      </c>
      <c r="I318" s="32">
        <v>53125</v>
      </c>
      <c r="J318" s="32">
        <v>35764</v>
      </c>
      <c r="K318" s="32">
        <f aca="true" t="shared" si="73" ref="K318:K327">+L318+M318</f>
        <v>35764</v>
      </c>
      <c r="L318" s="32">
        <v>35764</v>
      </c>
      <c r="M318" s="32"/>
      <c r="N318" s="32">
        <f aca="true" t="shared" si="74" ref="N318:N326">+P318+Q318</f>
        <v>34397.6166</v>
      </c>
      <c r="O318" s="17">
        <f aca="true" t="shared" si="75" ref="O318:O325">IF(K318=0,"0,0",N318*100/K318)</f>
        <v>96.17944469298736</v>
      </c>
      <c r="P318" s="62">
        <v>34397.6166</v>
      </c>
      <c r="Q318" s="62"/>
      <c r="R318" s="33" t="s">
        <v>5</v>
      </c>
    </row>
    <row r="319" spans="1:18" ht="17.25" customHeight="1" outlineLevel="3">
      <c r="A319" s="38">
        <v>36</v>
      </c>
      <c r="B319" s="26" t="s">
        <v>232</v>
      </c>
      <c r="C319" s="27">
        <v>4843</v>
      </c>
      <c r="D319" s="28" t="s">
        <v>319</v>
      </c>
      <c r="E319" s="29" t="s">
        <v>292</v>
      </c>
      <c r="F319" s="40" t="s">
        <v>4</v>
      </c>
      <c r="G319" s="41" t="s">
        <v>11</v>
      </c>
      <c r="H319" s="32">
        <v>191400</v>
      </c>
      <c r="I319" s="32"/>
      <c r="J319" s="32">
        <v>500</v>
      </c>
      <c r="K319" s="32">
        <f t="shared" si="73"/>
        <v>1440</v>
      </c>
      <c r="L319" s="32">
        <f>500+940</f>
        <v>1440</v>
      </c>
      <c r="M319" s="32"/>
      <c r="N319" s="32">
        <f t="shared" si="74"/>
        <v>1318.083</v>
      </c>
      <c r="O319" s="17">
        <f t="shared" si="75"/>
        <v>91.53354166666668</v>
      </c>
      <c r="P319" s="62">
        <v>1318.083</v>
      </c>
      <c r="Q319" s="62"/>
      <c r="R319" s="33" t="s">
        <v>5</v>
      </c>
    </row>
    <row r="320" spans="1:18" ht="17.25" customHeight="1" outlineLevel="3">
      <c r="A320" s="38">
        <v>36</v>
      </c>
      <c r="B320" s="26" t="s">
        <v>232</v>
      </c>
      <c r="C320" s="27">
        <v>4844</v>
      </c>
      <c r="D320" s="28" t="s">
        <v>319</v>
      </c>
      <c r="E320" s="29" t="s">
        <v>293</v>
      </c>
      <c r="F320" s="40" t="s">
        <v>4</v>
      </c>
      <c r="G320" s="41" t="s">
        <v>11</v>
      </c>
      <c r="H320" s="32">
        <v>176400</v>
      </c>
      <c r="I320" s="32"/>
      <c r="J320" s="32">
        <v>500</v>
      </c>
      <c r="K320" s="32">
        <f t="shared" si="73"/>
        <v>1210</v>
      </c>
      <c r="L320" s="32">
        <f>500+710</f>
        <v>1210</v>
      </c>
      <c r="M320" s="32"/>
      <c r="N320" s="32">
        <f t="shared" si="74"/>
        <v>1153.128</v>
      </c>
      <c r="O320" s="17">
        <f t="shared" si="75"/>
        <v>95.2998347107438</v>
      </c>
      <c r="P320" s="62">
        <v>1153.128</v>
      </c>
      <c r="Q320" s="62"/>
      <c r="R320" s="33" t="s">
        <v>5</v>
      </c>
    </row>
    <row r="321" spans="1:18" ht="17.25" customHeight="1" outlineLevel="3">
      <c r="A321" s="38">
        <v>36</v>
      </c>
      <c r="B321" s="26" t="s">
        <v>232</v>
      </c>
      <c r="C321" s="27">
        <v>4851</v>
      </c>
      <c r="D321" s="28" t="s">
        <v>319</v>
      </c>
      <c r="E321" s="29" t="s">
        <v>294</v>
      </c>
      <c r="F321" s="40" t="s">
        <v>4</v>
      </c>
      <c r="G321" s="41" t="s">
        <v>11</v>
      </c>
      <c r="H321" s="32">
        <v>348000</v>
      </c>
      <c r="I321" s="32"/>
      <c r="J321" s="32">
        <v>95780</v>
      </c>
      <c r="K321" s="32">
        <f t="shared" si="73"/>
        <v>19780</v>
      </c>
      <c r="L321" s="32">
        <f>95780-76000</f>
        <v>19780</v>
      </c>
      <c r="M321" s="32"/>
      <c r="N321" s="32">
        <f t="shared" si="74"/>
        <v>2133.5969</v>
      </c>
      <c r="O321" s="17">
        <f t="shared" si="75"/>
        <v>10.786637512639029</v>
      </c>
      <c r="P321" s="62">
        <v>2133.5969</v>
      </c>
      <c r="Q321" s="62"/>
      <c r="R321" s="33" t="s">
        <v>5</v>
      </c>
    </row>
    <row r="322" spans="1:18" ht="17.25" customHeight="1" outlineLevel="3">
      <c r="A322" s="38">
        <v>36</v>
      </c>
      <c r="B322" s="26" t="s">
        <v>232</v>
      </c>
      <c r="C322" s="27">
        <v>4852</v>
      </c>
      <c r="D322" s="28" t="s">
        <v>319</v>
      </c>
      <c r="E322" s="29" t="s">
        <v>234</v>
      </c>
      <c r="F322" s="40" t="s">
        <v>4</v>
      </c>
      <c r="G322" s="41" t="s">
        <v>235</v>
      </c>
      <c r="H322" s="32">
        <v>88430</v>
      </c>
      <c r="I322" s="32"/>
      <c r="J322" s="32">
        <v>500</v>
      </c>
      <c r="K322" s="32">
        <f t="shared" si="73"/>
        <v>670</v>
      </c>
      <c r="L322" s="32">
        <f>500+170</f>
        <v>670</v>
      </c>
      <c r="M322" s="32"/>
      <c r="N322" s="32">
        <f t="shared" si="74"/>
        <v>647.728</v>
      </c>
      <c r="O322" s="70">
        <f t="shared" si="75"/>
        <v>96.67582089552238</v>
      </c>
      <c r="P322" s="62">
        <v>647.728</v>
      </c>
      <c r="Q322" s="62"/>
      <c r="R322" s="33" t="s">
        <v>5</v>
      </c>
    </row>
    <row r="323" spans="1:18" ht="17.25" customHeight="1" outlineLevel="3">
      <c r="A323" s="38">
        <v>36</v>
      </c>
      <c r="B323" s="26" t="s">
        <v>232</v>
      </c>
      <c r="C323" s="27">
        <v>4853</v>
      </c>
      <c r="D323" s="28" t="s">
        <v>319</v>
      </c>
      <c r="E323" s="29" t="s">
        <v>236</v>
      </c>
      <c r="F323" s="40" t="s">
        <v>4</v>
      </c>
      <c r="G323" s="41" t="s">
        <v>235</v>
      </c>
      <c r="H323" s="32">
        <v>31460</v>
      </c>
      <c r="I323" s="32"/>
      <c r="J323" s="32">
        <v>200</v>
      </c>
      <c r="K323" s="32">
        <f t="shared" si="73"/>
        <v>260</v>
      </c>
      <c r="L323" s="32">
        <f>200+60</f>
        <v>260</v>
      </c>
      <c r="M323" s="32"/>
      <c r="N323" s="32">
        <f t="shared" si="74"/>
        <v>249.36</v>
      </c>
      <c r="O323" s="70">
        <f t="shared" si="75"/>
        <v>95.9076923076923</v>
      </c>
      <c r="P323" s="62">
        <v>249.36</v>
      </c>
      <c r="Q323" s="62"/>
      <c r="R323" s="33" t="s">
        <v>5</v>
      </c>
    </row>
    <row r="324" spans="1:18" ht="17.25" customHeight="1" outlineLevel="3">
      <c r="A324" s="38">
        <v>36</v>
      </c>
      <c r="B324" s="26" t="s">
        <v>232</v>
      </c>
      <c r="C324" s="27">
        <v>4854</v>
      </c>
      <c r="D324" s="28" t="s">
        <v>319</v>
      </c>
      <c r="E324" s="29" t="s">
        <v>295</v>
      </c>
      <c r="F324" s="40" t="s">
        <v>4</v>
      </c>
      <c r="G324" s="41" t="s">
        <v>13</v>
      </c>
      <c r="H324" s="32">
        <v>87700</v>
      </c>
      <c r="I324" s="32"/>
      <c r="J324" s="32">
        <v>500</v>
      </c>
      <c r="K324" s="32">
        <f t="shared" si="73"/>
        <v>620</v>
      </c>
      <c r="L324" s="32">
        <f>500+120</f>
        <v>620</v>
      </c>
      <c r="M324" s="32"/>
      <c r="N324" s="32">
        <f t="shared" si="74"/>
        <v>600.8308</v>
      </c>
      <c r="O324" s="17">
        <f t="shared" si="75"/>
        <v>96.90819354838709</v>
      </c>
      <c r="P324" s="62">
        <v>600.8308</v>
      </c>
      <c r="Q324" s="62"/>
      <c r="R324" s="33" t="s">
        <v>5</v>
      </c>
    </row>
    <row r="325" spans="1:18" ht="17.25" customHeight="1" outlineLevel="3">
      <c r="A325" s="38">
        <v>36</v>
      </c>
      <c r="B325" s="26" t="s">
        <v>232</v>
      </c>
      <c r="C325" s="27">
        <v>4917</v>
      </c>
      <c r="D325" s="28" t="s">
        <v>319</v>
      </c>
      <c r="E325" s="29" t="s">
        <v>296</v>
      </c>
      <c r="F325" s="40" t="s">
        <v>4</v>
      </c>
      <c r="G325" s="41" t="s">
        <v>17</v>
      </c>
      <c r="H325" s="32">
        <v>0</v>
      </c>
      <c r="I325" s="32"/>
      <c r="J325" s="32">
        <v>10000</v>
      </c>
      <c r="K325" s="32">
        <f t="shared" si="73"/>
        <v>0</v>
      </c>
      <c r="L325" s="32">
        <v>0</v>
      </c>
      <c r="M325" s="32"/>
      <c r="N325" s="32">
        <f t="shared" si="74"/>
        <v>0</v>
      </c>
      <c r="O325" s="17" t="str">
        <f t="shared" si="75"/>
        <v>0,0</v>
      </c>
      <c r="P325" s="62">
        <v>0</v>
      </c>
      <c r="Q325" s="62"/>
      <c r="R325" s="33" t="s">
        <v>5</v>
      </c>
    </row>
    <row r="326" spans="1:18" ht="17.25" customHeight="1" outlineLevel="3">
      <c r="A326" s="38">
        <v>36</v>
      </c>
      <c r="B326" s="26">
        <v>3633</v>
      </c>
      <c r="C326" s="27">
        <v>4958</v>
      </c>
      <c r="D326" s="28" t="s">
        <v>319</v>
      </c>
      <c r="E326" s="29" t="s">
        <v>427</v>
      </c>
      <c r="F326" s="40" t="s">
        <v>4</v>
      </c>
      <c r="G326" s="41" t="s">
        <v>4</v>
      </c>
      <c r="H326" s="32">
        <v>6200</v>
      </c>
      <c r="I326" s="32"/>
      <c r="J326" s="32"/>
      <c r="K326" s="32">
        <f t="shared" si="73"/>
        <v>6200</v>
      </c>
      <c r="L326" s="32">
        <v>6200</v>
      </c>
      <c r="M326" s="32"/>
      <c r="N326" s="32">
        <f t="shared" si="74"/>
        <v>6200</v>
      </c>
      <c r="O326" s="17" t="str">
        <f>IF(K325=0,"0,0",N326*100/K325)</f>
        <v>0,0</v>
      </c>
      <c r="P326" s="62">
        <v>6200</v>
      </c>
      <c r="Q326" s="62"/>
      <c r="R326" s="33" t="s">
        <v>5</v>
      </c>
    </row>
    <row r="327" spans="1:18" ht="17.25" customHeight="1" outlineLevel="3">
      <c r="A327" s="38">
        <v>36</v>
      </c>
      <c r="B327" s="26">
        <v>3633</v>
      </c>
      <c r="C327" s="27">
        <v>4959</v>
      </c>
      <c r="D327" s="28" t="s">
        <v>319</v>
      </c>
      <c r="E327" s="29" t="s">
        <v>393</v>
      </c>
      <c r="F327" s="40" t="s">
        <v>4</v>
      </c>
      <c r="G327" s="41" t="s">
        <v>235</v>
      </c>
      <c r="H327" s="32">
        <v>300000</v>
      </c>
      <c r="I327" s="32"/>
      <c r="J327" s="32">
        <v>0</v>
      </c>
      <c r="K327" s="32">
        <f t="shared" si="73"/>
        <v>3000</v>
      </c>
      <c r="L327" s="32">
        <v>3000</v>
      </c>
      <c r="M327" s="32"/>
      <c r="N327" s="32">
        <f>+P327+Q327</f>
        <v>3000</v>
      </c>
      <c r="O327" s="17">
        <f>IF(K327=0,"0,0",N327*100/K327)</f>
        <v>100</v>
      </c>
      <c r="P327" s="62">
        <v>3000</v>
      </c>
      <c r="Q327" s="62"/>
      <c r="R327" s="33" t="s">
        <v>5</v>
      </c>
    </row>
    <row r="328" spans="1:18" ht="17.25" customHeight="1" outlineLevel="2">
      <c r="A328" s="38"/>
      <c r="B328" s="20" t="s">
        <v>454</v>
      </c>
      <c r="C328" s="27"/>
      <c r="D328" s="28"/>
      <c r="E328" s="29"/>
      <c r="F328" s="40"/>
      <c r="G328" s="41"/>
      <c r="H328" s="34">
        <f aca="true" t="shared" si="76" ref="H328:N328">SUBTOTAL(9,H317:H327)</f>
        <v>1318479</v>
      </c>
      <c r="I328" s="34">
        <f t="shared" si="76"/>
        <v>53125</v>
      </c>
      <c r="J328" s="34">
        <f t="shared" si="76"/>
        <v>143744</v>
      </c>
      <c r="K328" s="34">
        <f t="shared" si="76"/>
        <v>68944</v>
      </c>
      <c r="L328" s="34">
        <f t="shared" si="76"/>
        <v>68944</v>
      </c>
      <c r="M328" s="34">
        <f t="shared" si="76"/>
        <v>0</v>
      </c>
      <c r="N328" s="34">
        <f t="shared" si="76"/>
        <v>49700.3433</v>
      </c>
      <c r="O328" s="55">
        <f>IF(K328=0,"0,0",N328*100/K328)</f>
        <v>72.08798923764215</v>
      </c>
      <c r="P328" s="63">
        <f>SUBTOTAL(9,P317:P327)</f>
        <v>49700.3433</v>
      </c>
      <c r="Q328" s="63">
        <f>SUBTOTAL(9,Q317:Q327)</f>
        <v>0</v>
      </c>
      <c r="R328" s="33"/>
    </row>
    <row r="329" spans="1:18" ht="17.25" customHeight="1" outlineLevel="3">
      <c r="A329" s="35">
        <v>36</v>
      </c>
      <c r="B329" s="20" t="s">
        <v>132</v>
      </c>
      <c r="C329" s="7" t="s">
        <v>342</v>
      </c>
      <c r="D329" s="8" t="s">
        <v>342</v>
      </c>
      <c r="E329" s="39" t="s">
        <v>197</v>
      </c>
      <c r="F329" s="40"/>
      <c r="G329" s="41"/>
      <c r="H329" s="34"/>
      <c r="I329" s="34"/>
      <c r="J329" s="34"/>
      <c r="K329" s="34"/>
      <c r="L329" s="34"/>
      <c r="M329" s="34"/>
      <c r="N329" s="34"/>
      <c r="O329" s="17"/>
      <c r="P329" s="63"/>
      <c r="Q329" s="63"/>
      <c r="R329" s="33"/>
    </row>
    <row r="330" spans="1:18" ht="17.25" customHeight="1" outlineLevel="3">
      <c r="A330" s="38">
        <v>36</v>
      </c>
      <c r="B330" s="26">
        <v>3639</v>
      </c>
      <c r="C330" s="7"/>
      <c r="D330" s="28" t="s">
        <v>412</v>
      </c>
      <c r="E330" s="48" t="s">
        <v>553</v>
      </c>
      <c r="F330" s="40" t="s">
        <v>4</v>
      </c>
      <c r="G330" s="41" t="s">
        <v>4</v>
      </c>
      <c r="H330" s="32">
        <v>38000</v>
      </c>
      <c r="I330" s="32">
        <v>0</v>
      </c>
      <c r="J330" s="32">
        <v>0</v>
      </c>
      <c r="K330" s="32">
        <f aca="true" t="shared" si="77" ref="K330:K341">+L330+M330</f>
        <v>38100</v>
      </c>
      <c r="L330" s="32">
        <v>38100</v>
      </c>
      <c r="M330" s="32"/>
      <c r="N330" s="32">
        <f aca="true" t="shared" si="78" ref="N330:N341">+P330+Q330</f>
        <v>38197.2853</v>
      </c>
      <c r="O330" s="17">
        <f aca="true" t="shared" si="79" ref="O330:O343">IF(K330=0,"0,0",N330*100/K330)</f>
        <v>100.25534199475067</v>
      </c>
      <c r="P330" s="62">
        <v>38197.2853</v>
      </c>
      <c r="Q330" s="62"/>
      <c r="R330" s="33" t="s">
        <v>125</v>
      </c>
    </row>
    <row r="331" spans="1:18" ht="17.25" customHeight="1" outlineLevel="3">
      <c r="A331" s="38">
        <v>36</v>
      </c>
      <c r="B331" s="26" t="s">
        <v>132</v>
      </c>
      <c r="C331" s="27">
        <v>4915</v>
      </c>
      <c r="D331" s="28" t="s">
        <v>319</v>
      </c>
      <c r="E331" s="29" t="s">
        <v>133</v>
      </c>
      <c r="F331" s="36" t="s">
        <v>4</v>
      </c>
      <c r="G331" s="37" t="s">
        <v>4</v>
      </c>
      <c r="H331" s="32">
        <f>16654+2094</f>
        <v>18748</v>
      </c>
      <c r="I331" s="32">
        <v>0</v>
      </c>
      <c r="J331" s="32">
        <v>16654</v>
      </c>
      <c r="K331" s="32">
        <f t="shared" si="77"/>
        <v>18748</v>
      </c>
      <c r="L331" s="32">
        <f>16654+2094</f>
        <v>18748</v>
      </c>
      <c r="M331" s="32"/>
      <c r="N331" s="32">
        <f t="shared" si="78"/>
        <v>12878.98999</v>
      </c>
      <c r="O331" s="17">
        <f t="shared" si="79"/>
        <v>68.69527410923833</v>
      </c>
      <c r="P331" s="62">
        <v>12878.98999</v>
      </c>
      <c r="Q331" s="62"/>
      <c r="R331" s="33" t="s">
        <v>125</v>
      </c>
    </row>
    <row r="332" spans="1:18" ht="17.25" customHeight="1" outlineLevel="3">
      <c r="A332" s="38">
        <v>36</v>
      </c>
      <c r="B332" s="26">
        <v>3639</v>
      </c>
      <c r="C332" s="27">
        <v>4924</v>
      </c>
      <c r="D332" s="28" t="s">
        <v>319</v>
      </c>
      <c r="E332" s="42" t="s">
        <v>237</v>
      </c>
      <c r="F332" s="30">
        <v>2000</v>
      </c>
      <c r="G332" s="31">
        <v>2000</v>
      </c>
      <c r="H332" s="32">
        <f>120000+60500+44000</f>
        <v>224500</v>
      </c>
      <c r="I332" s="32"/>
      <c r="J332" s="32">
        <v>120000</v>
      </c>
      <c r="K332" s="32">
        <f t="shared" si="77"/>
        <v>246500</v>
      </c>
      <c r="L332" s="32">
        <v>246500</v>
      </c>
      <c r="M332" s="32">
        <v>0</v>
      </c>
      <c r="N332" s="32">
        <f t="shared" si="78"/>
        <v>246286.11602</v>
      </c>
      <c r="O332" s="17">
        <f t="shared" si="79"/>
        <v>99.91323165111561</v>
      </c>
      <c r="P332" s="62">
        <v>246286.11602</v>
      </c>
      <c r="Q332" s="62"/>
      <c r="R332" s="33" t="s">
        <v>125</v>
      </c>
    </row>
    <row r="333" spans="1:18" ht="17.25" customHeight="1" outlineLevel="3">
      <c r="A333" s="38">
        <v>36</v>
      </c>
      <c r="B333" s="26" t="s">
        <v>132</v>
      </c>
      <c r="C333" s="27">
        <v>4925</v>
      </c>
      <c r="D333" s="28" t="s">
        <v>319</v>
      </c>
      <c r="E333" s="29" t="s">
        <v>299</v>
      </c>
      <c r="F333" s="36" t="s">
        <v>4</v>
      </c>
      <c r="G333" s="37" t="s">
        <v>4</v>
      </c>
      <c r="H333" s="32">
        <v>77474</v>
      </c>
      <c r="I333" s="32">
        <v>0</v>
      </c>
      <c r="J333" s="32">
        <v>83423</v>
      </c>
      <c r="K333" s="32">
        <f t="shared" si="77"/>
        <v>28621</v>
      </c>
      <c r="L333" s="32">
        <v>28621</v>
      </c>
      <c r="M333" s="32"/>
      <c r="N333" s="32">
        <f t="shared" si="78"/>
        <v>0</v>
      </c>
      <c r="O333" s="17">
        <f t="shared" si="79"/>
        <v>0</v>
      </c>
      <c r="P333" s="62">
        <v>0</v>
      </c>
      <c r="Q333" s="62"/>
      <c r="R333" s="33" t="s">
        <v>5</v>
      </c>
    </row>
    <row r="334" spans="1:18" ht="17.25" customHeight="1" outlineLevel="3">
      <c r="A334" s="38">
        <v>36</v>
      </c>
      <c r="B334" s="26">
        <v>3639</v>
      </c>
      <c r="C334" s="27">
        <v>4926</v>
      </c>
      <c r="D334" s="28" t="s">
        <v>319</v>
      </c>
      <c r="E334" s="29" t="s">
        <v>388</v>
      </c>
      <c r="F334" s="30">
        <v>2000</v>
      </c>
      <c r="G334" s="31">
        <v>2000</v>
      </c>
      <c r="H334" s="32">
        <v>8000</v>
      </c>
      <c r="I334" s="32">
        <v>0</v>
      </c>
      <c r="J334" s="32">
        <v>0</v>
      </c>
      <c r="K334" s="32">
        <f t="shared" si="77"/>
        <v>8000</v>
      </c>
      <c r="L334" s="32">
        <v>8000</v>
      </c>
      <c r="M334" s="32"/>
      <c r="N334" s="32">
        <f t="shared" si="78"/>
        <v>7069</v>
      </c>
      <c r="O334" s="17">
        <f t="shared" si="79"/>
        <v>88.3625</v>
      </c>
      <c r="P334" s="62">
        <v>7069</v>
      </c>
      <c r="Q334" s="62"/>
      <c r="R334" s="33" t="s">
        <v>5</v>
      </c>
    </row>
    <row r="335" spans="1:18" ht="17.25" customHeight="1" outlineLevel="3">
      <c r="A335" s="38">
        <v>36</v>
      </c>
      <c r="B335" s="26">
        <v>3639</v>
      </c>
      <c r="C335" s="27">
        <v>4926</v>
      </c>
      <c r="D335" s="28" t="s">
        <v>319</v>
      </c>
      <c r="E335" s="29" t="s">
        <v>389</v>
      </c>
      <c r="F335" s="30">
        <v>2000</v>
      </c>
      <c r="G335" s="31">
        <v>2000</v>
      </c>
      <c r="H335" s="32">
        <v>2000</v>
      </c>
      <c r="I335" s="32">
        <v>0</v>
      </c>
      <c r="J335" s="32">
        <v>0</v>
      </c>
      <c r="K335" s="32">
        <f t="shared" si="77"/>
        <v>2000</v>
      </c>
      <c r="L335" s="32">
        <v>2000</v>
      </c>
      <c r="M335" s="32"/>
      <c r="N335" s="32">
        <f t="shared" si="78"/>
        <v>0</v>
      </c>
      <c r="O335" s="17">
        <f t="shared" si="79"/>
        <v>0</v>
      </c>
      <c r="P335" s="62">
        <v>0</v>
      </c>
      <c r="Q335" s="62"/>
      <c r="R335" s="33" t="s">
        <v>5</v>
      </c>
    </row>
    <row r="336" spans="1:18" ht="17.25" customHeight="1" outlineLevel="3">
      <c r="A336" s="38">
        <v>36</v>
      </c>
      <c r="B336" s="26" t="s">
        <v>132</v>
      </c>
      <c r="C336" s="27">
        <v>4954</v>
      </c>
      <c r="D336" s="28" t="s">
        <v>319</v>
      </c>
      <c r="E336" s="29" t="s">
        <v>298</v>
      </c>
      <c r="F336" s="36" t="s">
        <v>4</v>
      </c>
      <c r="G336" s="37" t="s">
        <v>4</v>
      </c>
      <c r="H336" s="32">
        <v>1260</v>
      </c>
      <c r="I336" s="32">
        <v>0</v>
      </c>
      <c r="J336" s="32">
        <v>1260</v>
      </c>
      <c r="K336" s="32">
        <f t="shared" si="77"/>
        <v>1686</v>
      </c>
      <c r="L336" s="32">
        <v>1686</v>
      </c>
      <c r="M336" s="32"/>
      <c r="N336" s="32">
        <f t="shared" si="78"/>
        <v>1683.096</v>
      </c>
      <c r="O336" s="17">
        <f t="shared" si="79"/>
        <v>99.82775800711744</v>
      </c>
      <c r="P336" s="62">
        <v>1683.096</v>
      </c>
      <c r="Q336" s="62"/>
      <c r="R336" s="33" t="s">
        <v>5</v>
      </c>
    </row>
    <row r="337" spans="1:18" ht="17.25" customHeight="1" outlineLevel="3">
      <c r="A337" s="38">
        <v>36</v>
      </c>
      <c r="B337" s="26" t="s">
        <v>132</v>
      </c>
      <c r="C337" s="27">
        <v>4955</v>
      </c>
      <c r="D337" s="28" t="s">
        <v>319</v>
      </c>
      <c r="E337" s="42" t="s">
        <v>238</v>
      </c>
      <c r="F337" s="30">
        <v>2000</v>
      </c>
      <c r="G337" s="31">
        <v>2000</v>
      </c>
      <c r="H337" s="32">
        <v>4000</v>
      </c>
      <c r="I337" s="32"/>
      <c r="J337" s="32">
        <v>4000</v>
      </c>
      <c r="K337" s="32">
        <f t="shared" si="77"/>
        <v>4000</v>
      </c>
      <c r="L337" s="32">
        <v>4000</v>
      </c>
      <c r="M337" s="32"/>
      <c r="N337" s="32">
        <f t="shared" si="78"/>
        <v>0</v>
      </c>
      <c r="O337" s="17">
        <f t="shared" si="79"/>
        <v>0</v>
      </c>
      <c r="P337" s="62">
        <v>0</v>
      </c>
      <c r="Q337" s="62"/>
      <c r="R337" s="33" t="s">
        <v>125</v>
      </c>
    </row>
    <row r="338" spans="1:18" ht="17.25" customHeight="1" outlineLevel="3">
      <c r="A338" s="38">
        <v>36</v>
      </c>
      <c r="B338" s="26" t="s">
        <v>132</v>
      </c>
      <c r="C338" s="27">
        <v>4956</v>
      </c>
      <c r="D338" s="28" t="s">
        <v>319</v>
      </c>
      <c r="E338" s="42" t="s">
        <v>239</v>
      </c>
      <c r="F338" s="30">
        <v>2000</v>
      </c>
      <c r="G338" s="31">
        <v>2000</v>
      </c>
      <c r="H338" s="32">
        <v>37000</v>
      </c>
      <c r="I338" s="32"/>
      <c r="J338" s="32">
        <v>75000</v>
      </c>
      <c r="K338" s="32">
        <f t="shared" si="77"/>
        <v>10000</v>
      </c>
      <c r="L338" s="32">
        <v>10000</v>
      </c>
      <c r="M338" s="32"/>
      <c r="N338" s="32">
        <f t="shared" si="78"/>
        <v>5255.6</v>
      </c>
      <c r="O338" s="17">
        <f t="shared" si="79"/>
        <v>52.556</v>
      </c>
      <c r="P338" s="62">
        <v>5255.6</v>
      </c>
      <c r="Q338" s="62"/>
      <c r="R338" s="33" t="s">
        <v>125</v>
      </c>
    </row>
    <row r="339" spans="1:18" ht="17.25" customHeight="1" outlineLevel="3">
      <c r="A339" s="38">
        <v>36</v>
      </c>
      <c r="B339" s="26">
        <v>3639</v>
      </c>
      <c r="C339" s="27">
        <v>4958</v>
      </c>
      <c r="D339" s="28" t="s">
        <v>412</v>
      </c>
      <c r="E339" s="42" t="s">
        <v>553</v>
      </c>
      <c r="F339" s="30">
        <v>2000</v>
      </c>
      <c r="G339" s="31">
        <v>2000</v>
      </c>
      <c r="H339" s="32">
        <v>12000</v>
      </c>
      <c r="I339" s="32"/>
      <c r="J339" s="32"/>
      <c r="K339" s="32">
        <f t="shared" si="77"/>
        <v>12000</v>
      </c>
      <c r="L339" s="32">
        <v>12000</v>
      </c>
      <c r="M339" s="32"/>
      <c r="N339" s="32">
        <f t="shared" si="78"/>
        <v>12000</v>
      </c>
      <c r="O339" s="17">
        <f t="shared" si="79"/>
        <v>100</v>
      </c>
      <c r="P339" s="62">
        <v>12000</v>
      </c>
      <c r="Q339" s="62"/>
      <c r="R339" s="33" t="s">
        <v>125</v>
      </c>
    </row>
    <row r="340" spans="1:18" ht="17.25" customHeight="1" outlineLevel="3">
      <c r="A340" s="38">
        <v>36</v>
      </c>
      <c r="B340" s="26" t="s">
        <v>132</v>
      </c>
      <c r="C340" s="27">
        <v>4963</v>
      </c>
      <c r="D340" s="28" t="s">
        <v>319</v>
      </c>
      <c r="E340" s="42" t="s">
        <v>554</v>
      </c>
      <c r="F340" s="30">
        <v>2000</v>
      </c>
      <c r="G340" s="31">
        <v>2000</v>
      </c>
      <c r="H340" s="32">
        <v>5000</v>
      </c>
      <c r="I340" s="32"/>
      <c r="J340" s="32"/>
      <c r="K340" s="32">
        <f t="shared" si="77"/>
        <v>5000</v>
      </c>
      <c r="L340" s="32">
        <v>5000</v>
      </c>
      <c r="M340" s="32"/>
      <c r="N340" s="32">
        <f t="shared" si="78"/>
        <v>-0.8871</v>
      </c>
      <c r="O340" s="17">
        <f t="shared" si="79"/>
        <v>-0.017741999999999997</v>
      </c>
      <c r="P340" s="62">
        <v>-0.8871</v>
      </c>
      <c r="Q340" s="62"/>
      <c r="R340" s="33" t="s">
        <v>125</v>
      </c>
    </row>
    <row r="341" spans="1:18" ht="17.25" customHeight="1" outlineLevel="3">
      <c r="A341" s="38">
        <v>36</v>
      </c>
      <c r="B341" s="26" t="s">
        <v>132</v>
      </c>
      <c r="C341" s="27">
        <v>4964</v>
      </c>
      <c r="D341" s="28" t="s">
        <v>319</v>
      </c>
      <c r="E341" s="42" t="s">
        <v>478</v>
      </c>
      <c r="F341" s="30">
        <v>2000</v>
      </c>
      <c r="G341" s="31">
        <v>2000</v>
      </c>
      <c r="H341" s="32">
        <v>6588</v>
      </c>
      <c r="I341" s="32"/>
      <c r="J341" s="32"/>
      <c r="K341" s="32">
        <f t="shared" si="77"/>
        <v>1188</v>
      </c>
      <c r="L341" s="32">
        <v>1188</v>
      </c>
      <c r="M341" s="32"/>
      <c r="N341" s="32">
        <f t="shared" si="78"/>
        <v>1188</v>
      </c>
      <c r="O341" s="17">
        <f t="shared" si="79"/>
        <v>100</v>
      </c>
      <c r="P341" s="62">
        <v>1188</v>
      </c>
      <c r="Q341" s="62"/>
      <c r="R341" s="33" t="s">
        <v>125</v>
      </c>
    </row>
    <row r="342" spans="1:18" ht="17.25" customHeight="1" outlineLevel="2">
      <c r="A342" s="38"/>
      <c r="B342" s="20" t="s">
        <v>455</v>
      </c>
      <c r="C342" s="27"/>
      <c r="D342" s="28"/>
      <c r="E342" s="42"/>
      <c r="F342" s="30"/>
      <c r="G342" s="31"/>
      <c r="H342" s="34">
        <f aca="true" t="shared" si="80" ref="H342:N342">SUBTOTAL(9,H329:H341)</f>
        <v>434570</v>
      </c>
      <c r="I342" s="34">
        <f t="shared" si="80"/>
        <v>0</v>
      </c>
      <c r="J342" s="34">
        <f t="shared" si="80"/>
        <v>300337</v>
      </c>
      <c r="K342" s="34">
        <f t="shared" si="80"/>
        <v>375843</v>
      </c>
      <c r="L342" s="34">
        <f t="shared" si="80"/>
        <v>375843</v>
      </c>
      <c r="M342" s="34">
        <f t="shared" si="80"/>
        <v>0</v>
      </c>
      <c r="N342" s="34">
        <f t="shared" si="80"/>
        <v>324557.20021</v>
      </c>
      <c r="O342" s="55">
        <f t="shared" si="79"/>
        <v>86.3544618923327</v>
      </c>
      <c r="P342" s="63">
        <f>SUBTOTAL(9,P329:P341)</f>
        <v>324557.20021</v>
      </c>
      <c r="Q342" s="63">
        <f>SUBTOTAL(9,Q329:Q341)</f>
        <v>0</v>
      </c>
      <c r="R342" s="33"/>
    </row>
    <row r="343" spans="1:18" ht="17.25" customHeight="1" outlineLevel="1">
      <c r="A343" s="35" t="s">
        <v>529</v>
      </c>
      <c r="B343" s="26"/>
      <c r="C343" s="27"/>
      <c r="D343" s="28"/>
      <c r="E343" s="42"/>
      <c r="F343" s="30"/>
      <c r="G343" s="31"/>
      <c r="H343" s="34">
        <f aca="true" t="shared" si="81" ref="H343:N343">SUBTOTAL(9,H277:H341)</f>
        <v>1932255.862</v>
      </c>
      <c r="I343" s="34">
        <f t="shared" si="81"/>
        <v>98173</v>
      </c>
      <c r="J343" s="34">
        <f t="shared" si="81"/>
        <v>464863</v>
      </c>
      <c r="K343" s="34">
        <f t="shared" si="81"/>
        <v>643124.862</v>
      </c>
      <c r="L343" s="34">
        <f t="shared" si="81"/>
        <v>639804.862</v>
      </c>
      <c r="M343" s="34">
        <f t="shared" si="81"/>
        <v>3320</v>
      </c>
      <c r="N343" s="34">
        <f t="shared" si="81"/>
        <v>561274.3362599999</v>
      </c>
      <c r="O343" s="55">
        <f t="shared" si="79"/>
        <v>87.27299618219392</v>
      </c>
      <c r="P343" s="63">
        <f>SUBTOTAL(9,P277:P341)</f>
        <v>558637.2413599999</v>
      </c>
      <c r="Q343" s="63">
        <f>SUBTOTAL(9,Q277:Q341)</f>
        <v>2637.0949</v>
      </c>
      <c r="R343" s="33"/>
    </row>
    <row r="344" spans="1:18" ht="17.25" customHeight="1" outlineLevel="3">
      <c r="A344" s="35">
        <v>37</v>
      </c>
      <c r="B344" s="20">
        <v>3716</v>
      </c>
      <c r="C344" s="7" t="s">
        <v>342</v>
      </c>
      <c r="D344" s="8" t="s">
        <v>342</v>
      </c>
      <c r="E344" s="21" t="s">
        <v>198</v>
      </c>
      <c r="F344" s="36"/>
      <c r="G344" s="37"/>
      <c r="H344" s="34"/>
      <c r="I344" s="34"/>
      <c r="J344" s="34"/>
      <c r="K344" s="34"/>
      <c r="L344" s="34"/>
      <c r="M344" s="34"/>
      <c r="N344" s="34"/>
      <c r="O344" s="17"/>
      <c r="P344" s="63"/>
      <c r="Q344" s="63"/>
      <c r="R344" s="33"/>
    </row>
    <row r="345" spans="1:18" ht="17.25" customHeight="1" outlineLevel="3">
      <c r="A345" s="38">
        <v>37</v>
      </c>
      <c r="B345" s="26" t="s">
        <v>134</v>
      </c>
      <c r="C345" s="27">
        <v>4831</v>
      </c>
      <c r="D345" s="28" t="s">
        <v>319</v>
      </c>
      <c r="E345" s="29" t="s">
        <v>300</v>
      </c>
      <c r="F345" s="36" t="s">
        <v>4</v>
      </c>
      <c r="G345" s="37" t="s">
        <v>4</v>
      </c>
      <c r="H345" s="32">
        <v>1150</v>
      </c>
      <c r="I345" s="32">
        <v>0</v>
      </c>
      <c r="J345" s="32">
        <v>1150</v>
      </c>
      <c r="K345" s="32">
        <f>+L345+M345</f>
        <v>1150</v>
      </c>
      <c r="L345" s="32">
        <v>1150</v>
      </c>
      <c r="M345" s="32"/>
      <c r="N345" s="32">
        <f>+P345+Q345</f>
        <v>1146.994</v>
      </c>
      <c r="O345" s="17">
        <f>IF(K345=0,"0,0",N345*100/K345)</f>
        <v>99.73860869565218</v>
      </c>
      <c r="P345" s="62">
        <v>1146.994</v>
      </c>
      <c r="Q345" s="62"/>
      <c r="R345" s="33" t="s">
        <v>5</v>
      </c>
    </row>
    <row r="346" spans="1:18" ht="17.25" customHeight="1" outlineLevel="2">
      <c r="A346" s="38"/>
      <c r="B346" s="20" t="s">
        <v>456</v>
      </c>
      <c r="C346" s="27"/>
      <c r="D346" s="28"/>
      <c r="E346" s="29"/>
      <c r="F346" s="36"/>
      <c r="G346" s="37"/>
      <c r="H346" s="34">
        <f aca="true" t="shared" si="82" ref="H346:N346">SUBTOTAL(9,H344:H345)</f>
        <v>1150</v>
      </c>
      <c r="I346" s="34">
        <f t="shared" si="82"/>
        <v>0</v>
      </c>
      <c r="J346" s="34">
        <f t="shared" si="82"/>
        <v>1150</v>
      </c>
      <c r="K346" s="34">
        <f t="shared" si="82"/>
        <v>1150</v>
      </c>
      <c r="L346" s="34">
        <f t="shared" si="82"/>
        <v>1150</v>
      </c>
      <c r="M346" s="34">
        <f t="shared" si="82"/>
        <v>0</v>
      </c>
      <c r="N346" s="34">
        <f t="shared" si="82"/>
        <v>1146.994</v>
      </c>
      <c r="O346" s="55">
        <f>IF(K346=0,"0,0",N346*100/K346)</f>
        <v>99.73860869565218</v>
      </c>
      <c r="P346" s="63">
        <f>SUBTOTAL(9,P344:P345)</f>
        <v>1146.994</v>
      </c>
      <c r="Q346" s="63">
        <f>SUBTOTAL(9,Q344:Q345)</f>
        <v>0</v>
      </c>
      <c r="R346" s="33"/>
    </row>
    <row r="347" spans="1:18" ht="17.25" customHeight="1" outlineLevel="3">
      <c r="A347" s="35">
        <v>37</v>
      </c>
      <c r="B347" s="20">
        <v>3725</v>
      </c>
      <c r="C347" s="7" t="s">
        <v>342</v>
      </c>
      <c r="D347" s="8" t="s">
        <v>342</v>
      </c>
      <c r="E347" s="21" t="s">
        <v>361</v>
      </c>
      <c r="F347" s="36"/>
      <c r="G347" s="37"/>
      <c r="H347" s="34"/>
      <c r="I347" s="34"/>
      <c r="J347" s="34"/>
      <c r="K347" s="34"/>
      <c r="L347" s="34"/>
      <c r="M347" s="34"/>
      <c r="N347" s="34"/>
      <c r="O347" s="17"/>
      <c r="P347" s="63"/>
      <c r="Q347" s="63"/>
      <c r="R347" s="33"/>
    </row>
    <row r="348" spans="1:18" ht="17.25" customHeight="1" outlineLevel="3">
      <c r="A348" s="38">
        <v>37</v>
      </c>
      <c r="B348" s="26">
        <v>3725</v>
      </c>
      <c r="C348" s="7">
        <v>0</v>
      </c>
      <c r="D348" s="8" t="s">
        <v>319</v>
      </c>
      <c r="E348" s="29" t="s">
        <v>516</v>
      </c>
      <c r="F348" s="30">
        <v>2000</v>
      </c>
      <c r="G348" s="31">
        <v>2000</v>
      </c>
      <c r="H348" s="32">
        <v>29</v>
      </c>
      <c r="I348" s="34"/>
      <c r="J348" s="32">
        <v>0</v>
      </c>
      <c r="K348" s="32">
        <f>+L348+M348</f>
        <v>29</v>
      </c>
      <c r="L348" s="32">
        <v>29</v>
      </c>
      <c r="M348" s="34"/>
      <c r="N348" s="32">
        <f>+P348+Q348</f>
        <v>28.623</v>
      </c>
      <c r="O348" s="17">
        <f>IF(K348=0,"0,0",N348*100/K348)</f>
        <v>98.7</v>
      </c>
      <c r="P348" s="62">
        <v>28.623</v>
      </c>
      <c r="Q348" s="63"/>
      <c r="R348" s="33" t="s">
        <v>5</v>
      </c>
    </row>
    <row r="349" spans="1:18" ht="17.25" customHeight="1" outlineLevel="3">
      <c r="A349" s="38">
        <v>37</v>
      </c>
      <c r="B349" s="26">
        <v>3725</v>
      </c>
      <c r="C349" s="7">
        <v>0</v>
      </c>
      <c r="D349" s="8" t="s">
        <v>319</v>
      </c>
      <c r="E349" s="29" t="s">
        <v>515</v>
      </c>
      <c r="F349" s="30">
        <v>2000</v>
      </c>
      <c r="G349" s="31">
        <v>2000</v>
      </c>
      <c r="H349" s="32">
        <v>98</v>
      </c>
      <c r="I349" s="34"/>
      <c r="J349" s="32">
        <v>0</v>
      </c>
      <c r="K349" s="32">
        <f>+L349+M349</f>
        <v>98</v>
      </c>
      <c r="L349" s="32">
        <v>98</v>
      </c>
      <c r="M349" s="34"/>
      <c r="N349" s="32">
        <f>+P349+Q349</f>
        <v>0</v>
      </c>
      <c r="O349" s="17">
        <f>IF(K349=0,"0,0",N349*100/K349)</f>
        <v>0</v>
      </c>
      <c r="P349" s="62">
        <v>0</v>
      </c>
      <c r="Q349" s="63"/>
      <c r="R349" s="33"/>
    </row>
    <row r="350" spans="1:18" ht="17.25" customHeight="1" outlineLevel="3">
      <c r="A350" s="38">
        <v>37</v>
      </c>
      <c r="B350" s="26">
        <v>3725</v>
      </c>
      <c r="C350" s="27">
        <v>4190</v>
      </c>
      <c r="D350" s="28" t="s">
        <v>319</v>
      </c>
      <c r="E350" s="29" t="s">
        <v>517</v>
      </c>
      <c r="F350" s="36" t="s">
        <v>4</v>
      </c>
      <c r="G350" s="37" t="s">
        <v>4</v>
      </c>
      <c r="H350" s="32">
        <v>69381</v>
      </c>
      <c r="I350" s="32">
        <v>0</v>
      </c>
      <c r="J350" s="32">
        <v>42200</v>
      </c>
      <c r="K350" s="32">
        <f>+L350+M350</f>
        <v>69381</v>
      </c>
      <c r="L350" s="32">
        <v>69381</v>
      </c>
      <c r="M350" s="32"/>
      <c r="N350" s="32">
        <f>+P350+Q350</f>
        <v>69381</v>
      </c>
      <c r="O350" s="17">
        <f>IF(K350=0,"0,0",N350*100/K350)</f>
        <v>100</v>
      </c>
      <c r="P350" s="62">
        <v>69381</v>
      </c>
      <c r="Q350" s="62"/>
      <c r="R350" s="33" t="s">
        <v>5</v>
      </c>
    </row>
    <row r="351" spans="1:18" ht="17.25" customHeight="1" outlineLevel="2">
      <c r="A351" s="38"/>
      <c r="B351" s="20" t="s">
        <v>457</v>
      </c>
      <c r="C351" s="27"/>
      <c r="D351" s="28"/>
      <c r="E351" s="29"/>
      <c r="F351" s="36"/>
      <c r="G351" s="37"/>
      <c r="H351" s="34">
        <f aca="true" t="shared" si="83" ref="H351:N351">SUBTOTAL(9,H347:H350)</f>
        <v>69508</v>
      </c>
      <c r="I351" s="34">
        <f t="shared" si="83"/>
        <v>0</v>
      </c>
      <c r="J351" s="34">
        <f t="shared" si="83"/>
        <v>42200</v>
      </c>
      <c r="K351" s="34">
        <f t="shared" si="83"/>
        <v>69508</v>
      </c>
      <c r="L351" s="34">
        <f t="shared" si="83"/>
        <v>69508</v>
      </c>
      <c r="M351" s="34">
        <f t="shared" si="83"/>
        <v>0</v>
      </c>
      <c r="N351" s="34">
        <f t="shared" si="83"/>
        <v>69409.623</v>
      </c>
      <c r="O351" s="55">
        <f>IF(K351=0,"0,0",N351*100/K351)</f>
        <v>99.85846665132073</v>
      </c>
      <c r="P351" s="63">
        <f>SUBTOTAL(9,P347:P350)</f>
        <v>69409.623</v>
      </c>
      <c r="Q351" s="63">
        <f>SUBTOTAL(9,Q347:Q350)</f>
        <v>0</v>
      </c>
      <c r="R351" s="33"/>
    </row>
    <row r="352" spans="1:18" ht="17.25" customHeight="1" outlineLevel="3">
      <c r="A352" s="35">
        <v>37</v>
      </c>
      <c r="B352" s="20" t="s">
        <v>135</v>
      </c>
      <c r="C352" s="7" t="s">
        <v>342</v>
      </c>
      <c r="D352" s="8" t="s">
        <v>342</v>
      </c>
      <c r="E352" s="39" t="s">
        <v>199</v>
      </c>
      <c r="F352" s="36"/>
      <c r="G352" s="37"/>
      <c r="H352" s="34"/>
      <c r="I352" s="34"/>
      <c r="J352" s="34"/>
      <c r="K352" s="34"/>
      <c r="L352" s="34"/>
      <c r="M352" s="34"/>
      <c r="N352" s="34"/>
      <c r="O352" s="17"/>
      <c r="P352" s="63"/>
      <c r="Q352" s="63"/>
      <c r="R352" s="33"/>
    </row>
    <row r="353" spans="1:18" ht="17.25" customHeight="1" outlineLevel="3">
      <c r="A353" s="38">
        <v>37</v>
      </c>
      <c r="B353" s="26" t="s">
        <v>135</v>
      </c>
      <c r="C353" s="27">
        <v>4847</v>
      </c>
      <c r="D353" s="28" t="s">
        <v>319</v>
      </c>
      <c r="E353" s="29" t="s">
        <v>136</v>
      </c>
      <c r="F353" s="36" t="s">
        <v>4</v>
      </c>
      <c r="G353" s="37" t="s">
        <v>4</v>
      </c>
      <c r="H353" s="32">
        <v>1500</v>
      </c>
      <c r="I353" s="32">
        <v>0</v>
      </c>
      <c r="J353" s="32">
        <v>1500</v>
      </c>
      <c r="K353" s="32">
        <f aca="true" t="shared" si="84" ref="K353:K358">+L353+M353</f>
        <v>1500</v>
      </c>
      <c r="L353" s="32">
        <v>1500</v>
      </c>
      <c r="M353" s="32"/>
      <c r="N353" s="32">
        <f aca="true" t="shared" si="85" ref="N353:N358">+P353+Q353</f>
        <v>122.725</v>
      </c>
      <c r="O353" s="17">
        <f aca="true" t="shared" si="86" ref="O353:O359">IF(K353=0,"0,0",N353*100/K353)</f>
        <v>8.181666666666667</v>
      </c>
      <c r="P353" s="62">
        <v>122.725</v>
      </c>
      <c r="Q353" s="62"/>
      <c r="R353" s="33" t="s">
        <v>5</v>
      </c>
    </row>
    <row r="354" spans="1:18" ht="17.25" customHeight="1" outlineLevel="3">
      <c r="A354" s="38">
        <v>37</v>
      </c>
      <c r="B354" s="26" t="s">
        <v>135</v>
      </c>
      <c r="C354" s="27">
        <v>4848</v>
      </c>
      <c r="D354" s="28" t="s">
        <v>319</v>
      </c>
      <c r="E354" s="29" t="s">
        <v>137</v>
      </c>
      <c r="F354" s="36" t="s">
        <v>4</v>
      </c>
      <c r="G354" s="37" t="s">
        <v>13</v>
      </c>
      <c r="H354" s="32">
        <v>4500</v>
      </c>
      <c r="I354" s="32">
        <v>0</v>
      </c>
      <c r="J354" s="32">
        <v>1500</v>
      </c>
      <c r="K354" s="32">
        <f t="shared" si="84"/>
        <v>1500</v>
      </c>
      <c r="L354" s="32">
        <v>1500</v>
      </c>
      <c r="M354" s="32"/>
      <c r="N354" s="32">
        <f t="shared" si="85"/>
        <v>407.9356</v>
      </c>
      <c r="O354" s="17">
        <f t="shared" si="86"/>
        <v>27.19570666666667</v>
      </c>
      <c r="P354" s="62">
        <v>407.9356</v>
      </c>
      <c r="Q354" s="62"/>
      <c r="R354" s="33" t="s">
        <v>5</v>
      </c>
    </row>
    <row r="355" spans="1:18" ht="17.25" customHeight="1" outlineLevel="3">
      <c r="A355" s="38">
        <v>37</v>
      </c>
      <c r="B355" s="26" t="s">
        <v>135</v>
      </c>
      <c r="C355" s="27">
        <v>9102</v>
      </c>
      <c r="D355" s="28" t="s">
        <v>319</v>
      </c>
      <c r="E355" s="29" t="s">
        <v>159</v>
      </c>
      <c r="F355" s="40" t="s">
        <v>4</v>
      </c>
      <c r="G355" s="41" t="s">
        <v>4</v>
      </c>
      <c r="H355" s="32">
        <v>801</v>
      </c>
      <c r="I355" s="32">
        <v>0</v>
      </c>
      <c r="J355" s="32">
        <v>801</v>
      </c>
      <c r="K355" s="32">
        <f t="shared" si="84"/>
        <v>801</v>
      </c>
      <c r="L355" s="32">
        <v>801</v>
      </c>
      <c r="M355" s="32"/>
      <c r="N355" s="32">
        <f t="shared" si="85"/>
        <v>801</v>
      </c>
      <c r="O355" s="17">
        <f t="shared" si="86"/>
        <v>100</v>
      </c>
      <c r="P355" s="62">
        <v>801</v>
      </c>
      <c r="Q355" s="62"/>
      <c r="R355" s="33" t="s">
        <v>5</v>
      </c>
    </row>
    <row r="356" spans="1:18" ht="17.25" customHeight="1" outlineLevel="3">
      <c r="A356" s="38">
        <v>37</v>
      </c>
      <c r="B356" s="26" t="s">
        <v>135</v>
      </c>
      <c r="C356" s="27">
        <v>9102</v>
      </c>
      <c r="D356" s="28" t="s">
        <v>319</v>
      </c>
      <c r="E356" s="29" t="s">
        <v>160</v>
      </c>
      <c r="F356" s="40" t="s">
        <v>4</v>
      </c>
      <c r="G356" s="41" t="s">
        <v>4</v>
      </c>
      <c r="H356" s="32">
        <v>2000</v>
      </c>
      <c r="I356" s="32">
        <v>0</v>
      </c>
      <c r="J356" s="32">
        <v>2000</v>
      </c>
      <c r="K356" s="32">
        <f t="shared" si="84"/>
        <v>2000</v>
      </c>
      <c r="L356" s="32">
        <v>2000</v>
      </c>
      <c r="M356" s="32"/>
      <c r="N356" s="32">
        <f t="shared" si="85"/>
        <v>2000</v>
      </c>
      <c r="O356" s="17">
        <f t="shared" si="86"/>
        <v>100</v>
      </c>
      <c r="P356" s="62">
        <v>2000</v>
      </c>
      <c r="Q356" s="62"/>
      <c r="R356" s="33" t="s">
        <v>5</v>
      </c>
    </row>
    <row r="357" spans="1:18" ht="17.25" customHeight="1" outlineLevel="3">
      <c r="A357" s="38">
        <v>37</v>
      </c>
      <c r="B357" s="26">
        <v>3741</v>
      </c>
      <c r="C357" s="27">
        <v>9102</v>
      </c>
      <c r="D357" s="28" t="s">
        <v>319</v>
      </c>
      <c r="E357" s="29" t="s">
        <v>501</v>
      </c>
      <c r="F357" s="40" t="s">
        <v>4</v>
      </c>
      <c r="G357" s="41" t="s">
        <v>4</v>
      </c>
      <c r="H357" s="32">
        <v>2000</v>
      </c>
      <c r="I357" s="32"/>
      <c r="J357" s="32">
        <v>0</v>
      </c>
      <c r="K357" s="32">
        <f t="shared" si="84"/>
        <v>2000</v>
      </c>
      <c r="L357" s="32">
        <v>2000</v>
      </c>
      <c r="M357" s="32"/>
      <c r="N357" s="32">
        <f t="shared" si="85"/>
        <v>2000</v>
      </c>
      <c r="O357" s="17">
        <f>IF(K357=0,"0,0",N357*100/K357)</f>
        <v>100</v>
      </c>
      <c r="P357" s="62">
        <v>2000</v>
      </c>
      <c r="Q357" s="62"/>
      <c r="R357" s="33" t="s">
        <v>5</v>
      </c>
    </row>
    <row r="358" spans="1:18" ht="17.25" customHeight="1" outlineLevel="3">
      <c r="A358" s="38">
        <v>37</v>
      </c>
      <c r="B358" s="26">
        <v>3741</v>
      </c>
      <c r="C358" s="27">
        <v>9102</v>
      </c>
      <c r="D358" s="28" t="s">
        <v>319</v>
      </c>
      <c r="E358" s="29" t="s">
        <v>387</v>
      </c>
      <c r="F358" s="40" t="s">
        <v>4</v>
      </c>
      <c r="G358" s="41" t="s">
        <v>4</v>
      </c>
      <c r="H358" s="32">
        <v>2000</v>
      </c>
      <c r="I358" s="32">
        <v>0</v>
      </c>
      <c r="J358" s="32">
        <v>0</v>
      </c>
      <c r="K358" s="32">
        <f t="shared" si="84"/>
        <v>2000</v>
      </c>
      <c r="L358" s="32">
        <v>2000</v>
      </c>
      <c r="M358" s="32"/>
      <c r="N358" s="32">
        <f t="shared" si="85"/>
        <v>2000</v>
      </c>
      <c r="O358" s="17">
        <f t="shared" si="86"/>
        <v>100</v>
      </c>
      <c r="P358" s="62">
        <v>2000</v>
      </c>
      <c r="Q358" s="62"/>
      <c r="R358" s="33" t="s">
        <v>5</v>
      </c>
    </row>
    <row r="359" spans="1:18" ht="17.25" customHeight="1" outlineLevel="2">
      <c r="A359" s="38"/>
      <c r="B359" s="20" t="s">
        <v>530</v>
      </c>
      <c r="C359" s="27"/>
      <c r="D359" s="28"/>
      <c r="E359" s="29"/>
      <c r="F359" s="40"/>
      <c r="G359" s="41"/>
      <c r="H359" s="34">
        <f aca="true" t="shared" si="87" ref="H359:N359">SUBTOTAL(9,H352:H358)</f>
        <v>12801</v>
      </c>
      <c r="I359" s="34">
        <f t="shared" si="87"/>
        <v>0</v>
      </c>
      <c r="J359" s="34">
        <f t="shared" si="87"/>
        <v>5801</v>
      </c>
      <c r="K359" s="34">
        <f t="shared" si="87"/>
        <v>9801</v>
      </c>
      <c r="L359" s="34">
        <f t="shared" si="87"/>
        <v>9801</v>
      </c>
      <c r="M359" s="34">
        <f t="shared" si="87"/>
        <v>0</v>
      </c>
      <c r="N359" s="34">
        <f t="shared" si="87"/>
        <v>7331.6606</v>
      </c>
      <c r="O359" s="69">
        <f t="shared" si="86"/>
        <v>74.80523007856341</v>
      </c>
      <c r="P359" s="63">
        <f>SUBTOTAL(9,P352:P358)</f>
        <v>7331.6606</v>
      </c>
      <c r="Q359" s="63">
        <f>SUBTOTAL(9,Q352:Q358)</f>
        <v>0</v>
      </c>
      <c r="R359" s="33"/>
    </row>
    <row r="360" spans="1:18" ht="17.25" customHeight="1" outlineLevel="3">
      <c r="A360" s="35">
        <v>37</v>
      </c>
      <c r="B360" s="20" t="s">
        <v>138</v>
      </c>
      <c r="C360" s="7" t="s">
        <v>342</v>
      </c>
      <c r="D360" s="8" t="s">
        <v>342</v>
      </c>
      <c r="E360" s="39" t="s">
        <v>176</v>
      </c>
      <c r="F360" s="40"/>
      <c r="G360" s="41"/>
      <c r="H360" s="34"/>
      <c r="I360" s="34"/>
      <c r="J360" s="34"/>
      <c r="K360" s="34"/>
      <c r="L360" s="34"/>
      <c r="M360" s="34"/>
      <c r="N360" s="34"/>
      <c r="O360" s="70"/>
      <c r="P360" s="63"/>
      <c r="Q360" s="63"/>
      <c r="R360" s="33"/>
    </row>
    <row r="361" spans="1:18" ht="17.25" customHeight="1" outlineLevel="3">
      <c r="A361" s="38">
        <v>37</v>
      </c>
      <c r="B361" s="26" t="s">
        <v>138</v>
      </c>
      <c r="C361" s="27">
        <v>4801</v>
      </c>
      <c r="D361" s="28" t="s">
        <v>319</v>
      </c>
      <c r="E361" s="29" t="s">
        <v>301</v>
      </c>
      <c r="F361" s="36" t="s">
        <v>68</v>
      </c>
      <c r="G361" s="37" t="s">
        <v>4</v>
      </c>
      <c r="H361" s="32">
        <v>0</v>
      </c>
      <c r="I361" s="32">
        <v>0</v>
      </c>
      <c r="J361" s="32">
        <v>1700</v>
      </c>
      <c r="K361" s="32">
        <f aca="true" t="shared" si="88" ref="K361:K368">+L361+M361</f>
        <v>0</v>
      </c>
      <c r="L361" s="32">
        <v>0</v>
      </c>
      <c r="M361" s="32"/>
      <c r="N361" s="32">
        <f aca="true" t="shared" si="89" ref="N361:N368">+P361+Q361</f>
        <v>0</v>
      </c>
      <c r="O361" s="70" t="str">
        <f aca="true" t="shared" si="90" ref="O361:O370">IF(K361=0,"0,0",N361*100/K361)</f>
        <v>0,0</v>
      </c>
      <c r="P361" s="62">
        <v>0</v>
      </c>
      <c r="Q361" s="62"/>
      <c r="R361" s="33" t="s">
        <v>139</v>
      </c>
    </row>
    <row r="362" spans="1:18" ht="17.25" customHeight="1" outlineLevel="3">
      <c r="A362" s="38">
        <v>37</v>
      </c>
      <c r="B362" s="26" t="s">
        <v>138</v>
      </c>
      <c r="C362" s="27">
        <v>4802</v>
      </c>
      <c r="D362" s="28" t="s">
        <v>319</v>
      </c>
      <c r="E362" s="29" t="s">
        <v>140</v>
      </c>
      <c r="F362" s="36" t="s">
        <v>141</v>
      </c>
      <c r="G362" s="37" t="s">
        <v>4</v>
      </c>
      <c r="H362" s="32">
        <v>26559</v>
      </c>
      <c r="I362" s="32">
        <v>23053</v>
      </c>
      <c r="J362" s="32">
        <v>4000</v>
      </c>
      <c r="K362" s="32">
        <f t="shared" si="88"/>
        <v>5700</v>
      </c>
      <c r="L362" s="32">
        <v>5700</v>
      </c>
      <c r="M362" s="32"/>
      <c r="N362" s="32">
        <f t="shared" si="89"/>
        <v>5700</v>
      </c>
      <c r="O362" s="70">
        <f t="shared" si="90"/>
        <v>100</v>
      </c>
      <c r="P362" s="62">
        <v>5700</v>
      </c>
      <c r="Q362" s="62"/>
      <c r="R362" s="33" t="s">
        <v>139</v>
      </c>
    </row>
    <row r="363" spans="1:18" ht="17.25" customHeight="1" outlineLevel="3">
      <c r="A363" s="38">
        <v>37</v>
      </c>
      <c r="B363" s="26" t="s">
        <v>138</v>
      </c>
      <c r="C363" s="27">
        <v>4855</v>
      </c>
      <c r="D363" s="28" t="s">
        <v>319</v>
      </c>
      <c r="E363" s="29" t="s">
        <v>240</v>
      </c>
      <c r="F363" s="40" t="s">
        <v>4</v>
      </c>
      <c r="G363" s="41" t="s">
        <v>17</v>
      </c>
      <c r="H363" s="32">
        <v>35000</v>
      </c>
      <c r="I363" s="32"/>
      <c r="J363" s="32">
        <v>6600</v>
      </c>
      <c r="K363" s="32">
        <f t="shared" si="88"/>
        <v>6600</v>
      </c>
      <c r="L363" s="32">
        <v>6600</v>
      </c>
      <c r="M363" s="32"/>
      <c r="N363" s="32">
        <f t="shared" si="89"/>
        <v>6600</v>
      </c>
      <c r="O363" s="70">
        <f t="shared" si="90"/>
        <v>100</v>
      </c>
      <c r="P363" s="62">
        <v>6600</v>
      </c>
      <c r="Q363" s="62"/>
      <c r="R363" s="33" t="s">
        <v>5</v>
      </c>
    </row>
    <row r="364" spans="1:18" ht="17.25" customHeight="1" outlineLevel="3">
      <c r="A364" s="38">
        <v>37</v>
      </c>
      <c r="B364" s="26" t="s">
        <v>138</v>
      </c>
      <c r="C364" s="27">
        <v>4856</v>
      </c>
      <c r="D364" s="28" t="s">
        <v>319</v>
      </c>
      <c r="E364" s="29" t="s">
        <v>241</v>
      </c>
      <c r="F364" s="40" t="s">
        <v>4</v>
      </c>
      <c r="G364" s="41" t="s">
        <v>17</v>
      </c>
      <c r="H364" s="32">
        <v>25000</v>
      </c>
      <c r="I364" s="32"/>
      <c r="J364" s="32">
        <v>5000</v>
      </c>
      <c r="K364" s="32">
        <f t="shared" si="88"/>
        <v>5000</v>
      </c>
      <c r="L364" s="32">
        <v>5000</v>
      </c>
      <c r="M364" s="32"/>
      <c r="N364" s="32">
        <f t="shared" si="89"/>
        <v>5000</v>
      </c>
      <c r="O364" s="70">
        <f t="shared" si="90"/>
        <v>100</v>
      </c>
      <c r="P364" s="62">
        <v>5000</v>
      </c>
      <c r="Q364" s="62"/>
      <c r="R364" s="33" t="s">
        <v>5</v>
      </c>
    </row>
    <row r="365" spans="1:18" ht="17.25" customHeight="1" outlineLevel="3">
      <c r="A365" s="38">
        <v>37</v>
      </c>
      <c r="B365" s="26" t="s">
        <v>138</v>
      </c>
      <c r="C365" s="27">
        <v>4895</v>
      </c>
      <c r="D365" s="28" t="s">
        <v>319</v>
      </c>
      <c r="E365" s="29" t="s">
        <v>302</v>
      </c>
      <c r="F365" s="36" t="s">
        <v>22</v>
      </c>
      <c r="G365" s="37" t="s">
        <v>4</v>
      </c>
      <c r="H365" s="32">
        <v>13390</v>
      </c>
      <c r="I365" s="32">
        <v>466</v>
      </c>
      <c r="J365" s="32">
        <v>12924</v>
      </c>
      <c r="K365" s="32">
        <f t="shared" si="88"/>
        <v>924</v>
      </c>
      <c r="L365" s="32">
        <f>12924-12000</f>
        <v>924</v>
      </c>
      <c r="M365" s="32"/>
      <c r="N365" s="32">
        <f t="shared" si="89"/>
        <v>30.45</v>
      </c>
      <c r="O365" s="70">
        <f t="shared" si="90"/>
        <v>3.2954545454545454</v>
      </c>
      <c r="P365" s="62">
        <v>30.45</v>
      </c>
      <c r="Q365" s="62"/>
      <c r="R365" s="33" t="s">
        <v>5</v>
      </c>
    </row>
    <row r="366" spans="1:18" ht="17.25" customHeight="1" outlineLevel="3">
      <c r="A366" s="38">
        <v>37</v>
      </c>
      <c r="B366" s="26" t="s">
        <v>138</v>
      </c>
      <c r="C366" s="27">
        <v>9105</v>
      </c>
      <c r="D366" s="28" t="s">
        <v>319</v>
      </c>
      <c r="E366" s="29" t="s">
        <v>161</v>
      </c>
      <c r="F366" s="40" t="s">
        <v>4</v>
      </c>
      <c r="G366" s="41" t="s">
        <v>4</v>
      </c>
      <c r="H366" s="32">
        <v>605</v>
      </c>
      <c r="I366" s="32"/>
      <c r="J366" s="32">
        <v>605</v>
      </c>
      <c r="K366" s="32">
        <f t="shared" si="88"/>
        <v>605</v>
      </c>
      <c r="L366" s="32">
        <v>605</v>
      </c>
      <c r="M366" s="32"/>
      <c r="N366" s="32">
        <f t="shared" si="89"/>
        <v>605</v>
      </c>
      <c r="O366" s="70">
        <f t="shared" si="90"/>
        <v>100</v>
      </c>
      <c r="P366" s="62">
        <v>605</v>
      </c>
      <c r="Q366" s="62"/>
      <c r="R366" s="33" t="s">
        <v>5</v>
      </c>
    </row>
    <row r="367" spans="1:18" ht="17.25" customHeight="1" outlineLevel="3">
      <c r="A367" s="38">
        <v>37</v>
      </c>
      <c r="B367" s="26" t="s">
        <v>138</v>
      </c>
      <c r="C367" s="27">
        <v>9105</v>
      </c>
      <c r="D367" s="28" t="s">
        <v>319</v>
      </c>
      <c r="E367" s="29" t="s">
        <v>162</v>
      </c>
      <c r="F367" s="40" t="s">
        <v>4</v>
      </c>
      <c r="G367" s="41" t="s">
        <v>4</v>
      </c>
      <c r="H367" s="32">
        <v>1213</v>
      </c>
      <c r="I367" s="32"/>
      <c r="J367" s="32">
        <v>1213</v>
      </c>
      <c r="K367" s="32">
        <f t="shared" si="88"/>
        <v>1213</v>
      </c>
      <c r="L367" s="32">
        <v>1213</v>
      </c>
      <c r="M367" s="32"/>
      <c r="N367" s="32">
        <f t="shared" si="89"/>
        <v>1213</v>
      </c>
      <c r="O367" s="70">
        <f t="shared" si="90"/>
        <v>100</v>
      </c>
      <c r="P367" s="62">
        <f>2318-605-500</f>
        <v>1213</v>
      </c>
      <c r="Q367" s="62"/>
      <c r="R367" s="33" t="s">
        <v>5</v>
      </c>
    </row>
    <row r="368" spans="1:18" ht="17.25" customHeight="1" outlineLevel="3">
      <c r="A368" s="38">
        <v>37</v>
      </c>
      <c r="B368" s="26" t="s">
        <v>138</v>
      </c>
      <c r="C368" s="27">
        <v>9105</v>
      </c>
      <c r="D368" s="28" t="s">
        <v>319</v>
      </c>
      <c r="E368" s="29" t="s">
        <v>429</v>
      </c>
      <c r="F368" s="40" t="s">
        <v>4</v>
      </c>
      <c r="G368" s="41" t="s">
        <v>4</v>
      </c>
      <c r="H368" s="32">
        <v>500</v>
      </c>
      <c r="I368" s="32"/>
      <c r="J368" s="32">
        <v>500</v>
      </c>
      <c r="K368" s="32">
        <f t="shared" si="88"/>
        <v>500</v>
      </c>
      <c r="L368" s="32">
        <v>500</v>
      </c>
      <c r="M368" s="32"/>
      <c r="N368" s="32">
        <f t="shared" si="89"/>
        <v>500</v>
      </c>
      <c r="O368" s="70">
        <f t="shared" si="90"/>
        <v>100</v>
      </c>
      <c r="P368" s="62">
        <f>1713-1213</f>
        <v>500</v>
      </c>
      <c r="Q368" s="62"/>
      <c r="R368" s="33" t="s">
        <v>5</v>
      </c>
    </row>
    <row r="369" spans="1:18" ht="17.25" customHeight="1" outlineLevel="2">
      <c r="A369" s="38"/>
      <c r="B369" s="20" t="s">
        <v>458</v>
      </c>
      <c r="C369" s="27"/>
      <c r="D369" s="28"/>
      <c r="E369" s="29"/>
      <c r="F369" s="40"/>
      <c r="G369" s="41"/>
      <c r="H369" s="34">
        <f aca="true" t="shared" si="91" ref="H369:N369">SUBTOTAL(9,H360:H368)</f>
        <v>102267</v>
      </c>
      <c r="I369" s="34">
        <f t="shared" si="91"/>
        <v>23519</v>
      </c>
      <c r="J369" s="34">
        <f t="shared" si="91"/>
        <v>32542</v>
      </c>
      <c r="K369" s="34">
        <f t="shared" si="91"/>
        <v>20542</v>
      </c>
      <c r="L369" s="34">
        <f t="shared" si="91"/>
        <v>20542</v>
      </c>
      <c r="M369" s="34">
        <f t="shared" si="91"/>
        <v>0</v>
      </c>
      <c r="N369" s="34">
        <f t="shared" si="91"/>
        <v>19648.45</v>
      </c>
      <c r="O369" s="69">
        <f t="shared" si="90"/>
        <v>95.6501314380294</v>
      </c>
      <c r="P369" s="63">
        <f>SUBTOTAL(9,P360:P368)</f>
        <v>19648.45</v>
      </c>
      <c r="Q369" s="63">
        <f>SUBTOTAL(9,Q360:Q368)</f>
        <v>0</v>
      </c>
      <c r="R369" s="33"/>
    </row>
    <row r="370" spans="1:18" ht="17.25" customHeight="1" outlineLevel="1">
      <c r="A370" s="35" t="s">
        <v>531</v>
      </c>
      <c r="B370" s="26"/>
      <c r="C370" s="27"/>
      <c r="D370" s="28"/>
      <c r="E370" s="29"/>
      <c r="F370" s="40"/>
      <c r="G370" s="41"/>
      <c r="H370" s="34">
        <f aca="true" t="shared" si="92" ref="H370:N370">SUBTOTAL(9,H344:H368)</f>
        <v>185726</v>
      </c>
      <c r="I370" s="34">
        <f t="shared" si="92"/>
        <v>23519</v>
      </c>
      <c r="J370" s="34">
        <f t="shared" si="92"/>
        <v>81693</v>
      </c>
      <c r="K370" s="34">
        <f t="shared" si="92"/>
        <v>101001</v>
      </c>
      <c r="L370" s="34">
        <f t="shared" si="92"/>
        <v>101001</v>
      </c>
      <c r="M370" s="34">
        <f t="shared" si="92"/>
        <v>0</v>
      </c>
      <c r="N370" s="34">
        <f t="shared" si="92"/>
        <v>97536.7276</v>
      </c>
      <c r="O370" s="69">
        <f t="shared" si="90"/>
        <v>96.57006128652192</v>
      </c>
      <c r="P370" s="63">
        <f>SUBTOTAL(9,P344:P368)</f>
        <v>97536.7276</v>
      </c>
      <c r="Q370" s="63">
        <f>SUBTOTAL(9,Q344:Q368)</f>
        <v>0</v>
      </c>
      <c r="R370" s="33"/>
    </row>
    <row r="371" spans="1:18" ht="17.25" customHeight="1" outlineLevel="3">
      <c r="A371" s="35">
        <v>43</v>
      </c>
      <c r="B371" s="20" t="s">
        <v>101</v>
      </c>
      <c r="C371" s="7" t="s">
        <v>342</v>
      </c>
      <c r="D371" s="8" t="s">
        <v>342</v>
      </c>
      <c r="E371" s="39" t="s">
        <v>200</v>
      </c>
      <c r="F371" s="36"/>
      <c r="G371" s="37"/>
      <c r="H371" s="34"/>
      <c r="I371" s="34"/>
      <c r="J371" s="34"/>
      <c r="K371" s="34"/>
      <c r="L371" s="34"/>
      <c r="M371" s="34"/>
      <c r="N371" s="34"/>
      <c r="O371" s="17"/>
      <c r="P371" s="63"/>
      <c r="Q371" s="63"/>
      <c r="R371" s="33"/>
    </row>
    <row r="372" spans="1:18" ht="17.25" customHeight="1" outlineLevel="3">
      <c r="A372" s="38">
        <v>43</v>
      </c>
      <c r="B372" s="26" t="s">
        <v>101</v>
      </c>
      <c r="C372" s="27">
        <v>4717</v>
      </c>
      <c r="D372" s="28" t="s">
        <v>319</v>
      </c>
      <c r="E372" s="29" t="s">
        <v>303</v>
      </c>
      <c r="F372" s="36" t="s">
        <v>4</v>
      </c>
      <c r="G372" s="37" t="s">
        <v>4</v>
      </c>
      <c r="H372" s="32">
        <v>10000</v>
      </c>
      <c r="I372" s="32">
        <v>0</v>
      </c>
      <c r="J372" s="32">
        <v>10000</v>
      </c>
      <c r="K372" s="32">
        <f>+L372+M372</f>
        <v>10000</v>
      </c>
      <c r="L372" s="32">
        <v>0</v>
      </c>
      <c r="M372" s="32">
        <v>10000</v>
      </c>
      <c r="N372" s="32">
        <f>+P372+Q372</f>
        <v>10000</v>
      </c>
      <c r="O372" s="17">
        <f>IF(K372=0,"0,0",N372*100/K372)</f>
        <v>100</v>
      </c>
      <c r="P372" s="62">
        <v>0</v>
      </c>
      <c r="Q372" s="62">
        <v>10000</v>
      </c>
      <c r="R372" s="33" t="s">
        <v>358</v>
      </c>
    </row>
    <row r="373" spans="1:18" ht="17.25" customHeight="1" outlineLevel="3">
      <c r="A373" s="38">
        <v>43</v>
      </c>
      <c r="B373" s="26" t="s">
        <v>101</v>
      </c>
      <c r="C373" s="27">
        <v>4718</v>
      </c>
      <c r="D373" s="28" t="s">
        <v>319</v>
      </c>
      <c r="E373" s="29" t="s">
        <v>304</v>
      </c>
      <c r="F373" s="36" t="s">
        <v>4</v>
      </c>
      <c r="G373" s="37" t="s">
        <v>4</v>
      </c>
      <c r="H373" s="32">
        <v>4800</v>
      </c>
      <c r="I373" s="32">
        <v>0</v>
      </c>
      <c r="J373" s="32">
        <v>4800</v>
      </c>
      <c r="K373" s="32">
        <f>+L373+M373</f>
        <v>4800</v>
      </c>
      <c r="L373" s="32">
        <v>0</v>
      </c>
      <c r="M373" s="32">
        <v>4800</v>
      </c>
      <c r="N373" s="32">
        <f>+P373+Q373</f>
        <v>1541.8255000000001</v>
      </c>
      <c r="O373" s="17">
        <f>IF(K373=0,"0,0",N373*100/K373)</f>
        <v>32.12136458333334</v>
      </c>
      <c r="P373" s="62">
        <v>0</v>
      </c>
      <c r="Q373" s="62">
        <f>1524.6475+17.178</f>
        <v>1541.8255000000001</v>
      </c>
      <c r="R373" s="33" t="s">
        <v>548</v>
      </c>
    </row>
    <row r="374" spans="1:18" ht="17.25" customHeight="1" outlineLevel="2">
      <c r="A374" s="38"/>
      <c r="B374" s="20" t="s">
        <v>459</v>
      </c>
      <c r="C374" s="27"/>
      <c r="D374" s="28"/>
      <c r="E374" s="29"/>
      <c r="F374" s="36"/>
      <c r="G374" s="37"/>
      <c r="H374" s="34">
        <f aca="true" t="shared" si="93" ref="H374:N374">SUBTOTAL(9,H371:H373)</f>
        <v>14800</v>
      </c>
      <c r="I374" s="34">
        <f t="shared" si="93"/>
        <v>0</v>
      </c>
      <c r="J374" s="34">
        <f t="shared" si="93"/>
        <v>14800</v>
      </c>
      <c r="K374" s="34">
        <f t="shared" si="93"/>
        <v>14800</v>
      </c>
      <c r="L374" s="34">
        <f t="shared" si="93"/>
        <v>0</v>
      </c>
      <c r="M374" s="34">
        <f t="shared" si="93"/>
        <v>14800</v>
      </c>
      <c r="N374" s="34">
        <f t="shared" si="93"/>
        <v>11541.8255</v>
      </c>
      <c r="O374" s="55">
        <f>IF(K374=0,"0,0",N374*100/K374)</f>
        <v>77.98530743243244</v>
      </c>
      <c r="P374" s="63">
        <f>SUBTOTAL(9,P371:P373)</f>
        <v>0</v>
      </c>
      <c r="Q374" s="63">
        <f>SUBTOTAL(9,Q371:Q373)</f>
        <v>11541.8255</v>
      </c>
      <c r="R374" s="33"/>
    </row>
    <row r="375" spans="1:18" ht="17.25" customHeight="1" outlineLevel="3">
      <c r="A375" s="35">
        <v>43</v>
      </c>
      <c r="B375" s="20">
        <v>4316</v>
      </c>
      <c r="C375" s="7" t="s">
        <v>342</v>
      </c>
      <c r="D375" s="8" t="s">
        <v>342</v>
      </c>
      <c r="E375" s="21" t="s">
        <v>177</v>
      </c>
      <c r="F375" s="40"/>
      <c r="G375" s="41"/>
      <c r="H375" s="34"/>
      <c r="I375" s="34"/>
      <c r="J375" s="34"/>
      <c r="K375" s="34"/>
      <c r="L375" s="34"/>
      <c r="M375" s="34"/>
      <c r="N375" s="34"/>
      <c r="O375" s="17"/>
      <c r="P375" s="63"/>
      <c r="Q375" s="63"/>
      <c r="R375" s="33"/>
    </row>
    <row r="376" spans="1:18" ht="17.25" customHeight="1" outlineLevel="3">
      <c r="A376" s="38">
        <v>43</v>
      </c>
      <c r="B376" s="26" t="s">
        <v>102</v>
      </c>
      <c r="C376" s="27">
        <v>4719</v>
      </c>
      <c r="D376" s="28" t="s">
        <v>319</v>
      </c>
      <c r="E376" s="29" t="s">
        <v>142</v>
      </c>
      <c r="F376" s="36" t="s">
        <v>4</v>
      </c>
      <c r="G376" s="37" t="s">
        <v>13</v>
      </c>
      <c r="H376" s="32">
        <v>5727</v>
      </c>
      <c r="I376" s="32">
        <v>0</v>
      </c>
      <c r="J376" s="32">
        <v>2000</v>
      </c>
      <c r="K376" s="32">
        <f>+L376+M376</f>
        <v>2000</v>
      </c>
      <c r="L376" s="32">
        <v>2000</v>
      </c>
      <c r="M376" s="32"/>
      <c r="N376" s="32">
        <f>+P376+Q376</f>
        <v>1978.8024</v>
      </c>
      <c r="O376" s="17">
        <f>IF(K376=0,"0,0",N376*100/K376)</f>
        <v>98.94012</v>
      </c>
      <c r="P376" s="62">
        <v>1978.8024</v>
      </c>
      <c r="Q376" s="62"/>
      <c r="R376" s="33" t="s">
        <v>5</v>
      </c>
    </row>
    <row r="377" spans="1:18" ht="17.25" customHeight="1" outlineLevel="3">
      <c r="A377" s="38">
        <v>43</v>
      </c>
      <c r="B377" s="26" t="s">
        <v>102</v>
      </c>
      <c r="C377" s="27">
        <v>4720</v>
      </c>
      <c r="D377" s="28" t="s">
        <v>319</v>
      </c>
      <c r="E377" s="29" t="s">
        <v>305</v>
      </c>
      <c r="F377" s="36" t="s">
        <v>4</v>
      </c>
      <c r="G377" s="37" t="s">
        <v>17</v>
      </c>
      <c r="H377" s="32">
        <v>135439</v>
      </c>
      <c r="I377" s="32">
        <v>0</v>
      </c>
      <c r="J377" s="32">
        <v>2000</v>
      </c>
      <c r="K377" s="32">
        <f>+L377+M377</f>
        <v>2000</v>
      </c>
      <c r="L377" s="32">
        <v>2000</v>
      </c>
      <c r="M377" s="32"/>
      <c r="N377" s="32">
        <f>+P377+Q377</f>
        <v>671.999</v>
      </c>
      <c r="O377" s="17">
        <f>IF(K377=0,"0,0",N377*100/K377)</f>
        <v>33.59995000000001</v>
      </c>
      <c r="P377" s="62">
        <v>671.999</v>
      </c>
      <c r="Q377" s="62"/>
      <c r="R377" s="33" t="s">
        <v>5</v>
      </c>
    </row>
    <row r="378" spans="1:18" ht="17.25" customHeight="1" outlineLevel="3">
      <c r="A378" s="38">
        <v>43</v>
      </c>
      <c r="B378" s="26" t="s">
        <v>102</v>
      </c>
      <c r="C378" s="27">
        <v>9203</v>
      </c>
      <c r="D378" s="28" t="s">
        <v>320</v>
      </c>
      <c r="E378" s="29" t="s">
        <v>509</v>
      </c>
      <c r="F378" s="40" t="s">
        <v>4</v>
      </c>
      <c r="G378" s="41" t="s">
        <v>4</v>
      </c>
      <c r="H378" s="32">
        <v>3440</v>
      </c>
      <c r="I378" s="32"/>
      <c r="J378" s="32">
        <v>3440</v>
      </c>
      <c r="K378" s="32">
        <f>+L378+M378</f>
        <v>3440</v>
      </c>
      <c r="L378" s="32">
        <v>3440</v>
      </c>
      <c r="M378" s="32"/>
      <c r="N378" s="32">
        <f>+P378+Q378</f>
        <v>3423.4784</v>
      </c>
      <c r="O378" s="17">
        <f>IF(K378=0,"0,0",N378*100/K378)</f>
        <v>99.51972093023255</v>
      </c>
      <c r="P378" s="65">
        <f>995.536+1145.3402+1064.3072+218.295</f>
        <v>3423.4784</v>
      </c>
      <c r="Q378" s="62"/>
      <c r="R378" s="33" t="s">
        <v>315</v>
      </c>
    </row>
    <row r="379" spans="1:18" ht="17.25" customHeight="1" outlineLevel="2">
      <c r="A379" s="38"/>
      <c r="B379" s="20" t="s">
        <v>460</v>
      </c>
      <c r="C379" s="27"/>
      <c r="D379" s="28"/>
      <c r="E379" s="29"/>
      <c r="F379" s="40"/>
      <c r="G379" s="41"/>
      <c r="H379" s="34">
        <f aca="true" t="shared" si="94" ref="H379:N379">SUBTOTAL(9,H375:H378)</f>
        <v>144606</v>
      </c>
      <c r="I379" s="34">
        <f t="shared" si="94"/>
        <v>0</v>
      </c>
      <c r="J379" s="34">
        <f t="shared" si="94"/>
        <v>7440</v>
      </c>
      <c r="K379" s="34">
        <f t="shared" si="94"/>
        <v>7440</v>
      </c>
      <c r="L379" s="34">
        <f t="shared" si="94"/>
        <v>7440</v>
      </c>
      <c r="M379" s="34">
        <f t="shared" si="94"/>
        <v>0</v>
      </c>
      <c r="N379" s="34">
        <f t="shared" si="94"/>
        <v>6074.2798</v>
      </c>
      <c r="O379" s="55">
        <f>IF(K379=0,"0,0",N379*100/K379)</f>
        <v>81.64354569892473</v>
      </c>
      <c r="P379" s="66">
        <f>SUBTOTAL(9,P375:P378)</f>
        <v>6074.2798</v>
      </c>
      <c r="Q379" s="63">
        <f>SUBTOTAL(9,Q375:Q378)</f>
        <v>0</v>
      </c>
      <c r="R379" s="33"/>
    </row>
    <row r="380" spans="1:18" ht="17.25" customHeight="1" outlineLevel="3">
      <c r="A380" s="35">
        <v>43</v>
      </c>
      <c r="B380" s="20" t="s">
        <v>103</v>
      </c>
      <c r="C380" s="7" t="s">
        <v>342</v>
      </c>
      <c r="D380" s="8" t="s">
        <v>342</v>
      </c>
      <c r="E380" s="39" t="s">
        <v>178</v>
      </c>
      <c r="F380" s="40"/>
      <c r="G380" s="41"/>
      <c r="H380" s="34"/>
      <c r="I380" s="34"/>
      <c r="J380" s="34"/>
      <c r="K380" s="34"/>
      <c r="L380" s="34"/>
      <c r="M380" s="34"/>
      <c r="N380" s="34"/>
      <c r="O380" s="17"/>
      <c r="P380" s="63"/>
      <c r="Q380" s="63"/>
      <c r="R380" s="33"/>
    </row>
    <row r="381" spans="1:18" ht="17.25" customHeight="1" outlineLevel="3">
      <c r="A381" s="38">
        <v>43</v>
      </c>
      <c r="B381" s="26" t="s">
        <v>103</v>
      </c>
      <c r="C381" s="27">
        <v>9113</v>
      </c>
      <c r="D381" s="28" t="s">
        <v>319</v>
      </c>
      <c r="E381" s="29" t="s">
        <v>212</v>
      </c>
      <c r="F381" s="40" t="s">
        <v>4</v>
      </c>
      <c r="G381" s="41" t="s">
        <v>4</v>
      </c>
      <c r="H381" s="32">
        <v>140</v>
      </c>
      <c r="I381" s="32">
        <v>0</v>
      </c>
      <c r="J381" s="32">
        <v>140</v>
      </c>
      <c r="K381" s="32">
        <f>+L381+M381</f>
        <v>140</v>
      </c>
      <c r="L381" s="32">
        <v>140</v>
      </c>
      <c r="M381" s="32"/>
      <c r="N381" s="32">
        <f>+P381+Q381</f>
        <v>140</v>
      </c>
      <c r="O381" s="17">
        <f>IF(K381=0,"0,0",N381*100/K381)</f>
        <v>100</v>
      </c>
      <c r="P381" s="62">
        <v>140</v>
      </c>
      <c r="Q381" s="62"/>
      <c r="R381" s="33" t="s">
        <v>5</v>
      </c>
    </row>
    <row r="382" spans="1:18" ht="17.25" customHeight="1" outlineLevel="2">
      <c r="A382" s="38"/>
      <c r="B382" s="20" t="s">
        <v>532</v>
      </c>
      <c r="C382" s="27"/>
      <c r="D382" s="28"/>
      <c r="E382" s="29"/>
      <c r="F382" s="40"/>
      <c r="G382" s="41"/>
      <c r="H382" s="34">
        <f aca="true" t="shared" si="95" ref="H382:N382">SUBTOTAL(9,H380:H381)</f>
        <v>140</v>
      </c>
      <c r="I382" s="34">
        <f t="shared" si="95"/>
        <v>0</v>
      </c>
      <c r="J382" s="34">
        <f t="shared" si="95"/>
        <v>140</v>
      </c>
      <c r="K382" s="34">
        <f t="shared" si="95"/>
        <v>140</v>
      </c>
      <c r="L382" s="34">
        <f t="shared" si="95"/>
        <v>140</v>
      </c>
      <c r="M382" s="34">
        <f t="shared" si="95"/>
        <v>0</v>
      </c>
      <c r="N382" s="34">
        <f t="shared" si="95"/>
        <v>140</v>
      </c>
      <c r="O382" s="55">
        <f>IF(K382=0,"0,0",N382*100/K382)</f>
        <v>100</v>
      </c>
      <c r="P382" s="63">
        <f>SUBTOTAL(9,P380:P381)</f>
        <v>140</v>
      </c>
      <c r="Q382" s="63">
        <f>SUBTOTAL(9,Q380:Q381)</f>
        <v>0</v>
      </c>
      <c r="R382" s="33"/>
    </row>
    <row r="383" spans="1:18" ht="17.25" customHeight="1" outlineLevel="3">
      <c r="A383" s="35">
        <v>43</v>
      </c>
      <c r="B383" s="20" t="s">
        <v>143</v>
      </c>
      <c r="C383" s="7" t="s">
        <v>342</v>
      </c>
      <c r="D383" s="8" t="s">
        <v>342</v>
      </c>
      <c r="E383" s="39" t="s">
        <v>201</v>
      </c>
      <c r="F383" s="40"/>
      <c r="G383" s="41"/>
      <c r="H383" s="34"/>
      <c r="I383" s="34"/>
      <c r="J383" s="34"/>
      <c r="K383" s="34"/>
      <c r="L383" s="34"/>
      <c r="M383" s="34"/>
      <c r="N383" s="34"/>
      <c r="O383" s="17"/>
      <c r="P383" s="63"/>
      <c r="Q383" s="63"/>
      <c r="R383" s="33"/>
    </row>
    <row r="384" spans="1:18" ht="17.25" customHeight="1" outlineLevel="3">
      <c r="A384" s="38">
        <v>43</v>
      </c>
      <c r="B384" s="26" t="s">
        <v>143</v>
      </c>
      <c r="C384" s="27">
        <v>4721</v>
      </c>
      <c r="D384" s="28" t="s">
        <v>319</v>
      </c>
      <c r="E384" s="29" t="s">
        <v>306</v>
      </c>
      <c r="F384" s="36" t="s">
        <v>4</v>
      </c>
      <c r="G384" s="37" t="s">
        <v>13</v>
      </c>
      <c r="H384" s="32">
        <v>16700</v>
      </c>
      <c r="I384" s="32">
        <v>0</v>
      </c>
      <c r="J384" s="32">
        <v>8200</v>
      </c>
      <c r="K384" s="32">
        <f>+L384+M384</f>
        <v>2200</v>
      </c>
      <c r="L384" s="32">
        <v>2200</v>
      </c>
      <c r="M384" s="32"/>
      <c r="N384" s="32">
        <f>+P384+Q384</f>
        <v>157.5496</v>
      </c>
      <c r="O384" s="17">
        <f>IF(K384=0,"0,0",N384*100/K384)</f>
        <v>7.1613454545454545</v>
      </c>
      <c r="P384" s="62">
        <v>157.5496</v>
      </c>
      <c r="Q384" s="62"/>
      <c r="R384" s="33" t="s">
        <v>325</v>
      </c>
    </row>
    <row r="385" spans="1:18" ht="17.25" customHeight="1" outlineLevel="2">
      <c r="A385" s="38"/>
      <c r="B385" s="20" t="s">
        <v>461</v>
      </c>
      <c r="C385" s="27"/>
      <c r="D385" s="28"/>
      <c r="E385" s="29"/>
      <c r="F385" s="36"/>
      <c r="G385" s="37"/>
      <c r="H385" s="34">
        <f aca="true" t="shared" si="96" ref="H385:N385">SUBTOTAL(9,H383:H384)</f>
        <v>16700</v>
      </c>
      <c r="I385" s="34">
        <f t="shared" si="96"/>
        <v>0</v>
      </c>
      <c r="J385" s="34">
        <f t="shared" si="96"/>
        <v>8200</v>
      </c>
      <c r="K385" s="34">
        <f t="shared" si="96"/>
        <v>2200</v>
      </c>
      <c r="L385" s="34">
        <f t="shared" si="96"/>
        <v>2200</v>
      </c>
      <c r="M385" s="34">
        <f t="shared" si="96"/>
        <v>0</v>
      </c>
      <c r="N385" s="34">
        <f t="shared" si="96"/>
        <v>157.5496</v>
      </c>
      <c r="O385" s="55">
        <f>IF(K385=0,"0,0",N385*100/K385)</f>
        <v>7.1613454545454545</v>
      </c>
      <c r="P385" s="63">
        <f>SUBTOTAL(9,P383:P384)</f>
        <v>157.5496</v>
      </c>
      <c r="Q385" s="63">
        <f>SUBTOTAL(9,Q383:Q384)</f>
        <v>0</v>
      </c>
      <c r="R385" s="33"/>
    </row>
    <row r="386" spans="1:18" ht="17.25" customHeight="1" outlineLevel="3">
      <c r="A386" s="35">
        <v>43</v>
      </c>
      <c r="B386" s="20">
        <v>4341</v>
      </c>
      <c r="C386" s="7" t="s">
        <v>342</v>
      </c>
      <c r="D386" s="8" t="s">
        <v>342</v>
      </c>
      <c r="E386" s="21" t="s">
        <v>362</v>
      </c>
      <c r="F386" s="40"/>
      <c r="G386" s="41"/>
      <c r="H386" s="34"/>
      <c r="I386" s="34"/>
      <c r="J386" s="34"/>
      <c r="K386" s="34"/>
      <c r="L386" s="34"/>
      <c r="M386" s="34"/>
      <c r="N386" s="34"/>
      <c r="O386" s="17"/>
      <c r="P386" s="63"/>
      <c r="Q386" s="63"/>
      <c r="R386" s="33"/>
    </row>
    <row r="387" spans="1:18" ht="17.25" customHeight="1" outlineLevel="3">
      <c r="A387" s="38">
        <v>43</v>
      </c>
      <c r="B387" s="26" t="s">
        <v>47</v>
      </c>
      <c r="C387" s="27">
        <v>0</v>
      </c>
      <c r="D387" s="28" t="s">
        <v>320</v>
      </c>
      <c r="E387" s="29" t="s">
        <v>213</v>
      </c>
      <c r="F387" s="40" t="s">
        <v>4</v>
      </c>
      <c r="G387" s="41" t="s">
        <v>4</v>
      </c>
      <c r="H387" s="32">
        <v>510</v>
      </c>
      <c r="I387" s="32">
        <v>0</v>
      </c>
      <c r="J387" s="32">
        <v>510</v>
      </c>
      <c r="K387" s="32">
        <f>+L387+M387</f>
        <v>510</v>
      </c>
      <c r="L387" s="32">
        <v>510</v>
      </c>
      <c r="M387" s="32"/>
      <c r="N387" s="32">
        <f>+P387+Q387</f>
        <v>449.91</v>
      </c>
      <c r="O387" s="17">
        <f>IF(K387=0,"0,0",N387*100/K387)</f>
        <v>88.21764705882353</v>
      </c>
      <c r="P387" s="62">
        <v>449.91</v>
      </c>
      <c r="Q387" s="62"/>
      <c r="R387" s="33" t="s">
        <v>5</v>
      </c>
    </row>
    <row r="388" spans="1:18" ht="17.25" customHeight="1" outlineLevel="3">
      <c r="A388" s="38">
        <v>43</v>
      </c>
      <c r="B388" s="26">
        <v>4341</v>
      </c>
      <c r="C388" s="27">
        <v>4722</v>
      </c>
      <c r="D388" s="28" t="s">
        <v>319</v>
      </c>
      <c r="E388" s="29" t="s">
        <v>307</v>
      </c>
      <c r="F388" s="36" t="s">
        <v>4</v>
      </c>
      <c r="G388" s="37" t="s">
        <v>4</v>
      </c>
      <c r="H388" s="32">
        <v>0</v>
      </c>
      <c r="I388" s="32">
        <v>0</v>
      </c>
      <c r="J388" s="32">
        <v>2033</v>
      </c>
      <c r="K388" s="32">
        <f>+L388+M388</f>
        <v>0</v>
      </c>
      <c r="L388" s="32">
        <v>0</v>
      </c>
      <c r="M388" s="32"/>
      <c r="N388" s="32">
        <f>+P388+Q388</f>
        <v>0</v>
      </c>
      <c r="O388" s="17" t="str">
        <f>IF(K388=0,"0,0",N388*100/K388)</f>
        <v>0,0</v>
      </c>
      <c r="P388" s="62">
        <v>0</v>
      </c>
      <c r="Q388" s="62">
        <v>0</v>
      </c>
      <c r="R388" s="33" t="s">
        <v>314</v>
      </c>
    </row>
    <row r="389" spans="1:18" ht="17.25" customHeight="1" outlineLevel="3">
      <c r="A389" s="38">
        <v>43</v>
      </c>
      <c r="B389" s="26" t="s">
        <v>47</v>
      </c>
      <c r="C389" s="27">
        <v>4705</v>
      </c>
      <c r="D389" s="28" t="s">
        <v>319</v>
      </c>
      <c r="E389" s="29" t="s">
        <v>144</v>
      </c>
      <c r="F389" s="36" t="s">
        <v>4</v>
      </c>
      <c r="G389" s="37" t="s">
        <v>13</v>
      </c>
      <c r="H389" s="32">
        <v>37658</v>
      </c>
      <c r="I389" s="32">
        <v>0</v>
      </c>
      <c r="J389" s="32">
        <v>10000</v>
      </c>
      <c r="K389" s="32">
        <f>+L389+M389</f>
        <v>10000</v>
      </c>
      <c r="L389" s="32">
        <v>10000</v>
      </c>
      <c r="M389" s="32"/>
      <c r="N389" s="32">
        <f>+P389+Q389</f>
        <v>9160.4254</v>
      </c>
      <c r="O389" s="17">
        <f>IF(K389=0,"0,0",N389*100/K389)</f>
        <v>91.604254</v>
      </c>
      <c r="P389" s="65">
        <v>9160.4254</v>
      </c>
      <c r="Q389" s="62"/>
      <c r="R389" s="33" t="s">
        <v>5</v>
      </c>
    </row>
    <row r="390" spans="1:18" ht="17.25" customHeight="1" outlineLevel="2">
      <c r="A390" s="38"/>
      <c r="B390" s="20" t="s">
        <v>462</v>
      </c>
      <c r="C390" s="27"/>
      <c r="D390" s="28"/>
      <c r="E390" s="29"/>
      <c r="F390" s="36"/>
      <c r="G390" s="37"/>
      <c r="H390" s="34">
        <f>SUBTOTAL(9,H386:H389)</f>
        <v>38168</v>
      </c>
      <c r="I390" s="34">
        <f aca="true" t="shared" si="97" ref="I390:Q390">SUBTOTAL(9,I386:I389)</f>
        <v>0</v>
      </c>
      <c r="J390" s="34">
        <f t="shared" si="97"/>
        <v>12543</v>
      </c>
      <c r="K390" s="34">
        <f t="shared" si="97"/>
        <v>10510</v>
      </c>
      <c r="L390" s="34">
        <f t="shared" si="97"/>
        <v>10510</v>
      </c>
      <c r="M390" s="34">
        <f t="shared" si="97"/>
        <v>0</v>
      </c>
      <c r="N390" s="34">
        <f t="shared" si="97"/>
        <v>9610.3354</v>
      </c>
      <c r="O390" s="55">
        <f>IF(K390=0,"0,0",N390*100/K390)</f>
        <v>91.43991817316841</v>
      </c>
      <c r="P390" s="63">
        <f t="shared" si="97"/>
        <v>9610.3354</v>
      </c>
      <c r="Q390" s="63">
        <f t="shared" si="97"/>
        <v>0</v>
      </c>
      <c r="R390" s="32"/>
    </row>
    <row r="391" spans="1:18" ht="17.25" customHeight="1" outlineLevel="3">
      <c r="A391" s="35">
        <v>43</v>
      </c>
      <c r="B391" s="20">
        <v>4342</v>
      </c>
      <c r="C391" s="50" t="s">
        <v>342</v>
      </c>
      <c r="D391" s="8" t="s">
        <v>342</v>
      </c>
      <c r="E391" s="21" t="s">
        <v>469</v>
      </c>
      <c r="F391" s="40"/>
      <c r="G391" s="41"/>
      <c r="H391" s="32"/>
      <c r="I391" s="32"/>
      <c r="J391" s="32"/>
      <c r="K391" s="32"/>
      <c r="L391" s="32"/>
      <c r="M391" s="32"/>
      <c r="N391" s="32"/>
      <c r="O391" s="17"/>
      <c r="P391" s="62"/>
      <c r="Q391" s="62"/>
      <c r="R391" s="33"/>
    </row>
    <row r="392" spans="1:18" ht="17.25" customHeight="1" outlineLevel="3">
      <c r="A392" s="38">
        <v>43</v>
      </c>
      <c r="B392" s="26">
        <v>4342</v>
      </c>
      <c r="C392" s="27">
        <v>0</v>
      </c>
      <c r="D392" s="28" t="s">
        <v>320</v>
      </c>
      <c r="E392" s="42" t="s">
        <v>420</v>
      </c>
      <c r="F392" s="40" t="s">
        <v>4</v>
      </c>
      <c r="G392" s="41" t="s">
        <v>4</v>
      </c>
      <c r="H392" s="32">
        <v>450</v>
      </c>
      <c r="I392" s="32">
        <v>0</v>
      </c>
      <c r="J392" s="32">
        <v>0</v>
      </c>
      <c r="K392" s="32">
        <f>+L392+M392</f>
        <v>450</v>
      </c>
      <c r="L392" s="32">
        <v>450</v>
      </c>
      <c r="M392" s="32"/>
      <c r="N392" s="32">
        <f>+P392+Q392</f>
        <v>450</v>
      </c>
      <c r="O392" s="17">
        <f>IF(K392=0,"0,0",N392*100/K392)</f>
        <v>100</v>
      </c>
      <c r="P392" s="62">
        <v>450</v>
      </c>
      <c r="Q392" s="62"/>
      <c r="R392" s="33" t="s">
        <v>325</v>
      </c>
    </row>
    <row r="393" spans="1:18" ht="17.25" customHeight="1" outlineLevel="3">
      <c r="A393" s="38">
        <v>43</v>
      </c>
      <c r="B393" s="26">
        <v>4342</v>
      </c>
      <c r="C393" s="27">
        <v>4722</v>
      </c>
      <c r="D393" s="28" t="s">
        <v>319</v>
      </c>
      <c r="E393" s="29" t="s">
        <v>307</v>
      </c>
      <c r="F393" s="36" t="s">
        <v>4</v>
      </c>
      <c r="G393" s="37" t="s">
        <v>4</v>
      </c>
      <c r="H393" s="32">
        <v>2033</v>
      </c>
      <c r="I393" s="32">
        <v>0</v>
      </c>
      <c r="J393" s="32">
        <v>0</v>
      </c>
      <c r="K393" s="32">
        <f>+L393+M393</f>
        <v>2033</v>
      </c>
      <c r="L393" s="32">
        <v>0</v>
      </c>
      <c r="M393" s="32">
        <v>2033</v>
      </c>
      <c r="N393" s="32">
        <f>+P393+Q393</f>
        <v>2032.6036</v>
      </c>
      <c r="O393" s="17">
        <f>IF(K393=0,"0,0",N393*100/K393)</f>
        <v>99.9805017215937</v>
      </c>
      <c r="P393" s="62">
        <v>0</v>
      </c>
      <c r="Q393" s="62">
        <v>2032.6036</v>
      </c>
      <c r="R393" s="33" t="s">
        <v>549</v>
      </c>
    </row>
    <row r="394" spans="1:18" ht="17.25" customHeight="1" outlineLevel="2">
      <c r="A394" s="38"/>
      <c r="B394" s="20" t="s">
        <v>533</v>
      </c>
      <c r="C394" s="27"/>
      <c r="D394" s="28"/>
      <c r="E394" s="42"/>
      <c r="F394" s="40"/>
      <c r="G394" s="41"/>
      <c r="H394" s="34">
        <f aca="true" t="shared" si="98" ref="H394:N394">SUBTOTAL(9,H391:H393)</f>
        <v>2483</v>
      </c>
      <c r="I394" s="34">
        <f t="shared" si="98"/>
        <v>0</v>
      </c>
      <c r="J394" s="34">
        <f t="shared" si="98"/>
        <v>0</v>
      </c>
      <c r="K394" s="34">
        <f t="shared" si="98"/>
        <v>2483</v>
      </c>
      <c r="L394" s="34">
        <f t="shared" si="98"/>
        <v>450</v>
      </c>
      <c r="M394" s="34">
        <f t="shared" si="98"/>
        <v>2033</v>
      </c>
      <c r="N394" s="34">
        <f t="shared" si="98"/>
        <v>2482.6036</v>
      </c>
      <c r="O394" s="55">
        <f>IF(K394=0,"0,0",N394*100/K394)</f>
        <v>99.98403544099878</v>
      </c>
      <c r="P394" s="63">
        <f>SUBTOTAL(9,P391:P393)</f>
        <v>450</v>
      </c>
      <c r="Q394" s="63">
        <f>SUBTOTAL(9,Q391:Q393)</f>
        <v>2032.6036</v>
      </c>
      <c r="R394" s="33"/>
    </row>
    <row r="395" spans="1:18" ht="17.25" customHeight="1" outlineLevel="3">
      <c r="A395" s="35">
        <v>43</v>
      </c>
      <c r="B395" s="20">
        <v>4346</v>
      </c>
      <c r="C395" s="50" t="s">
        <v>342</v>
      </c>
      <c r="D395" s="51" t="s">
        <v>342</v>
      </c>
      <c r="E395" s="9" t="s">
        <v>419</v>
      </c>
      <c r="F395" s="40"/>
      <c r="G395" s="41"/>
      <c r="H395" s="32"/>
      <c r="I395" s="32"/>
      <c r="J395" s="32"/>
      <c r="K395" s="32"/>
      <c r="L395" s="32"/>
      <c r="M395" s="32"/>
      <c r="N395" s="32"/>
      <c r="O395" s="17"/>
      <c r="P395" s="62"/>
      <c r="Q395" s="62"/>
      <c r="R395" s="33"/>
    </row>
    <row r="396" spans="1:18" ht="17.25" customHeight="1" outlineLevel="3">
      <c r="A396" s="38">
        <v>43</v>
      </c>
      <c r="B396" s="26">
        <v>4346</v>
      </c>
      <c r="C396" s="27">
        <v>0</v>
      </c>
      <c r="D396" s="28" t="s">
        <v>320</v>
      </c>
      <c r="E396" s="29" t="s">
        <v>555</v>
      </c>
      <c r="F396" s="40" t="s">
        <v>4</v>
      </c>
      <c r="G396" s="41" t="s">
        <v>4</v>
      </c>
      <c r="H396" s="32">
        <v>2700</v>
      </c>
      <c r="I396" s="32">
        <v>0</v>
      </c>
      <c r="J396" s="32">
        <v>0</v>
      </c>
      <c r="K396" s="32">
        <f>+L396+M396</f>
        <v>2700</v>
      </c>
      <c r="L396" s="32">
        <v>2700</v>
      </c>
      <c r="M396" s="32"/>
      <c r="N396" s="32">
        <f>+P396+Q396</f>
        <v>2700</v>
      </c>
      <c r="O396" s="17">
        <f>IF(K396=0,"0,0",N396*100/K396)</f>
        <v>100</v>
      </c>
      <c r="P396" s="62">
        <v>2700</v>
      </c>
      <c r="Q396" s="62"/>
      <c r="R396" s="33" t="s">
        <v>325</v>
      </c>
    </row>
    <row r="397" spans="1:18" ht="17.25" customHeight="1" outlineLevel="2">
      <c r="A397" s="38"/>
      <c r="B397" s="20" t="s">
        <v>463</v>
      </c>
      <c r="C397" s="27"/>
      <c r="D397" s="28"/>
      <c r="E397" s="29"/>
      <c r="F397" s="40"/>
      <c r="G397" s="41"/>
      <c r="H397" s="34">
        <f aca="true" t="shared" si="99" ref="H397:N397">SUBTOTAL(9,H395:H396)</f>
        <v>2700</v>
      </c>
      <c r="I397" s="34">
        <f t="shared" si="99"/>
        <v>0</v>
      </c>
      <c r="J397" s="34">
        <f t="shared" si="99"/>
        <v>0</v>
      </c>
      <c r="K397" s="34">
        <f t="shared" si="99"/>
        <v>2700</v>
      </c>
      <c r="L397" s="34">
        <f t="shared" si="99"/>
        <v>2700</v>
      </c>
      <c r="M397" s="34">
        <f t="shared" si="99"/>
        <v>0</v>
      </c>
      <c r="N397" s="34">
        <f t="shared" si="99"/>
        <v>2700</v>
      </c>
      <c r="O397" s="55">
        <f>IF(K397=0,"0,0",N397*100/K397)</f>
        <v>100</v>
      </c>
      <c r="P397" s="63">
        <f>SUBTOTAL(9,P395:P396)</f>
        <v>2700</v>
      </c>
      <c r="Q397" s="63">
        <f>SUBTOTAL(9,Q395:Q396)</f>
        <v>0</v>
      </c>
      <c r="R397" s="33"/>
    </row>
    <row r="398" spans="1:18" ht="17.25" customHeight="1" outlineLevel="3">
      <c r="A398" s="35">
        <v>43</v>
      </c>
      <c r="B398" s="20">
        <v>4349</v>
      </c>
      <c r="C398" s="7" t="s">
        <v>342</v>
      </c>
      <c r="D398" s="8" t="s">
        <v>342</v>
      </c>
      <c r="E398" s="21" t="s">
        <v>202</v>
      </c>
      <c r="F398" s="40"/>
      <c r="G398" s="41"/>
      <c r="H398" s="34"/>
      <c r="I398" s="34"/>
      <c r="J398" s="34"/>
      <c r="K398" s="34"/>
      <c r="L398" s="34"/>
      <c r="M398" s="34"/>
      <c r="N398" s="34"/>
      <c r="O398" s="17"/>
      <c r="P398" s="63"/>
      <c r="Q398" s="63"/>
      <c r="R398" s="33"/>
    </row>
    <row r="399" spans="1:18" ht="17.25" customHeight="1" outlineLevel="3">
      <c r="A399" s="38">
        <v>43</v>
      </c>
      <c r="B399" s="26" t="s">
        <v>92</v>
      </c>
      <c r="C399" s="27">
        <v>4712</v>
      </c>
      <c r="D399" s="28" t="s">
        <v>320</v>
      </c>
      <c r="E399" s="29" t="s">
        <v>214</v>
      </c>
      <c r="F399" s="40" t="s">
        <v>4</v>
      </c>
      <c r="G399" s="41" t="s">
        <v>4</v>
      </c>
      <c r="H399" s="32">
        <v>1000</v>
      </c>
      <c r="I399" s="32">
        <v>0</v>
      </c>
      <c r="J399" s="32">
        <v>1000</v>
      </c>
      <c r="K399" s="32">
        <f>+L399+M399</f>
        <v>1000</v>
      </c>
      <c r="L399" s="32">
        <v>1000</v>
      </c>
      <c r="M399" s="32"/>
      <c r="N399" s="32">
        <f>+P399+Q399</f>
        <v>1000</v>
      </c>
      <c r="O399" s="17">
        <f>IF(K399=0,"0,0",N399*100/K399)</f>
        <v>100</v>
      </c>
      <c r="P399" s="62">
        <v>1000</v>
      </c>
      <c r="Q399" s="62"/>
      <c r="R399" s="33" t="s">
        <v>325</v>
      </c>
    </row>
    <row r="400" spans="1:18" ht="17.25" customHeight="1" outlineLevel="2">
      <c r="A400" s="38"/>
      <c r="B400" s="20" t="s">
        <v>464</v>
      </c>
      <c r="C400" s="27"/>
      <c r="D400" s="28"/>
      <c r="E400" s="29"/>
      <c r="F400" s="40"/>
      <c r="G400" s="41"/>
      <c r="H400" s="34">
        <f aca="true" t="shared" si="100" ref="H400:N400">SUBTOTAL(9,H398:H399)</f>
        <v>1000</v>
      </c>
      <c r="I400" s="34">
        <f t="shared" si="100"/>
        <v>0</v>
      </c>
      <c r="J400" s="34">
        <f t="shared" si="100"/>
        <v>1000</v>
      </c>
      <c r="K400" s="34">
        <f t="shared" si="100"/>
        <v>1000</v>
      </c>
      <c r="L400" s="34">
        <f t="shared" si="100"/>
        <v>1000</v>
      </c>
      <c r="M400" s="34">
        <f t="shared" si="100"/>
        <v>0</v>
      </c>
      <c r="N400" s="34">
        <f t="shared" si="100"/>
        <v>1000</v>
      </c>
      <c r="O400" s="55">
        <f>IF(K400=0,"0,0",N400*100/K400)</f>
        <v>100</v>
      </c>
      <c r="P400" s="63">
        <f>SUBTOTAL(9,P398:P399)</f>
        <v>1000</v>
      </c>
      <c r="Q400" s="63">
        <f>SUBTOTAL(9,Q398:Q399)</f>
        <v>0</v>
      </c>
      <c r="R400" s="33"/>
    </row>
    <row r="401" spans="1:18" ht="17.25" customHeight="1" outlineLevel="1">
      <c r="A401" s="35" t="s">
        <v>534</v>
      </c>
      <c r="B401" s="26"/>
      <c r="C401" s="27"/>
      <c r="D401" s="28"/>
      <c r="E401" s="29"/>
      <c r="F401" s="40"/>
      <c r="G401" s="41"/>
      <c r="H401" s="34">
        <f aca="true" t="shared" si="101" ref="H401:N401">SUBTOTAL(9,H371:H399)</f>
        <v>220597</v>
      </c>
      <c r="I401" s="34">
        <f t="shared" si="101"/>
        <v>0</v>
      </c>
      <c r="J401" s="34">
        <f t="shared" si="101"/>
        <v>44123</v>
      </c>
      <c r="K401" s="34">
        <f t="shared" si="101"/>
        <v>41273</v>
      </c>
      <c r="L401" s="34">
        <f t="shared" si="101"/>
        <v>24440</v>
      </c>
      <c r="M401" s="34">
        <f t="shared" si="101"/>
        <v>16833</v>
      </c>
      <c r="N401" s="34">
        <f t="shared" si="101"/>
        <v>33706.5939</v>
      </c>
      <c r="O401" s="55">
        <f>IF(K401=0,"0,0",N401*100/K401)</f>
        <v>81.66741913599691</v>
      </c>
      <c r="P401" s="63">
        <f>SUBTOTAL(9,P371:P399)</f>
        <v>20132.1648</v>
      </c>
      <c r="Q401" s="63">
        <f>SUBTOTAL(9,Q371:Q399)</f>
        <v>13574.429100000001</v>
      </c>
      <c r="R401" s="33"/>
    </row>
    <row r="402" spans="1:18" ht="17.25" customHeight="1" outlineLevel="3">
      <c r="A402" s="35">
        <v>53</v>
      </c>
      <c r="B402" s="20">
        <v>5311</v>
      </c>
      <c r="C402" s="7" t="s">
        <v>342</v>
      </c>
      <c r="D402" s="8" t="s">
        <v>342</v>
      </c>
      <c r="E402" s="39" t="s">
        <v>535</v>
      </c>
      <c r="F402" s="40"/>
      <c r="G402" s="41"/>
      <c r="H402" s="34"/>
      <c r="I402" s="34"/>
      <c r="J402" s="34"/>
      <c r="K402" s="34"/>
      <c r="L402" s="34"/>
      <c r="M402" s="34"/>
      <c r="N402" s="34"/>
      <c r="O402" s="17"/>
      <c r="P402" s="63"/>
      <c r="Q402" s="63"/>
      <c r="R402" s="33"/>
    </row>
    <row r="403" spans="1:18" ht="17.25" customHeight="1" outlineLevel="3">
      <c r="A403" s="38">
        <v>53</v>
      </c>
      <c r="B403" s="26" t="s">
        <v>145</v>
      </c>
      <c r="C403" s="27">
        <v>0</v>
      </c>
      <c r="D403" s="27">
        <v>8200</v>
      </c>
      <c r="E403" s="48" t="s">
        <v>340</v>
      </c>
      <c r="F403" s="40" t="s">
        <v>4</v>
      </c>
      <c r="G403" s="41" t="s">
        <v>4</v>
      </c>
      <c r="H403" s="32">
        <v>0</v>
      </c>
      <c r="I403" s="32">
        <v>0</v>
      </c>
      <c r="J403" s="32">
        <v>0</v>
      </c>
      <c r="K403" s="32">
        <f aca="true" t="shared" si="102" ref="K403:K408">+L403+M403</f>
        <v>0</v>
      </c>
      <c r="L403" s="32">
        <v>0</v>
      </c>
      <c r="M403" s="32"/>
      <c r="N403" s="32">
        <f aca="true" t="shared" si="103" ref="N403:N408">+P403+Q403</f>
        <v>1783.5075</v>
      </c>
      <c r="O403" s="17" t="str">
        <f aca="true" t="shared" si="104" ref="O403:O410">IF(K403=0,"0,0",N403*100/K403)</f>
        <v>0,0</v>
      </c>
      <c r="P403" s="65">
        <v>1783.5075</v>
      </c>
      <c r="Q403" s="62"/>
      <c r="R403" s="33" t="s">
        <v>146</v>
      </c>
    </row>
    <row r="404" spans="1:18" ht="17.25" customHeight="1" outlineLevel="3">
      <c r="A404" s="38">
        <v>53</v>
      </c>
      <c r="B404" s="26" t="s">
        <v>145</v>
      </c>
      <c r="C404" s="27">
        <v>0</v>
      </c>
      <c r="D404" s="27">
        <v>8200</v>
      </c>
      <c r="E404" s="29" t="s">
        <v>163</v>
      </c>
      <c r="F404" s="40" t="s">
        <v>4</v>
      </c>
      <c r="G404" s="41" t="s">
        <v>4</v>
      </c>
      <c r="H404" s="32">
        <v>3237</v>
      </c>
      <c r="I404" s="32">
        <v>0</v>
      </c>
      <c r="J404" s="32">
        <v>3237</v>
      </c>
      <c r="K404" s="32">
        <f t="shared" si="102"/>
        <v>3237</v>
      </c>
      <c r="L404" s="32">
        <v>3237</v>
      </c>
      <c r="M404" s="32"/>
      <c r="N404" s="32">
        <f t="shared" si="103"/>
        <v>2545.141</v>
      </c>
      <c r="O404" s="17">
        <f t="shared" si="104"/>
        <v>78.62653691689836</v>
      </c>
      <c r="P404" s="65">
        <v>2545.141</v>
      </c>
      <c r="Q404" s="62"/>
      <c r="R404" s="33" t="s">
        <v>146</v>
      </c>
    </row>
    <row r="405" spans="1:18" ht="17.25" customHeight="1" outlineLevel="3">
      <c r="A405" s="38">
        <v>53</v>
      </c>
      <c r="B405" s="26" t="s">
        <v>145</v>
      </c>
      <c r="C405" s="27">
        <v>0</v>
      </c>
      <c r="D405" s="27">
        <v>8200</v>
      </c>
      <c r="E405" s="29" t="s">
        <v>312</v>
      </c>
      <c r="F405" s="40" t="s">
        <v>4</v>
      </c>
      <c r="G405" s="41" t="s">
        <v>4</v>
      </c>
      <c r="H405" s="32">
        <v>4459</v>
      </c>
      <c r="I405" s="32">
        <v>0</v>
      </c>
      <c r="J405" s="32">
        <v>4459</v>
      </c>
      <c r="K405" s="32">
        <f t="shared" si="102"/>
        <v>4459</v>
      </c>
      <c r="L405" s="32">
        <v>4459</v>
      </c>
      <c r="M405" s="32"/>
      <c r="N405" s="32">
        <f t="shared" si="103"/>
        <v>4845.2024</v>
      </c>
      <c r="O405" s="17">
        <f t="shared" si="104"/>
        <v>108.66118860731106</v>
      </c>
      <c r="P405" s="65">
        <v>4845.2024</v>
      </c>
      <c r="Q405" s="62"/>
      <c r="R405" s="33" t="s">
        <v>146</v>
      </c>
    </row>
    <row r="406" spans="1:18" ht="17.25" customHeight="1" outlineLevel="3">
      <c r="A406" s="38">
        <v>53</v>
      </c>
      <c r="B406" s="26" t="s">
        <v>145</v>
      </c>
      <c r="C406" s="27">
        <v>0</v>
      </c>
      <c r="D406" s="27">
        <v>8200</v>
      </c>
      <c r="E406" s="29" t="s">
        <v>215</v>
      </c>
      <c r="F406" s="40" t="s">
        <v>4</v>
      </c>
      <c r="G406" s="41" t="s">
        <v>4</v>
      </c>
      <c r="H406" s="32">
        <v>3360</v>
      </c>
      <c r="I406" s="32">
        <v>0</v>
      </c>
      <c r="J406" s="32">
        <v>3360</v>
      </c>
      <c r="K406" s="32">
        <f t="shared" si="102"/>
        <v>3360</v>
      </c>
      <c r="L406" s="32">
        <v>3360</v>
      </c>
      <c r="M406" s="32"/>
      <c r="N406" s="32">
        <f t="shared" si="103"/>
        <v>1544.94</v>
      </c>
      <c r="O406" s="17">
        <f t="shared" si="104"/>
        <v>45.980357142857144</v>
      </c>
      <c r="P406" s="65">
        <v>1544.94</v>
      </c>
      <c r="Q406" s="62"/>
      <c r="R406" s="33" t="s">
        <v>146</v>
      </c>
    </row>
    <row r="407" spans="1:18" ht="17.25" customHeight="1" outlineLevel="3">
      <c r="A407" s="38">
        <v>53</v>
      </c>
      <c r="B407" s="26" t="s">
        <v>145</v>
      </c>
      <c r="C407" s="27">
        <v>0</v>
      </c>
      <c r="D407" s="27">
        <v>8200</v>
      </c>
      <c r="E407" s="29" t="s">
        <v>543</v>
      </c>
      <c r="F407" s="40" t="s">
        <v>4</v>
      </c>
      <c r="G407" s="41" t="s">
        <v>4</v>
      </c>
      <c r="H407" s="32">
        <v>0</v>
      </c>
      <c r="I407" s="32">
        <v>0</v>
      </c>
      <c r="J407" s="32">
        <v>0</v>
      </c>
      <c r="K407" s="32">
        <f t="shared" si="102"/>
        <v>0</v>
      </c>
      <c r="L407" s="32">
        <v>0</v>
      </c>
      <c r="M407" s="32"/>
      <c r="N407" s="32">
        <f t="shared" si="103"/>
        <v>336.84</v>
      </c>
      <c r="O407" s="17" t="str">
        <f t="shared" si="104"/>
        <v>0,0</v>
      </c>
      <c r="P407" s="65">
        <v>336.84</v>
      </c>
      <c r="Q407" s="62"/>
      <c r="R407" s="33" t="s">
        <v>146</v>
      </c>
    </row>
    <row r="408" spans="1:18" ht="17.25" customHeight="1" outlineLevel="3">
      <c r="A408" s="38">
        <v>53</v>
      </c>
      <c r="B408" s="26">
        <v>5311</v>
      </c>
      <c r="C408" s="27">
        <v>4617</v>
      </c>
      <c r="D408" s="28" t="s">
        <v>319</v>
      </c>
      <c r="E408" s="48" t="s">
        <v>401</v>
      </c>
      <c r="F408" s="40" t="s">
        <v>4</v>
      </c>
      <c r="G408" s="41" t="s">
        <v>17</v>
      </c>
      <c r="H408" s="32">
        <v>54450</v>
      </c>
      <c r="I408" s="32">
        <v>0</v>
      </c>
      <c r="J408" s="32">
        <v>0</v>
      </c>
      <c r="K408" s="32">
        <f t="shared" si="102"/>
        <v>9000</v>
      </c>
      <c r="L408" s="32"/>
      <c r="M408" s="32">
        <v>9000</v>
      </c>
      <c r="N408" s="32">
        <f t="shared" si="103"/>
        <v>9000</v>
      </c>
      <c r="O408" s="17">
        <f t="shared" si="104"/>
        <v>100</v>
      </c>
      <c r="P408" s="62">
        <v>250.539</v>
      </c>
      <c r="Q408" s="62">
        <v>8749.461</v>
      </c>
      <c r="R408" s="33" t="s">
        <v>492</v>
      </c>
    </row>
    <row r="409" spans="1:18" ht="17.25" customHeight="1" outlineLevel="2">
      <c r="A409" s="38"/>
      <c r="B409" s="20" t="s">
        <v>536</v>
      </c>
      <c r="C409" s="27"/>
      <c r="D409" s="28"/>
      <c r="E409" s="48"/>
      <c r="F409" s="40"/>
      <c r="G409" s="41"/>
      <c r="H409" s="34">
        <f aca="true" t="shared" si="105" ref="H409:N409">SUBTOTAL(9,H402:H408)</f>
        <v>65506</v>
      </c>
      <c r="I409" s="34">
        <f t="shared" si="105"/>
        <v>0</v>
      </c>
      <c r="J409" s="34">
        <f t="shared" si="105"/>
        <v>11056</v>
      </c>
      <c r="K409" s="34">
        <f t="shared" si="105"/>
        <v>20056</v>
      </c>
      <c r="L409" s="34">
        <f t="shared" si="105"/>
        <v>11056</v>
      </c>
      <c r="M409" s="34">
        <f t="shared" si="105"/>
        <v>9000</v>
      </c>
      <c r="N409" s="34">
        <f t="shared" si="105"/>
        <v>20055.630900000004</v>
      </c>
      <c r="O409" s="55">
        <f t="shared" si="104"/>
        <v>99.9981596529717</v>
      </c>
      <c r="P409" s="63">
        <f>SUBTOTAL(9,P402:P408)</f>
        <v>11306.169900000003</v>
      </c>
      <c r="Q409" s="63">
        <f>SUBTOTAL(9,Q402:Q408)</f>
        <v>8749.461</v>
      </c>
      <c r="R409" s="33"/>
    </row>
    <row r="410" spans="1:18" ht="17.25" customHeight="1" outlineLevel="1">
      <c r="A410" s="35" t="s">
        <v>537</v>
      </c>
      <c r="B410" s="26"/>
      <c r="C410" s="27"/>
      <c r="D410" s="28"/>
      <c r="E410" s="48"/>
      <c r="F410" s="40"/>
      <c r="G410" s="41"/>
      <c r="H410" s="34">
        <f aca="true" t="shared" si="106" ref="H410:N410">SUBTOTAL(9,H402:H408)</f>
        <v>65506</v>
      </c>
      <c r="I410" s="34">
        <f t="shared" si="106"/>
        <v>0</v>
      </c>
      <c r="J410" s="34">
        <f t="shared" si="106"/>
        <v>11056</v>
      </c>
      <c r="K410" s="34">
        <f t="shared" si="106"/>
        <v>20056</v>
      </c>
      <c r="L410" s="34">
        <f t="shared" si="106"/>
        <v>11056</v>
      </c>
      <c r="M410" s="34">
        <f t="shared" si="106"/>
        <v>9000</v>
      </c>
      <c r="N410" s="34">
        <f t="shared" si="106"/>
        <v>20055.630900000004</v>
      </c>
      <c r="O410" s="55">
        <f t="shared" si="104"/>
        <v>99.9981596529717</v>
      </c>
      <c r="P410" s="63">
        <f>SUBTOTAL(9,P402:P408)</f>
        <v>11306.169900000003</v>
      </c>
      <c r="Q410" s="63">
        <f>SUBTOTAL(9,Q402:Q408)</f>
        <v>8749.461</v>
      </c>
      <c r="R410" s="33"/>
    </row>
    <row r="411" spans="1:18" ht="17.25" customHeight="1" outlineLevel="3">
      <c r="A411" s="35">
        <v>55</v>
      </c>
      <c r="B411" s="20" t="s">
        <v>164</v>
      </c>
      <c r="C411" s="7" t="s">
        <v>342</v>
      </c>
      <c r="D411" s="8" t="s">
        <v>342</v>
      </c>
      <c r="E411" s="39" t="s">
        <v>179</v>
      </c>
      <c r="F411" s="40"/>
      <c r="G411" s="41"/>
      <c r="H411" s="34"/>
      <c r="I411" s="34"/>
      <c r="J411" s="34"/>
      <c r="K411" s="34"/>
      <c r="L411" s="34"/>
      <c r="M411" s="34"/>
      <c r="N411" s="34"/>
      <c r="O411" s="17"/>
      <c r="P411" s="63"/>
      <c r="Q411" s="63"/>
      <c r="R411" s="33"/>
    </row>
    <row r="412" spans="1:18" ht="17.25" customHeight="1" outlineLevel="3">
      <c r="A412" s="38">
        <v>55</v>
      </c>
      <c r="B412" s="26" t="s">
        <v>164</v>
      </c>
      <c r="C412" s="27" t="s">
        <v>328</v>
      </c>
      <c r="D412" s="28" t="s">
        <v>328</v>
      </c>
      <c r="E412" s="29" t="s">
        <v>165</v>
      </c>
      <c r="F412" s="40" t="s">
        <v>4</v>
      </c>
      <c r="G412" s="41" t="s">
        <v>4</v>
      </c>
      <c r="H412" s="32">
        <v>7000</v>
      </c>
      <c r="I412" s="32">
        <v>0</v>
      </c>
      <c r="J412" s="32">
        <v>7000</v>
      </c>
      <c r="K412" s="32">
        <f>+L412+M412</f>
        <v>7000</v>
      </c>
      <c r="L412" s="32">
        <v>7000</v>
      </c>
      <c r="M412" s="32"/>
      <c r="N412" s="32">
        <f>+P412+Q412</f>
        <v>7000</v>
      </c>
      <c r="O412" s="17">
        <f>IF(K412=0,"0,0",N412*100/K412)</f>
        <v>100</v>
      </c>
      <c r="P412" s="62">
        <v>7000</v>
      </c>
      <c r="Q412" s="62"/>
      <c r="R412" s="33" t="s">
        <v>329</v>
      </c>
    </row>
    <row r="413" spans="1:18" ht="17.25" customHeight="1" outlineLevel="3">
      <c r="A413" s="38">
        <v>55</v>
      </c>
      <c r="B413" s="26">
        <v>5511</v>
      </c>
      <c r="C413" s="27">
        <v>9101</v>
      </c>
      <c r="D413" s="28" t="s">
        <v>328</v>
      </c>
      <c r="E413" s="29" t="s">
        <v>489</v>
      </c>
      <c r="F413" s="40" t="s">
        <v>4</v>
      </c>
      <c r="G413" s="41" t="s">
        <v>4</v>
      </c>
      <c r="H413" s="32">
        <v>1950</v>
      </c>
      <c r="I413" s="32"/>
      <c r="J413" s="32">
        <v>0</v>
      </c>
      <c r="K413" s="32">
        <f>+L413+M413</f>
        <v>1950</v>
      </c>
      <c r="L413" s="32">
        <v>1950</v>
      </c>
      <c r="M413" s="32"/>
      <c r="N413" s="32">
        <f>+P413+Q413</f>
        <v>2446</v>
      </c>
      <c r="O413" s="17">
        <f>IF(K413=0,"0,0",N413*100/K413)</f>
        <v>125.43589743589743</v>
      </c>
      <c r="P413" s="62">
        <v>2446</v>
      </c>
      <c r="Q413" s="62"/>
      <c r="R413" s="33" t="s">
        <v>329</v>
      </c>
    </row>
    <row r="414" spans="1:18" ht="17.25" customHeight="1" outlineLevel="3">
      <c r="A414" s="38">
        <v>55</v>
      </c>
      <c r="B414" s="26" t="s">
        <v>164</v>
      </c>
      <c r="C414" s="27" t="s">
        <v>328</v>
      </c>
      <c r="D414" s="28" t="s">
        <v>328</v>
      </c>
      <c r="E414" s="29" t="s">
        <v>217</v>
      </c>
      <c r="F414" s="40" t="s">
        <v>4</v>
      </c>
      <c r="G414" s="41" t="s">
        <v>4</v>
      </c>
      <c r="H414" s="32">
        <v>4459</v>
      </c>
      <c r="I414" s="32">
        <v>0</v>
      </c>
      <c r="J414" s="32">
        <v>4459</v>
      </c>
      <c r="K414" s="32">
        <f>+L414+M414</f>
        <v>4459</v>
      </c>
      <c r="L414" s="32">
        <v>4459</v>
      </c>
      <c r="M414" s="32"/>
      <c r="N414" s="32">
        <f>+P414+Q414</f>
        <v>4459</v>
      </c>
      <c r="O414" s="70">
        <f>IF(K414=0,"0,0",N414*100/K414)</f>
        <v>100</v>
      </c>
      <c r="P414" s="62">
        <v>4459</v>
      </c>
      <c r="Q414" s="62"/>
      <c r="R414" s="33" t="s">
        <v>329</v>
      </c>
    </row>
    <row r="415" spans="1:18" ht="17.25" customHeight="1" outlineLevel="2">
      <c r="A415" s="38"/>
      <c r="B415" s="20" t="s">
        <v>465</v>
      </c>
      <c r="C415" s="27"/>
      <c r="D415" s="28"/>
      <c r="E415" s="29"/>
      <c r="F415" s="40"/>
      <c r="G415" s="41"/>
      <c r="H415" s="34">
        <f aca="true" t="shared" si="107" ref="H415:N415">SUBTOTAL(9,H411:H414)</f>
        <v>13409</v>
      </c>
      <c r="I415" s="34">
        <f t="shared" si="107"/>
        <v>0</v>
      </c>
      <c r="J415" s="34">
        <f t="shared" si="107"/>
        <v>11459</v>
      </c>
      <c r="K415" s="34">
        <f t="shared" si="107"/>
        <v>13409</v>
      </c>
      <c r="L415" s="34">
        <f t="shared" si="107"/>
        <v>13409</v>
      </c>
      <c r="M415" s="34">
        <f t="shared" si="107"/>
        <v>0</v>
      </c>
      <c r="N415" s="34">
        <f t="shared" si="107"/>
        <v>13905</v>
      </c>
      <c r="O415" s="69">
        <f>IF(K415=0,"0,0",N415*100/K415)</f>
        <v>103.69900812886867</v>
      </c>
      <c r="P415" s="63">
        <f>SUBTOTAL(9,P411:P414)</f>
        <v>13905</v>
      </c>
      <c r="Q415" s="63">
        <f>SUBTOTAL(9,Q411:Q414)</f>
        <v>0</v>
      </c>
      <c r="R415" s="33"/>
    </row>
    <row r="416" spans="1:18" ht="17.25" customHeight="1" outlineLevel="1">
      <c r="A416" s="35" t="s">
        <v>538</v>
      </c>
      <c r="B416" s="26"/>
      <c r="C416" s="27"/>
      <c r="D416" s="28"/>
      <c r="E416" s="29"/>
      <c r="F416" s="40"/>
      <c r="G416" s="41"/>
      <c r="H416" s="34">
        <f aca="true" t="shared" si="108" ref="H416:N416">SUBTOTAL(9,H411:H414)</f>
        <v>13409</v>
      </c>
      <c r="I416" s="34">
        <f t="shared" si="108"/>
        <v>0</v>
      </c>
      <c r="J416" s="34">
        <f t="shared" si="108"/>
        <v>11459</v>
      </c>
      <c r="K416" s="34">
        <f t="shared" si="108"/>
        <v>13409</v>
      </c>
      <c r="L416" s="34">
        <f t="shared" si="108"/>
        <v>13409</v>
      </c>
      <c r="M416" s="34">
        <f t="shared" si="108"/>
        <v>0</v>
      </c>
      <c r="N416" s="34">
        <f t="shared" si="108"/>
        <v>13905</v>
      </c>
      <c r="O416" s="55">
        <f>IF(K416=0,"0,0",N416*100/K416)</f>
        <v>103.69900812886867</v>
      </c>
      <c r="P416" s="63">
        <f>SUBTOTAL(9,P411:P414)</f>
        <v>13905</v>
      </c>
      <c r="Q416" s="63">
        <f>SUBTOTAL(9,Q411:Q414)</f>
        <v>0</v>
      </c>
      <c r="R416" s="33"/>
    </row>
    <row r="417" spans="1:18" ht="17.25" customHeight="1" outlineLevel="3">
      <c r="A417" s="35">
        <v>61</v>
      </c>
      <c r="B417" s="20" t="s">
        <v>147</v>
      </c>
      <c r="C417" s="7" t="s">
        <v>342</v>
      </c>
      <c r="D417" s="8" t="s">
        <v>342</v>
      </c>
      <c r="E417" s="39" t="s">
        <v>180</v>
      </c>
      <c r="F417" s="40"/>
      <c r="G417" s="41"/>
      <c r="H417" s="34"/>
      <c r="I417" s="34"/>
      <c r="J417" s="34"/>
      <c r="K417" s="34"/>
      <c r="L417" s="34"/>
      <c r="M417" s="34"/>
      <c r="N417" s="34"/>
      <c r="O417" s="17"/>
      <c r="P417" s="63"/>
      <c r="Q417" s="63"/>
      <c r="R417" s="33"/>
    </row>
    <row r="418" spans="1:18" ht="17.25" customHeight="1" outlineLevel="3">
      <c r="A418" s="38">
        <v>61</v>
      </c>
      <c r="B418" s="26">
        <v>6171</v>
      </c>
      <c r="C418" s="27">
        <v>3200</v>
      </c>
      <c r="D418" s="28" t="s">
        <v>321</v>
      </c>
      <c r="E418" s="29" t="s">
        <v>366</v>
      </c>
      <c r="F418" s="40" t="s">
        <v>4</v>
      </c>
      <c r="G418" s="41" t="s">
        <v>4</v>
      </c>
      <c r="H418" s="32">
        <v>800</v>
      </c>
      <c r="I418" s="32">
        <v>0</v>
      </c>
      <c r="J418" s="32">
        <v>0</v>
      </c>
      <c r="K418" s="32">
        <f aca="true" t="shared" si="109" ref="K418:K423">+L418+M418</f>
        <v>800</v>
      </c>
      <c r="L418" s="32">
        <v>800</v>
      </c>
      <c r="M418" s="32"/>
      <c r="N418" s="32">
        <f>+P418+Q418</f>
        <v>799.932</v>
      </c>
      <c r="O418" s="17">
        <f aca="true" t="shared" si="110" ref="O418:O427">IF(K418=0,"0,0",N418*100/K418)</f>
        <v>99.9915</v>
      </c>
      <c r="P418" s="62">
        <v>799.932</v>
      </c>
      <c r="Q418" s="62"/>
      <c r="R418" s="33" t="s">
        <v>316</v>
      </c>
    </row>
    <row r="419" spans="1:18" ht="17.25" customHeight="1" outlineLevel="3">
      <c r="A419" s="38">
        <v>61</v>
      </c>
      <c r="B419" s="26" t="s">
        <v>147</v>
      </c>
      <c r="C419" s="27">
        <v>3200</v>
      </c>
      <c r="D419" s="28" t="s">
        <v>321</v>
      </c>
      <c r="E419" s="29" t="s">
        <v>544</v>
      </c>
      <c r="F419" s="40" t="s">
        <v>4</v>
      </c>
      <c r="G419" s="41" t="s">
        <v>4</v>
      </c>
      <c r="H419" s="32">
        <v>1110</v>
      </c>
      <c r="I419" s="32">
        <v>0</v>
      </c>
      <c r="J419" s="32">
        <v>1110</v>
      </c>
      <c r="K419" s="32">
        <f t="shared" si="109"/>
        <v>1110</v>
      </c>
      <c r="L419" s="32">
        <v>1110</v>
      </c>
      <c r="M419" s="32"/>
      <c r="N419" s="32">
        <f>+P419+Q419</f>
        <v>741.7569</v>
      </c>
      <c r="O419" s="17">
        <f t="shared" si="110"/>
        <v>66.82494594594594</v>
      </c>
      <c r="P419" s="62">
        <v>741.7569</v>
      </c>
      <c r="Q419" s="62"/>
      <c r="R419" s="33" t="s">
        <v>316</v>
      </c>
    </row>
    <row r="420" spans="1:18" ht="17.25" customHeight="1" outlineLevel="3">
      <c r="A420" s="38">
        <v>61</v>
      </c>
      <c r="B420" s="26" t="s">
        <v>147</v>
      </c>
      <c r="C420" s="27">
        <v>3200</v>
      </c>
      <c r="D420" s="28" t="s">
        <v>321</v>
      </c>
      <c r="E420" s="29" t="s">
        <v>216</v>
      </c>
      <c r="F420" s="40" t="s">
        <v>4</v>
      </c>
      <c r="G420" s="41" t="s">
        <v>4</v>
      </c>
      <c r="H420" s="32">
        <v>3300</v>
      </c>
      <c r="I420" s="32">
        <v>0</v>
      </c>
      <c r="J420" s="32">
        <v>3300</v>
      </c>
      <c r="K420" s="32">
        <f t="shared" si="109"/>
        <v>3300</v>
      </c>
      <c r="L420" s="32">
        <v>3300</v>
      </c>
      <c r="M420" s="32"/>
      <c r="N420" s="32">
        <f aca="true" t="shared" si="111" ref="N420:N425">+P420+Q420</f>
        <v>3456.3676</v>
      </c>
      <c r="O420" s="17">
        <f t="shared" si="110"/>
        <v>104.73841212121212</v>
      </c>
      <c r="P420" s="62">
        <v>3456.3676</v>
      </c>
      <c r="Q420" s="62"/>
      <c r="R420" s="33" t="s">
        <v>316</v>
      </c>
    </row>
    <row r="421" spans="1:18" ht="17.25" customHeight="1" outlineLevel="3">
      <c r="A421" s="38">
        <v>61</v>
      </c>
      <c r="B421" s="26">
        <v>6171</v>
      </c>
      <c r="C421" s="27">
        <v>4605</v>
      </c>
      <c r="D421" s="28" t="s">
        <v>319</v>
      </c>
      <c r="E421" s="29" t="s">
        <v>545</v>
      </c>
      <c r="F421" s="40" t="s">
        <v>18</v>
      </c>
      <c r="G421" s="41" t="s">
        <v>3</v>
      </c>
      <c r="H421" s="32">
        <v>61890</v>
      </c>
      <c r="I421" s="32">
        <v>60638</v>
      </c>
      <c r="J421" s="32">
        <v>0</v>
      </c>
      <c r="K421" s="32">
        <f t="shared" si="109"/>
        <v>1252</v>
      </c>
      <c r="L421" s="32">
        <v>1252</v>
      </c>
      <c r="M421" s="32"/>
      <c r="N421" s="32">
        <f t="shared" si="111"/>
        <v>1168.8487</v>
      </c>
      <c r="O421" s="17">
        <f t="shared" si="110"/>
        <v>93.35852236421725</v>
      </c>
      <c r="P421" s="62">
        <v>1168.8487</v>
      </c>
      <c r="Q421" s="62"/>
      <c r="R421" s="33" t="s">
        <v>316</v>
      </c>
    </row>
    <row r="422" spans="1:18" ht="17.25" customHeight="1" outlineLevel="3">
      <c r="A422" s="38">
        <v>61</v>
      </c>
      <c r="B422" s="26" t="s">
        <v>147</v>
      </c>
      <c r="C422" s="27">
        <v>4611</v>
      </c>
      <c r="D422" s="28" t="s">
        <v>319</v>
      </c>
      <c r="E422" s="29" t="s">
        <v>308</v>
      </c>
      <c r="F422" s="36" t="s">
        <v>4</v>
      </c>
      <c r="G422" s="37" t="s">
        <v>13</v>
      </c>
      <c r="H422" s="32">
        <v>14534</v>
      </c>
      <c r="I422" s="32">
        <v>0</v>
      </c>
      <c r="J422" s="32">
        <v>8500</v>
      </c>
      <c r="K422" s="32">
        <f t="shared" si="109"/>
        <v>8500</v>
      </c>
      <c r="L422" s="32">
        <v>0</v>
      </c>
      <c r="M422" s="32">
        <v>8500</v>
      </c>
      <c r="N422" s="32">
        <f t="shared" si="111"/>
        <v>8500</v>
      </c>
      <c r="O422" s="17">
        <f t="shared" si="110"/>
        <v>100</v>
      </c>
      <c r="P422" s="62">
        <v>0</v>
      </c>
      <c r="Q422" s="62">
        <v>8500</v>
      </c>
      <c r="R422" s="33" t="s">
        <v>549</v>
      </c>
    </row>
    <row r="423" spans="1:18" ht="17.25" customHeight="1" outlineLevel="3">
      <c r="A423" s="38">
        <v>61</v>
      </c>
      <c r="B423" s="26" t="s">
        <v>147</v>
      </c>
      <c r="C423" s="27">
        <v>4612</v>
      </c>
      <c r="D423" s="28" t="s">
        <v>319</v>
      </c>
      <c r="E423" s="29" t="s">
        <v>0</v>
      </c>
      <c r="F423" s="36" t="s">
        <v>4</v>
      </c>
      <c r="G423" s="37" t="s">
        <v>13</v>
      </c>
      <c r="H423" s="32">
        <v>45100</v>
      </c>
      <c r="I423" s="32">
        <v>0</v>
      </c>
      <c r="J423" s="32">
        <v>12000</v>
      </c>
      <c r="K423" s="32">
        <f t="shared" si="109"/>
        <v>12000</v>
      </c>
      <c r="L423" s="32">
        <v>0</v>
      </c>
      <c r="M423" s="32">
        <v>12000</v>
      </c>
      <c r="N423" s="32">
        <f t="shared" si="111"/>
        <v>11977.79825</v>
      </c>
      <c r="O423" s="17">
        <f t="shared" si="110"/>
        <v>99.81498541666666</v>
      </c>
      <c r="P423" s="62">
        <v>0</v>
      </c>
      <c r="Q423" s="62">
        <f>10729.81625+1247.982</f>
        <v>11977.79825</v>
      </c>
      <c r="R423" s="33" t="s">
        <v>363</v>
      </c>
    </row>
    <row r="424" spans="1:18" ht="17.25" customHeight="1" outlineLevel="3">
      <c r="A424" s="38">
        <v>61</v>
      </c>
      <c r="B424" s="26" t="s">
        <v>147</v>
      </c>
      <c r="C424" s="27">
        <v>4697</v>
      </c>
      <c r="D424" s="28" t="s">
        <v>322</v>
      </c>
      <c r="E424" s="29" t="s">
        <v>148</v>
      </c>
      <c r="F424" s="36" t="s">
        <v>4</v>
      </c>
      <c r="G424" s="37" t="s">
        <v>17</v>
      </c>
      <c r="H424" s="32">
        <v>252000</v>
      </c>
      <c r="I424" s="32">
        <v>0</v>
      </c>
      <c r="J424" s="32">
        <v>70000</v>
      </c>
      <c r="K424" s="32">
        <f>+L424+M424</f>
        <v>61535</v>
      </c>
      <c r="L424" s="32">
        <v>61535</v>
      </c>
      <c r="M424" s="32"/>
      <c r="N424" s="32">
        <f t="shared" si="111"/>
        <v>47525.49214</v>
      </c>
      <c r="O424" s="17">
        <f t="shared" si="110"/>
        <v>77.23326909888682</v>
      </c>
      <c r="P424" s="62">
        <v>47525.49214</v>
      </c>
      <c r="Q424" s="62"/>
      <c r="R424" s="33" t="s">
        <v>317</v>
      </c>
    </row>
    <row r="425" spans="1:18" ht="17.25" customHeight="1" outlineLevel="3">
      <c r="A425" s="38">
        <v>61</v>
      </c>
      <c r="B425" s="26" t="s">
        <v>147</v>
      </c>
      <c r="C425" s="27">
        <v>4699</v>
      </c>
      <c r="D425" s="28" t="s">
        <v>322</v>
      </c>
      <c r="E425" s="29" t="s">
        <v>149</v>
      </c>
      <c r="F425" s="36" t="s">
        <v>3</v>
      </c>
      <c r="G425" s="37" t="s">
        <v>4</v>
      </c>
      <c r="H425" s="32">
        <v>10000</v>
      </c>
      <c r="I425" s="32">
        <v>2000</v>
      </c>
      <c r="J425" s="32">
        <v>8000</v>
      </c>
      <c r="K425" s="32">
        <f>+L425+M425</f>
        <v>8000</v>
      </c>
      <c r="L425" s="32">
        <v>8000</v>
      </c>
      <c r="M425" s="32"/>
      <c r="N425" s="32">
        <f t="shared" si="111"/>
        <v>7832.8892</v>
      </c>
      <c r="O425" s="17">
        <f t="shared" si="110"/>
        <v>97.911115</v>
      </c>
      <c r="P425" s="62">
        <v>7832.8892</v>
      </c>
      <c r="Q425" s="62"/>
      <c r="R425" s="33" t="s">
        <v>317</v>
      </c>
    </row>
    <row r="426" spans="1:18" ht="17.25" customHeight="1" outlineLevel="2">
      <c r="A426" s="38"/>
      <c r="B426" s="20" t="s">
        <v>466</v>
      </c>
      <c r="C426" s="27"/>
      <c r="D426" s="28"/>
      <c r="E426" s="29"/>
      <c r="F426" s="36"/>
      <c r="G426" s="37"/>
      <c r="H426" s="34">
        <f aca="true" t="shared" si="112" ref="H426:N426">SUBTOTAL(9,H417:H425)</f>
        <v>388734</v>
      </c>
      <c r="I426" s="34">
        <f t="shared" si="112"/>
        <v>62638</v>
      </c>
      <c r="J426" s="34">
        <f t="shared" si="112"/>
        <v>102910</v>
      </c>
      <c r="K426" s="34">
        <f t="shared" si="112"/>
        <v>96497</v>
      </c>
      <c r="L426" s="34">
        <f t="shared" si="112"/>
        <v>75997</v>
      </c>
      <c r="M426" s="34">
        <f t="shared" si="112"/>
        <v>20500</v>
      </c>
      <c r="N426" s="34">
        <f t="shared" si="112"/>
        <v>82003.08479000001</v>
      </c>
      <c r="O426" s="55">
        <f t="shared" si="110"/>
        <v>84.97993180098864</v>
      </c>
      <c r="P426" s="63">
        <f>SUBTOTAL(9,P417:P425)</f>
        <v>61525.28654</v>
      </c>
      <c r="Q426" s="63">
        <f>SUBTOTAL(9,Q417:Q425)</f>
        <v>20477.79825</v>
      </c>
      <c r="R426" s="33"/>
    </row>
    <row r="427" spans="1:18" ht="17.25" customHeight="1" outlineLevel="1">
      <c r="A427" s="35" t="s">
        <v>539</v>
      </c>
      <c r="B427" s="26"/>
      <c r="C427" s="27"/>
      <c r="D427" s="28"/>
      <c r="E427" s="29"/>
      <c r="F427" s="36"/>
      <c r="G427" s="37"/>
      <c r="H427" s="34">
        <f aca="true" t="shared" si="113" ref="H427:N427">SUBTOTAL(9,H417:H425)</f>
        <v>388734</v>
      </c>
      <c r="I427" s="34">
        <f t="shared" si="113"/>
        <v>62638</v>
      </c>
      <c r="J427" s="34">
        <f t="shared" si="113"/>
        <v>102910</v>
      </c>
      <c r="K427" s="34">
        <f t="shared" si="113"/>
        <v>96497</v>
      </c>
      <c r="L427" s="34">
        <f t="shared" si="113"/>
        <v>75997</v>
      </c>
      <c r="M427" s="34">
        <f t="shared" si="113"/>
        <v>20500</v>
      </c>
      <c r="N427" s="34">
        <f t="shared" si="113"/>
        <v>82003.08479000001</v>
      </c>
      <c r="O427" s="55">
        <f t="shared" si="110"/>
        <v>84.97993180098864</v>
      </c>
      <c r="P427" s="63">
        <f>SUBTOTAL(9,P417:P425)</f>
        <v>61525.28654</v>
      </c>
      <c r="Q427" s="63">
        <f>SUBTOTAL(9,Q417:Q425)</f>
        <v>20477.79825</v>
      </c>
      <c r="R427" s="33"/>
    </row>
    <row r="428" spans="1:18" ht="17.25" customHeight="1" outlineLevel="3">
      <c r="A428" s="35">
        <v>62</v>
      </c>
      <c r="B428" s="20" t="s">
        <v>150</v>
      </c>
      <c r="C428" s="7" t="s">
        <v>342</v>
      </c>
      <c r="D428" s="8" t="s">
        <v>342</v>
      </c>
      <c r="E428" s="39" t="s">
        <v>181</v>
      </c>
      <c r="F428" s="40"/>
      <c r="G428" s="41"/>
      <c r="H428" s="34"/>
      <c r="I428" s="34"/>
      <c r="J428" s="34"/>
      <c r="K428" s="34"/>
      <c r="L428" s="34"/>
      <c r="M428" s="34"/>
      <c r="N428" s="34"/>
      <c r="O428" s="17"/>
      <c r="P428" s="63"/>
      <c r="Q428" s="63"/>
      <c r="R428" s="33"/>
    </row>
    <row r="429" spans="1:18" ht="17.25" customHeight="1" outlineLevel="3">
      <c r="A429" s="38">
        <v>62</v>
      </c>
      <c r="B429" s="26" t="s">
        <v>150</v>
      </c>
      <c r="C429" s="27">
        <v>0</v>
      </c>
      <c r="D429" s="28" t="s">
        <v>323</v>
      </c>
      <c r="E429" s="29" t="s">
        <v>510</v>
      </c>
      <c r="F429" s="40" t="s">
        <v>4</v>
      </c>
      <c r="G429" s="41" t="s">
        <v>4</v>
      </c>
      <c r="H429" s="32">
        <v>1520</v>
      </c>
      <c r="I429" s="32">
        <v>0</v>
      </c>
      <c r="J429" s="32">
        <v>1520</v>
      </c>
      <c r="K429" s="32">
        <f>+L429+M429</f>
        <v>1520</v>
      </c>
      <c r="L429" s="32">
        <v>1520</v>
      </c>
      <c r="M429" s="32"/>
      <c r="N429" s="32">
        <f>+P429+Q429</f>
        <v>844.7025</v>
      </c>
      <c r="O429" s="17">
        <f>IF(K429=0,"0,0",N429*100/K429)</f>
        <v>55.572532894736845</v>
      </c>
      <c r="P429" s="62">
        <v>844.7025</v>
      </c>
      <c r="Q429" s="62"/>
      <c r="R429" s="33" t="s">
        <v>318</v>
      </c>
    </row>
    <row r="430" spans="1:18" ht="17.25" customHeight="1" outlineLevel="3">
      <c r="A430" s="38">
        <v>62</v>
      </c>
      <c r="B430" s="26" t="s">
        <v>150</v>
      </c>
      <c r="C430" s="27">
        <v>4609</v>
      </c>
      <c r="D430" s="28" t="s">
        <v>319</v>
      </c>
      <c r="E430" s="29" t="s">
        <v>1</v>
      </c>
      <c r="F430" s="36" t="s">
        <v>3</v>
      </c>
      <c r="G430" s="37" t="s">
        <v>17</v>
      </c>
      <c r="H430" s="32">
        <v>100200</v>
      </c>
      <c r="I430" s="32">
        <v>202</v>
      </c>
      <c r="J430" s="32">
        <v>31405</v>
      </c>
      <c r="K430" s="32">
        <f>+L430+M430</f>
        <v>6909</v>
      </c>
      <c r="L430" s="32">
        <v>6909</v>
      </c>
      <c r="M430" s="32"/>
      <c r="N430" s="32">
        <f>+P430+Q430</f>
        <v>152.816</v>
      </c>
      <c r="O430" s="17">
        <f>IF(K430=0,"0,0",N430*100/K430)</f>
        <v>2.211839629468809</v>
      </c>
      <c r="P430" s="62">
        <v>152.816</v>
      </c>
      <c r="Q430" s="62"/>
      <c r="R430" s="33" t="s">
        <v>5</v>
      </c>
    </row>
    <row r="431" spans="1:18" ht="17.25" customHeight="1" outlineLevel="2">
      <c r="A431" s="38"/>
      <c r="B431" s="20" t="s">
        <v>467</v>
      </c>
      <c r="C431" s="27"/>
      <c r="D431" s="28"/>
      <c r="E431" s="29"/>
      <c r="F431" s="36"/>
      <c r="G431" s="37"/>
      <c r="H431" s="34">
        <f aca="true" t="shared" si="114" ref="H431:N431">SUBTOTAL(9,H428:H430)</f>
        <v>101720</v>
      </c>
      <c r="I431" s="34">
        <f t="shared" si="114"/>
        <v>202</v>
      </c>
      <c r="J431" s="34">
        <f t="shared" si="114"/>
        <v>32925</v>
      </c>
      <c r="K431" s="34">
        <f t="shared" si="114"/>
        <v>8429</v>
      </c>
      <c r="L431" s="34">
        <f t="shared" si="114"/>
        <v>8429</v>
      </c>
      <c r="M431" s="34">
        <f t="shared" si="114"/>
        <v>0</v>
      </c>
      <c r="N431" s="34">
        <f t="shared" si="114"/>
        <v>997.5185</v>
      </c>
      <c r="O431" s="55">
        <f>IF(K431=0,"0,0",N431*100/K431)</f>
        <v>11.834363506940326</v>
      </c>
      <c r="P431" s="63">
        <f>SUBTOTAL(9,P428:P430)</f>
        <v>997.5185</v>
      </c>
      <c r="Q431" s="63">
        <f>SUBTOTAL(9,Q428:Q430)</f>
        <v>0</v>
      </c>
      <c r="R431" s="33"/>
    </row>
    <row r="432" spans="1:18" ht="17.25" customHeight="1" outlineLevel="1">
      <c r="A432" s="35" t="s">
        <v>540</v>
      </c>
      <c r="B432" s="26"/>
      <c r="C432" s="27"/>
      <c r="D432" s="28"/>
      <c r="E432" s="29"/>
      <c r="F432" s="36"/>
      <c r="G432" s="37"/>
      <c r="H432" s="34">
        <f aca="true" t="shared" si="115" ref="H432:N432">SUBTOTAL(9,H428:H430)</f>
        <v>101720</v>
      </c>
      <c r="I432" s="34">
        <f t="shared" si="115"/>
        <v>202</v>
      </c>
      <c r="J432" s="34">
        <f t="shared" si="115"/>
        <v>32925</v>
      </c>
      <c r="K432" s="34">
        <f t="shared" si="115"/>
        <v>8429</v>
      </c>
      <c r="L432" s="34">
        <f t="shared" si="115"/>
        <v>8429</v>
      </c>
      <c r="M432" s="34">
        <f t="shared" si="115"/>
        <v>0</v>
      </c>
      <c r="N432" s="34">
        <f t="shared" si="115"/>
        <v>997.5185</v>
      </c>
      <c r="O432" s="55">
        <f>IF(K432=0,"0,0",N432*100/K432)</f>
        <v>11.834363506940326</v>
      </c>
      <c r="P432" s="63">
        <f>SUBTOTAL(9,P428:P430)</f>
        <v>997.5185</v>
      </c>
      <c r="Q432" s="63">
        <f>SUBTOTAL(9,Q428:Q430)</f>
        <v>0</v>
      </c>
      <c r="R432" s="33"/>
    </row>
    <row r="433" spans="1:18" ht="17.25" customHeight="1" outlineLevel="3">
      <c r="A433" s="35">
        <v>64</v>
      </c>
      <c r="B433" s="20">
        <v>6409</v>
      </c>
      <c r="C433" s="7" t="s">
        <v>342</v>
      </c>
      <c r="D433" s="8" t="s">
        <v>342</v>
      </c>
      <c r="E433" s="39" t="s">
        <v>203</v>
      </c>
      <c r="F433" s="40"/>
      <c r="G433" s="41"/>
      <c r="H433" s="34"/>
      <c r="I433" s="34"/>
      <c r="J433" s="34"/>
      <c r="K433" s="34"/>
      <c r="L433" s="34"/>
      <c r="M433" s="34"/>
      <c r="N433" s="34"/>
      <c r="O433" s="17"/>
      <c r="P433" s="63"/>
      <c r="Q433" s="63"/>
      <c r="R433" s="33"/>
    </row>
    <row r="434" spans="1:18" ht="17.25" customHeight="1" outlineLevel="3">
      <c r="A434" s="38">
        <v>64</v>
      </c>
      <c r="B434" s="26">
        <v>6409</v>
      </c>
      <c r="C434" s="27">
        <v>4613</v>
      </c>
      <c r="D434" s="28" t="s">
        <v>319</v>
      </c>
      <c r="E434" s="29" t="s">
        <v>244</v>
      </c>
      <c r="F434" s="40" t="s">
        <v>4</v>
      </c>
      <c r="G434" s="41" t="s">
        <v>4</v>
      </c>
      <c r="H434" s="32">
        <v>6000</v>
      </c>
      <c r="I434" s="32">
        <v>0</v>
      </c>
      <c r="J434" s="32">
        <v>6000</v>
      </c>
      <c r="K434" s="32">
        <f aca="true" t="shared" si="116" ref="K434:K440">+L434+M434</f>
        <v>6000</v>
      </c>
      <c r="L434" s="32">
        <v>6000</v>
      </c>
      <c r="M434" s="32"/>
      <c r="N434" s="32">
        <f aca="true" t="shared" si="117" ref="N434:N440">+P434+Q434</f>
        <v>6000</v>
      </c>
      <c r="O434" s="17">
        <f aca="true" t="shared" si="118" ref="O434:O444">IF(K434=0,"0,0",N434*100/K434)</f>
        <v>100</v>
      </c>
      <c r="P434" s="62">
        <v>6000</v>
      </c>
      <c r="Q434" s="62"/>
      <c r="R434" s="33" t="s">
        <v>125</v>
      </c>
    </row>
    <row r="435" spans="1:18" ht="17.25" customHeight="1" outlineLevel="3">
      <c r="A435" s="38">
        <v>64</v>
      </c>
      <c r="B435" s="26">
        <v>6409</v>
      </c>
      <c r="C435" s="27">
        <v>4614</v>
      </c>
      <c r="D435" s="28" t="s">
        <v>319</v>
      </c>
      <c r="E435" s="29" t="s">
        <v>2</v>
      </c>
      <c r="F435" s="40" t="s">
        <v>4</v>
      </c>
      <c r="G435" s="41" t="s">
        <v>4</v>
      </c>
      <c r="H435" s="32">
        <v>5000</v>
      </c>
      <c r="I435" s="32">
        <v>0</v>
      </c>
      <c r="J435" s="32">
        <v>5000</v>
      </c>
      <c r="K435" s="32">
        <f t="shared" si="116"/>
        <v>5000</v>
      </c>
      <c r="L435" s="32">
        <v>5000</v>
      </c>
      <c r="M435" s="32"/>
      <c r="N435" s="32">
        <f t="shared" si="117"/>
        <v>5000</v>
      </c>
      <c r="O435" s="17">
        <f t="shared" si="118"/>
        <v>100</v>
      </c>
      <c r="P435" s="62">
        <v>5000</v>
      </c>
      <c r="Q435" s="62"/>
      <c r="R435" s="33" t="s">
        <v>125</v>
      </c>
    </row>
    <row r="436" spans="1:18" ht="17.25" customHeight="1" outlineLevel="3">
      <c r="A436" s="38">
        <v>64</v>
      </c>
      <c r="B436" s="26">
        <v>6409</v>
      </c>
      <c r="C436" s="27">
        <v>4615</v>
      </c>
      <c r="D436" s="28" t="s">
        <v>319</v>
      </c>
      <c r="E436" s="29" t="s">
        <v>245</v>
      </c>
      <c r="F436" s="40" t="s">
        <v>4</v>
      </c>
      <c r="G436" s="41" t="s">
        <v>4</v>
      </c>
      <c r="H436" s="32">
        <v>183000</v>
      </c>
      <c r="I436" s="32">
        <v>0</v>
      </c>
      <c r="J436" s="32">
        <v>183000</v>
      </c>
      <c r="K436" s="32">
        <f t="shared" si="116"/>
        <v>183000</v>
      </c>
      <c r="L436" s="32">
        <v>183000</v>
      </c>
      <c r="M436" s="32"/>
      <c r="N436" s="32">
        <f t="shared" si="117"/>
        <v>179415</v>
      </c>
      <c r="O436" s="17">
        <f t="shared" si="118"/>
        <v>98.04098360655738</v>
      </c>
      <c r="P436" s="62">
        <v>179415</v>
      </c>
      <c r="Q436" s="62"/>
      <c r="R436" s="33" t="s">
        <v>5</v>
      </c>
    </row>
    <row r="437" spans="1:18" ht="17.25" customHeight="1" outlineLevel="3">
      <c r="A437" s="38">
        <v>64</v>
      </c>
      <c r="B437" s="26">
        <v>6409</v>
      </c>
      <c r="C437" s="27">
        <v>4616</v>
      </c>
      <c r="D437" s="28" t="s">
        <v>319</v>
      </c>
      <c r="E437" s="42" t="s">
        <v>246</v>
      </c>
      <c r="F437" s="30">
        <v>2000</v>
      </c>
      <c r="G437" s="31">
        <v>2000</v>
      </c>
      <c r="H437" s="32">
        <v>88235</v>
      </c>
      <c r="I437" s="32">
        <v>0</v>
      </c>
      <c r="J437" s="32">
        <v>88235</v>
      </c>
      <c r="K437" s="32">
        <f t="shared" si="116"/>
        <v>4358</v>
      </c>
      <c r="L437" s="32">
        <f>88235-51500-4000-4900-22000-1477</f>
        <v>4358</v>
      </c>
      <c r="M437" s="32"/>
      <c r="N437" s="32">
        <f t="shared" si="117"/>
        <v>0</v>
      </c>
      <c r="O437" s="17">
        <f t="shared" si="118"/>
        <v>0</v>
      </c>
      <c r="P437" s="62">
        <v>0</v>
      </c>
      <c r="Q437" s="62"/>
      <c r="R437" s="33" t="s">
        <v>5</v>
      </c>
    </row>
    <row r="438" spans="1:18" ht="17.25" customHeight="1" outlineLevel="3">
      <c r="A438" s="38">
        <v>64</v>
      </c>
      <c r="B438" s="26">
        <v>6409</v>
      </c>
      <c r="C438" s="27">
        <v>4953</v>
      </c>
      <c r="D438" s="28" t="s">
        <v>319</v>
      </c>
      <c r="E438" s="29" t="s">
        <v>242</v>
      </c>
      <c r="F438" s="40" t="s">
        <v>4</v>
      </c>
      <c r="G438" s="41" t="s">
        <v>4</v>
      </c>
      <c r="H438" s="32">
        <v>0</v>
      </c>
      <c r="I438" s="32">
        <v>0</v>
      </c>
      <c r="J438" s="32">
        <v>80000</v>
      </c>
      <c r="K438" s="32">
        <f t="shared" si="116"/>
        <v>0</v>
      </c>
      <c r="L438" s="32">
        <v>0</v>
      </c>
      <c r="M438" s="32"/>
      <c r="N438" s="32">
        <f t="shared" si="117"/>
        <v>0</v>
      </c>
      <c r="O438" s="17" t="str">
        <f t="shared" si="118"/>
        <v>0,0</v>
      </c>
      <c r="P438" s="62">
        <v>0</v>
      </c>
      <c r="Q438" s="62"/>
      <c r="R438" s="33" t="s">
        <v>5</v>
      </c>
    </row>
    <row r="439" spans="1:18" ht="17.25" customHeight="1" outlineLevel="3">
      <c r="A439" s="38">
        <v>64</v>
      </c>
      <c r="B439" s="26">
        <v>6409</v>
      </c>
      <c r="C439" s="27">
        <v>4957</v>
      </c>
      <c r="D439" s="28" t="s">
        <v>319</v>
      </c>
      <c r="E439" s="29" t="s">
        <v>243</v>
      </c>
      <c r="F439" s="40" t="s">
        <v>4</v>
      </c>
      <c r="G439" s="41" t="s">
        <v>4</v>
      </c>
      <c r="H439" s="32">
        <v>0</v>
      </c>
      <c r="I439" s="32">
        <v>0</v>
      </c>
      <c r="J439" s="32">
        <v>60000</v>
      </c>
      <c r="K439" s="32">
        <f t="shared" si="116"/>
        <v>0</v>
      </c>
      <c r="L439" s="32">
        <v>0</v>
      </c>
      <c r="M439" s="32"/>
      <c r="N439" s="32">
        <f t="shared" si="117"/>
        <v>0</v>
      </c>
      <c r="O439" s="17" t="str">
        <f t="shared" si="118"/>
        <v>0,0</v>
      </c>
      <c r="P439" s="62">
        <v>0</v>
      </c>
      <c r="Q439" s="62"/>
      <c r="R439" s="33" t="s">
        <v>5</v>
      </c>
    </row>
    <row r="440" spans="1:18" ht="17.25" customHeight="1" outlineLevel="3">
      <c r="A440" s="38">
        <v>64</v>
      </c>
      <c r="B440" s="26">
        <v>6409</v>
      </c>
      <c r="C440" s="27">
        <v>4960</v>
      </c>
      <c r="D440" s="28" t="s">
        <v>319</v>
      </c>
      <c r="E440" s="29" t="s">
        <v>398</v>
      </c>
      <c r="F440" s="40" t="s">
        <v>4</v>
      </c>
      <c r="G440" s="41" t="s">
        <v>4</v>
      </c>
      <c r="H440" s="32">
        <v>8047</v>
      </c>
      <c r="I440" s="32">
        <v>0</v>
      </c>
      <c r="J440" s="32">
        <v>0</v>
      </c>
      <c r="K440" s="32">
        <f t="shared" si="116"/>
        <v>8047</v>
      </c>
      <c r="L440" s="32">
        <v>8047</v>
      </c>
      <c r="M440" s="32"/>
      <c r="N440" s="32">
        <f t="shared" si="117"/>
        <v>8047</v>
      </c>
      <c r="O440" s="17">
        <f t="shared" si="118"/>
        <v>100</v>
      </c>
      <c r="P440" s="62">
        <v>8047</v>
      </c>
      <c r="Q440" s="62"/>
      <c r="R440" s="33" t="s">
        <v>5</v>
      </c>
    </row>
    <row r="441" spans="1:18" ht="17.25" customHeight="1" outlineLevel="2">
      <c r="A441" s="38"/>
      <c r="B441" s="20" t="s">
        <v>468</v>
      </c>
      <c r="C441" s="27"/>
      <c r="D441" s="28"/>
      <c r="E441" s="29"/>
      <c r="F441" s="40"/>
      <c r="G441" s="40"/>
      <c r="H441" s="34">
        <f aca="true" t="shared" si="119" ref="H441:N441">SUBTOTAL(9,H433:H440)</f>
        <v>290282</v>
      </c>
      <c r="I441" s="34">
        <f t="shared" si="119"/>
        <v>0</v>
      </c>
      <c r="J441" s="34">
        <f t="shared" si="119"/>
        <v>422235</v>
      </c>
      <c r="K441" s="34">
        <f t="shared" si="119"/>
        <v>206405</v>
      </c>
      <c r="L441" s="34">
        <f t="shared" si="119"/>
        <v>206405</v>
      </c>
      <c r="M441" s="34">
        <f t="shared" si="119"/>
        <v>0</v>
      </c>
      <c r="N441" s="34">
        <f t="shared" si="119"/>
        <v>198462</v>
      </c>
      <c r="O441" s="55">
        <f t="shared" si="118"/>
        <v>96.15174051016206</v>
      </c>
      <c r="P441" s="63">
        <f>SUBTOTAL(9,P433:P440)</f>
        <v>198462</v>
      </c>
      <c r="Q441" s="63">
        <f>SUBTOTAL(9,Q433:Q440)</f>
        <v>0</v>
      </c>
      <c r="R441" s="33"/>
    </row>
    <row r="442" spans="1:18" ht="17.25" customHeight="1" outlineLevel="1">
      <c r="A442" s="35" t="s">
        <v>541</v>
      </c>
      <c r="B442" s="26"/>
      <c r="C442" s="27"/>
      <c r="D442" s="28"/>
      <c r="E442" s="29"/>
      <c r="F442" s="40"/>
      <c r="G442" s="40"/>
      <c r="H442" s="34">
        <f aca="true" t="shared" si="120" ref="H442:N442">SUBTOTAL(9,H433:H440)</f>
        <v>290282</v>
      </c>
      <c r="I442" s="34">
        <f t="shared" si="120"/>
        <v>0</v>
      </c>
      <c r="J442" s="34">
        <f t="shared" si="120"/>
        <v>422235</v>
      </c>
      <c r="K442" s="34">
        <f t="shared" si="120"/>
        <v>206405</v>
      </c>
      <c r="L442" s="34">
        <f t="shared" si="120"/>
        <v>206405</v>
      </c>
      <c r="M442" s="34">
        <f t="shared" si="120"/>
        <v>0</v>
      </c>
      <c r="N442" s="34">
        <f t="shared" si="120"/>
        <v>198462</v>
      </c>
      <c r="O442" s="55">
        <f t="shared" si="118"/>
        <v>96.15174051016206</v>
      </c>
      <c r="P442" s="63">
        <f>SUBTOTAL(9,P433:P440)</f>
        <v>198462</v>
      </c>
      <c r="Q442" s="63">
        <f>SUBTOTAL(9,Q433:Q440)</f>
        <v>0</v>
      </c>
      <c r="R442" s="33"/>
    </row>
    <row r="443" spans="1:18" ht="17.25" customHeight="1" outlineLevel="1">
      <c r="A443" s="35"/>
      <c r="B443" s="26"/>
      <c r="C443" s="27"/>
      <c r="D443" s="28"/>
      <c r="E443" s="29"/>
      <c r="F443" s="40"/>
      <c r="G443" s="40"/>
      <c r="H443" s="34"/>
      <c r="I443" s="34"/>
      <c r="J443" s="34"/>
      <c r="K443" s="34"/>
      <c r="L443" s="34"/>
      <c r="M443" s="34"/>
      <c r="N443" s="34"/>
      <c r="O443" s="55"/>
      <c r="P443" s="63"/>
      <c r="Q443" s="63"/>
      <c r="R443" s="33"/>
    </row>
    <row r="444" spans="1:18" ht="17.25" customHeight="1">
      <c r="A444" s="35" t="s">
        <v>512</v>
      </c>
      <c r="B444" s="26"/>
      <c r="C444" s="27"/>
      <c r="D444" s="28"/>
      <c r="E444" s="29"/>
      <c r="F444" s="40"/>
      <c r="G444" s="40"/>
      <c r="H444" s="34">
        <f aca="true" t="shared" si="121" ref="H444:N444">SUBTOTAL(9,H4:H440)</f>
        <v>9973586.862</v>
      </c>
      <c r="I444" s="34">
        <f t="shared" si="121"/>
        <v>1936059</v>
      </c>
      <c r="J444" s="34">
        <f t="shared" si="121"/>
        <v>2407868</v>
      </c>
      <c r="K444" s="34">
        <f t="shared" si="121"/>
        <v>2428385.8619999997</v>
      </c>
      <c r="L444" s="34">
        <f t="shared" si="121"/>
        <v>2248421.8619999997</v>
      </c>
      <c r="M444" s="34">
        <f t="shared" si="121"/>
        <v>179964</v>
      </c>
      <c r="N444" s="34">
        <f t="shared" si="121"/>
        <v>2050110.4095500004</v>
      </c>
      <c r="O444" s="55">
        <f t="shared" si="118"/>
        <v>84.4227617048283</v>
      </c>
      <c r="P444" s="63">
        <f>SUBTOTAL(9,P4:P440)</f>
        <v>1877196.5278200004</v>
      </c>
      <c r="Q444" s="63">
        <f>SUBTOTAL(9,Q4:Q440)</f>
        <v>172913.88173</v>
      </c>
      <c r="R444" s="33"/>
    </row>
    <row r="445" ht="17.25" customHeight="1">
      <c r="E445" s="67"/>
    </row>
    <row r="447" spans="1:16" ht="17.25" customHeight="1">
      <c r="A447" s="83" t="s">
        <v>556</v>
      </c>
      <c r="B447" s="79"/>
      <c r="C447" s="80"/>
      <c r="K447" s="56"/>
      <c r="P447" s="56"/>
    </row>
    <row r="448" spans="1:3" ht="17.25" customHeight="1">
      <c r="A448" s="81"/>
      <c r="B448" s="82"/>
      <c r="C448" s="80"/>
    </row>
    <row r="449" spans="1:16" ht="17.25" customHeight="1">
      <c r="A449" s="81"/>
      <c r="B449" s="79" t="s">
        <v>558</v>
      </c>
      <c r="C449" s="80"/>
      <c r="J449" s="3"/>
      <c r="K449" s="3"/>
      <c r="L449" s="3"/>
      <c r="M449" s="3"/>
      <c r="N449" s="3"/>
      <c r="O449" s="3"/>
      <c r="P449" s="3"/>
    </row>
    <row r="450" spans="1:3" ht="17.25" customHeight="1">
      <c r="A450" s="81"/>
      <c r="B450" s="79" t="s">
        <v>557</v>
      </c>
      <c r="C450" s="80"/>
    </row>
    <row r="451" spans="1:17" ht="17.25" customHeight="1">
      <c r="A451" s="81"/>
      <c r="B451" s="79"/>
      <c r="C451" s="80"/>
      <c r="H451" s="56"/>
      <c r="I451" s="56"/>
      <c r="J451" s="56"/>
      <c r="K451" s="56"/>
      <c r="L451" s="56"/>
      <c r="M451" s="56"/>
      <c r="N451" s="56"/>
      <c r="O451" s="56"/>
      <c r="P451" s="56"/>
      <c r="Q451" s="56"/>
    </row>
    <row r="452" spans="1:3" ht="17.25" customHeight="1">
      <c r="A452" s="81"/>
      <c r="B452" s="79" t="s">
        <v>559</v>
      </c>
      <c r="C452" s="80"/>
    </row>
    <row r="453" spans="2:17" ht="17.25" customHeight="1">
      <c r="B453" s="68"/>
      <c r="Q453" s="3"/>
    </row>
  </sheetData>
  <mergeCells count="2">
    <mergeCell ref="L1:M1"/>
    <mergeCell ref="P1:Q1"/>
  </mergeCells>
  <printOptions horizontalCentered="1"/>
  <pageMargins left="0.3937007874015748" right="0.3937007874015748" top="1.1811023622047245" bottom="0.984251968503937" header="0.5118110236220472" footer="0.5118110236220472"/>
  <pageSetup fitToHeight="12" fitToWidth="1" horizontalDpi="360" verticalDpi="360" orientation="landscape" paperSize="9" scale="56" r:id="rId1"/>
  <headerFooter alignWithMargins="0">
    <oddHeader>&amp;C&amp;"Times New Roman CE,tučné"&amp;20
&amp;24Čerpání kapitálových výdajů vlastním městem a městskými částmi v rámci převodu investorství v roce 2000 - dle akcí&amp;R&amp;"Times New Roman CE,obyčejné"&amp;14(v tis.Kč)</oddHeader>
    <oddFooter>&amp;L&amp;"Times New Roman CE,obyčejné"Z podkladů IO MMB zpracoval ORF MMB &amp;D&amp;R&amp;"Times New Roman CE,obyčejné"list:  &amp;P</oddFooter>
  </headerFooter>
  <rowBreaks count="4" manualBreakCount="4">
    <brk id="48" max="17" man="1"/>
    <brk id="106" max="17" man="1"/>
    <brk id="207" max="17" man="1"/>
    <brk id="26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Blahova</dc:creator>
  <cp:keywords/>
  <dc:description/>
  <cp:lastModifiedBy>trnecka</cp:lastModifiedBy>
  <cp:lastPrinted>2011-10-31T15:02:01Z</cp:lastPrinted>
  <dcterms:created xsi:type="dcterms:W3CDTF">1999-11-26T09:22:08Z</dcterms:created>
  <dcterms:modified xsi:type="dcterms:W3CDTF">2011-10-31T15:02:09Z</dcterms:modified>
  <cp:category/>
  <cp:version/>
  <cp:contentType/>
  <cp:contentStatus/>
</cp:coreProperties>
</file>