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555" windowWidth="7680" windowHeight="8340" tabRatio="888" activeTab="0"/>
  </bookViews>
  <sheets>
    <sheet name="Příjmy a Výdaje " sheetId="1" r:id="rId1"/>
    <sheet name="Příjmy " sheetId="2" r:id="rId2"/>
    <sheet name="Daňové příjmy" sheetId="3" r:id="rId3"/>
    <sheet name="Ost.daně=Místní popl." sheetId="4" r:id="rId4"/>
    <sheet name="Nedaňové příjmy" sheetId="5" r:id="rId5"/>
    <sheet name="Kapitálové příjmy" sheetId="6" r:id="rId6"/>
    <sheet name="Transfery neinvestiční 2.5" sheetId="7" r:id="rId7"/>
    <sheet name="Transfery nein.2.5a" sheetId="8" r:id="rId8"/>
    <sheet name="Transfery investiční" sheetId="9" r:id="rId9"/>
    <sheet name="Výdaje " sheetId="10" r:id="rId10"/>
    <sheet name="Provozní výdaje" sheetId="11" r:id="rId11"/>
    <sheet name="Kapitálové výdaje" sheetId="12" r:id="rId12"/>
    <sheet name="Financování" sheetId="13" r:id="rId13"/>
  </sheets>
  <externalReferences>
    <externalReference r:id="rId16"/>
  </externalReferences>
  <definedNames>
    <definedName name="_xlnm.Print_Area" localSheetId="2">'Daňové příjmy'!$A$1:$R$45</definedName>
    <definedName name="_xlnm.Print_Area" localSheetId="12">'Financování'!$A$1:$AD$48</definedName>
    <definedName name="_xlnm.Print_Area" localSheetId="5">'Kapitálové příjmy'!$A$1:$J$45</definedName>
    <definedName name="_xlnm.Print_Area" localSheetId="11">'Kapitálové výdaje'!$A$1:$S$47</definedName>
    <definedName name="_xlnm.Print_Area" localSheetId="4">'Nedaňové příjmy'!$A$1:$Z$47</definedName>
    <definedName name="_xlnm.Print_Area" localSheetId="3">'Ost.daně=Místní popl.'!$A$1:$R$96</definedName>
    <definedName name="_xlnm.Print_Area" localSheetId="10">'Provozní výdaje'!$A$1:$AD$48</definedName>
    <definedName name="_xlnm.Print_Area" localSheetId="1">'Příjmy '!$A$1:$U$45</definedName>
    <definedName name="_xlnm.Print_Area" localSheetId="0">'Příjmy a Výdaje '!$A$1:$U$45</definedName>
    <definedName name="_xlnm.Print_Area" localSheetId="8">'Transfery investiční'!$A$1:$Z$46</definedName>
    <definedName name="_xlnm.Print_Area" localSheetId="7">'Transfery nein.2.5a'!$A$1:$AD$48</definedName>
    <definedName name="_xlnm.Print_Area" localSheetId="6">'Transfery neinvestiční 2.5'!$A$1:$R$46</definedName>
    <definedName name="_xlnm.Print_Area" localSheetId="9">'Výdaje '!$A$1:$L$45</definedName>
  </definedNames>
  <calcPr fullCalcOnLoad="1"/>
</workbook>
</file>

<file path=xl/comments10.xml><?xml version="1.0" encoding="utf-8"?>
<comments xmlns="http://schemas.openxmlformats.org/spreadsheetml/2006/main">
  <authors>
    <author>sebelomi</author>
  </authors>
  <commentList>
    <comment ref="E33" authorId="0">
      <text>
        <r>
          <rPr>
            <b/>
            <sz val="8"/>
            <rFont val="Tahoma"/>
            <family val="0"/>
          </rPr>
          <t xml:space="preserve">+1
27.293.422
</t>
        </r>
        <r>
          <rPr>
            <sz val="8"/>
            <rFont val="Tahoma"/>
            <family val="0"/>
          </rPr>
          <t xml:space="preserve">
</t>
        </r>
      </text>
    </comment>
    <comment ref="J24" authorId="0">
      <text>
        <r>
          <rPr>
            <b/>
            <sz val="8"/>
            <rFont val="Tahoma"/>
            <family val="0"/>
          </rPr>
          <t>-1
9.968.541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sebelomi</author>
  </authors>
  <commentList>
    <comment ref="I20" authorId="0">
      <text>
        <r>
          <rPr>
            <b/>
            <sz val="8"/>
            <rFont val="Tahoma"/>
            <family val="0"/>
          </rPr>
          <t>+1
1.543.492</t>
        </r>
        <r>
          <rPr>
            <sz val="8"/>
            <rFont val="Tahoma"/>
            <family val="0"/>
          </rPr>
          <t xml:space="preserve">
</t>
        </r>
      </text>
    </comment>
    <comment ref="Q42" authorId="0">
      <text>
        <r>
          <rPr>
            <b/>
            <sz val="8"/>
            <rFont val="Tahoma"/>
            <family val="0"/>
          </rPr>
          <t>+1
1.883.360</t>
        </r>
        <r>
          <rPr>
            <sz val="8"/>
            <rFont val="Tahoma"/>
            <family val="0"/>
          </rPr>
          <t xml:space="preserve">
</t>
        </r>
      </text>
    </comment>
    <comment ref="M37" authorId="0">
      <text>
        <r>
          <rPr>
            <b/>
            <sz val="8"/>
            <rFont val="Tahoma"/>
            <family val="0"/>
          </rPr>
          <t>+1
54.400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sebelomi</author>
  </authors>
  <commentList>
    <comment ref="N22" authorId="0">
      <text>
        <r>
          <rPr>
            <b/>
            <sz val="8"/>
            <rFont val="Tahoma"/>
            <family val="0"/>
          </rPr>
          <t>76.430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sebelomi</author>
  </authors>
  <commentList>
    <comment ref="E19" authorId="0">
      <text>
        <r>
          <rPr>
            <b/>
            <sz val="8"/>
            <rFont val="Tahoma"/>
            <family val="0"/>
          </rPr>
          <t>-1
2.469.504</t>
        </r>
        <r>
          <rPr>
            <sz val="8"/>
            <rFont val="Tahoma"/>
            <family val="0"/>
          </rPr>
          <t xml:space="preserve">
</t>
        </r>
      </text>
    </comment>
    <comment ref="M35" authorId="0">
      <text>
        <r>
          <rPr>
            <sz val="8"/>
            <rFont val="Tahoma"/>
            <family val="0"/>
          </rPr>
          <t xml:space="preserve">+1
4.681.370
</t>
        </r>
      </text>
    </comment>
    <comment ref="U35" authorId="0">
      <text>
        <r>
          <rPr>
            <b/>
            <sz val="8"/>
            <rFont val="Tahoma"/>
            <family val="0"/>
          </rPr>
          <t>+1
-5.612.615</t>
        </r>
        <r>
          <rPr>
            <sz val="8"/>
            <rFont val="Tahoma"/>
            <family val="0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0"/>
          </rPr>
          <t>-1.117.495</t>
        </r>
        <r>
          <rPr>
            <sz val="8"/>
            <rFont val="Tahoma"/>
            <family val="0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0"/>
          </rPr>
          <t>-2.431.472</t>
        </r>
        <r>
          <rPr>
            <sz val="8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8"/>
            <rFont val="Tahoma"/>
            <family val="0"/>
          </rPr>
          <t>-1
-25.264.497</t>
        </r>
        <r>
          <rPr>
            <sz val="8"/>
            <rFont val="Tahoma"/>
            <family val="0"/>
          </rPr>
          <t xml:space="preserve">
</t>
        </r>
      </text>
    </comment>
    <comment ref="E32" authorId="0">
      <text>
        <r>
          <rPr>
            <b/>
            <sz val="8"/>
            <rFont val="Tahoma"/>
            <family val="0"/>
          </rPr>
          <t>9.168.411</t>
        </r>
        <r>
          <rPr>
            <sz val="8"/>
            <rFont val="Tahoma"/>
            <family val="0"/>
          </rPr>
          <t xml:space="preserve">
</t>
        </r>
      </text>
    </comment>
    <comment ref="E33" authorId="0">
      <text>
        <r>
          <rPr>
            <b/>
            <sz val="8"/>
            <rFont val="Tahoma"/>
            <family val="0"/>
          </rPr>
          <t>-3.552.506</t>
        </r>
        <r>
          <rPr>
            <sz val="8"/>
            <rFont val="Tahoma"/>
            <family val="0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0"/>
          </rPr>
          <t>-434.521</t>
        </r>
        <r>
          <rPr>
            <sz val="8"/>
            <rFont val="Tahoma"/>
            <family val="0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0"/>
          </rPr>
          <t>279.517</t>
        </r>
        <r>
          <rPr>
            <sz val="8"/>
            <rFont val="Tahoma"/>
            <family val="0"/>
          </rPr>
          <t xml:space="preserve">
</t>
        </r>
      </text>
    </comment>
    <comment ref="Q31" authorId="0">
      <text>
        <r>
          <rPr>
            <b/>
            <sz val="8"/>
            <rFont val="Tahoma"/>
            <family val="0"/>
          </rPr>
          <t xml:space="preserve">
-8.637.421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MMB</author>
    <author>sebelomi</author>
  </authors>
  <commentList>
    <comment ref="W19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203.536</t>
        </r>
      </text>
    </comment>
    <comment ref="W25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-1
790.547</t>
        </r>
      </text>
    </comment>
    <comment ref="W21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45.625</t>
        </r>
      </text>
    </comment>
    <comment ref="W22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411.431</t>
        </r>
      </text>
    </comment>
    <comment ref="W39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108.518</t>
        </r>
      </text>
    </comment>
    <comment ref="W23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367.527</t>
        </r>
      </text>
    </comment>
    <comment ref="E52" authorId="1">
      <text>
        <r>
          <rPr>
            <b/>
            <sz val="8"/>
            <rFont val="Tahoma"/>
            <family val="0"/>
          </rPr>
          <t>sebelomi:</t>
        </r>
        <r>
          <rPr>
            <sz val="8"/>
            <rFont val="Tahoma"/>
            <family val="0"/>
          </rPr>
          <t xml:space="preserve">
23.407.531</t>
        </r>
      </text>
    </comment>
    <comment ref="M13" authorId="1">
      <text>
        <r>
          <rPr>
            <sz val="8"/>
            <rFont val="Tahoma"/>
            <family val="2"/>
          </rPr>
          <t>+1
6.071.446</t>
        </r>
        <r>
          <rPr>
            <sz val="8"/>
            <rFont val="Tahoma"/>
            <family val="0"/>
          </rPr>
          <t xml:space="preserve">
</t>
        </r>
      </text>
    </comment>
    <comment ref="Q16" authorId="1">
      <text>
        <r>
          <rPr>
            <b/>
            <sz val="8"/>
            <rFont val="Tahoma"/>
            <family val="0"/>
          </rPr>
          <t>+1
96.475</t>
        </r>
        <r>
          <rPr>
            <sz val="8"/>
            <rFont val="Tahoma"/>
            <family val="0"/>
          </rPr>
          <t xml:space="preserve">
</t>
        </r>
      </text>
    </comment>
    <comment ref="Q31" authorId="1">
      <text>
        <r>
          <rPr>
            <b/>
            <sz val="8"/>
            <rFont val="Tahoma"/>
            <family val="0"/>
          </rPr>
          <t>-1
1.478.555</t>
        </r>
        <r>
          <rPr>
            <sz val="8"/>
            <rFont val="Tahoma"/>
            <family val="0"/>
          </rPr>
          <t xml:space="preserve">
</t>
        </r>
      </text>
    </comment>
    <comment ref="M19" authorId="1">
      <text>
        <r>
          <rPr>
            <b/>
            <sz val="8"/>
            <rFont val="Tahoma"/>
            <family val="0"/>
          </rPr>
          <t>+1
582.307</t>
        </r>
        <r>
          <rPr>
            <sz val="8"/>
            <rFont val="Tahoma"/>
            <family val="0"/>
          </rPr>
          <t xml:space="preserve">
</t>
        </r>
      </text>
    </comment>
    <comment ref="M33" authorId="1">
      <text>
        <r>
          <rPr>
            <b/>
            <sz val="8"/>
            <rFont val="Tahoma"/>
            <family val="0"/>
          </rPr>
          <t>-1
113.744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sebelomi</author>
  </authors>
  <commentList>
    <comment ref="I25" authorId="0">
      <text>
        <r>
          <rPr>
            <sz val="8"/>
            <rFont val="Tahoma"/>
            <family val="0"/>
          </rPr>
          <t xml:space="preserve">-1
165.538
</t>
        </r>
      </text>
    </comment>
    <comment ref="M21" authorId="0">
      <text>
        <r>
          <rPr>
            <b/>
            <sz val="8"/>
            <rFont val="Tahoma"/>
            <family val="0"/>
          </rPr>
          <t>15.555</t>
        </r>
        <r>
          <rPr>
            <sz val="8"/>
            <rFont val="Tahoma"/>
            <family val="0"/>
          </rPr>
          <t xml:space="preserve">
</t>
        </r>
      </text>
    </comment>
    <comment ref="Q29" authorId="0">
      <text>
        <r>
          <rPr>
            <b/>
            <sz val="8"/>
            <rFont val="Tahoma"/>
            <family val="0"/>
          </rPr>
          <t>+1
942.323</t>
        </r>
        <r>
          <rPr>
            <sz val="8"/>
            <rFont val="Tahoma"/>
            <family val="0"/>
          </rPr>
          <t xml:space="preserve">
</t>
        </r>
      </text>
    </comment>
    <comment ref="E83" authorId="0">
      <text>
        <r>
          <rPr>
            <b/>
            <sz val="8"/>
            <rFont val="Tahoma"/>
            <family val="0"/>
          </rPr>
          <t>-1
-14.502</t>
        </r>
        <r>
          <rPr>
            <sz val="8"/>
            <rFont val="Tahoma"/>
            <family val="0"/>
          </rPr>
          <t xml:space="preserve">
</t>
        </r>
      </text>
    </comment>
    <comment ref="Q35" authorId="0">
      <text>
        <r>
          <rPr>
            <sz val="8"/>
            <rFont val="Tahoma"/>
            <family val="0"/>
          </rPr>
          <t>+1
47.430</t>
        </r>
      </text>
    </comment>
    <comment ref="Q18" authorId="0">
      <text>
        <r>
          <rPr>
            <b/>
            <sz val="8"/>
            <rFont val="Tahoma"/>
            <family val="0"/>
          </rPr>
          <t>-1
605.558</t>
        </r>
        <r>
          <rPr>
            <sz val="8"/>
            <rFont val="Tahoma"/>
            <family val="0"/>
          </rPr>
          <t xml:space="preserve">
</t>
        </r>
      </text>
    </comment>
    <comment ref="Q22" authorId="0">
      <text>
        <r>
          <rPr>
            <b/>
            <sz val="8"/>
            <rFont val="Tahoma"/>
            <family val="0"/>
          </rPr>
          <t>+1
360</t>
        </r>
        <r>
          <rPr>
            <sz val="8"/>
            <rFont val="Tahoma"/>
            <family val="0"/>
          </rPr>
          <t xml:space="preserve">
</t>
        </r>
      </text>
    </comment>
    <comment ref="M22" authorId="0">
      <text>
        <r>
          <rPr>
            <b/>
            <sz val="8"/>
            <rFont val="Tahoma"/>
            <family val="0"/>
          </rPr>
          <t>-1
36.765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sebelomi</author>
  </authors>
  <commentList>
    <comment ref="M42" authorId="0">
      <text>
        <r>
          <rPr>
            <b/>
            <sz val="8"/>
            <rFont val="Tahoma"/>
            <family val="0"/>
          </rPr>
          <t>-1
2.594</t>
        </r>
        <r>
          <rPr>
            <sz val="8"/>
            <rFont val="Tahoma"/>
            <family val="0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0"/>
          </rPr>
          <t>+1
167.498</t>
        </r>
        <r>
          <rPr>
            <sz val="8"/>
            <rFont val="Tahoma"/>
            <family val="0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0"/>
          </rPr>
          <t>+1
87.480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-1
1.589.509</t>
        </r>
        <r>
          <rPr>
            <sz val="8"/>
            <rFont val="Tahoma"/>
            <family val="0"/>
          </rPr>
          <t xml:space="preserve">
</t>
        </r>
      </text>
    </comment>
    <comment ref="I39" authorId="0">
      <text>
        <r>
          <rPr>
            <b/>
            <sz val="8"/>
            <rFont val="Tahoma"/>
            <family val="0"/>
          </rPr>
          <t>-1
3.828.546</t>
        </r>
        <r>
          <rPr>
            <sz val="8"/>
            <rFont val="Tahoma"/>
            <family val="0"/>
          </rPr>
          <t xml:space="preserve">
</t>
        </r>
      </text>
    </comment>
    <comment ref="M43" authorId="0">
      <text>
        <r>
          <rPr>
            <b/>
            <sz val="8"/>
            <rFont val="Tahoma"/>
            <family val="0"/>
          </rPr>
          <t>+1
2.464</t>
        </r>
        <r>
          <rPr>
            <sz val="8"/>
            <rFont val="Tahoma"/>
            <family val="0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0"/>
          </rPr>
          <t>-1
53.500</t>
        </r>
        <r>
          <rPr>
            <sz val="8"/>
            <rFont val="Tahoma"/>
            <family val="0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0"/>
          </rPr>
          <t>-1
47.581</t>
        </r>
        <r>
          <rPr>
            <sz val="8"/>
            <rFont val="Tahoma"/>
            <family val="0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0"/>
          </rPr>
          <t>-1
17.500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sebelomi</author>
  </authors>
  <commentList>
    <comment ref="E30" authorId="0">
      <text>
        <r>
          <rPr>
            <b/>
            <sz val="8"/>
            <rFont val="Tahoma"/>
            <family val="0"/>
          </rPr>
          <t>+1
13.330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MMB</author>
    <author>sebelomi</author>
  </authors>
  <commentList>
    <comment ref="K12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ZJ 024+028+od jiných MČ (z výd. jiných MČ p. 5321)</t>
        </r>
      </text>
    </comment>
    <comment ref="E30" authorId="1">
      <text>
        <r>
          <rPr>
            <sz val="8"/>
            <rFont val="Tahoma"/>
            <family val="0"/>
          </rPr>
          <t xml:space="preserve">-1
20.782.542
</t>
        </r>
      </text>
    </comment>
    <comment ref="M33" authorId="1">
      <text>
        <r>
          <rPr>
            <b/>
            <sz val="8"/>
            <rFont val="Tahoma"/>
            <family val="0"/>
          </rPr>
          <t xml:space="preserve">-1
420.598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sebelomi</author>
  </authors>
  <commentList>
    <comment ref="E30" authorId="0">
      <text>
        <r>
          <rPr>
            <b/>
            <sz val="8"/>
            <rFont val="Tahoma"/>
            <family val="0"/>
          </rPr>
          <t>-1
12.742.541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<sst xmlns="http://schemas.openxmlformats.org/spreadsheetml/2006/main" count="1236" uniqueCount="287">
  <si>
    <t>Schválený</t>
  </si>
  <si>
    <t>rozpočet</t>
  </si>
  <si>
    <t>%</t>
  </si>
  <si>
    <t>v tis. Kč</t>
  </si>
  <si>
    <t>Upravený</t>
  </si>
  <si>
    <t>Skutečnost</t>
  </si>
  <si>
    <t xml:space="preserve">       Celkem  :</t>
  </si>
  <si>
    <t>součet</t>
  </si>
  <si>
    <t xml:space="preserve"> </t>
  </si>
  <si>
    <t xml:space="preserve">            Celkem   : </t>
  </si>
  <si>
    <t>obyvatel</t>
  </si>
  <si>
    <t xml:space="preserve">    příjmy</t>
  </si>
  <si>
    <t xml:space="preserve">     výdaje</t>
  </si>
  <si>
    <t>zůst.fin.prost.</t>
  </si>
  <si>
    <t xml:space="preserve">       </t>
  </si>
  <si>
    <t xml:space="preserve">  str. 2</t>
  </si>
  <si>
    <t xml:space="preserve">  </t>
  </si>
  <si>
    <t xml:space="preserve">                                v tis. Kč</t>
  </si>
  <si>
    <t xml:space="preserve">               v tis. Kč</t>
  </si>
  <si>
    <t>k UR</t>
  </si>
  <si>
    <t>SR</t>
  </si>
  <si>
    <t>UR</t>
  </si>
  <si>
    <t>Daňové příjmy</t>
  </si>
  <si>
    <t>P O Č E T</t>
  </si>
  <si>
    <t>Nedaňové příjmy</t>
  </si>
  <si>
    <t>P Ř Í J M Y</t>
  </si>
  <si>
    <t>Kapitálové příjmy</t>
  </si>
  <si>
    <t>V Ý D A J E</t>
  </si>
  <si>
    <t>P Ř Í J M Y    a     V Ý D A J E</t>
  </si>
  <si>
    <t>Účto</t>
  </si>
  <si>
    <t>P Ř Í J M Y    celkem</t>
  </si>
  <si>
    <t>V Ý D A J E    celkem</t>
  </si>
  <si>
    <t>S A L D O   příjmů  a výdajů</t>
  </si>
  <si>
    <t xml:space="preserve">  str. 1</t>
  </si>
  <si>
    <t>D A Ň O V É      P Ř Í J M Y</t>
  </si>
  <si>
    <t>str. 2.1</t>
  </si>
  <si>
    <t>Daň z příjmů právnických osob za obce</t>
  </si>
  <si>
    <t>Poplatky a odvody v oblasti životního  prostředí</t>
  </si>
  <si>
    <t>Ostatní odvody z vybraných služeb a činností</t>
  </si>
  <si>
    <t>Správní poplatky</t>
  </si>
  <si>
    <t>Rozpočet</t>
  </si>
  <si>
    <t>Skuteč.</t>
  </si>
  <si>
    <t>schválený</t>
  </si>
  <si>
    <t>upravený</t>
  </si>
  <si>
    <t>p. 1122</t>
  </si>
  <si>
    <t>p. 133x</t>
  </si>
  <si>
    <t>p. 135x</t>
  </si>
  <si>
    <t>p. 1361</t>
  </si>
  <si>
    <t xml:space="preserve">Celkem: </t>
  </si>
  <si>
    <t>OSTATNÍ  DANĚ  A  POPLATKY  z  vybraných  činností  a  služeb</t>
  </si>
  <si>
    <t xml:space="preserve">  Místní  poplatky</t>
  </si>
  <si>
    <t xml:space="preserve"> z toho  :</t>
  </si>
  <si>
    <t>c e l k e m</t>
  </si>
  <si>
    <t>ze  psů</t>
  </si>
  <si>
    <t>za lázeňský nebo rekreační pobyt</t>
  </si>
  <si>
    <t>za užívání veřejného prostranství</t>
  </si>
  <si>
    <t>p. 1341</t>
  </si>
  <si>
    <t>p. 1342</t>
  </si>
  <si>
    <t>p. 1343</t>
  </si>
  <si>
    <t xml:space="preserve">   </t>
  </si>
  <si>
    <t xml:space="preserve"> (pokračování)</t>
  </si>
  <si>
    <t>z ubytovací kapacity</t>
  </si>
  <si>
    <t>zrušené místní poplatky</t>
  </si>
  <si>
    <t>p. 1344</t>
  </si>
  <si>
    <t>p. 1345</t>
  </si>
  <si>
    <t>p. 1347</t>
  </si>
  <si>
    <t>p. 1349</t>
  </si>
  <si>
    <t>N E D A Ň O V É      P Ř Í J M Y</t>
  </si>
  <si>
    <t xml:space="preserve">      </t>
  </si>
  <si>
    <t xml:space="preserve">                str. 2.3</t>
  </si>
  <si>
    <t>Příjmy z vlastní činnosti</t>
  </si>
  <si>
    <t>Příjmy  z  pronájmu  majetku</t>
  </si>
  <si>
    <t>Přijaté sankční platby</t>
  </si>
  <si>
    <t>schvál.</t>
  </si>
  <si>
    <t>uprav.</t>
  </si>
  <si>
    <t>p. 211x</t>
  </si>
  <si>
    <t>p. 212x</t>
  </si>
  <si>
    <t>p. 213x</t>
  </si>
  <si>
    <t>p. 2141</t>
  </si>
  <si>
    <t>p. 221x</t>
  </si>
  <si>
    <t>p.211x</t>
  </si>
  <si>
    <t>p.213x</t>
  </si>
  <si>
    <t>p.221x</t>
  </si>
  <si>
    <t xml:space="preserve">                                  </t>
  </si>
  <si>
    <t>K A P I T Á L O V É      P Ř Í J M Y</t>
  </si>
  <si>
    <t>O s t a t n í   k a p i t á l o v é  p ř í j m y   ( dary,  příspěvky )</t>
  </si>
  <si>
    <t>k  UR</t>
  </si>
  <si>
    <t>p. 311x</t>
  </si>
  <si>
    <t>p. 312x</t>
  </si>
  <si>
    <t xml:space="preserve"> z všeobecné pokladní správy  SR</t>
  </si>
  <si>
    <t xml:space="preserve">ze SR v rámci souhr. dotačního vztahu </t>
  </si>
  <si>
    <t>ze státních fondů</t>
  </si>
  <si>
    <t>p. 4111</t>
  </si>
  <si>
    <t>p. 4112</t>
  </si>
  <si>
    <t>p. 4113</t>
  </si>
  <si>
    <t>p. 4116</t>
  </si>
  <si>
    <t>z   t o h o :</t>
  </si>
  <si>
    <t>od města</t>
  </si>
  <si>
    <t>p. 4121</t>
  </si>
  <si>
    <t>v tis.Kč</t>
  </si>
  <si>
    <t>p. 4131</t>
  </si>
  <si>
    <t xml:space="preserve">Převody z vlastních fondů </t>
  </si>
  <si>
    <t>Převody z ostatních vlastních fondů</t>
  </si>
  <si>
    <t>hospodářské činnosti</t>
  </si>
  <si>
    <t xml:space="preserve"> pokladní správy stát. rozpočtu</t>
  </si>
  <si>
    <t>účto</t>
  </si>
  <si>
    <t>p. 4132</t>
  </si>
  <si>
    <t>p. 4211</t>
  </si>
  <si>
    <t>p. 4213</t>
  </si>
  <si>
    <t>p. 4221</t>
  </si>
  <si>
    <t xml:space="preserve">         B Ě Ž N É   V Ý D A J E</t>
  </si>
  <si>
    <t xml:space="preserve">                      str. 3.1</t>
  </si>
  <si>
    <t xml:space="preserve">                  str. 3.1</t>
  </si>
  <si>
    <t xml:space="preserve">                    v tis. Kč</t>
  </si>
  <si>
    <t>Úroky vlastní</t>
  </si>
  <si>
    <t>Neinv.transfery příspěv.a podob. org.</t>
  </si>
  <si>
    <t>Ostatní  běžné  výdaje</t>
  </si>
  <si>
    <t>p. 5141</t>
  </si>
  <si>
    <t>p. 5366</t>
  </si>
  <si>
    <t>p. 5321</t>
  </si>
  <si>
    <t>p. 533x</t>
  </si>
  <si>
    <t>zbýv. tř. 5</t>
  </si>
  <si>
    <t>tř.5</t>
  </si>
  <si>
    <t>p.5141</t>
  </si>
  <si>
    <t>p.5366</t>
  </si>
  <si>
    <t>p.5321</t>
  </si>
  <si>
    <t>p.533x</t>
  </si>
  <si>
    <t>zbýv.pol.tř.5</t>
  </si>
  <si>
    <t>s tab. Př. A výd.</t>
  </si>
  <si>
    <t>tř. 5</t>
  </si>
  <si>
    <t>K A P I T Á L O V É      V Ý D A J E</t>
  </si>
  <si>
    <t>str. 3.2</t>
  </si>
  <si>
    <t>K A P I T Á L O V É     V Ý D A J E</t>
  </si>
  <si>
    <t xml:space="preserve">žáků MŠ a ZŠ </t>
  </si>
  <si>
    <t>P ř í j m y   z   p r o d e j e    d l o u h o d o b é h o    m a j e t k u  (kromě drobného)</t>
  </si>
  <si>
    <t xml:space="preserve">   O D  K R A J E</t>
  </si>
  <si>
    <t>p. 4122</t>
  </si>
  <si>
    <t>p. 4222</t>
  </si>
  <si>
    <t>p. 4216</t>
  </si>
  <si>
    <t>Ostatní investiční přijaté</t>
  </si>
  <si>
    <t>p. 8123</t>
  </si>
  <si>
    <t xml:space="preserve">Změna stavu krátkodobých prostředků </t>
  </si>
  <si>
    <t>na bankovních účtech</t>
  </si>
  <si>
    <t xml:space="preserve">Dlouhodobě přijaté půjčené </t>
  </si>
  <si>
    <t>prostředky od města</t>
  </si>
  <si>
    <t>prostředky - úvěry</t>
  </si>
  <si>
    <t>Uhrazené splátky dlouhodobých</t>
  </si>
  <si>
    <t>přijatých prostředků od města</t>
  </si>
  <si>
    <t>přijatých prostředků - úvěry</t>
  </si>
  <si>
    <t>p. 8124</t>
  </si>
  <si>
    <t>p.214x</t>
  </si>
  <si>
    <t>F I N A N C O VÁ N Í</t>
  </si>
  <si>
    <t>od jiných MČ, od jiných obcí</t>
  </si>
  <si>
    <t>OD  MEZINÁRODNÍCH INSTITUCÍ</t>
  </si>
  <si>
    <t>p. 4152</t>
  </si>
  <si>
    <t>Přijaté transfery</t>
  </si>
  <si>
    <t>T R A N S F E R Y     -     neinvestiční</t>
  </si>
  <si>
    <t>N   E  I  N  V  E  S  T  I  Č  N  Í     P  Ř  I   J  A  T  É     T  R  A  N  S  F  E  R  Y              O D   O B C Í</t>
  </si>
  <si>
    <t>Investiční přijaté transfery z všeob.</t>
  </si>
  <si>
    <t>transfery ze státního rozpočtu</t>
  </si>
  <si>
    <t>Investiční přijaté transfery od krajů</t>
  </si>
  <si>
    <t>Neinv. transfery obcím, MČ a MMB</t>
  </si>
  <si>
    <t>ostatní transfery ze SR</t>
  </si>
  <si>
    <t>skutečnost</t>
  </si>
  <si>
    <t>p. 2226</t>
  </si>
  <si>
    <t>kapitálové příjmy celkem</t>
  </si>
  <si>
    <t>Vlastní příjmy celkem</t>
  </si>
  <si>
    <t>1 + 2 + 3</t>
  </si>
  <si>
    <t xml:space="preserve">Investiční přijaté transfery </t>
  </si>
  <si>
    <t>Přijaté transfery celkem</t>
  </si>
  <si>
    <t>bez konsol. Položek</t>
  </si>
  <si>
    <t>bez konsol položek</t>
  </si>
  <si>
    <t>transfery</t>
  </si>
  <si>
    <t>příjmy</t>
  </si>
  <si>
    <t>p. 5366 mezi krajem a obcemi</t>
  </si>
  <si>
    <t>daňové příjmy</t>
  </si>
  <si>
    <t>kontrola</t>
  </si>
  <si>
    <t>financování celkem</t>
  </si>
  <si>
    <t>čerpání</t>
  </si>
  <si>
    <t>bilance</t>
  </si>
  <si>
    <t>Fin. prostředky městských částí (účet 231 + 236)</t>
  </si>
  <si>
    <t xml:space="preserve">                str. 4</t>
  </si>
  <si>
    <t>P R O V O Z N Í     V Ý D A J E</t>
  </si>
  <si>
    <t>P  R  O  V  O  Z  N  Í        V  Ý  D  A  J  E</t>
  </si>
  <si>
    <t>K  A  P  I  T  Á  L  O  V  É       V  Ý  D  A  J  E</t>
  </si>
  <si>
    <t xml:space="preserve">N     E     I     N     V     E     S     T     I     Č     N     Í                    P     Ř     I     J     A     T     É                    T     R    A    N    S    F    E    R    Y </t>
  </si>
  <si>
    <t>T R A N S F E R Y - převody z vlastních fondů a investiční transfery</t>
  </si>
  <si>
    <t>Investiční transfery od města</t>
  </si>
  <si>
    <t>p. 5367 s městem</t>
  </si>
  <si>
    <t>zbývající pol. třídy 5</t>
  </si>
  <si>
    <t>k 30.6.2008</t>
  </si>
  <si>
    <t>DPPO - rozpočtová činnost</t>
  </si>
  <si>
    <t>VHČ</t>
  </si>
  <si>
    <t>Výdaje z fin. vypořádání r.2007</t>
  </si>
  <si>
    <t>k 30.9.</t>
  </si>
  <si>
    <t>za vstupného</t>
  </si>
  <si>
    <t>za provozovaný výherní hrací automat</t>
  </si>
  <si>
    <t>p. 4240</t>
  </si>
  <si>
    <t>ze státních finančních aktiv</t>
  </si>
  <si>
    <t>k 31.12.2008</t>
  </si>
  <si>
    <t>k 31.12.</t>
  </si>
  <si>
    <t>k 31. 12.</t>
  </si>
  <si>
    <t>str. 2.2</t>
  </si>
  <si>
    <t>str. 2.2.a</t>
  </si>
  <si>
    <t xml:space="preserve">              str. 3   </t>
  </si>
  <si>
    <t xml:space="preserve"> T  R A N S F E R Y    -     neinvestiční     -     2. část</t>
  </si>
  <si>
    <t>Investiční transfery z rozpočtu města</t>
  </si>
  <si>
    <t>k 31.12.2009</t>
  </si>
  <si>
    <t xml:space="preserve">       Jiné nedaňové příjmy</t>
  </si>
  <si>
    <t xml:space="preserve">Aktivní krátkodobé operace </t>
  </si>
  <si>
    <t>řízení likvidity</t>
  </si>
  <si>
    <t xml:space="preserve">Aktivní dlouhodobé operace </t>
  </si>
  <si>
    <t>p. 8117, 8118</t>
  </si>
  <si>
    <t>p. 8127, 8128</t>
  </si>
  <si>
    <t xml:space="preserve">                                        v tis. Kč</t>
  </si>
  <si>
    <t>p. 4151</t>
  </si>
  <si>
    <t>Neinvestiční přijaté transfery od cizích států</t>
  </si>
  <si>
    <t>v Kč</t>
  </si>
  <si>
    <t>zbývající pol. třídy 2</t>
  </si>
  <si>
    <t xml:space="preserve"> v  tom  :</t>
  </si>
  <si>
    <t xml:space="preserve"> v  tom (zdroj) :</t>
  </si>
  <si>
    <t>(s ORG, ÚZ, bez označení)</t>
  </si>
  <si>
    <t>rozpočtu státních fondů a Jihomoravského kraje</t>
  </si>
  <si>
    <t>Ostatní kapitálové výdaje</t>
  </si>
  <si>
    <t>a jiných MČ</t>
  </si>
  <si>
    <t>kontrola k 31.12.2009</t>
  </si>
  <si>
    <t>231+236</t>
  </si>
  <si>
    <t xml:space="preserve">                 str. 2.4</t>
  </si>
  <si>
    <t xml:space="preserve">                         str. 2.5 </t>
  </si>
  <si>
    <t>str. 2.5a</t>
  </si>
  <si>
    <t xml:space="preserve">str. 2.6 </t>
  </si>
  <si>
    <t>PLNĚNÍ  ROZPOČTŮ  MĚSTSKÝCH   ČASTÍ  LEDEN  - PROSINEC 2010</t>
  </si>
  <si>
    <t>PLNĚNÍ  ROZPOČTŮ  MĚSTSKÝCH   ČASTÍ  LEDEN - PROSINEC 2010</t>
  </si>
  <si>
    <t>PLNĚNÍ  ROZPOČTŮ  MĚSTSKÝCH   ČÁSTÍ  LEDEN - PROSINEC 2010</t>
  </si>
  <si>
    <t>ČERPÁNÍ ROZPOČTŮ  MĚSTSKÝCH   ČASTÍ  LEDEN  - PROSINEC 2010</t>
  </si>
  <si>
    <t>ČERPÁNÍ  ROZPOČTŮ  MĚSTSKÝCH   ČASTÍ  LEDEN - PROSINEC 2010</t>
  </si>
  <si>
    <t>rok   2010</t>
  </si>
  <si>
    <t>k 31.12.2010</t>
  </si>
  <si>
    <t>Výdaje z fin. vypořádání r.2010</t>
  </si>
  <si>
    <t>vhč</t>
  </si>
  <si>
    <t>rozp.</t>
  </si>
  <si>
    <t xml:space="preserve">       Finanční vypořádání r. 2009</t>
  </si>
  <si>
    <t>(včetně FV 2009)</t>
  </si>
  <si>
    <t>Brno-střed</t>
  </si>
  <si>
    <t>Brno-Bohunice</t>
  </si>
  <si>
    <t>Brno-Starý Lískovec</t>
  </si>
  <si>
    <t>Brno-Nový Lískovec</t>
  </si>
  <si>
    <t>Brno-Kohoutovice</t>
  </si>
  <si>
    <t>Brno-Bosonohy</t>
  </si>
  <si>
    <t>Brno-Žabovřesky</t>
  </si>
  <si>
    <t>Brno-Bystrc</t>
  </si>
  <si>
    <t>Brno-Kníničky</t>
  </si>
  <si>
    <t>Brno-Komín</t>
  </si>
  <si>
    <t>Brno-Jundrov</t>
  </si>
  <si>
    <t>Brno-Žebětín</t>
  </si>
  <si>
    <t>Brno-sever</t>
  </si>
  <si>
    <t>Brno-Maloměřice a Obřany</t>
  </si>
  <si>
    <t>Brno-Židenice</t>
  </si>
  <si>
    <t>Brno-Černovice</t>
  </si>
  <si>
    <t>Brno-jih</t>
  </si>
  <si>
    <t>Brno-Vinohrady</t>
  </si>
  <si>
    <t>Brno-Líšeň</t>
  </si>
  <si>
    <t>Brno-Slatina</t>
  </si>
  <si>
    <t>Brno-Tuřany</t>
  </si>
  <si>
    <t>Brno-Chrlice</t>
  </si>
  <si>
    <t>Brno-Královo Pole</t>
  </si>
  <si>
    <t>Brno-Medlánky</t>
  </si>
  <si>
    <t>Brno-Řečkovice a Mokrá Hora</t>
  </si>
  <si>
    <t>Brno-Ivanovice</t>
  </si>
  <si>
    <t>Brno-Jehnice</t>
  </si>
  <si>
    <t>Brno-Ořešín</t>
  </si>
  <si>
    <t>Brno-Útěchov</t>
  </si>
  <si>
    <t>100Jehnice</t>
  </si>
  <si>
    <t>sap</t>
  </si>
  <si>
    <t>sap 4* po konsol.</t>
  </si>
  <si>
    <t>Skut.</t>
  </si>
  <si>
    <t>Nedaňové příjmy celkem</t>
  </si>
  <si>
    <t>SAP</t>
  </si>
  <si>
    <t>příjmy 2010</t>
  </si>
  <si>
    <t>2009 bilance</t>
  </si>
  <si>
    <t>pokles o</t>
  </si>
  <si>
    <t>Výnosy z finančního majetku</t>
  </si>
  <si>
    <t>p. 8115, 8901</t>
  </si>
  <si>
    <t xml:space="preserve">Transfery poskytnuté ze státního rozpočtu, </t>
  </si>
  <si>
    <t>236.0010</t>
  </si>
  <si>
    <t>Městská část</t>
  </si>
  <si>
    <t>p. 134x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</si>
</sst>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_);\(#,##0\)"/>
    <numFmt numFmtId="166" formatCode="#,##0.0_);\(#,##0.0\)"/>
    <numFmt numFmtId="167" formatCode="#,##0.0"/>
    <numFmt numFmtId="168" formatCode="0.0E+00"/>
    <numFmt numFmtId="169" formatCode="0;[Red]0"/>
    <numFmt numFmtId="170" formatCode="0.0"/>
    <numFmt numFmtId="171" formatCode="#,##0_ ;\-#,##0\ "/>
    <numFmt numFmtId="172" formatCode="#,##0\ _K_č"/>
    <numFmt numFmtId="173" formatCode="0.E+00"/>
    <numFmt numFmtId="174" formatCode="#,##0;[Red]#,##0"/>
    <numFmt numFmtId="175" formatCode="#,##0.0_ ;\-#,##0.0\ "/>
    <numFmt numFmtId="176" formatCode="0.00_ ;\-0.00\ "/>
    <numFmt numFmtId="177" formatCode="0_ ;\-0\ "/>
    <numFmt numFmtId="178" formatCode="##,#0_;#,##0"/>
    <numFmt numFmtId="179" formatCode="#,##0.000"/>
    <numFmt numFmtId="180" formatCode="0.000"/>
    <numFmt numFmtId="181" formatCode="#,##0.00000000"/>
  </numFmts>
  <fonts count="37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u val="single"/>
      <sz val="10.45"/>
      <color indexed="12"/>
      <name val="Arial CE"/>
      <family val="0"/>
    </font>
    <font>
      <u val="single"/>
      <sz val="10.45"/>
      <color indexed="36"/>
      <name val="Arial CE"/>
      <family val="0"/>
    </font>
    <font>
      <sz val="12"/>
      <name val="Times New Roman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sz val="10"/>
      <name val="Times New Roman CE"/>
      <family val="0"/>
    </font>
    <font>
      <b/>
      <sz val="11"/>
      <name val="Times New Roman CE"/>
      <family val="0"/>
    </font>
    <font>
      <sz val="12"/>
      <name val="Times New Roman"/>
      <family val="1"/>
    </font>
    <font>
      <b/>
      <sz val="12"/>
      <name val="Times New Roman CE"/>
      <family val="0"/>
    </font>
    <font>
      <b/>
      <sz val="18"/>
      <name val="Times New Roman CE"/>
      <family val="0"/>
    </font>
    <font>
      <b/>
      <sz val="16"/>
      <name val="Times New Roman CE"/>
      <family val="0"/>
    </font>
    <font>
      <sz val="14"/>
      <name val="Times New Roman CE"/>
      <family val="0"/>
    </font>
    <font>
      <b/>
      <sz val="14"/>
      <name val="Times New Roman CE"/>
      <family val="0"/>
    </font>
    <font>
      <b/>
      <sz val="10"/>
      <name val="Times New Roman CE"/>
      <family val="0"/>
    </font>
    <font>
      <sz val="11"/>
      <name val="Times New Roman CE"/>
      <family val="0"/>
    </font>
    <font>
      <b/>
      <sz val="13"/>
      <name val="Times New Roman CE"/>
      <family val="0"/>
    </font>
    <font>
      <b/>
      <u val="single"/>
      <sz val="12"/>
      <name val="Times New Roman CE"/>
      <family val="0"/>
    </font>
    <font>
      <sz val="8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.5"/>
      <name val="Times New Roman CE"/>
      <family val="0"/>
    </font>
    <font>
      <u val="single"/>
      <sz val="12"/>
      <name val="Times New Roman CE"/>
      <family val="0"/>
    </font>
    <font>
      <u val="single"/>
      <sz val="14"/>
      <name val="Times New Roman CE"/>
      <family val="0"/>
    </font>
    <font>
      <b/>
      <sz val="12"/>
      <name val="Arial CE"/>
      <family val="0"/>
    </font>
    <font>
      <b/>
      <sz val="12"/>
      <color indexed="8"/>
      <name val="Times New Roman CE"/>
      <family val="1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3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36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3" fontId="1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12" fillId="0" borderId="2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6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1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166" fontId="5" fillId="0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5" fillId="0" borderId="2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12" fillId="0" borderId="3" xfId="0" applyFont="1" applyFill="1" applyBorder="1" applyAlignment="1">
      <alignment horizontal="center"/>
    </xf>
    <xf numFmtId="0" fontId="15" fillId="0" borderId="3" xfId="0" applyFont="1" applyFill="1" applyBorder="1" applyAlignment="1" applyProtection="1">
      <alignment horizontal="centerContinuous"/>
      <protection hidden="1"/>
    </xf>
    <xf numFmtId="0" fontId="12" fillId="0" borderId="18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0" fontId="12" fillId="0" borderId="20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Continuous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165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centerContinuous"/>
    </xf>
    <xf numFmtId="0" fontId="12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12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5" fillId="0" borderId="25" xfId="0" applyFont="1" applyFill="1" applyBorder="1" applyAlignment="1">
      <alignment horizontal="centerContinuous"/>
    </xf>
    <xf numFmtId="0" fontId="12" fillId="0" borderId="26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Continuous"/>
    </xf>
    <xf numFmtId="0" fontId="12" fillId="0" borderId="29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0" fontId="5" fillId="0" borderId="31" xfId="0" applyFont="1" applyFill="1" applyBorder="1" applyAlignment="1">
      <alignment horizontal="centerContinuous"/>
    </xf>
    <xf numFmtId="0" fontId="5" fillId="0" borderId="6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Alignment="1" applyProtection="1">
      <alignment horizontal="center"/>
      <protection/>
    </xf>
    <xf numFmtId="3" fontId="5" fillId="0" borderId="0" xfId="0" applyNumberFormat="1" applyFont="1" applyFill="1" applyAlignment="1">
      <alignment horizontal="center"/>
    </xf>
    <xf numFmtId="0" fontId="12" fillId="0" borderId="32" xfId="0" applyFont="1" applyFill="1" applyBorder="1" applyAlignment="1">
      <alignment horizontal="centerContinuous"/>
    </xf>
    <xf numFmtId="0" fontId="12" fillId="0" borderId="33" xfId="0" applyFont="1" applyFill="1" applyBorder="1" applyAlignment="1">
      <alignment horizontal="centerContinuous"/>
    </xf>
    <xf numFmtId="0" fontId="5" fillId="0" borderId="33" xfId="0" applyFont="1" applyFill="1" applyBorder="1" applyAlignment="1">
      <alignment horizontal="centerContinuous"/>
    </xf>
    <xf numFmtId="0" fontId="5" fillId="0" borderId="34" xfId="0" applyFont="1" applyFill="1" applyBorder="1" applyAlignment="1">
      <alignment horizontal="centerContinuous"/>
    </xf>
    <xf numFmtId="166" fontId="16" fillId="0" borderId="0" xfId="0" applyNumberFormat="1" applyFont="1" applyFill="1" applyBorder="1" applyAlignment="1" applyProtection="1">
      <alignment/>
      <protection/>
    </xf>
    <xf numFmtId="166" fontId="15" fillId="0" borderId="0" xfId="0" applyNumberFormat="1" applyFont="1" applyFill="1" applyBorder="1" applyAlignment="1" applyProtection="1">
      <alignment/>
      <protection/>
    </xf>
    <xf numFmtId="0" fontId="12" fillId="0" borderId="35" xfId="0" applyFont="1" applyFill="1" applyBorder="1" applyAlignment="1">
      <alignment horizontal="centerContinuous"/>
    </xf>
    <xf numFmtId="0" fontId="5" fillId="0" borderId="36" xfId="0" applyFont="1" applyFill="1" applyBorder="1" applyAlignment="1">
      <alignment horizontal="centerContinuous"/>
    </xf>
    <xf numFmtId="0" fontId="5" fillId="0" borderId="37" xfId="0" applyFont="1" applyFill="1" applyBorder="1" applyAlignment="1">
      <alignment horizontal="centerContinuous"/>
    </xf>
    <xf numFmtId="0" fontId="12" fillId="0" borderId="36" xfId="0" applyFont="1" applyFill="1" applyBorder="1" applyAlignment="1">
      <alignment horizontal="centerContinuous"/>
    </xf>
    <xf numFmtId="0" fontId="12" fillId="0" borderId="38" xfId="0" applyFont="1" applyFill="1" applyBorder="1" applyAlignment="1">
      <alignment horizontal="centerContinuous"/>
    </xf>
    <xf numFmtId="0" fontId="5" fillId="0" borderId="24" xfId="0" applyFont="1" applyFill="1" applyBorder="1" applyAlignment="1">
      <alignment horizontal="centerContinuous"/>
    </xf>
    <xf numFmtId="0" fontId="5" fillId="0" borderId="39" xfId="0" applyFont="1" applyFill="1" applyBorder="1" applyAlignment="1">
      <alignment horizontal="centerContinuous"/>
    </xf>
    <xf numFmtId="0" fontId="12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/>
    </xf>
    <xf numFmtId="0" fontId="12" fillId="0" borderId="40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12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Continuous"/>
    </xf>
    <xf numFmtId="0" fontId="5" fillId="0" borderId="44" xfId="0" applyFont="1" applyFill="1" applyBorder="1" applyAlignment="1">
      <alignment horizontal="centerContinuous"/>
    </xf>
    <xf numFmtId="0" fontId="12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Continuous"/>
    </xf>
    <xf numFmtId="0" fontId="5" fillId="0" borderId="41" xfId="0" applyFont="1" applyFill="1" applyBorder="1" applyAlignment="1">
      <alignment horizontal="centerContinuous"/>
    </xf>
    <xf numFmtId="0" fontId="12" fillId="0" borderId="47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3" fontId="15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left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Continuous"/>
    </xf>
    <xf numFmtId="0" fontId="16" fillId="0" borderId="5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/>
    </xf>
    <xf numFmtId="0" fontId="12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55" xfId="0" applyFont="1" applyFill="1" applyBorder="1" applyAlignment="1">
      <alignment/>
    </xf>
    <xf numFmtId="0" fontId="12" fillId="0" borderId="60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Continuous"/>
    </xf>
    <xf numFmtId="0" fontId="5" fillId="0" borderId="55" xfId="0" applyFont="1" applyFill="1" applyBorder="1" applyAlignment="1">
      <alignment horizontal="centerContinuous"/>
    </xf>
    <xf numFmtId="0" fontId="12" fillId="0" borderId="63" xfId="0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67" xfId="0" applyFont="1" applyFill="1" applyBorder="1" applyAlignment="1">
      <alignment horizontal="centerContinuous"/>
    </xf>
    <xf numFmtId="0" fontId="5" fillId="0" borderId="68" xfId="0" applyFont="1" applyFill="1" applyBorder="1" applyAlignment="1">
      <alignment horizontal="centerContinuous"/>
    </xf>
    <xf numFmtId="0" fontId="12" fillId="0" borderId="19" xfId="0" applyFont="1" applyFill="1" applyBorder="1" applyAlignment="1">
      <alignment horizontal="centerContinuous"/>
    </xf>
    <xf numFmtId="0" fontId="5" fillId="0" borderId="69" xfId="0" applyFont="1" applyFill="1" applyBorder="1" applyAlignment="1">
      <alignment horizontal="centerContinuous"/>
    </xf>
    <xf numFmtId="0" fontId="12" fillId="0" borderId="70" xfId="0" applyFont="1" applyFill="1" applyBorder="1" applyAlignment="1">
      <alignment horizontal="centerContinuous"/>
    </xf>
    <xf numFmtId="0" fontId="12" fillId="0" borderId="56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centerContinuous"/>
    </xf>
    <xf numFmtId="0" fontId="5" fillId="0" borderId="71" xfId="0" applyFont="1" applyFill="1" applyBorder="1" applyAlignment="1">
      <alignment horizontal="centerContinuous"/>
    </xf>
    <xf numFmtId="0" fontId="12" fillId="0" borderId="25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166" fontId="19" fillId="0" borderId="0" xfId="0" applyNumberFormat="1" applyFont="1" applyFill="1" applyBorder="1" applyAlignment="1" applyProtection="1">
      <alignment horizontal="left"/>
      <protection/>
    </xf>
    <xf numFmtId="166" fontId="22" fillId="0" borderId="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right"/>
      <protection/>
    </xf>
    <xf numFmtId="0" fontId="12" fillId="0" borderId="24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12" fillId="0" borderId="73" xfId="0" applyFont="1" applyFill="1" applyBorder="1" applyAlignment="1">
      <alignment horizontal="centerContinuous"/>
    </xf>
    <xf numFmtId="0" fontId="5" fillId="0" borderId="74" xfId="0" applyFont="1" applyFill="1" applyBorder="1" applyAlignment="1">
      <alignment horizontal="center"/>
    </xf>
    <xf numFmtId="0" fontId="5" fillId="0" borderId="75" xfId="0" applyFont="1" applyFill="1" applyBorder="1" applyAlignment="1">
      <alignment/>
    </xf>
    <xf numFmtId="0" fontId="11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left"/>
    </xf>
    <xf numFmtId="0" fontId="25" fillId="0" borderId="76" xfId="0" applyFont="1" applyFill="1" applyBorder="1" applyAlignment="1">
      <alignment horizontal="center"/>
    </xf>
    <xf numFmtId="0" fontId="25" fillId="0" borderId="76" xfId="0" applyFont="1" applyFill="1" applyBorder="1" applyAlignment="1">
      <alignment/>
    </xf>
    <xf numFmtId="3" fontId="11" fillId="0" borderId="76" xfId="0" applyNumberFormat="1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8" fillId="0" borderId="6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11" fillId="0" borderId="56" xfId="0" applyFont="1" applyFill="1" applyBorder="1" applyAlignment="1">
      <alignment horizontal="centerContinuous"/>
    </xf>
    <xf numFmtId="0" fontId="8" fillId="0" borderId="3" xfId="0" applyFont="1" applyFill="1" applyBorder="1" applyAlignment="1">
      <alignment horizontal="centerContinuous"/>
    </xf>
    <xf numFmtId="0" fontId="11" fillId="0" borderId="3" xfId="0" applyFont="1" applyFill="1" applyBorder="1" applyAlignment="1">
      <alignment horizontal="centerContinuous"/>
    </xf>
    <xf numFmtId="0" fontId="11" fillId="0" borderId="4" xfId="0" applyFont="1" applyFill="1" applyBorder="1" applyAlignment="1">
      <alignment horizontal="centerContinuous"/>
    </xf>
    <xf numFmtId="0" fontId="25" fillId="0" borderId="0" xfId="0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77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7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5" fillId="0" borderId="56" xfId="0" applyFont="1" applyFill="1" applyBorder="1" applyAlignment="1">
      <alignment horizontal="centerContinuous"/>
    </xf>
    <xf numFmtId="0" fontId="12" fillId="0" borderId="79" xfId="0" applyFont="1" applyFill="1" applyBorder="1" applyAlignment="1">
      <alignment horizontal="center"/>
    </xf>
    <xf numFmtId="0" fontId="12" fillId="0" borderId="80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14" fontId="12" fillId="0" borderId="8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5" fillId="0" borderId="0" xfId="0" applyNumberFormat="1" applyFont="1" applyFill="1" applyAlignment="1">
      <alignment/>
    </xf>
    <xf numFmtId="0" fontId="12" fillId="0" borderId="12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54" xfId="0" applyFont="1" applyFill="1" applyBorder="1" applyAlignment="1">
      <alignment/>
    </xf>
    <xf numFmtId="0" fontId="5" fillId="0" borderId="83" xfId="0" applyFont="1" applyFill="1" applyBorder="1" applyAlignment="1">
      <alignment/>
    </xf>
    <xf numFmtId="0" fontId="5" fillId="0" borderId="84" xfId="0" applyFont="1" applyFill="1" applyBorder="1" applyAlignment="1">
      <alignment/>
    </xf>
    <xf numFmtId="0" fontId="12" fillId="0" borderId="0" xfId="0" applyFont="1" applyFill="1" applyAlignment="1">
      <alignment horizontal="centerContinuous"/>
    </xf>
    <xf numFmtId="0" fontId="16" fillId="0" borderId="4" xfId="0" applyFont="1" applyFill="1" applyBorder="1" applyAlignment="1">
      <alignment horizontal="centerContinuous"/>
    </xf>
    <xf numFmtId="0" fontId="12" fillId="0" borderId="85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83" xfId="0" applyFont="1" applyFill="1" applyBorder="1" applyAlignment="1">
      <alignment horizontal="centerContinuous"/>
    </xf>
    <xf numFmtId="0" fontId="12" fillId="0" borderId="86" xfId="0" applyFont="1" applyFill="1" applyBorder="1" applyAlignment="1">
      <alignment horizontal="centerContinuous"/>
    </xf>
    <xf numFmtId="0" fontId="12" fillId="0" borderId="87" xfId="0" applyFont="1" applyFill="1" applyBorder="1" applyAlignment="1">
      <alignment horizontal="center"/>
    </xf>
    <xf numFmtId="0" fontId="12" fillId="0" borderId="88" xfId="0" applyFont="1" applyFill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12" fillId="0" borderId="90" xfId="0" applyFont="1" applyFill="1" applyBorder="1" applyAlignment="1">
      <alignment horizontal="centerContinuous"/>
    </xf>
    <xf numFmtId="0" fontId="5" fillId="0" borderId="91" xfId="0" applyFont="1" applyFill="1" applyBorder="1" applyAlignment="1">
      <alignment horizontal="centerContinuous"/>
    </xf>
    <xf numFmtId="0" fontId="12" fillId="0" borderId="92" xfId="0" applyFont="1" applyFill="1" applyBorder="1" applyAlignment="1">
      <alignment horizontal="center"/>
    </xf>
    <xf numFmtId="0" fontId="12" fillId="0" borderId="93" xfId="0" applyFont="1" applyFill="1" applyBorder="1" applyAlignment="1">
      <alignment horizontal="center"/>
    </xf>
    <xf numFmtId="0" fontId="12" fillId="0" borderId="94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33" fillId="0" borderId="0" xfId="0" applyFont="1" applyFill="1" applyAlignment="1">
      <alignment horizontal="left"/>
    </xf>
    <xf numFmtId="0" fontId="12" fillId="0" borderId="84" xfId="0" applyFont="1" applyFill="1" applyBorder="1" applyAlignment="1">
      <alignment horizontal="centerContinuous"/>
    </xf>
    <xf numFmtId="0" fontId="5" fillId="0" borderId="84" xfId="0" applyFont="1" applyFill="1" applyBorder="1" applyAlignment="1">
      <alignment horizontal="centerContinuous"/>
    </xf>
    <xf numFmtId="0" fontId="12" fillId="0" borderId="95" xfId="0" applyFont="1" applyFill="1" applyBorder="1" applyAlignment="1">
      <alignment/>
    </xf>
    <xf numFmtId="0" fontId="5" fillId="0" borderId="95" xfId="0" applyFont="1" applyFill="1" applyBorder="1" applyAlignment="1">
      <alignment/>
    </xf>
    <xf numFmtId="0" fontId="12" fillId="0" borderId="95" xfId="0" applyFont="1" applyFill="1" applyBorder="1" applyAlignment="1">
      <alignment horizontal="center"/>
    </xf>
    <xf numFmtId="0" fontId="5" fillId="0" borderId="96" xfId="0" applyFont="1" applyFill="1" applyBorder="1" applyAlignment="1">
      <alignment/>
    </xf>
    <xf numFmtId="0" fontId="12" fillId="0" borderId="97" xfId="0" applyFont="1" applyFill="1" applyBorder="1" applyAlignment="1">
      <alignment horizontal="centerContinuous"/>
    </xf>
    <xf numFmtId="0" fontId="12" fillId="0" borderId="98" xfId="0" applyFont="1" applyFill="1" applyBorder="1" applyAlignment="1">
      <alignment horizontal="centerContinuous"/>
    </xf>
    <xf numFmtId="0" fontId="5" fillId="0" borderId="98" xfId="0" applyFont="1" applyFill="1" applyBorder="1" applyAlignment="1">
      <alignment horizontal="centerContinuous"/>
    </xf>
    <xf numFmtId="0" fontId="5" fillId="0" borderId="99" xfId="0" applyFont="1" applyFill="1" applyBorder="1" applyAlignment="1">
      <alignment horizontal="centerContinuous"/>
    </xf>
    <xf numFmtId="0" fontId="5" fillId="0" borderId="90" xfId="0" applyFont="1" applyFill="1" applyBorder="1" applyAlignment="1">
      <alignment/>
    </xf>
    <xf numFmtId="0" fontId="12" fillId="0" borderId="100" xfId="0" applyFont="1" applyFill="1" applyBorder="1" applyAlignment="1">
      <alignment horizontal="centerContinuous"/>
    </xf>
    <xf numFmtId="0" fontId="5" fillId="0" borderId="101" xfId="0" applyFont="1" applyFill="1" applyBorder="1" applyAlignment="1">
      <alignment horizontal="centerContinuous"/>
    </xf>
    <xf numFmtId="0" fontId="12" fillId="0" borderId="102" xfId="0" applyFont="1" applyFill="1" applyBorder="1" applyAlignment="1">
      <alignment horizontal="center"/>
    </xf>
    <xf numFmtId="0" fontId="5" fillId="0" borderId="103" xfId="0" applyFont="1" applyFill="1" applyBorder="1" applyAlignment="1">
      <alignment horizontal="center"/>
    </xf>
    <xf numFmtId="0" fontId="5" fillId="0" borderId="104" xfId="0" applyFont="1" applyFill="1" applyBorder="1" applyAlignment="1">
      <alignment horizontal="center"/>
    </xf>
    <xf numFmtId="0" fontId="12" fillId="0" borderId="105" xfId="0" applyFont="1" applyFill="1" applyBorder="1" applyAlignment="1">
      <alignment horizontal="centerContinuous"/>
    </xf>
    <xf numFmtId="0" fontId="5" fillId="0" borderId="66" xfId="0" applyFont="1" applyFill="1" applyBorder="1" applyAlignment="1">
      <alignment horizontal="centerContinuous"/>
    </xf>
    <xf numFmtId="0" fontId="5" fillId="0" borderId="106" xfId="0" applyFont="1" applyFill="1" applyBorder="1" applyAlignment="1">
      <alignment horizontal="center"/>
    </xf>
    <xf numFmtId="0" fontId="5" fillId="0" borderId="107" xfId="0" applyFont="1" applyFill="1" applyBorder="1" applyAlignment="1">
      <alignment/>
    </xf>
    <xf numFmtId="0" fontId="12" fillId="0" borderId="76" xfId="0" applyFont="1" applyFill="1" applyBorder="1" applyAlignment="1">
      <alignment horizontal="left"/>
    </xf>
    <xf numFmtId="0" fontId="12" fillId="0" borderId="108" xfId="0" applyFont="1" applyFill="1" applyBorder="1" applyAlignment="1">
      <alignment horizontal="center"/>
    </xf>
    <xf numFmtId="0" fontId="12" fillId="0" borderId="82" xfId="0" applyFont="1" applyFill="1" applyBorder="1" applyAlignment="1">
      <alignment horizontal="center"/>
    </xf>
    <xf numFmtId="0" fontId="12" fillId="0" borderId="109" xfId="0" applyFont="1" applyFill="1" applyBorder="1" applyAlignment="1">
      <alignment horizontal="center"/>
    </xf>
    <xf numFmtId="0" fontId="12" fillId="0" borderId="110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5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165" fontId="5" fillId="3" borderId="111" xfId="0" applyNumberFormat="1" applyFont="1" applyFill="1" applyBorder="1" applyAlignment="1" applyProtection="1">
      <alignment/>
      <protection/>
    </xf>
    <xf numFmtId="0" fontId="16" fillId="3" borderId="0" xfId="0" applyFont="1" applyFill="1" applyAlignment="1">
      <alignment/>
    </xf>
    <xf numFmtId="165" fontId="5" fillId="3" borderId="0" xfId="0" applyNumberFormat="1" applyFont="1" applyFill="1" applyAlignment="1" applyProtection="1">
      <alignment/>
      <protection/>
    </xf>
    <xf numFmtId="3" fontId="5" fillId="3" borderId="0" xfId="0" applyNumberFormat="1" applyFont="1" applyFill="1" applyAlignment="1">
      <alignment/>
    </xf>
    <xf numFmtId="0" fontId="12" fillId="3" borderId="0" xfId="0" applyFont="1" applyFill="1" applyAlignment="1">
      <alignment horizontal="center"/>
    </xf>
    <xf numFmtId="165" fontId="5" fillId="3" borderId="31" xfId="0" applyNumberFormat="1" applyFont="1" applyFill="1" applyBorder="1" applyAlignment="1" applyProtection="1">
      <alignment/>
      <protection/>
    </xf>
    <xf numFmtId="165" fontId="5" fillId="3" borderId="0" xfId="0" applyNumberFormat="1" applyFont="1" applyFill="1" applyAlignment="1">
      <alignment/>
    </xf>
    <xf numFmtId="3" fontId="12" fillId="3" borderId="0" xfId="0" applyNumberFormat="1" applyFont="1" applyFill="1" applyAlignment="1">
      <alignment/>
    </xf>
    <xf numFmtId="0" fontId="5" fillId="3" borderId="0" xfId="0" applyFont="1" applyFill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3" xfId="0" applyFont="1" applyFill="1" applyBorder="1" applyAlignment="1">
      <alignment/>
    </xf>
    <xf numFmtId="165" fontId="5" fillId="3" borderId="24" xfId="0" applyNumberFormat="1" applyFont="1" applyFill="1" applyBorder="1" applyAlignment="1" applyProtection="1">
      <alignment/>
      <protection/>
    </xf>
    <xf numFmtId="166" fontId="12" fillId="3" borderId="0" xfId="0" applyNumberFormat="1" applyFont="1" applyFill="1" applyBorder="1" applyAlignment="1" applyProtection="1">
      <alignment/>
      <protection/>
    </xf>
    <xf numFmtId="3" fontId="5" fillId="3" borderId="0" xfId="0" applyNumberFormat="1" applyFont="1" applyFill="1" applyBorder="1" applyAlignment="1">
      <alignment/>
    </xf>
    <xf numFmtId="0" fontId="5" fillId="3" borderId="12" xfId="0" applyFont="1" applyFill="1" applyBorder="1" applyAlignment="1">
      <alignment/>
    </xf>
    <xf numFmtId="165" fontId="5" fillId="3" borderId="48" xfId="0" applyNumberFormat="1" applyFont="1" applyFill="1" applyBorder="1" applyAlignment="1" applyProtection="1">
      <alignment/>
      <protection/>
    </xf>
    <xf numFmtId="3" fontId="9" fillId="3" borderId="0" xfId="0" applyNumberFormat="1" applyFont="1" applyFill="1" applyAlignment="1">
      <alignment/>
    </xf>
    <xf numFmtId="3" fontId="18" fillId="3" borderId="0" xfId="0" applyNumberFormat="1" applyFont="1" applyFill="1" applyAlignment="1">
      <alignment/>
    </xf>
    <xf numFmtId="3" fontId="23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0" fontId="11" fillId="3" borderId="0" xfId="0" applyFont="1" applyFill="1" applyAlignment="1">
      <alignment/>
    </xf>
    <xf numFmtId="3" fontId="11" fillId="3" borderId="0" xfId="0" applyNumberFormat="1" applyFont="1" applyFill="1" applyAlignment="1">
      <alignment/>
    </xf>
    <xf numFmtId="3" fontId="29" fillId="3" borderId="0" xfId="0" applyNumberFormat="1" applyFont="1" applyFill="1" applyAlignment="1">
      <alignment/>
    </xf>
    <xf numFmtId="3" fontId="30" fillId="3" borderId="0" xfId="0" applyNumberFormat="1" applyFont="1" applyFill="1" applyAlignment="1">
      <alignment/>
    </xf>
    <xf numFmtId="3" fontId="11" fillId="3" borderId="0" xfId="0" applyNumberFormat="1" applyFont="1" applyFill="1" applyAlignment="1" applyProtection="1">
      <alignment/>
      <protection/>
    </xf>
    <xf numFmtId="3" fontId="5" fillId="3" borderId="23" xfId="0" applyNumberFormat="1" applyFont="1" applyFill="1" applyBorder="1" applyAlignment="1">
      <alignment/>
    </xf>
    <xf numFmtId="0" fontId="20" fillId="3" borderId="0" xfId="0" applyFont="1" applyFill="1" applyAlignment="1">
      <alignment horizontal="center"/>
    </xf>
    <xf numFmtId="0" fontId="5" fillId="3" borderId="112" xfId="0" applyFont="1" applyFill="1" applyBorder="1" applyAlignment="1">
      <alignment horizontal="center"/>
    </xf>
    <xf numFmtId="0" fontId="21" fillId="3" borderId="66" xfId="0" applyFont="1" applyFill="1" applyBorder="1" applyAlignment="1">
      <alignment horizontal="center"/>
    </xf>
    <xf numFmtId="0" fontId="5" fillId="3" borderId="66" xfId="0" applyFont="1" applyFill="1" applyBorder="1" applyAlignment="1">
      <alignment horizontal="center"/>
    </xf>
    <xf numFmtId="167" fontId="5" fillId="3" borderId="24" xfId="0" applyNumberFormat="1" applyFont="1" applyFill="1" applyBorder="1" applyAlignment="1" applyProtection="1">
      <alignment/>
      <protection/>
    </xf>
    <xf numFmtId="0" fontId="23" fillId="3" borderId="23" xfId="0" applyFont="1" applyFill="1" applyBorder="1" applyAlignment="1">
      <alignment horizontal="center"/>
    </xf>
    <xf numFmtId="179" fontId="5" fillId="3" borderId="0" xfId="0" applyNumberFormat="1" applyFont="1" applyFill="1" applyAlignment="1">
      <alignment/>
    </xf>
    <xf numFmtId="0" fontId="21" fillId="3" borderId="0" xfId="0" applyFont="1" applyFill="1" applyAlignment="1">
      <alignment horizontal="center"/>
    </xf>
    <xf numFmtId="179" fontId="5" fillId="3" borderId="23" xfId="0" applyNumberFormat="1" applyFont="1" applyFill="1" applyBorder="1" applyAlignment="1">
      <alignment/>
    </xf>
    <xf numFmtId="170" fontId="12" fillId="3" borderId="14" xfId="0" applyNumberFormat="1" applyFont="1" applyFill="1" applyBorder="1" applyAlignment="1" applyProtection="1">
      <alignment/>
      <protection/>
    </xf>
    <xf numFmtId="3" fontId="5" fillId="3" borderId="113" xfId="0" applyNumberFormat="1" applyFont="1" applyFill="1" applyBorder="1" applyAlignment="1">
      <alignment/>
    </xf>
    <xf numFmtId="3" fontId="5" fillId="3" borderId="114" xfId="0" applyNumberFormat="1" applyFont="1" applyFill="1" applyBorder="1" applyAlignment="1">
      <alignment/>
    </xf>
    <xf numFmtId="3" fontId="5" fillId="3" borderId="115" xfId="0" applyNumberFormat="1" applyFont="1" applyFill="1" applyBorder="1" applyAlignment="1">
      <alignment/>
    </xf>
    <xf numFmtId="165" fontId="9" fillId="3" borderId="0" xfId="0" applyNumberFormat="1" applyFont="1" applyFill="1" applyAlignment="1">
      <alignment/>
    </xf>
    <xf numFmtId="179" fontId="23" fillId="3" borderId="0" xfId="0" applyNumberFormat="1" applyFont="1" applyFill="1" applyAlignment="1">
      <alignment/>
    </xf>
    <xf numFmtId="0" fontId="5" fillId="3" borderId="66" xfId="0" applyFont="1" applyFill="1" applyBorder="1" applyAlignment="1">
      <alignment/>
    </xf>
    <xf numFmtId="0" fontId="12" fillId="3" borderId="23" xfId="0" applyFont="1" applyFill="1" applyBorder="1" applyAlignment="1">
      <alignment horizontal="center"/>
    </xf>
    <xf numFmtId="0" fontId="20" fillId="3" borderId="23" xfId="0" applyFont="1" applyFill="1" applyBorder="1" applyAlignment="1">
      <alignment horizontal="center"/>
    </xf>
    <xf numFmtId="165" fontId="5" fillId="3" borderId="23" xfId="0" applyNumberFormat="1" applyFont="1" applyFill="1" applyBorder="1" applyAlignment="1">
      <alignment/>
    </xf>
    <xf numFmtId="3" fontId="5" fillId="3" borderId="0" xfId="0" applyNumberFormat="1" applyFont="1" applyFill="1" applyBorder="1" applyAlignment="1" applyProtection="1">
      <alignment horizontal="right"/>
      <protection/>
    </xf>
    <xf numFmtId="3" fontId="21" fillId="3" borderId="0" xfId="0" applyNumberFormat="1" applyFont="1" applyFill="1" applyAlignment="1">
      <alignment/>
    </xf>
    <xf numFmtId="165" fontId="5" fillId="0" borderId="116" xfId="0" applyNumberFormat="1" applyFont="1" applyFill="1" applyBorder="1" applyAlignment="1" applyProtection="1">
      <alignment/>
      <protection/>
    </xf>
    <xf numFmtId="165" fontId="5" fillId="0" borderId="111" xfId="0" applyNumberFormat="1" applyFont="1" applyFill="1" applyBorder="1" applyAlignment="1" applyProtection="1">
      <alignment/>
      <protection/>
    </xf>
    <xf numFmtId="0" fontId="5" fillId="0" borderId="38" xfId="0" applyFont="1" applyFill="1" applyBorder="1" applyAlignment="1">
      <alignment/>
    </xf>
    <xf numFmtId="0" fontId="12" fillId="0" borderId="39" xfId="0" applyFont="1" applyFill="1" applyBorder="1" applyAlignment="1">
      <alignment/>
    </xf>
    <xf numFmtId="0" fontId="5" fillId="0" borderId="111" xfId="0" applyFont="1" applyFill="1" applyBorder="1" applyAlignment="1">
      <alignment/>
    </xf>
    <xf numFmtId="166" fontId="12" fillId="0" borderId="117" xfId="0" applyNumberFormat="1" applyFont="1" applyFill="1" applyBorder="1" applyAlignment="1" applyProtection="1">
      <alignment/>
      <protection/>
    </xf>
    <xf numFmtId="3" fontId="5" fillId="0" borderId="111" xfId="0" applyNumberFormat="1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166" fontId="12" fillId="0" borderId="49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Alignment="1" applyProtection="1">
      <alignment/>
      <protection/>
    </xf>
    <xf numFmtId="165" fontId="5" fillId="0" borderId="29" xfId="0" applyNumberFormat="1" applyFont="1" applyFill="1" applyBorder="1" applyAlignment="1" applyProtection="1">
      <alignment/>
      <protection/>
    </xf>
    <xf numFmtId="165" fontId="5" fillId="0" borderId="30" xfId="0" applyNumberFormat="1" applyFont="1" applyFill="1" applyBorder="1" applyAlignment="1" applyProtection="1">
      <alignment/>
      <protection/>
    </xf>
    <xf numFmtId="166" fontId="12" fillId="0" borderId="31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8" fillId="0" borderId="0" xfId="0" applyNumberFormat="1" applyFont="1" applyFill="1" applyAlignment="1" applyProtection="1">
      <alignment/>
      <protection/>
    </xf>
    <xf numFmtId="171" fontId="5" fillId="0" borderId="111" xfId="0" applyNumberFormat="1" applyFont="1" applyFill="1" applyBorder="1" applyAlignment="1" applyProtection="1">
      <alignment/>
      <protection/>
    </xf>
    <xf numFmtId="0" fontId="5" fillId="4" borderId="0" xfId="0" applyFont="1" applyFill="1" applyAlignment="1">
      <alignment/>
    </xf>
    <xf numFmtId="3" fontId="5" fillId="4" borderId="0" xfId="0" applyNumberFormat="1" applyFont="1" applyFill="1" applyAlignment="1">
      <alignment/>
    </xf>
    <xf numFmtId="0" fontId="5" fillId="4" borderId="0" xfId="0" applyFont="1" applyFill="1" applyAlignment="1">
      <alignment horizontal="right"/>
    </xf>
    <xf numFmtId="0" fontId="5" fillId="0" borderId="91" xfId="0" applyFont="1" applyFill="1" applyBorder="1" applyAlignment="1">
      <alignment/>
    </xf>
    <xf numFmtId="3" fontId="11" fillId="0" borderId="118" xfId="0" applyNumberFormat="1" applyFont="1" applyFill="1" applyBorder="1" applyAlignment="1">
      <alignment/>
    </xf>
    <xf numFmtId="3" fontId="11" fillId="0" borderId="111" xfId="0" applyNumberFormat="1" applyFont="1" applyFill="1" applyBorder="1" applyAlignment="1">
      <alignment/>
    </xf>
    <xf numFmtId="165" fontId="11" fillId="0" borderId="111" xfId="0" applyNumberFormat="1" applyFont="1" applyFill="1" applyBorder="1" applyAlignment="1" applyProtection="1">
      <alignment/>
      <protection/>
    </xf>
    <xf numFmtId="3" fontId="29" fillId="4" borderId="0" xfId="0" applyNumberFormat="1" applyFont="1" applyFill="1" applyAlignment="1">
      <alignment/>
    </xf>
    <xf numFmtId="0" fontId="12" fillId="0" borderId="119" xfId="0" applyFont="1" applyFill="1" applyBorder="1" applyAlignment="1">
      <alignment/>
    </xf>
    <xf numFmtId="0" fontId="5" fillId="0" borderId="119" xfId="0" applyFont="1" applyFill="1" applyBorder="1" applyAlignment="1">
      <alignment/>
    </xf>
    <xf numFmtId="3" fontId="5" fillId="0" borderId="118" xfId="0" applyNumberFormat="1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12" fillId="0" borderId="120" xfId="0" applyFont="1" applyFill="1" applyBorder="1" applyAlignment="1">
      <alignment/>
    </xf>
    <xf numFmtId="165" fontId="5" fillId="0" borderId="118" xfId="0" applyNumberFormat="1" applyFont="1" applyFill="1" applyBorder="1" applyAlignment="1" applyProtection="1">
      <alignment/>
      <protection/>
    </xf>
    <xf numFmtId="0" fontId="5" fillId="0" borderId="118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3" fontId="13" fillId="4" borderId="0" xfId="0" applyNumberFormat="1" applyFont="1" applyFill="1" applyAlignment="1">
      <alignment horizontal="centerContinuous"/>
    </xf>
    <xf numFmtId="3" fontId="5" fillId="4" borderId="0" xfId="0" applyNumberFormat="1" applyFont="1" applyFill="1" applyAlignment="1">
      <alignment horizontal="centerContinuous"/>
    </xf>
    <xf numFmtId="3" fontId="5" fillId="4" borderId="0" xfId="0" applyNumberFormat="1" applyFont="1" applyFill="1" applyAlignment="1">
      <alignment horizontal="left"/>
    </xf>
    <xf numFmtId="3" fontId="5" fillId="4" borderId="0" xfId="0" applyNumberFormat="1" applyFont="1" applyFill="1" applyAlignment="1">
      <alignment horizontal="center"/>
    </xf>
    <xf numFmtId="166" fontId="12" fillId="0" borderId="39" xfId="0" applyNumberFormat="1" applyFont="1" applyFill="1" applyBorder="1" applyAlignment="1" applyProtection="1">
      <alignment/>
      <protection/>
    </xf>
    <xf numFmtId="166" fontId="12" fillId="0" borderId="0" xfId="0" applyNumberFormat="1" applyFont="1" applyFill="1" applyAlignment="1" applyProtection="1">
      <alignment/>
      <protection/>
    </xf>
    <xf numFmtId="3" fontId="9" fillId="0" borderId="0" xfId="0" applyNumberFormat="1" applyFont="1" applyFill="1" applyAlignment="1">
      <alignment/>
    </xf>
    <xf numFmtId="0" fontId="5" fillId="0" borderId="36" xfId="0" applyFont="1" applyFill="1" applyBorder="1" applyAlignment="1">
      <alignment/>
    </xf>
    <xf numFmtId="0" fontId="5" fillId="0" borderId="121" xfId="0" applyFont="1" applyFill="1" applyBorder="1" applyAlignment="1">
      <alignment/>
    </xf>
    <xf numFmtId="3" fontId="5" fillId="0" borderId="116" xfId="0" applyNumberFormat="1" applyFont="1" applyFill="1" applyBorder="1" applyAlignment="1">
      <alignment/>
    </xf>
    <xf numFmtId="0" fontId="5" fillId="0" borderId="116" xfId="0" applyFont="1" applyFill="1" applyBorder="1" applyAlignment="1">
      <alignment/>
    </xf>
    <xf numFmtId="165" fontId="5" fillId="0" borderId="38" xfId="0" applyNumberFormat="1" applyFont="1" applyFill="1" applyBorder="1" applyAlignment="1" applyProtection="1">
      <alignment/>
      <protection/>
    </xf>
    <xf numFmtId="165" fontId="5" fillId="0" borderId="24" xfId="0" applyNumberFormat="1" applyFont="1" applyFill="1" applyBorder="1" applyAlignment="1" applyProtection="1">
      <alignment/>
      <protection/>
    </xf>
    <xf numFmtId="166" fontId="19" fillId="0" borderId="49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Alignment="1" applyProtection="1">
      <alignment/>
      <protection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3" fontId="5" fillId="0" borderId="111" xfId="0" applyNumberFormat="1" applyFont="1" applyFill="1" applyBorder="1" applyAlignment="1" applyProtection="1">
      <alignment/>
      <protection/>
    </xf>
    <xf numFmtId="166" fontId="12" fillId="0" borderId="122" xfId="0" applyNumberFormat="1" applyFont="1" applyFill="1" applyBorder="1" applyAlignment="1" applyProtection="1">
      <alignment/>
      <protection/>
    </xf>
    <xf numFmtId="0" fontId="12" fillId="0" borderId="35" xfId="0" applyFont="1" applyFill="1" applyBorder="1" applyAlignment="1">
      <alignment/>
    </xf>
    <xf numFmtId="0" fontId="12" fillId="0" borderId="123" xfId="0" applyFont="1" applyFill="1" applyBorder="1" applyAlignment="1">
      <alignment/>
    </xf>
    <xf numFmtId="166" fontId="12" fillId="0" borderId="124" xfId="0" applyNumberFormat="1" applyFont="1" applyFill="1" applyBorder="1" applyAlignment="1" applyProtection="1">
      <alignment/>
      <protection/>
    </xf>
    <xf numFmtId="0" fontId="5" fillId="0" borderId="125" xfId="0" applyFont="1" applyFill="1" applyBorder="1" applyAlignment="1">
      <alignment/>
    </xf>
    <xf numFmtId="0" fontId="5" fillId="0" borderId="126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165" fontId="5" fillId="0" borderId="48" xfId="0" applyNumberFormat="1" applyFont="1" applyFill="1" applyBorder="1" applyAlignment="1" applyProtection="1">
      <alignment/>
      <protection/>
    </xf>
    <xf numFmtId="0" fontId="5" fillId="0" borderId="44" xfId="0" applyFont="1" applyFill="1" applyBorder="1" applyAlignment="1">
      <alignment/>
    </xf>
    <xf numFmtId="165" fontId="5" fillId="0" borderId="116" xfId="0" applyNumberFormat="1" applyFont="1" applyFill="1" applyBorder="1" applyAlignment="1">
      <alignment/>
    </xf>
    <xf numFmtId="165" fontId="5" fillId="0" borderId="111" xfId="0" applyNumberFormat="1" applyFont="1" applyFill="1" applyBorder="1" applyAlignment="1">
      <alignment/>
    </xf>
    <xf numFmtId="165" fontId="5" fillId="0" borderId="13" xfId="0" applyNumberFormat="1" applyFont="1" applyFill="1" applyBorder="1" applyAlignment="1">
      <alignment/>
    </xf>
    <xf numFmtId="165" fontId="5" fillId="0" borderId="14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0" fontId="15" fillId="0" borderId="38" xfId="0" applyFont="1" applyFill="1" applyBorder="1" applyAlignment="1">
      <alignment/>
    </xf>
    <xf numFmtId="165" fontId="15" fillId="0" borderId="24" xfId="0" applyNumberFormat="1" applyFont="1" applyFill="1" applyBorder="1" applyAlignment="1" applyProtection="1">
      <alignment horizontal="right"/>
      <protection/>
    </xf>
    <xf numFmtId="165" fontId="15" fillId="0" borderId="24" xfId="0" applyNumberFormat="1" applyFont="1" applyFill="1" applyBorder="1" applyAlignment="1" applyProtection="1">
      <alignment/>
      <protection/>
    </xf>
    <xf numFmtId="166" fontId="16" fillId="0" borderId="39" xfId="0" applyNumberFormat="1" applyFont="1" applyFill="1" applyBorder="1" applyAlignment="1" applyProtection="1">
      <alignment/>
      <protection/>
    </xf>
    <xf numFmtId="165" fontId="5" fillId="0" borderId="116" xfId="0" applyNumberFormat="1" applyFont="1" applyFill="1" applyBorder="1" applyAlignment="1" applyProtection="1">
      <alignment horizontal="right"/>
      <protection/>
    </xf>
    <xf numFmtId="0" fontId="5" fillId="0" borderId="29" xfId="0" applyFont="1" applyFill="1" applyBorder="1" applyAlignment="1">
      <alignment/>
    </xf>
    <xf numFmtId="165" fontId="15" fillId="0" borderId="38" xfId="0" applyNumberFormat="1" applyFont="1" applyFill="1" applyBorder="1" applyAlignment="1" applyProtection="1">
      <alignment/>
      <protection/>
    </xf>
    <xf numFmtId="0" fontId="5" fillId="0" borderId="43" xfId="0" applyFont="1" applyFill="1" applyBorder="1" applyAlignment="1">
      <alignment/>
    </xf>
    <xf numFmtId="165" fontId="5" fillId="0" borderId="44" xfId="0" applyNumberFormat="1" applyFont="1" applyFill="1" applyBorder="1" applyAlignment="1" applyProtection="1">
      <alignment/>
      <protection/>
    </xf>
    <xf numFmtId="0" fontId="5" fillId="0" borderId="16" xfId="0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165" fontId="5" fillId="0" borderId="43" xfId="0" applyNumberFormat="1" applyFont="1" applyFill="1" applyBorder="1" applyAlignment="1" applyProtection="1">
      <alignment/>
      <protection/>
    </xf>
    <xf numFmtId="167" fontId="15" fillId="0" borderId="0" xfId="0" applyNumberFormat="1" applyFont="1" applyFill="1" applyAlignment="1">
      <alignment/>
    </xf>
    <xf numFmtId="166" fontId="12" fillId="0" borderId="16" xfId="0" applyNumberFormat="1" applyFont="1" applyFill="1" applyBorder="1" applyAlignment="1" applyProtection="1">
      <alignment/>
      <protection/>
    </xf>
    <xf numFmtId="0" fontId="32" fillId="0" borderId="0" xfId="0" applyFont="1" applyFill="1" applyAlignment="1">
      <alignment/>
    </xf>
    <xf numFmtId="0" fontId="15" fillId="0" borderId="32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15" fillId="0" borderId="34" xfId="0" applyFont="1" applyFill="1" applyBorder="1" applyAlignment="1">
      <alignment/>
    </xf>
    <xf numFmtId="167" fontId="12" fillId="0" borderId="16" xfId="0" applyNumberFormat="1" applyFont="1" applyFill="1" applyBorder="1" applyAlignment="1">
      <alignment/>
    </xf>
    <xf numFmtId="167" fontId="12" fillId="0" borderId="0" xfId="0" applyNumberFormat="1" applyFont="1" applyFill="1" applyAlignment="1">
      <alignment/>
    </xf>
    <xf numFmtId="0" fontId="16" fillId="0" borderId="35" xfId="0" applyFont="1" applyFill="1" applyBorder="1" applyAlignment="1">
      <alignment/>
    </xf>
    <xf numFmtId="166" fontId="15" fillId="0" borderId="39" xfId="0" applyNumberFormat="1" applyFont="1" applyFill="1" applyBorder="1" applyAlignment="1" applyProtection="1">
      <alignment/>
      <protection/>
    </xf>
    <xf numFmtId="166" fontId="12" fillId="0" borderId="0" xfId="0" applyNumberFormat="1" applyFont="1" applyFill="1" applyBorder="1" applyAlignment="1" applyProtection="1">
      <alignment/>
      <protection/>
    </xf>
    <xf numFmtId="165" fontId="5" fillId="0" borderId="127" xfId="0" applyNumberFormat="1" applyFont="1" applyFill="1" applyBorder="1" applyAlignment="1" applyProtection="1">
      <alignment/>
      <protection/>
    </xf>
    <xf numFmtId="165" fontId="5" fillId="0" borderId="23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/>
      <protection/>
    </xf>
    <xf numFmtId="165" fontId="5" fillId="0" borderId="14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3" fontId="9" fillId="0" borderId="0" xfId="0" applyNumberFormat="1" applyFont="1" applyFill="1" applyAlignment="1" applyProtection="1">
      <alignment/>
      <protection/>
    </xf>
    <xf numFmtId="0" fontId="12" fillId="0" borderId="17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15" fillId="0" borderId="39" xfId="0" applyFont="1" applyFill="1" applyBorder="1" applyAlignment="1">
      <alignment/>
    </xf>
    <xf numFmtId="166" fontId="12" fillId="0" borderId="45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6" fontId="19" fillId="0" borderId="45" xfId="0" applyNumberFormat="1" applyFont="1" applyFill="1" applyBorder="1" applyAlignment="1" applyProtection="1">
      <alignment/>
      <protection/>
    </xf>
    <xf numFmtId="166" fontId="19" fillId="0" borderId="117" xfId="0" applyNumberFormat="1" applyFont="1" applyFill="1" applyBorder="1" applyAlignment="1" applyProtection="1">
      <alignment/>
      <protection/>
    </xf>
    <xf numFmtId="165" fontId="5" fillId="0" borderId="40" xfId="0" applyNumberFormat="1" applyFont="1" applyFill="1" applyBorder="1" applyAlignment="1" applyProtection="1">
      <alignment/>
      <protection/>
    </xf>
    <xf numFmtId="3" fontId="11" fillId="0" borderId="23" xfId="0" applyNumberFormat="1" applyFont="1" applyFill="1" applyBorder="1" applyAlignment="1">
      <alignment/>
    </xf>
    <xf numFmtId="166" fontId="12" fillId="0" borderId="128" xfId="0" applyNumberFormat="1" applyFont="1" applyFill="1" applyBorder="1" applyAlignment="1" applyProtection="1">
      <alignment/>
      <protection/>
    </xf>
    <xf numFmtId="3" fontId="11" fillId="0" borderId="23" xfId="0" applyNumberFormat="1" applyFont="1" applyFill="1" applyBorder="1" applyAlignment="1" applyProtection="1">
      <alignment/>
      <protection/>
    </xf>
    <xf numFmtId="0" fontId="5" fillId="0" borderId="127" xfId="0" applyFont="1" applyFill="1" applyBorder="1" applyAlignment="1">
      <alignment/>
    </xf>
    <xf numFmtId="3" fontId="5" fillId="4" borderId="0" xfId="0" applyNumberFormat="1" applyFont="1" applyFill="1" applyBorder="1" applyAlignment="1" applyProtection="1">
      <alignment/>
      <protection/>
    </xf>
    <xf numFmtId="3" fontId="19" fillId="4" borderId="0" xfId="0" applyNumberFormat="1" applyFont="1" applyFill="1" applyBorder="1" applyAlignment="1" applyProtection="1">
      <alignment/>
      <protection/>
    </xf>
    <xf numFmtId="0" fontId="16" fillId="0" borderId="3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5" fillId="0" borderId="38" xfId="0" applyNumberFormat="1" applyFont="1" applyFill="1" applyBorder="1" applyAlignment="1" applyProtection="1">
      <alignment/>
      <protection/>
    </xf>
    <xf numFmtId="3" fontId="5" fillId="0" borderId="24" xfId="0" applyNumberFormat="1" applyFont="1" applyFill="1" applyBorder="1" applyAlignment="1" applyProtection="1">
      <alignment/>
      <protection/>
    </xf>
    <xf numFmtId="167" fontId="5" fillId="0" borderId="39" xfId="0" applyNumberFormat="1" applyFont="1" applyFill="1" applyBorder="1" applyAlignment="1" applyProtection="1">
      <alignment/>
      <protection/>
    </xf>
    <xf numFmtId="170" fontId="12" fillId="0" borderId="117" xfId="0" applyNumberFormat="1" applyFont="1" applyFill="1" applyBorder="1" applyAlignment="1" applyProtection="1">
      <alignment/>
      <protection/>
    </xf>
    <xf numFmtId="165" fontId="5" fillId="0" borderId="48" xfId="0" applyNumberFormat="1" applyFont="1" applyFill="1" applyBorder="1" applyAlignment="1">
      <alignment/>
    </xf>
    <xf numFmtId="170" fontId="12" fillId="0" borderId="49" xfId="0" applyNumberFormat="1" applyFont="1" applyFill="1" applyBorder="1" applyAlignment="1" applyProtection="1">
      <alignment/>
      <protection/>
    </xf>
    <xf numFmtId="170" fontId="12" fillId="0" borderId="16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Alignment="1">
      <alignment/>
    </xf>
    <xf numFmtId="170" fontId="5" fillId="0" borderId="0" xfId="0" applyNumberFormat="1" applyFont="1" applyFill="1" applyAlignment="1">
      <alignment/>
    </xf>
    <xf numFmtId="170" fontId="12" fillId="0" borderId="0" xfId="0" applyNumberFormat="1" applyFont="1" applyFill="1" applyAlignment="1">
      <alignment/>
    </xf>
    <xf numFmtId="170" fontId="12" fillId="0" borderId="129" xfId="0" applyNumberFormat="1" applyFont="1" applyFill="1" applyBorder="1" applyAlignment="1" applyProtection="1">
      <alignment/>
      <protection/>
    </xf>
    <xf numFmtId="165" fontId="5" fillId="0" borderId="130" xfId="0" applyNumberFormat="1" applyFont="1" applyFill="1" applyBorder="1" applyAlignment="1" applyProtection="1">
      <alignment/>
      <protection/>
    </xf>
    <xf numFmtId="165" fontId="5" fillId="0" borderId="131" xfId="0" applyNumberFormat="1" applyFont="1" applyFill="1" applyBorder="1" applyAlignment="1" applyProtection="1">
      <alignment/>
      <protection/>
    </xf>
    <xf numFmtId="170" fontId="12" fillId="0" borderId="31" xfId="0" applyNumberFormat="1" applyFont="1" applyFill="1" applyBorder="1" applyAlignment="1" applyProtection="1">
      <alignment/>
      <protection/>
    </xf>
    <xf numFmtId="165" fontId="5" fillId="0" borderId="132" xfId="0" applyNumberFormat="1" applyFont="1" applyFill="1" applyBorder="1" applyAlignment="1" applyProtection="1">
      <alignment/>
      <protection/>
    </xf>
    <xf numFmtId="165" fontId="5" fillId="0" borderId="43" xfId="0" applyNumberFormat="1" applyFont="1" applyFill="1" applyBorder="1" applyAlignment="1">
      <alignment/>
    </xf>
    <xf numFmtId="3" fontId="5" fillId="0" borderId="43" xfId="0" applyNumberFormat="1" applyFont="1" applyFill="1" applyBorder="1" applyAlignment="1" applyProtection="1">
      <alignment/>
      <protection/>
    </xf>
    <xf numFmtId="170" fontId="12" fillId="0" borderId="43" xfId="0" applyNumberFormat="1" applyFont="1" applyFill="1" applyBorder="1" applyAlignment="1" applyProtection="1">
      <alignment/>
      <protection/>
    </xf>
    <xf numFmtId="165" fontId="5" fillId="0" borderId="111" xfId="0" applyNumberFormat="1" applyFont="1" applyFill="1" applyBorder="1" applyAlignment="1" applyProtection="1">
      <alignment horizontal="right"/>
      <protection/>
    </xf>
    <xf numFmtId="167" fontId="12" fillId="0" borderId="38" xfId="0" applyNumberFormat="1" applyFont="1" applyFill="1" applyBorder="1" applyAlignment="1" applyProtection="1">
      <alignment/>
      <protection/>
    </xf>
    <xf numFmtId="167" fontId="12" fillId="0" borderId="24" xfId="0" applyNumberFormat="1" applyFont="1" applyFill="1" applyBorder="1" applyAlignment="1" applyProtection="1">
      <alignment/>
      <protection/>
    </xf>
    <xf numFmtId="167" fontId="12" fillId="0" borderId="39" xfId="0" applyNumberFormat="1" applyFont="1" applyFill="1" applyBorder="1" applyAlignment="1" applyProtection="1">
      <alignment/>
      <protection/>
    </xf>
    <xf numFmtId="170" fontId="12" fillId="0" borderId="13" xfId="0" applyNumberFormat="1" applyFont="1" applyFill="1" applyBorder="1" applyAlignment="1">
      <alignment/>
    </xf>
    <xf numFmtId="170" fontId="12" fillId="0" borderId="29" xfId="0" applyNumberFormat="1" applyFont="1" applyFill="1" applyBorder="1" applyAlignment="1" applyProtection="1">
      <alignment/>
      <protection/>
    </xf>
    <xf numFmtId="170" fontId="12" fillId="0" borderId="16" xfId="0" applyNumberFormat="1" applyFont="1" applyFill="1" applyBorder="1" applyAlignment="1">
      <alignment/>
    </xf>
    <xf numFmtId="165" fontId="5" fillId="0" borderId="13" xfId="0" applyNumberFormat="1" applyFont="1" applyFill="1" applyBorder="1" applyAlignment="1">
      <alignment horizontal="right"/>
    </xf>
    <xf numFmtId="3" fontId="5" fillId="0" borderId="41" xfId="0" applyNumberFormat="1" applyFont="1" applyFill="1" applyBorder="1" applyAlignment="1" applyProtection="1">
      <alignment horizontal="right"/>
      <protection/>
    </xf>
    <xf numFmtId="0" fontId="5" fillId="0" borderId="76" xfId="0" applyFont="1" applyFill="1" applyBorder="1" applyAlignment="1">
      <alignment/>
    </xf>
    <xf numFmtId="3" fontId="9" fillId="4" borderId="0" xfId="0" applyNumberFormat="1" applyFont="1" applyFill="1" applyAlignment="1">
      <alignment/>
    </xf>
    <xf numFmtId="170" fontId="5" fillId="0" borderId="0" xfId="0" applyNumberFormat="1" applyFont="1" applyFill="1" applyBorder="1" applyAlignment="1">
      <alignment/>
    </xf>
    <xf numFmtId="3" fontId="5" fillId="0" borderId="30" xfId="0" applyNumberFormat="1" applyFont="1" applyFill="1" applyBorder="1" applyAlignment="1" applyProtection="1">
      <alignment/>
      <protection/>
    </xf>
    <xf numFmtId="165" fontId="5" fillId="4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165" fontId="5" fillId="0" borderId="32" xfId="0" applyNumberFormat="1" applyFont="1" applyFill="1" applyBorder="1" applyAlignment="1" applyProtection="1">
      <alignment/>
      <protection/>
    </xf>
    <xf numFmtId="165" fontId="5" fillId="0" borderId="47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17" fillId="4" borderId="0" xfId="0" applyNumberFormat="1" applyFont="1" applyFill="1" applyBorder="1" applyAlignment="1" applyProtection="1">
      <alignment/>
      <protection/>
    </xf>
    <xf numFmtId="0" fontId="21" fillId="0" borderId="23" xfId="0" applyFont="1" applyFill="1" applyBorder="1" applyAlignment="1">
      <alignment horizontal="center"/>
    </xf>
    <xf numFmtId="3" fontId="5" fillId="0" borderId="133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4" fontId="0" fillId="0" borderId="111" xfId="0" applyNumberFormat="1" applyFill="1" applyBorder="1" applyAlignment="1">
      <alignment/>
    </xf>
    <xf numFmtId="1" fontId="5" fillId="0" borderId="0" xfId="0" applyNumberFormat="1" applyFont="1" applyFill="1" applyAlignment="1">
      <alignment/>
    </xf>
    <xf numFmtId="170" fontId="12" fillId="0" borderId="6" xfId="0" applyNumberFormat="1" applyFont="1" applyFill="1" applyBorder="1" applyAlignment="1" applyProtection="1">
      <alignment/>
      <protection/>
    </xf>
    <xf numFmtId="3" fontId="18" fillId="0" borderId="23" xfId="0" applyNumberFormat="1" applyFont="1" applyFill="1" applyBorder="1" applyAlignment="1" applyProtection="1">
      <alignment/>
      <protection/>
    </xf>
    <xf numFmtId="165" fontId="15" fillId="0" borderId="134" xfId="0" applyNumberFormat="1" applyFont="1" applyFill="1" applyBorder="1" applyAlignment="1" applyProtection="1">
      <alignment/>
      <protection/>
    </xf>
    <xf numFmtId="165" fontId="15" fillId="0" borderId="135" xfId="0" applyNumberFormat="1" applyFont="1" applyFill="1" applyBorder="1" applyAlignment="1" applyProtection="1">
      <alignment/>
      <protection/>
    </xf>
    <xf numFmtId="3" fontId="5" fillId="0" borderId="111" xfId="0" applyNumberFormat="1" applyFont="1" applyFill="1" applyBorder="1" applyAlignment="1" applyProtection="1">
      <alignment horizontal="right"/>
      <protection/>
    </xf>
    <xf numFmtId="166" fontId="12" fillId="0" borderId="117" xfId="0" applyNumberFormat="1" applyFont="1" applyFill="1" applyBorder="1" applyAlignment="1" applyProtection="1">
      <alignment horizontal="right"/>
      <protection/>
    </xf>
    <xf numFmtId="1" fontId="5" fillId="0" borderId="111" xfId="0" applyNumberFormat="1" applyFont="1" applyFill="1" applyBorder="1" applyAlignment="1" applyProtection="1">
      <alignment horizontal="right"/>
      <protection/>
    </xf>
    <xf numFmtId="165" fontId="5" fillId="0" borderId="14" xfId="0" applyNumberFormat="1" applyFont="1" applyFill="1" applyBorder="1" applyAlignment="1">
      <alignment horizontal="right"/>
    </xf>
    <xf numFmtId="0" fontId="12" fillId="0" borderId="16" xfId="0" applyFont="1" applyFill="1" applyBorder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5" fillId="0" borderId="29" xfId="0" applyNumberFormat="1" applyFont="1" applyFill="1" applyBorder="1" applyAlignment="1" applyProtection="1">
      <alignment horizontal="right"/>
      <protection/>
    </xf>
    <xf numFmtId="165" fontId="5" fillId="0" borderId="30" xfId="0" applyNumberFormat="1" applyFont="1" applyFill="1" applyBorder="1" applyAlignment="1" applyProtection="1">
      <alignment horizontal="right"/>
      <protection/>
    </xf>
    <xf numFmtId="3" fontId="17" fillId="0" borderId="0" xfId="0" applyNumberFormat="1" applyFont="1" applyFill="1" applyAlignment="1">
      <alignment/>
    </xf>
    <xf numFmtId="165" fontId="5" fillId="0" borderId="119" xfId="0" applyNumberFormat="1" applyFont="1" applyFill="1" applyBorder="1" applyAlignment="1" applyProtection="1">
      <alignment/>
      <protection/>
    </xf>
    <xf numFmtId="3" fontId="5" fillId="0" borderId="119" xfId="0" applyNumberFormat="1" applyFont="1" applyFill="1" applyBorder="1" applyAlignment="1" applyProtection="1">
      <alignment/>
      <protection/>
    </xf>
    <xf numFmtId="166" fontId="12" fillId="0" borderId="136" xfId="0" applyNumberFormat="1" applyFont="1" applyFill="1" applyBorder="1" applyAlignment="1" applyProtection="1">
      <alignment/>
      <protection/>
    </xf>
    <xf numFmtId="166" fontId="12" fillId="0" borderId="137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/>
      <protection/>
    </xf>
    <xf numFmtId="165" fontId="5" fillId="0" borderId="129" xfId="0" applyNumberFormat="1" applyFont="1" applyFill="1" applyBorder="1" applyAlignment="1" applyProtection="1">
      <alignment/>
      <protection/>
    </xf>
    <xf numFmtId="165" fontId="18" fillId="0" borderId="30" xfId="0" applyNumberFormat="1" applyFont="1" applyFill="1" applyBorder="1" applyAlignment="1" applyProtection="1">
      <alignment/>
      <protection/>
    </xf>
    <xf numFmtId="3" fontId="5" fillId="0" borderId="129" xfId="0" applyNumberFormat="1" applyFont="1" applyFill="1" applyBorder="1" applyAlignment="1" applyProtection="1">
      <alignment/>
      <protection/>
    </xf>
    <xf numFmtId="3" fontId="5" fillId="4" borderId="0" xfId="0" applyNumberFormat="1" applyFont="1" applyFill="1" applyBorder="1" applyAlignment="1" applyProtection="1">
      <alignment horizontal="right"/>
      <protection/>
    </xf>
    <xf numFmtId="3" fontId="5" fillId="4" borderId="23" xfId="0" applyNumberFormat="1" applyFont="1" applyFill="1" applyBorder="1" applyAlignment="1">
      <alignment/>
    </xf>
    <xf numFmtId="166" fontId="5" fillId="0" borderId="39" xfId="0" applyNumberFormat="1" applyFont="1" applyFill="1" applyBorder="1" applyAlignment="1" applyProtection="1">
      <alignment/>
      <protection/>
    </xf>
    <xf numFmtId="165" fontId="12" fillId="0" borderId="47" xfId="0" applyNumberFormat="1" applyFont="1" applyFill="1" applyBorder="1" applyAlignment="1">
      <alignment/>
    </xf>
    <xf numFmtId="165" fontId="12" fillId="0" borderId="48" xfId="0" applyNumberFormat="1" applyFont="1" applyFill="1" applyBorder="1" applyAlignment="1">
      <alignment/>
    </xf>
    <xf numFmtId="0" fontId="12" fillId="0" borderId="36" xfId="0" applyFont="1" applyFill="1" applyBorder="1" applyAlignment="1">
      <alignment/>
    </xf>
    <xf numFmtId="165" fontId="5" fillId="0" borderId="125" xfId="0" applyNumberFormat="1" applyFont="1" applyFill="1" applyBorder="1" applyAlignment="1" applyProtection="1">
      <alignment/>
      <protection/>
    </xf>
    <xf numFmtId="165" fontId="5" fillId="0" borderId="138" xfId="0" applyNumberFormat="1" applyFont="1" applyFill="1" applyBorder="1" applyAlignment="1" applyProtection="1">
      <alignment/>
      <protection/>
    </xf>
    <xf numFmtId="3" fontId="0" fillId="0" borderId="111" xfId="0" applyNumberFormat="1" applyFill="1" applyBorder="1" applyAlignment="1">
      <alignment/>
    </xf>
    <xf numFmtId="165" fontId="5" fillId="0" borderId="23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1" fillId="0" borderId="139" xfId="0" applyFont="1" applyFill="1" applyBorder="1" applyAlignment="1">
      <alignment/>
    </xf>
    <xf numFmtId="165" fontId="11" fillId="0" borderId="24" xfId="0" applyNumberFormat="1" applyFont="1" applyFill="1" applyBorder="1" applyAlignment="1" applyProtection="1">
      <alignment/>
      <protection/>
    </xf>
    <xf numFmtId="0" fontId="11" fillId="0" borderId="24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66" fontId="26" fillId="0" borderId="0" xfId="0" applyNumberFormat="1" applyFont="1" applyFill="1" applyBorder="1" applyAlignment="1" applyProtection="1">
      <alignment/>
      <protection/>
    </xf>
    <xf numFmtId="0" fontId="11" fillId="0" borderId="140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48" xfId="0" applyFont="1" applyFill="1" applyBorder="1" applyAlignment="1">
      <alignment/>
    </xf>
    <xf numFmtId="165" fontId="11" fillId="0" borderId="0" xfId="0" applyNumberFormat="1" applyFont="1" applyFill="1" applyAlignment="1" applyProtection="1">
      <alignment/>
      <protection/>
    </xf>
    <xf numFmtId="179" fontId="1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65" fontId="11" fillId="0" borderId="29" xfId="0" applyNumberFormat="1" applyFont="1" applyFill="1" applyBorder="1" applyAlignment="1" applyProtection="1">
      <alignment/>
      <protection/>
    </xf>
    <xf numFmtId="165" fontId="11" fillId="0" borderId="30" xfId="0" applyNumberFormat="1" applyFont="1" applyFill="1" applyBorder="1" applyAlignment="1" applyProtection="1">
      <alignment/>
      <protection/>
    </xf>
    <xf numFmtId="179" fontId="28" fillId="0" borderId="0" xfId="0" applyNumberFormat="1" applyFont="1" applyFill="1" applyAlignment="1">
      <alignment/>
    </xf>
    <xf numFmtId="166" fontId="8" fillId="0" borderId="31" xfId="0" applyNumberFormat="1" applyFont="1" applyFill="1" applyBorder="1" applyAlignment="1" applyProtection="1">
      <alignment/>
      <protection/>
    </xf>
    <xf numFmtId="166" fontId="12" fillId="0" borderId="16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Alignment="1" applyProtection="1">
      <alignment/>
      <protection/>
    </xf>
    <xf numFmtId="3" fontId="5" fillId="0" borderId="116" xfId="0" applyNumberFormat="1" applyFont="1" applyFill="1" applyBorder="1" applyAlignment="1" applyProtection="1">
      <alignment/>
      <protection/>
    </xf>
    <xf numFmtId="3" fontId="5" fillId="0" borderId="136" xfId="0" applyNumberFormat="1" applyFont="1" applyFill="1" applyBorder="1" applyAlignment="1" applyProtection="1">
      <alignment/>
      <protection/>
    </xf>
    <xf numFmtId="167" fontId="12" fillId="0" borderId="117" xfId="0" applyNumberFormat="1" applyFont="1" applyFill="1" applyBorder="1" applyAlignment="1" applyProtection="1">
      <alignment/>
      <protection/>
    </xf>
    <xf numFmtId="165" fontId="5" fillId="0" borderId="26" xfId="0" applyNumberFormat="1" applyFont="1" applyFill="1" applyBorder="1" applyAlignment="1" applyProtection="1">
      <alignment/>
      <protection/>
    </xf>
    <xf numFmtId="165" fontId="5" fillId="0" borderId="141" xfId="0" applyNumberFormat="1" applyFont="1" applyFill="1" applyBorder="1" applyAlignment="1" applyProtection="1">
      <alignment/>
      <protection/>
    </xf>
    <xf numFmtId="3" fontId="5" fillId="0" borderId="142" xfId="0" applyNumberFormat="1" applyFont="1" applyFill="1" applyBorder="1" applyAlignment="1" applyProtection="1">
      <alignment/>
      <protection/>
    </xf>
    <xf numFmtId="3" fontId="5" fillId="0" borderId="29" xfId="0" applyNumberFormat="1" applyFont="1" applyFill="1" applyBorder="1" applyAlignment="1" applyProtection="1">
      <alignment/>
      <protection/>
    </xf>
    <xf numFmtId="3" fontId="5" fillId="0" borderId="44" xfId="0" applyNumberFormat="1" applyFont="1" applyFill="1" applyBorder="1" applyAlignment="1" applyProtection="1">
      <alignment/>
      <protection/>
    </xf>
    <xf numFmtId="168" fontId="12" fillId="0" borderId="13" xfId="0" applyNumberFormat="1" applyFont="1" applyFill="1" applyBorder="1" applyAlignment="1" applyProtection="1">
      <alignment/>
      <protection/>
    </xf>
    <xf numFmtId="168" fontId="12" fillId="0" borderId="14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Alignment="1">
      <alignment/>
    </xf>
    <xf numFmtId="165" fontId="5" fillId="0" borderId="38" xfId="0" applyNumberFormat="1" applyFont="1" applyFill="1" applyBorder="1" applyAlignment="1" applyProtection="1">
      <alignment horizontal="center"/>
      <protection/>
    </xf>
    <xf numFmtId="3" fontId="5" fillId="0" borderId="1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70" fontId="12" fillId="0" borderId="122" xfId="0" applyNumberFormat="1" applyFont="1" applyFill="1" applyBorder="1" applyAlignment="1" applyProtection="1">
      <alignment/>
      <protection/>
    </xf>
    <xf numFmtId="170" fontId="16" fillId="0" borderId="122" xfId="0" applyNumberFormat="1" applyFont="1" applyFill="1" applyBorder="1" applyAlignment="1" applyProtection="1">
      <alignment/>
      <protection/>
    </xf>
    <xf numFmtId="171" fontId="5" fillId="0" borderId="48" xfId="0" applyNumberFormat="1" applyFont="1" applyFill="1" applyBorder="1" applyAlignment="1" applyProtection="1">
      <alignment/>
      <protection/>
    </xf>
    <xf numFmtId="170" fontId="5" fillId="0" borderId="49" xfId="0" applyNumberFormat="1" applyFont="1" applyFill="1" applyBorder="1" applyAlignment="1">
      <alignment/>
    </xf>
    <xf numFmtId="171" fontId="5" fillId="0" borderId="0" xfId="0" applyNumberFormat="1" applyFont="1" applyFill="1" applyBorder="1" applyAlignment="1" applyProtection="1">
      <alignment/>
      <protection/>
    </xf>
    <xf numFmtId="171" fontId="5" fillId="0" borderId="30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>
      <alignment/>
    </xf>
    <xf numFmtId="172" fontId="5" fillId="0" borderId="23" xfId="0" applyNumberFormat="1" applyFont="1" applyFill="1" applyBorder="1" applyAlignment="1">
      <alignment/>
    </xf>
    <xf numFmtId="171" fontId="5" fillId="0" borderId="23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5" fillId="0" borderId="136" xfId="0" applyNumberFormat="1" applyFont="1" applyFill="1" applyBorder="1" applyAlignment="1" applyProtection="1">
      <alignment horizontal="right"/>
      <protection/>
    </xf>
    <xf numFmtId="0" fontId="13" fillId="3" borderId="0" xfId="0" applyFont="1" applyFill="1" applyAlignment="1">
      <alignment horizontal="center"/>
    </xf>
    <xf numFmtId="3" fontId="5" fillId="3" borderId="0" xfId="0" applyNumberFormat="1" applyFont="1" applyFill="1" applyAlignment="1">
      <alignment horizontal="center"/>
    </xf>
    <xf numFmtId="0" fontId="5" fillId="3" borderId="0" xfId="0" applyFont="1" applyFill="1" applyBorder="1" applyAlignment="1">
      <alignment horizontal="centerContinuous"/>
    </xf>
    <xf numFmtId="0" fontId="5" fillId="3" borderId="54" xfId="0" applyFont="1" applyFill="1" applyBorder="1" applyAlignment="1">
      <alignment horizontal="centerContinuous"/>
    </xf>
    <xf numFmtId="0" fontId="5" fillId="3" borderId="55" xfId="0" applyFont="1" applyFill="1" applyBorder="1" applyAlignment="1">
      <alignment/>
    </xf>
    <xf numFmtId="0" fontId="12" fillId="3" borderId="63" xfId="0" applyFont="1" applyFill="1" applyBorder="1" applyAlignment="1">
      <alignment horizontal="center"/>
    </xf>
    <xf numFmtId="0" fontId="12" fillId="3" borderId="64" xfId="0" applyFont="1" applyFill="1" applyBorder="1" applyAlignment="1">
      <alignment horizontal="center"/>
    </xf>
    <xf numFmtId="0" fontId="12" fillId="3" borderId="65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 horizontal="centerContinuous"/>
    </xf>
    <xf numFmtId="165" fontId="5" fillId="0" borderId="136" xfId="0" applyNumberFormat="1" applyFont="1" applyFill="1" applyBorder="1" applyAlignment="1" applyProtection="1">
      <alignment/>
      <protection/>
    </xf>
    <xf numFmtId="166" fontId="12" fillId="0" borderId="143" xfId="0" applyNumberFormat="1" applyFont="1" applyFill="1" applyBorder="1" applyAlignment="1" applyProtection="1">
      <alignment/>
      <protection/>
    </xf>
    <xf numFmtId="0" fontId="5" fillId="0" borderId="104" xfId="0" applyFont="1" applyFill="1" applyBorder="1" applyAlignment="1">
      <alignment/>
    </xf>
    <xf numFmtId="165" fontId="5" fillId="0" borderId="104" xfId="0" applyNumberFormat="1" applyFont="1" applyFill="1" applyBorder="1" applyAlignment="1" applyProtection="1">
      <alignment/>
      <protection/>
    </xf>
    <xf numFmtId="165" fontId="18" fillId="0" borderId="27" xfId="0" applyNumberFormat="1" applyFont="1" applyFill="1" applyBorder="1" applyAlignment="1" applyProtection="1">
      <alignment/>
      <protection/>
    </xf>
    <xf numFmtId="165" fontId="5" fillId="0" borderId="27" xfId="0" applyNumberFormat="1" applyFont="1" applyFill="1" applyBorder="1" applyAlignment="1" applyProtection="1">
      <alignment/>
      <protection/>
    </xf>
    <xf numFmtId="166" fontId="12" fillId="0" borderId="141" xfId="0" applyNumberFormat="1" applyFont="1" applyFill="1" applyBorder="1" applyAlignment="1" applyProtection="1">
      <alignment/>
      <protection/>
    </xf>
    <xf numFmtId="171" fontId="5" fillId="0" borderId="116" xfId="0" applyNumberFormat="1" applyFont="1" applyFill="1" applyBorder="1" applyAlignment="1" applyProtection="1">
      <alignment/>
      <protection/>
    </xf>
    <xf numFmtId="171" fontId="5" fillId="0" borderId="132" xfId="0" applyNumberFormat="1" applyFont="1" applyFill="1" applyBorder="1" applyAlignment="1" applyProtection="1">
      <alignment/>
      <protection/>
    </xf>
    <xf numFmtId="171" fontId="5" fillId="0" borderId="27" xfId="0" applyNumberFormat="1" applyFont="1" applyFill="1" applyBorder="1" applyAlignment="1" applyProtection="1">
      <alignment/>
      <protection/>
    </xf>
    <xf numFmtId="167" fontId="12" fillId="0" borderId="31" xfId="0" applyNumberFormat="1" applyFont="1" applyFill="1" applyBorder="1" applyAlignment="1" applyProtection="1">
      <alignment/>
      <protection/>
    </xf>
    <xf numFmtId="165" fontId="5" fillId="0" borderId="144" xfId="0" applyNumberFormat="1" applyFont="1" applyFill="1" applyBorder="1" applyAlignment="1" applyProtection="1">
      <alignment/>
      <protection/>
    </xf>
    <xf numFmtId="3" fontId="5" fillId="0" borderId="15" xfId="0" applyNumberFormat="1" applyFont="1" applyFill="1" applyBorder="1" applyAlignment="1">
      <alignment horizontal="right"/>
    </xf>
    <xf numFmtId="165" fontId="5" fillId="0" borderId="129" xfId="0" applyNumberFormat="1" applyFont="1" applyFill="1" applyBorder="1" applyAlignment="1" applyProtection="1">
      <alignment horizontal="right"/>
      <protection/>
    </xf>
    <xf numFmtId="3" fontId="12" fillId="0" borderId="0" xfId="0" applyNumberFormat="1" applyFont="1" applyFill="1" applyAlignment="1">
      <alignment/>
    </xf>
    <xf numFmtId="3" fontId="5" fillId="0" borderId="122" xfId="0" applyNumberFormat="1" applyFont="1" applyFill="1" applyBorder="1" applyAlignment="1">
      <alignment/>
    </xf>
    <xf numFmtId="0" fontId="5" fillId="0" borderId="145" xfId="0" applyFont="1" applyFill="1" applyBorder="1" applyAlignment="1">
      <alignment/>
    </xf>
    <xf numFmtId="165" fontId="5" fillId="0" borderId="122" xfId="0" applyNumberFormat="1" applyFont="1" applyFill="1" applyBorder="1" applyAlignment="1" applyProtection="1">
      <alignment/>
      <protection/>
    </xf>
    <xf numFmtId="0" fontId="5" fillId="0" borderId="146" xfId="0" applyFont="1" applyFill="1" applyBorder="1" applyAlignment="1">
      <alignment/>
    </xf>
    <xf numFmtId="165" fontId="5" fillId="0" borderId="31" xfId="0" applyNumberFormat="1" applyFont="1" applyFill="1" applyBorder="1" applyAlignment="1" applyProtection="1">
      <alignment/>
      <protection/>
    </xf>
    <xf numFmtId="3" fontId="35" fillId="0" borderId="0" xfId="21" applyNumberFormat="1" applyFont="1" applyFill="1" applyBorder="1">
      <alignment/>
      <protection/>
    </xf>
    <xf numFmtId="3" fontId="5" fillId="0" borderId="147" xfId="22" applyNumberFormat="1" applyFont="1" applyFill="1" applyBorder="1">
      <alignment/>
      <protection/>
    </xf>
    <xf numFmtId="0" fontId="5" fillId="0" borderId="148" xfId="0" applyFont="1" applyFill="1" applyBorder="1" applyAlignment="1">
      <alignment/>
    </xf>
    <xf numFmtId="3" fontId="5" fillId="0" borderId="147" xfId="22" applyNumberFormat="1" applyFont="1" applyFill="1" applyBorder="1" applyAlignment="1">
      <alignment horizontal="right"/>
      <protection/>
    </xf>
    <xf numFmtId="0" fontId="5" fillId="0" borderId="93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5" fillId="0" borderId="53" xfId="0" applyNumberFormat="1" applyFont="1" applyFill="1" applyBorder="1" applyAlignment="1" applyProtection="1">
      <alignment/>
      <protection/>
    </xf>
    <xf numFmtId="3" fontId="5" fillId="0" borderId="50" xfId="0" applyNumberFormat="1" applyFont="1" applyFill="1" applyBorder="1" applyAlignment="1" applyProtection="1">
      <alignment/>
      <protection/>
    </xf>
    <xf numFmtId="3" fontId="5" fillId="0" borderId="51" xfId="0" applyNumberFormat="1" applyFont="1" applyFill="1" applyBorder="1" applyAlignment="1" applyProtection="1">
      <alignment/>
      <protection/>
    </xf>
    <xf numFmtId="3" fontId="5" fillId="0" borderId="54" xfId="0" applyNumberFormat="1" applyFont="1" applyFill="1" applyBorder="1" applyAlignment="1" applyProtection="1">
      <alignment/>
      <protection/>
    </xf>
    <xf numFmtId="3" fontId="5" fillId="0" borderId="23" xfId="0" applyNumberFormat="1" applyFont="1" applyFill="1" applyBorder="1" applyAlignment="1" applyProtection="1">
      <alignment/>
      <protection/>
    </xf>
    <xf numFmtId="3" fontId="5" fillId="0" borderId="55" xfId="0" applyNumberFormat="1" applyFont="1" applyFill="1" applyBorder="1" applyAlignment="1" applyProtection="1">
      <alignment/>
      <protection/>
    </xf>
    <xf numFmtId="3" fontId="5" fillId="0" borderId="43" xfId="0" applyNumberFormat="1" applyFont="1" applyFill="1" applyBorder="1" applyAlignment="1" applyProtection="1">
      <alignment horizontal="right"/>
      <protection/>
    </xf>
    <xf numFmtId="3" fontId="5" fillId="0" borderId="116" xfId="0" applyNumberFormat="1" applyFont="1" applyFill="1" applyBorder="1" applyAlignment="1" applyProtection="1">
      <alignment horizontal="right"/>
      <protection/>
    </xf>
    <xf numFmtId="0" fontId="5" fillId="0" borderId="86" xfId="0" applyFont="1" applyFill="1" applyBorder="1" applyAlignment="1">
      <alignment/>
    </xf>
    <xf numFmtId="3" fontId="5" fillId="0" borderId="0" xfId="0" applyNumberFormat="1" applyFont="1" applyFill="1" applyAlignment="1">
      <alignment horizontal="centerContinuous"/>
    </xf>
    <xf numFmtId="3" fontId="5" fillId="0" borderId="44" xfId="0" applyNumberFormat="1" applyFont="1" applyFill="1" applyBorder="1" applyAlignment="1" applyProtection="1">
      <alignment horizontal="right"/>
      <protection/>
    </xf>
    <xf numFmtId="3" fontId="5" fillId="0" borderId="36" xfId="0" applyNumberFormat="1" applyFont="1" applyFill="1" applyBorder="1" applyAlignment="1" applyProtection="1">
      <alignment/>
      <protection/>
    </xf>
    <xf numFmtId="3" fontId="5" fillId="0" borderId="149" xfId="0" applyNumberFormat="1" applyFont="1" applyFill="1" applyBorder="1" applyAlignment="1" applyProtection="1">
      <alignment/>
      <protection/>
    </xf>
    <xf numFmtId="166" fontId="12" fillId="0" borderId="36" xfId="0" applyNumberFormat="1" applyFont="1" applyFill="1" applyBorder="1" applyAlignment="1" applyProtection="1">
      <alignment/>
      <protection/>
    </xf>
    <xf numFmtId="3" fontId="5" fillId="0" borderId="125" xfId="0" applyNumberFormat="1" applyFont="1" applyFill="1" applyBorder="1" applyAlignment="1" applyProtection="1">
      <alignment/>
      <protection/>
    </xf>
    <xf numFmtId="166" fontId="12" fillId="0" borderId="119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102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/>
      <protection/>
    </xf>
    <xf numFmtId="3" fontId="5" fillId="0" borderId="150" xfId="0" applyNumberFormat="1" applyFont="1" applyFill="1" applyBorder="1" applyAlignment="1" applyProtection="1">
      <alignment/>
      <protection/>
    </xf>
    <xf numFmtId="166" fontId="12" fillId="0" borderId="12" xfId="0" applyNumberFormat="1" applyFont="1" applyFill="1" applyBorder="1" applyAlignment="1" applyProtection="1">
      <alignment/>
      <protection/>
    </xf>
    <xf numFmtId="3" fontId="12" fillId="0" borderId="151" xfId="0" applyNumberFormat="1" applyFont="1" applyFill="1" applyBorder="1" applyAlignment="1" applyProtection="1">
      <alignment/>
      <protection/>
    </xf>
    <xf numFmtId="3" fontId="5" fillId="0" borderId="114" xfId="0" applyNumberFormat="1" applyFont="1" applyFill="1" applyBorder="1" applyAlignment="1" applyProtection="1">
      <alignment/>
      <protection/>
    </xf>
    <xf numFmtId="3" fontId="5" fillId="0" borderId="152" xfId="0" applyNumberFormat="1" applyFont="1" applyFill="1" applyBorder="1" applyAlignment="1" applyProtection="1">
      <alignment/>
      <protection/>
    </xf>
    <xf numFmtId="166" fontId="12" fillId="0" borderId="153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Alignment="1">
      <alignment/>
    </xf>
    <xf numFmtId="0" fontId="12" fillId="0" borderId="154" xfId="0" applyFont="1" applyFill="1" applyBorder="1" applyAlignment="1">
      <alignment/>
    </xf>
    <xf numFmtId="0" fontId="5" fillId="0" borderId="155" xfId="0" applyFont="1" applyFill="1" applyBorder="1" applyAlignment="1">
      <alignment/>
    </xf>
    <xf numFmtId="0" fontId="5" fillId="0" borderId="14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66" fontId="12" fillId="0" borderId="129" xfId="0" applyNumberFormat="1" applyFont="1" applyFill="1" applyBorder="1" applyAlignment="1" applyProtection="1">
      <alignment/>
      <protection/>
    </xf>
    <xf numFmtId="165" fontId="15" fillId="0" borderId="0" xfId="0" applyNumberFormat="1" applyFont="1" applyFill="1" applyAlignment="1">
      <alignment/>
    </xf>
    <xf numFmtId="3" fontId="34" fillId="0" borderId="0" xfId="0" applyNumberFormat="1" applyFont="1" applyFill="1" applyAlignment="1">
      <alignment horizontal="center"/>
    </xf>
    <xf numFmtId="165" fontId="11" fillId="3" borderId="0" xfId="0" applyNumberFormat="1" applyFont="1" applyFill="1" applyAlignment="1">
      <alignment/>
    </xf>
    <xf numFmtId="0" fontId="12" fillId="0" borderId="156" xfId="0" applyFont="1" applyFill="1" applyBorder="1" applyAlignment="1">
      <alignment/>
    </xf>
    <xf numFmtId="0" fontId="5" fillId="0" borderId="157" xfId="0" applyFont="1" applyFill="1" applyBorder="1" applyAlignment="1">
      <alignment/>
    </xf>
    <xf numFmtId="0" fontId="5" fillId="0" borderId="158" xfId="0" applyFont="1" applyFill="1" applyBorder="1" applyAlignment="1">
      <alignment/>
    </xf>
    <xf numFmtId="0" fontId="5" fillId="0" borderId="159" xfId="0" applyFont="1" applyFill="1" applyBorder="1" applyAlignment="1">
      <alignment horizontal="center"/>
    </xf>
    <xf numFmtId="0" fontId="5" fillId="0" borderId="160" xfId="0" applyFont="1" applyFill="1" applyBorder="1" applyAlignment="1">
      <alignment/>
    </xf>
    <xf numFmtId="0" fontId="12" fillId="0" borderId="161" xfId="0" applyFont="1" applyFill="1" applyBorder="1" applyAlignment="1">
      <alignment/>
    </xf>
    <xf numFmtId="0" fontId="5" fillId="0" borderId="162" xfId="0" applyFont="1" applyFill="1" applyBorder="1" applyAlignment="1">
      <alignment/>
    </xf>
    <xf numFmtId="0" fontId="5" fillId="0" borderId="160" xfId="0" applyFont="1" applyFill="1" applyBorder="1" applyAlignment="1">
      <alignment horizontal="center"/>
    </xf>
    <xf numFmtId="0" fontId="12" fillId="0" borderId="159" xfId="0" applyFont="1" applyFill="1" applyBorder="1" applyAlignment="1">
      <alignment/>
    </xf>
    <xf numFmtId="0" fontId="12" fillId="0" borderId="163" xfId="0" applyFont="1" applyFill="1" applyBorder="1" applyAlignment="1">
      <alignment/>
    </xf>
    <xf numFmtId="0" fontId="5" fillId="0" borderId="164" xfId="0" applyFont="1" applyFill="1" applyBorder="1" applyAlignment="1">
      <alignment/>
    </xf>
    <xf numFmtId="0" fontId="5" fillId="0" borderId="165" xfId="0" applyFont="1" applyFill="1" applyBorder="1" applyAlignment="1">
      <alignment/>
    </xf>
    <xf numFmtId="0" fontId="5" fillId="0" borderId="166" xfId="0" applyFont="1" applyFill="1" applyBorder="1" applyAlignment="1">
      <alignment/>
    </xf>
    <xf numFmtId="165" fontId="5" fillId="0" borderId="167" xfId="0" applyNumberFormat="1" applyFont="1" applyFill="1" applyBorder="1" applyAlignment="1" applyProtection="1">
      <alignment/>
      <protection/>
    </xf>
    <xf numFmtId="165" fontId="5" fillId="0" borderId="168" xfId="0" applyNumberFormat="1" applyFont="1" applyFill="1" applyBorder="1" applyAlignment="1" applyProtection="1">
      <alignment/>
      <protection/>
    </xf>
    <xf numFmtId="0" fontId="5" fillId="0" borderId="169" xfId="0" applyFont="1" applyFill="1" applyBorder="1" applyAlignment="1">
      <alignment/>
    </xf>
    <xf numFmtId="165" fontId="5" fillId="0" borderId="170" xfId="0" applyNumberFormat="1" applyFont="1" applyFill="1" applyBorder="1" applyAlignment="1" applyProtection="1">
      <alignment/>
      <protection/>
    </xf>
    <xf numFmtId="41" fontId="5" fillId="0" borderId="171" xfId="0" applyNumberFormat="1" applyFont="1" applyFill="1" applyBorder="1" applyAlignment="1">
      <alignment/>
    </xf>
    <xf numFmtId="41" fontId="5" fillId="0" borderId="169" xfId="0" applyNumberFormat="1" applyFont="1" applyFill="1" applyBorder="1" applyAlignment="1">
      <alignment/>
    </xf>
    <xf numFmtId="0" fontId="5" fillId="0" borderId="167" xfId="0" applyFont="1" applyFill="1" applyBorder="1" applyAlignment="1">
      <alignment/>
    </xf>
    <xf numFmtId="3" fontId="5" fillId="0" borderId="167" xfId="0" applyNumberFormat="1" applyFont="1" applyFill="1" applyBorder="1" applyAlignment="1">
      <alignment/>
    </xf>
    <xf numFmtId="166" fontId="12" fillId="0" borderId="168" xfId="0" applyNumberFormat="1" applyFont="1" applyFill="1" applyBorder="1" applyAlignment="1" applyProtection="1">
      <alignment/>
      <protection/>
    </xf>
    <xf numFmtId="171" fontId="5" fillId="0" borderId="171" xfId="0" applyNumberFormat="1" applyFont="1" applyFill="1" applyBorder="1" applyAlignment="1" applyProtection="1">
      <alignment/>
      <protection/>
    </xf>
    <xf numFmtId="171" fontId="5" fillId="0" borderId="169" xfId="0" applyNumberFormat="1" applyFont="1" applyFill="1" applyBorder="1" applyAlignment="1" applyProtection="1">
      <alignment/>
      <protection/>
    </xf>
    <xf numFmtId="166" fontId="12" fillId="0" borderId="172" xfId="0" applyNumberFormat="1" applyFont="1" applyFill="1" applyBorder="1" applyAlignment="1" applyProtection="1">
      <alignment/>
      <protection/>
    </xf>
    <xf numFmtId="165" fontId="32" fillId="0" borderId="173" xfId="0" applyNumberFormat="1" applyFont="1" applyFill="1" applyBorder="1" applyAlignment="1" applyProtection="1">
      <alignment/>
      <protection/>
    </xf>
    <xf numFmtId="166" fontId="12" fillId="0" borderId="163" xfId="0" applyNumberFormat="1" applyFont="1" applyFill="1" applyBorder="1" applyAlignment="1" applyProtection="1">
      <alignment/>
      <protection/>
    </xf>
    <xf numFmtId="0" fontId="12" fillId="0" borderId="145" xfId="0" applyFont="1" applyFill="1" applyBorder="1" applyAlignment="1">
      <alignment/>
    </xf>
    <xf numFmtId="0" fontId="5" fillId="0" borderId="171" xfId="0" applyFont="1" applyFill="1" applyBorder="1" applyAlignment="1">
      <alignment/>
    </xf>
    <xf numFmtId="165" fontId="5" fillId="0" borderId="169" xfId="0" applyNumberFormat="1" applyFont="1" applyFill="1" applyBorder="1" applyAlignment="1" applyProtection="1">
      <alignment/>
      <protection/>
    </xf>
    <xf numFmtId="166" fontId="12" fillId="0" borderId="146" xfId="0" applyNumberFormat="1" applyFont="1" applyFill="1" applyBorder="1" applyAlignment="1" applyProtection="1">
      <alignment/>
      <protection/>
    </xf>
    <xf numFmtId="0" fontId="12" fillId="0" borderId="172" xfId="0" applyFont="1" applyFill="1" applyBorder="1" applyAlignment="1">
      <alignment/>
    </xf>
    <xf numFmtId="0" fontId="12" fillId="0" borderId="146" xfId="0" applyFont="1" applyFill="1" applyBorder="1" applyAlignment="1">
      <alignment/>
    </xf>
    <xf numFmtId="0" fontId="5" fillId="0" borderId="163" xfId="0" applyFont="1" applyFill="1" applyBorder="1" applyAlignment="1">
      <alignment/>
    </xf>
    <xf numFmtId="166" fontId="12" fillId="0" borderId="174" xfId="0" applyNumberFormat="1" applyFont="1" applyFill="1" applyBorder="1" applyAlignment="1" applyProtection="1">
      <alignment/>
      <protection/>
    </xf>
    <xf numFmtId="165" fontId="5" fillId="0" borderId="175" xfId="0" applyNumberFormat="1" applyFont="1" applyFill="1" applyBorder="1" applyAlignment="1" applyProtection="1">
      <alignment/>
      <protection/>
    </xf>
    <xf numFmtId="3" fontId="5" fillId="0" borderId="131" xfId="0" applyNumberFormat="1" applyFont="1" applyFill="1" applyBorder="1" applyAlignment="1" applyProtection="1">
      <alignment/>
      <protection/>
    </xf>
    <xf numFmtId="165" fontId="5" fillId="0" borderId="139" xfId="0" applyNumberFormat="1" applyFont="1" applyFill="1" applyBorder="1" applyAlignment="1" applyProtection="1">
      <alignment/>
      <protection/>
    </xf>
    <xf numFmtId="0" fontId="5" fillId="0" borderId="21" xfId="0" applyFont="1" applyFill="1" applyBorder="1" applyAlignment="1">
      <alignment/>
    </xf>
    <xf numFmtId="0" fontId="16" fillId="0" borderId="156" xfId="0" applyFont="1" applyFill="1" applyBorder="1" applyAlignment="1">
      <alignment/>
    </xf>
    <xf numFmtId="0" fontId="16" fillId="0" borderId="176" xfId="0" applyFont="1" applyFill="1" applyBorder="1" applyAlignment="1">
      <alignment/>
    </xf>
    <xf numFmtId="0" fontId="5" fillId="0" borderId="177" xfId="0" applyFont="1" applyFill="1" applyBorder="1" applyAlignment="1">
      <alignment/>
    </xf>
    <xf numFmtId="167" fontId="5" fillId="3" borderId="144" xfId="0" applyNumberFormat="1" applyFont="1" applyFill="1" applyBorder="1" applyAlignment="1" applyProtection="1">
      <alignment/>
      <protection/>
    </xf>
    <xf numFmtId="170" fontId="12" fillId="3" borderId="136" xfId="0" applyNumberFormat="1" applyFont="1" applyFill="1" applyBorder="1" applyAlignment="1" applyProtection="1">
      <alignment/>
      <protection/>
    </xf>
    <xf numFmtId="166" fontId="12" fillId="3" borderId="178" xfId="0" applyNumberFormat="1" applyFont="1" applyFill="1" applyBorder="1" applyAlignment="1" applyProtection="1">
      <alignment/>
      <protection/>
    </xf>
    <xf numFmtId="170" fontId="12" fillId="3" borderId="178" xfId="0" applyNumberFormat="1" applyFont="1" applyFill="1" applyBorder="1" applyAlignment="1" applyProtection="1">
      <alignment/>
      <protection/>
    </xf>
    <xf numFmtId="170" fontId="12" fillId="3" borderId="15" xfId="0" applyNumberFormat="1" applyFont="1" applyFill="1" applyBorder="1" applyAlignment="1" applyProtection="1">
      <alignment/>
      <protection/>
    </xf>
    <xf numFmtId="165" fontId="5" fillId="0" borderId="148" xfId="0" applyNumberFormat="1" applyFont="1" applyFill="1" applyBorder="1" applyAlignment="1" applyProtection="1">
      <alignment/>
      <protection/>
    </xf>
    <xf numFmtId="0" fontId="15" fillId="0" borderId="160" xfId="0" applyFont="1" applyFill="1" applyBorder="1" applyAlignment="1">
      <alignment/>
    </xf>
    <xf numFmtId="0" fontId="15" fillId="0" borderId="145" xfId="0" applyFont="1" applyFill="1" applyBorder="1" applyAlignment="1">
      <alignment/>
    </xf>
    <xf numFmtId="165" fontId="5" fillId="0" borderId="73" xfId="0" applyNumberFormat="1" applyFont="1" applyFill="1" applyBorder="1" applyAlignment="1" applyProtection="1">
      <alignment/>
      <protection/>
    </xf>
    <xf numFmtId="166" fontId="12" fillId="0" borderId="179" xfId="0" applyNumberFormat="1" applyFont="1" applyFill="1" applyBorder="1" applyAlignment="1" applyProtection="1">
      <alignment/>
      <protection/>
    </xf>
    <xf numFmtId="165" fontId="5" fillId="0" borderId="180" xfId="0" applyNumberFormat="1" applyFont="1" applyFill="1" applyBorder="1" applyAlignment="1" applyProtection="1">
      <alignment/>
      <protection/>
    </xf>
    <xf numFmtId="0" fontId="5" fillId="0" borderId="60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15" fillId="0" borderId="144" xfId="0" applyFont="1" applyFill="1" applyBorder="1" applyAlignment="1">
      <alignment/>
    </xf>
    <xf numFmtId="166" fontId="12" fillId="0" borderId="178" xfId="0" applyNumberFormat="1" applyFont="1" applyFill="1" applyBorder="1" applyAlignment="1" applyProtection="1">
      <alignment/>
      <protection/>
    </xf>
    <xf numFmtId="167" fontId="5" fillId="3" borderId="139" xfId="0" applyNumberFormat="1" applyFont="1" applyFill="1" applyBorder="1" applyAlignment="1" applyProtection="1">
      <alignment/>
      <protection/>
    </xf>
    <xf numFmtId="170" fontId="12" fillId="3" borderId="118" xfId="0" applyNumberFormat="1" applyFont="1" applyFill="1" applyBorder="1" applyAlignment="1" applyProtection="1">
      <alignment/>
      <protection/>
    </xf>
    <xf numFmtId="170" fontId="12" fillId="3" borderId="71" xfId="0" applyNumberFormat="1" applyFont="1" applyFill="1" applyBorder="1" applyAlignment="1" applyProtection="1">
      <alignment/>
      <protection/>
    </xf>
    <xf numFmtId="170" fontId="12" fillId="3" borderId="21" xfId="0" applyNumberFormat="1" applyFont="1" applyFill="1" applyBorder="1" applyAlignment="1" applyProtection="1">
      <alignment/>
      <protection/>
    </xf>
    <xf numFmtId="166" fontId="19" fillId="0" borderId="179" xfId="0" applyNumberFormat="1" applyFont="1" applyFill="1" applyBorder="1" applyAlignment="1" applyProtection="1">
      <alignment/>
      <protection/>
    </xf>
    <xf numFmtId="166" fontId="12" fillId="0" borderId="181" xfId="0" applyNumberFormat="1" applyFont="1" applyFill="1" applyBorder="1" applyAlignment="1" applyProtection="1">
      <alignment/>
      <protection/>
    </xf>
    <xf numFmtId="170" fontId="12" fillId="0" borderId="182" xfId="0" applyNumberFormat="1" applyFont="1" applyFill="1" applyBorder="1" applyAlignment="1" applyProtection="1">
      <alignment/>
      <protection/>
    </xf>
    <xf numFmtId="0" fontId="12" fillId="0" borderId="71" xfId="0" applyFont="1" applyFill="1" applyBorder="1" applyAlignment="1">
      <alignment horizontal="centerContinuous"/>
    </xf>
    <xf numFmtId="0" fontId="12" fillId="0" borderId="183" xfId="0" applyFont="1" applyFill="1" applyBorder="1" applyAlignment="1">
      <alignment horizontal="centerContinuous"/>
    </xf>
    <xf numFmtId="0" fontId="5" fillId="0" borderId="184" xfId="0" applyFont="1" applyFill="1" applyBorder="1" applyAlignment="1">
      <alignment horizontal="centerContinuous"/>
    </xf>
    <xf numFmtId="3" fontId="5" fillId="0" borderId="139" xfId="0" applyNumberFormat="1" applyFont="1" applyFill="1" applyBorder="1" applyAlignment="1" applyProtection="1">
      <alignment/>
      <protection/>
    </xf>
    <xf numFmtId="165" fontId="5" fillId="0" borderId="118" xfId="0" applyNumberFormat="1" applyFont="1" applyFill="1" applyBorder="1" applyAlignment="1">
      <alignment/>
    </xf>
    <xf numFmtId="165" fontId="5" fillId="0" borderId="140" xfId="0" applyNumberFormat="1" applyFont="1" applyFill="1" applyBorder="1" applyAlignment="1">
      <alignment/>
    </xf>
    <xf numFmtId="0" fontId="12" fillId="0" borderId="176" xfId="0" applyFont="1" applyFill="1" applyBorder="1" applyAlignment="1">
      <alignment/>
    </xf>
    <xf numFmtId="167" fontId="12" fillId="0" borderId="144" xfId="0" applyNumberFormat="1" applyFont="1" applyFill="1" applyBorder="1" applyAlignment="1" applyProtection="1">
      <alignment/>
      <protection/>
    </xf>
    <xf numFmtId="170" fontId="12" fillId="0" borderId="136" xfId="0" applyNumberFormat="1" applyFont="1" applyFill="1" applyBorder="1" applyAlignment="1" applyProtection="1">
      <alignment/>
      <protection/>
    </xf>
    <xf numFmtId="170" fontId="12" fillId="0" borderId="137" xfId="0" applyNumberFormat="1" applyFont="1" applyFill="1" applyBorder="1" applyAlignment="1" applyProtection="1">
      <alignment/>
      <protection/>
    </xf>
    <xf numFmtId="167" fontId="12" fillId="0" borderId="139" xfId="0" applyNumberFormat="1" applyFont="1" applyFill="1" applyBorder="1" applyAlignment="1" applyProtection="1">
      <alignment/>
      <protection/>
    </xf>
    <xf numFmtId="170" fontId="12" fillId="0" borderId="71" xfId="0" applyNumberFormat="1" applyFont="1" applyFill="1" applyBorder="1" applyAlignment="1" applyProtection="1">
      <alignment/>
      <protection/>
    </xf>
    <xf numFmtId="170" fontId="12" fillId="0" borderId="21" xfId="0" applyNumberFormat="1" applyFont="1" applyFill="1" applyBorder="1" applyAlignment="1">
      <alignment/>
    </xf>
    <xf numFmtId="3" fontId="5" fillId="0" borderId="148" xfId="0" applyNumberFormat="1" applyFont="1" applyFill="1" applyBorder="1" applyAlignment="1" applyProtection="1">
      <alignment/>
      <protection/>
    </xf>
    <xf numFmtId="3" fontId="5" fillId="0" borderId="160" xfId="0" applyNumberFormat="1" applyFont="1" applyFill="1" applyBorder="1" applyAlignment="1" applyProtection="1">
      <alignment/>
      <protection/>
    </xf>
    <xf numFmtId="167" fontId="12" fillId="0" borderId="145" xfId="0" applyNumberFormat="1" applyFont="1" applyFill="1" applyBorder="1" applyAlignment="1" applyProtection="1">
      <alignment/>
      <protection/>
    </xf>
    <xf numFmtId="165" fontId="5" fillId="0" borderId="73" xfId="0" applyNumberFormat="1" applyFont="1" applyFill="1" applyBorder="1" applyAlignment="1" applyProtection="1">
      <alignment horizontal="right"/>
      <protection/>
    </xf>
    <xf numFmtId="165" fontId="5" fillId="0" borderId="60" xfId="0" applyNumberFormat="1" applyFont="1" applyFill="1" applyBorder="1" applyAlignment="1">
      <alignment horizontal="right"/>
    </xf>
    <xf numFmtId="165" fontId="5" fillId="0" borderId="169" xfId="0" applyNumberFormat="1" applyFont="1" applyFill="1" applyBorder="1" applyAlignment="1">
      <alignment/>
    </xf>
    <xf numFmtId="170" fontId="12" fillId="0" borderId="146" xfId="0" applyNumberFormat="1" applyFont="1" applyFill="1" applyBorder="1" applyAlignment="1" applyProtection="1">
      <alignment/>
      <protection/>
    </xf>
    <xf numFmtId="0" fontId="12" fillId="0" borderId="169" xfId="0" applyFont="1" applyFill="1" applyBorder="1" applyAlignment="1">
      <alignment horizontal="center"/>
    </xf>
    <xf numFmtId="170" fontId="12" fillId="0" borderId="132" xfId="0" applyNumberFormat="1" applyFont="1" applyFill="1" applyBorder="1" applyAlignment="1" applyProtection="1">
      <alignment/>
      <protection/>
    </xf>
    <xf numFmtId="170" fontId="12" fillId="0" borderId="153" xfId="0" applyNumberFormat="1" applyFont="1" applyFill="1" applyBorder="1" applyAlignment="1" applyProtection="1">
      <alignment/>
      <protection/>
    </xf>
    <xf numFmtId="0" fontId="8" fillId="0" borderId="156" xfId="0" applyFont="1" applyFill="1" applyBorder="1" applyAlignment="1">
      <alignment/>
    </xf>
    <xf numFmtId="0" fontId="11" fillId="0" borderId="176" xfId="0" applyFont="1" applyFill="1" applyBorder="1" applyAlignment="1">
      <alignment/>
    </xf>
    <xf numFmtId="0" fontId="8" fillId="0" borderId="154" xfId="0" applyFont="1" applyFill="1" applyBorder="1" applyAlignment="1">
      <alignment/>
    </xf>
    <xf numFmtId="0" fontId="11" fillId="0" borderId="165" xfId="0" applyFont="1" applyFill="1" applyBorder="1" applyAlignment="1">
      <alignment/>
    </xf>
    <xf numFmtId="0" fontId="11" fillId="0" borderId="94" xfId="0" applyFont="1" applyFill="1" applyBorder="1" applyAlignment="1">
      <alignment/>
    </xf>
    <xf numFmtId="0" fontId="11" fillId="0" borderId="144" xfId="0" applyFont="1" applyFill="1" applyBorder="1" applyAlignment="1">
      <alignment/>
    </xf>
    <xf numFmtId="166" fontId="8" fillId="0" borderId="136" xfId="0" applyNumberFormat="1" applyFont="1" applyFill="1" applyBorder="1" applyAlignment="1" applyProtection="1">
      <alignment/>
      <protection/>
    </xf>
    <xf numFmtId="0" fontId="8" fillId="0" borderId="137" xfId="0" applyFont="1" applyFill="1" applyBorder="1" applyAlignment="1">
      <alignment/>
    </xf>
    <xf numFmtId="0" fontId="11" fillId="0" borderId="148" xfId="0" applyFont="1" applyFill="1" applyBorder="1" applyAlignment="1">
      <alignment/>
    </xf>
    <xf numFmtId="0" fontId="11" fillId="0" borderId="160" xfId="0" applyFont="1" applyFill="1" applyBorder="1" applyAlignment="1">
      <alignment/>
    </xf>
    <xf numFmtId="0" fontId="8" fillId="0" borderId="145" xfId="0" applyFont="1" applyFill="1" applyBorder="1" applyAlignment="1">
      <alignment/>
    </xf>
    <xf numFmtId="3" fontId="11" fillId="0" borderId="180" xfId="0" applyNumberFormat="1" applyFont="1" applyFill="1" applyBorder="1" applyAlignment="1">
      <alignment/>
    </xf>
    <xf numFmtId="166" fontId="8" fillId="0" borderId="122" xfId="0" applyNumberFormat="1" applyFont="1" applyFill="1" applyBorder="1" applyAlignment="1" applyProtection="1">
      <alignment/>
      <protection/>
    </xf>
    <xf numFmtId="0" fontId="11" fillId="0" borderId="180" xfId="0" applyFont="1" applyFill="1" applyBorder="1" applyAlignment="1">
      <alignment/>
    </xf>
    <xf numFmtId="0" fontId="11" fillId="0" borderId="93" xfId="0" applyFont="1" applyFill="1" applyBorder="1" applyAlignment="1">
      <alignment/>
    </xf>
    <xf numFmtId="165" fontId="11" fillId="0" borderId="169" xfId="0" applyNumberFormat="1" applyFont="1" applyFill="1" applyBorder="1" applyAlignment="1" applyProtection="1">
      <alignment/>
      <protection/>
    </xf>
    <xf numFmtId="0" fontId="11" fillId="0" borderId="169" xfId="0" applyFont="1" applyFill="1" applyBorder="1" applyAlignment="1">
      <alignment/>
    </xf>
    <xf numFmtId="0" fontId="8" fillId="0" borderId="146" xfId="0" applyFont="1" applyFill="1" applyBorder="1" applyAlignment="1">
      <alignment/>
    </xf>
    <xf numFmtId="0" fontId="15" fillId="0" borderId="139" xfId="0" applyFont="1" applyFill="1" applyBorder="1" applyAlignment="1">
      <alignment/>
    </xf>
    <xf numFmtId="166" fontId="16" fillId="0" borderId="144" xfId="0" applyNumberFormat="1" applyFont="1" applyFill="1" applyBorder="1" applyAlignment="1" applyProtection="1">
      <alignment/>
      <protection/>
    </xf>
    <xf numFmtId="0" fontId="12" fillId="0" borderId="15" xfId="0" applyFont="1" applyFill="1" applyBorder="1" applyAlignment="1">
      <alignment/>
    </xf>
    <xf numFmtId="165" fontId="15" fillId="0" borderId="148" xfId="0" applyNumberFormat="1" applyFont="1" applyFill="1" applyBorder="1" applyAlignment="1" applyProtection="1">
      <alignment/>
      <protection/>
    </xf>
    <xf numFmtId="165" fontId="15" fillId="0" borderId="185" xfId="0" applyNumberFormat="1" applyFont="1" applyFill="1" applyBorder="1" applyAlignment="1" applyProtection="1">
      <alignment/>
      <protection/>
    </xf>
    <xf numFmtId="165" fontId="15" fillId="0" borderId="160" xfId="0" applyNumberFormat="1" applyFont="1" applyFill="1" applyBorder="1" applyAlignment="1" applyProtection="1">
      <alignment/>
      <protection/>
    </xf>
    <xf numFmtId="166" fontId="16" fillId="0" borderId="145" xfId="0" applyNumberFormat="1" applyFont="1" applyFill="1" applyBorder="1" applyAlignment="1" applyProtection="1">
      <alignment/>
      <protection/>
    </xf>
    <xf numFmtId="165" fontId="5" fillId="0" borderId="147" xfId="0" applyNumberFormat="1" applyFont="1" applyFill="1" applyBorder="1" applyAlignment="1" applyProtection="1">
      <alignment/>
      <protection/>
    </xf>
    <xf numFmtId="165" fontId="5" fillId="0" borderId="61" xfId="0" applyNumberFormat="1" applyFont="1" applyFill="1" applyBorder="1" applyAlignment="1" applyProtection="1">
      <alignment/>
      <protection/>
    </xf>
    <xf numFmtId="0" fontId="12" fillId="0" borderId="62" xfId="0" applyFont="1" applyFill="1" applyBorder="1" applyAlignment="1">
      <alignment/>
    </xf>
    <xf numFmtId="3" fontId="5" fillId="0" borderId="118" xfId="0" applyNumberFormat="1" applyFont="1" applyFill="1" applyBorder="1" applyAlignment="1" applyProtection="1">
      <alignment/>
      <protection/>
    </xf>
    <xf numFmtId="3" fontId="5" fillId="0" borderId="71" xfId="0" applyNumberFormat="1" applyFont="1" applyFill="1" applyBorder="1" applyAlignment="1" applyProtection="1">
      <alignment/>
      <protection/>
    </xf>
    <xf numFmtId="3" fontId="5" fillId="0" borderId="63" xfId="0" applyNumberFormat="1" applyFont="1" applyFill="1" applyBorder="1" applyAlignment="1" applyProtection="1">
      <alignment/>
      <protection/>
    </xf>
    <xf numFmtId="3" fontId="5" fillId="0" borderId="64" xfId="0" applyNumberFormat="1" applyFont="1" applyFill="1" applyBorder="1" applyAlignment="1" applyProtection="1">
      <alignment/>
      <protection/>
    </xf>
    <xf numFmtId="3" fontId="5" fillId="0" borderId="65" xfId="0" applyNumberFormat="1" applyFont="1" applyFill="1" applyBorder="1" applyAlignment="1" applyProtection="1">
      <alignment/>
      <protection/>
    </xf>
    <xf numFmtId="3" fontId="5" fillId="0" borderId="107" xfId="0" applyNumberFormat="1" applyFont="1" applyFill="1" applyBorder="1" applyAlignment="1" applyProtection="1">
      <alignment/>
      <protection/>
    </xf>
    <xf numFmtId="3" fontId="5" fillId="0" borderId="115" xfId="0" applyNumberFormat="1" applyFont="1" applyFill="1" applyBorder="1" applyAlignment="1" applyProtection="1">
      <alignment/>
      <protection/>
    </xf>
    <xf numFmtId="3" fontId="5" fillId="0" borderId="108" xfId="0" applyNumberFormat="1" applyFont="1" applyFill="1" applyBorder="1" applyAlignment="1" applyProtection="1">
      <alignment/>
      <protection/>
    </xf>
    <xf numFmtId="0" fontId="18" fillId="0" borderId="0" xfId="0" applyFont="1" applyFill="1" applyAlignment="1">
      <alignment/>
    </xf>
    <xf numFmtId="3" fontId="5" fillId="0" borderId="18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3" borderId="54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5" fillId="3" borderId="51" xfId="0" applyFont="1" applyFill="1" applyBorder="1" applyAlignment="1">
      <alignment horizontal="center"/>
    </xf>
    <xf numFmtId="0" fontId="5" fillId="0" borderId="187" xfId="0" applyFont="1" applyFill="1" applyBorder="1" applyAlignment="1">
      <alignment horizontal="center"/>
    </xf>
    <xf numFmtId="0" fontId="8" fillId="0" borderId="188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189" xfId="0" applyFont="1" applyFill="1" applyBorder="1" applyAlignment="1">
      <alignment/>
    </xf>
    <xf numFmtId="0" fontId="8" fillId="0" borderId="190" xfId="0" applyFont="1" applyFill="1" applyBorder="1" applyAlignment="1">
      <alignment/>
    </xf>
    <xf numFmtId="0" fontId="8" fillId="0" borderId="19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112" xfId="0" applyFont="1" applyFill="1" applyBorder="1" applyAlignment="1">
      <alignment/>
    </xf>
    <xf numFmtId="0" fontId="12" fillId="0" borderId="184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0" fillId="0" borderId="2" xfId="0" applyNumberFormat="1" applyFont="1" applyFill="1" applyBorder="1" applyAlignment="1">
      <alignment horizontal="center" wrapText="1"/>
    </xf>
    <xf numFmtId="0" fontId="31" fillId="0" borderId="6" xfId="0" applyNumberFormat="1" applyFont="1" applyFill="1" applyBorder="1" applyAlignment="1">
      <alignment horizontal="center" wrapText="1"/>
    </xf>
    <xf numFmtId="0" fontId="31" fillId="0" borderId="11" xfId="0" applyNumberFormat="1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2" xfId="0" applyFont="1" applyFill="1" applyBorder="1" applyAlignment="1">
      <alignment horizontal="center"/>
    </xf>
    <xf numFmtId="0" fontId="5" fillId="0" borderId="192" xfId="0" applyFont="1" applyFill="1" applyBorder="1" applyAlignment="1">
      <alignment horizontal="center"/>
    </xf>
    <xf numFmtId="0" fontId="5" fillId="0" borderId="19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2" fillId="0" borderId="189" xfId="0" applyFont="1" applyFill="1" applyBorder="1" applyAlignment="1">
      <alignment horizontal="center"/>
    </xf>
    <xf numFmtId="0" fontId="12" fillId="0" borderId="192" xfId="0" applyFont="1" applyFill="1" applyBorder="1" applyAlignment="1">
      <alignment horizontal="center"/>
    </xf>
    <xf numFmtId="0" fontId="12" fillId="0" borderId="194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195" xfId="0" applyFont="1" applyFill="1" applyBorder="1" applyAlignment="1">
      <alignment horizontal="center"/>
    </xf>
    <xf numFmtId="0" fontId="5" fillId="0" borderId="196" xfId="0" applyFont="1" applyFill="1" applyBorder="1" applyAlignment="1">
      <alignment horizontal="center"/>
    </xf>
    <xf numFmtId="0" fontId="5" fillId="0" borderId="19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69" xfId="0" applyFont="1" applyFill="1" applyBorder="1" applyAlignment="1">
      <alignment horizontal="center"/>
    </xf>
    <xf numFmtId="0" fontId="12" fillId="0" borderId="198" xfId="0" applyFont="1" applyFill="1" applyBorder="1" applyAlignment="1">
      <alignment horizontal="center"/>
    </xf>
    <xf numFmtId="0" fontId="12" fillId="0" borderId="199" xfId="0" applyFont="1" applyFill="1" applyBorder="1" applyAlignment="1">
      <alignment horizontal="center"/>
    </xf>
    <xf numFmtId="0" fontId="12" fillId="0" borderId="200" xfId="0" applyFont="1" applyFill="1" applyBorder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83" xfId="0" applyFont="1" applyFill="1" applyBorder="1" applyAlignment="1">
      <alignment horizontal="center" vertical="center" wrapText="1"/>
    </xf>
    <xf numFmtId="0" fontId="12" fillId="0" borderId="84" xfId="0" applyFont="1" applyFill="1" applyBorder="1" applyAlignment="1">
      <alignment horizontal="center" vertical="center" wrapText="1"/>
    </xf>
    <xf numFmtId="0" fontId="12" fillId="0" borderId="86" xfId="0" applyFont="1" applyFill="1" applyBorder="1" applyAlignment="1">
      <alignment horizontal="center" vertical="center" wrapText="1"/>
    </xf>
    <xf numFmtId="0" fontId="12" fillId="0" borderId="9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18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28" xfId="0" applyFont="1" applyFill="1" applyBorder="1" applyAlignment="1">
      <alignment horizontal="center"/>
    </xf>
    <xf numFmtId="0" fontId="5" fillId="3" borderId="201" xfId="0" applyFont="1" applyFill="1" applyBorder="1" applyAlignment="1">
      <alignment horizontal="center"/>
    </xf>
    <xf numFmtId="0" fontId="5" fillId="3" borderId="202" xfId="0" applyFont="1" applyFill="1" applyBorder="1" applyAlignment="1">
      <alignment/>
    </xf>
    <xf numFmtId="0" fontId="12" fillId="0" borderId="90" xfId="0" applyFont="1" applyFill="1" applyBorder="1" applyAlignment="1">
      <alignment horizontal="center"/>
    </xf>
    <xf numFmtId="0" fontId="12" fillId="0" borderId="91" xfId="0" applyFont="1" applyFill="1" applyBorder="1" applyAlignment="1">
      <alignment horizontal="center"/>
    </xf>
    <xf numFmtId="0" fontId="12" fillId="0" borderId="83" xfId="0" applyFont="1" applyFill="1" applyBorder="1" applyAlignment="1">
      <alignment horizontal="center"/>
    </xf>
    <xf numFmtId="0" fontId="12" fillId="0" borderId="84" xfId="0" applyFont="1" applyFill="1" applyBorder="1" applyAlignment="1">
      <alignment horizontal="center"/>
    </xf>
    <xf numFmtId="0" fontId="12" fillId="0" borderId="8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28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97" xfId="0" applyFont="1" applyFill="1" applyBorder="1" applyAlignment="1">
      <alignment horizontal="center"/>
    </xf>
    <xf numFmtId="0" fontId="12" fillId="0" borderId="98" xfId="0" applyFont="1" applyFill="1" applyBorder="1" applyAlignment="1">
      <alignment horizontal="center"/>
    </xf>
    <xf numFmtId="0" fontId="12" fillId="0" borderId="99" xfId="0" applyFont="1" applyFill="1" applyBorder="1" applyAlignment="1">
      <alignment horizontal="center"/>
    </xf>
    <xf numFmtId="0" fontId="12" fillId="0" borderId="183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4" fontId="21" fillId="0" borderId="0" xfId="0" applyNumberFormat="1" applyFont="1" applyFill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165" fontId="5" fillId="0" borderId="182" xfId="0" applyNumberFormat="1" applyFont="1" applyFill="1" applyBorder="1" applyAlignment="1" applyProtection="1">
      <alignment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normální_MČ- platný návrh 2003" xfId="21"/>
    <cellStyle name="normální_n2005-Kriteria,vč.porovnání 04-05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zohorsk&#225;%202\Finan&#269;n&#237;%20vypo&#345;&#225;d&#225;n&#237;\FV%202010\P&#345;ehled%20KV%20IV.Q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R 2"/>
      <sheetName val="Střed"/>
      <sheetName val=" Bohunice"/>
      <sheetName val="Starý Lískovec"/>
      <sheetName val="Nový Lískovec"/>
      <sheetName val="Kohoutovice"/>
      <sheetName val="Bosonohy"/>
      <sheetName val="Žabovřesky"/>
      <sheetName val="Bystrc"/>
      <sheetName val="Kníničky"/>
      <sheetName val="Komín"/>
      <sheetName val="Jundrov"/>
      <sheetName val=" Žebětín"/>
      <sheetName val="Sever"/>
      <sheetName val="Maloměřice"/>
      <sheetName val="Židenice"/>
      <sheetName val="Černovice "/>
      <sheetName val="Jih"/>
      <sheetName val="Vinohrady"/>
      <sheetName val="Líšeň"/>
      <sheetName val="Slatina"/>
      <sheetName val="Tuřany"/>
      <sheetName val="Chrlice"/>
      <sheetName val="Kr.Pole"/>
      <sheetName val="Medlánky"/>
      <sheetName val="Řečkovice"/>
      <sheetName val="Ivanovice"/>
      <sheetName val="Jehnice"/>
      <sheetName val="Ořešín"/>
      <sheetName val="Útěchov"/>
    </sheetNames>
    <sheetDataSet>
      <sheetData sheetId="7">
        <row r="22">
          <cell r="F22">
            <v>3499825.2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S112"/>
  <sheetViews>
    <sheetView showZeros="0" tabSelected="1" view="pageBreakPreview" zoomScale="60" zoomScaleNormal="70" workbookViewId="0" topLeftCell="A1">
      <pane xSplit="2" ySplit="11" topLeftCell="C1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A1" sqref="A1"/>
    </sheetView>
  </sheetViews>
  <sheetFormatPr defaultColWidth="9.796875" defaultRowHeight="15"/>
  <cols>
    <col min="1" max="1" width="9.796875" style="6" customWidth="1"/>
    <col min="2" max="2" width="16.09765625" style="6" customWidth="1"/>
    <col min="3" max="3" width="11.09765625" style="252" customWidth="1"/>
    <col min="4" max="4" width="11" style="252" customWidth="1"/>
    <col min="5" max="5" width="11.3984375" style="252" bestFit="1" customWidth="1"/>
    <col min="6" max="6" width="13.8984375" style="252" hidden="1" customWidth="1"/>
    <col min="7" max="7" width="2.8984375" style="252" hidden="1" customWidth="1"/>
    <col min="8" max="8" width="6" style="252" bestFit="1" customWidth="1"/>
    <col min="9" max="11" width="11.09765625" style="252" customWidth="1"/>
    <col min="12" max="12" width="11.09765625" style="252" hidden="1" customWidth="1"/>
    <col min="13" max="13" width="6.19921875" style="252" hidden="1" customWidth="1"/>
    <col min="14" max="14" width="11.09765625" style="252" customWidth="1"/>
    <col min="15" max="15" width="10.796875" style="252" customWidth="1"/>
    <col min="16" max="16" width="9.8984375" style="252" customWidth="1"/>
    <col min="17" max="17" width="10.19921875" style="252" customWidth="1"/>
    <col min="18" max="18" width="8.296875" style="252" customWidth="1"/>
    <col min="19" max="19" width="12.796875" style="6" customWidth="1"/>
    <col min="20" max="21" width="12.3984375" style="6" customWidth="1"/>
    <col min="22" max="22" width="11.796875" style="252" customWidth="1"/>
    <col min="23" max="23" width="10.796875" style="6" customWidth="1"/>
    <col min="24" max="24" width="11" style="6" customWidth="1"/>
    <col min="25" max="25" width="11.296875" style="252" customWidth="1"/>
    <col min="26" max="26" width="9.796875" style="252" customWidth="1"/>
    <col min="27" max="27" width="10.796875" style="252" customWidth="1"/>
    <col min="28" max="28" width="9.19921875" style="252" customWidth="1"/>
    <col min="29" max="29" width="5.796875" style="252" customWidth="1"/>
    <col min="30" max="33" width="9.796875" style="252" customWidth="1"/>
    <col min="34" max="34" width="10.796875" style="252" customWidth="1"/>
    <col min="35" max="37" width="9.796875" style="252" customWidth="1"/>
    <col min="38" max="38" width="10.796875" style="252" customWidth="1"/>
    <col min="39" max="40" width="9.796875" style="252" customWidth="1"/>
    <col min="41" max="41" width="10.796875" style="252" customWidth="1"/>
    <col min="42" max="16384" width="9.796875" style="252" customWidth="1"/>
  </cols>
  <sheetData>
    <row r="1" spans="1:22" s="6" customFormat="1" ht="17.25" customHeight="1">
      <c r="A1" s="62"/>
      <c r="B1" s="10"/>
      <c r="C1" s="10"/>
      <c r="D1" s="10"/>
      <c r="E1" s="10"/>
      <c r="F1" s="10"/>
      <c r="G1" s="10"/>
      <c r="H1" s="10"/>
      <c r="I1" s="10"/>
      <c r="J1" s="210"/>
      <c r="K1" s="111"/>
      <c r="L1" s="111"/>
      <c r="M1" s="111"/>
      <c r="N1" s="210"/>
      <c r="O1" s="210"/>
      <c r="P1" s="210"/>
      <c r="Q1" s="10"/>
      <c r="R1" s="10"/>
      <c r="S1" s="10"/>
      <c r="T1" s="10"/>
      <c r="U1" s="10"/>
      <c r="V1" s="10"/>
    </row>
    <row r="2" spans="1:22" s="6" customFormat="1" ht="24" customHeight="1">
      <c r="A2" s="752" t="s">
        <v>231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</row>
    <row r="3" s="6" customFormat="1" ht="15" customHeight="1">
      <c r="J3" s="8"/>
    </row>
    <row r="4" spans="1:22" s="6" customFormat="1" ht="21" customHeight="1">
      <c r="A4" s="9" t="s">
        <v>28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1" s="6" customFormat="1" ht="22.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4" t="s">
        <v>33</v>
      </c>
    </row>
    <row r="6" spans="1:21" s="6" customFormat="1" ht="19.5" customHeight="1" thickBo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36" t="s">
        <v>3</v>
      </c>
    </row>
    <row r="7" spans="1:21" s="6" customFormat="1" ht="20.25" customHeight="1">
      <c r="A7" s="16"/>
      <c r="B7" s="64"/>
      <c r="C7" s="18" t="s">
        <v>30</v>
      </c>
      <c r="D7" s="19"/>
      <c r="E7" s="19"/>
      <c r="F7" s="19"/>
      <c r="G7" s="19"/>
      <c r="H7" s="211"/>
      <c r="I7" s="18" t="s">
        <v>31</v>
      </c>
      <c r="J7" s="22"/>
      <c r="K7" s="22"/>
      <c r="L7" s="22"/>
      <c r="M7" s="22"/>
      <c r="N7" s="20"/>
      <c r="O7" s="18" t="s">
        <v>32</v>
      </c>
      <c r="P7" s="22"/>
      <c r="Q7" s="212"/>
      <c r="R7" s="213"/>
      <c r="S7" s="753" t="s">
        <v>180</v>
      </c>
      <c r="T7" s="214" t="s">
        <v>236</v>
      </c>
      <c r="U7" s="215"/>
    </row>
    <row r="8" spans="1:21" s="6" customFormat="1" ht="18" customHeight="1">
      <c r="A8" s="756" t="s">
        <v>285</v>
      </c>
      <c r="B8" s="757"/>
      <c r="C8" s="199" t="s">
        <v>0</v>
      </c>
      <c r="D8" s="216" t="s">
        <v>4</v>
      </c>
      <c r="E8" s="216" t="s">
        <v>5</v>
      </c>
      <c r="F8" s="216"/>
      <c r="G8" s="216"/>
      <c r="H8" s="201" t="s">
        <v>2</v>
      </c>
      <c r="I8" s="199" t="s">
        <v>0</v>
      </c>
      <c r="J8" s="216" t="s">
        <v>4</v>
      </c>
      <c r="K8" s="216" t="s">
        <v>5</v>
      </c>
      <c r="L8" s="217"/>
      <c r="M8" s="217"/>
      <c r="N8" s="218" t="s">
        <v>2</v>
      </c>
      <c r="O8" s="199" t="s">
        <v>0</v>
      </c>
      <c r="P8" s="216" t="s">
        <v>4</v>
      </c>
      <c r="Q8" s="200" t="s">
        <v>5</v>
      </c>
      <c r="R8" s="201" t="s">
        <v>2</v>
      </c>
      <c r="S8" s="754"/>
      <c r="T8" s="219" t="s">
        <v>23</v>
      </c>
      <c r="U8" s="220"/>
    </row>
    <row r="9" spans="1:45" s="6" customFormat="1" ht="18" customHeight="1" thickBot="1">
      <c r="A9" s="29"/>
      <c r="B9" s="144"/>
      <c r="C9" s="31" t="s">
        <v>1</v>
      </c>
      <c r="D9" s="33" t="s">
        <v>1</v>
      </c>
      <c r="E9" s="33" t="s">
        <v>237</v>
      </c>
      <c r="F9" s="33"/>
      <c r="G9" s="33"/>
      <c r="H9" s="34" t="s">
        <v>19</v>
      </c>
      <c r="I9" s="31" t="s">
        <v>1</v>
      </c>
      <c r="J9" s="33" t="s">
        <v>1</v>
      </c>
      <c r="K9" s="33" t="s">
        <v>237</v>
      </c>
      <c r="L9" s="205"/>
      <c r="M9" s="205"/>
      <c r="N9" s="221" t="s">
        <v>19</v>
      </c>
      <c r="O9" s="31" t="s">
        <v>1</v>
      </c>
      <c r="P9" s="33" t="s">
        <v>1</v>
      </c>
      <c r="Q9" s="33" t="s">
        <v>237</v>
      </c>
      <c r="R9" s="34" t="s">
        <v>19</v>
      </c>
      <c r="S9" s="755"/>
      <c r="T9" s="222" t="s">
        <v>10</v>
      </c>
      <c r="U9" s="223" t="s">
        <v>133</v>
      </c>
      <c r="AQ9" s="6" t="s">
        <v>11</v>
      </c>
      <c r="AR9" s="6" t="s">
        <v>12</v>
      </c>
      <c r="AS9" s="6" t="s">
        <v>13</v>
      </c>
    </row>
    <row r="10" spans="1:21" s="6" customFormat="1" ht="18" customHeight="1">
      <c r="A10" s="24"/>
      <c r="B10" s="75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3"/>
      <c r="T10" s="128"/>
      <c r="U10" s="128"/>
    </row>
    <row r="11" spans="1:21" s="6" customFormat="1" ht="18" customHeight="1" thickBot="1">
      <c r="A11" s="24"/>
      <c r="B11" s="75"/>
      <c r="C11" s="128"/>
      <c r="D11" s="128"/>
      <c r="E11" s="128"/>
      <c r="F11" s="128" t="s">
        <v>277</v>
      </c>
      <c r="G11" s="128"/>
      <c r="H11" s="24"/>
      <c r="I11" s="128"/>
      <c r="J11" s="128"/>
      <c r="K11" s="128"/>
      <c r="L11" s="128"/>
      <c r="M11" s="128"/>
      <c r="N11" s="24"/>
      <c r="O11" s="128"/>
      <c r="P11" s="128"/>
      <c r="Q11" s="128"/>
      <c r="R11" s="24"/>
      <c r="S11" s="128"/>
      <c r="T11" s="128"/>
      <c r="U11" s="128"/>
    </row>
    <row r="12" spans="1:25" s="6" customFormat="1" ht="16.5" customHeight="1">
      <c r="A12" s="611"/>
      <c r="B12" s="612"/>
      <c r="C12" s="613"/>
      <c r="D12" s="614"/>
      <c r="E12" s="615"/>
      <c r="F12" s="209" t="s">
        <v>173</v>
      </c>
      <c r="G12" s="613"/>
      <c r="H12" s="616"/>
      <c r="I12" s="617"/>
      <c r="J12" s="618"/>
      <c r="K12" s="613"/>
      <c r="L12" s="613"/>
      <c r="M12" s="613"/>
      <c r="N12" s="619"/>
      <c r="O12" s="617"/>
      <c r="P12" s="615"/>
      <c r="Q12" s="615"/>
      <c r="R12" s="620"/>
      <c r="S12" s="621" t="s">
        <v>14</v>
      </c>
      <c r="T12" s="573"/>
      <c r="U12" s="567"/>
      <c r="W12" s="609" t="s">
        <v>284</v>
      </c>
      <c r="X12" s="609">
        <v>231</v>
      </c>
      <c r="Y12" s="609" t="s">
        <v>226</v>
      </c>
    </row>
    <row r="13" spans="1:43" s="6" customFormat="1" ht="16.5" customHeight="1">
      <c r="A13" s="744" t="s">
        <v>243</v>
      </c>
      <c r="B13" s="333"/>
      <c r="C13" s="470">
        <f>SUM('Příjmy '!C13+'Příjmy '!I13+'Příjmy '!M13+'Příjmy '!Q13)</f>
        <v>387521</v>
      </c>
      <c r="D13" s="551">
        <f>SUM('Příjmy '!D13+'Příjmy '!J13+'Příjmy '!N13+'Příjmy '!R13)</f>
        <v>451138</v>
      </c>
      <c r="E13" s="304">
        <f>SUM('Příjmy '!E13+'Příjmy '!K13+'Příjmy '!O13+'Příjmy '!S13)</f>
        <v>456277</v>
      </c>
      <c r="F13" s="455">
        <v>-456277613.24</v>
      </c>
      <c r="G13" s="471">
        <f>-F13/1000-E13</f>
        <v>0.6132400000351481</v>
      </c>
      <c r="H13" s="552">
        <f>SUM(E13/D13*100)</f>
        <v>101.1391192938746</v>
      </c>
      <c r="I13" s="303">
        <f>SUM('Výdaje '!C13+'Výdaje '!H13)</f>
        <v>418395</v>
      </c>
      <c r="J13" s="304">
        <f>SUM('Výdaje '!D13+'Výdaje '!I13)</f>
        <v>490898</v>
      </c>
      <c r="K13" s="470">
        <f>SUM('Výdaje '!E13+'Výdaje '!J13)</f>
        <v>419379</v>
      </c>
      <c r="L13" s="470">
        <v>443942500</v>
      </c>
      <c r="M13" s="471">
        <f>L13/1000-K13</f>
        <v>24563.5</v>
      </c>
      <c r="N13" s="472">
        <f>SUM(K13/J13*100)</f>
        <v>85.43098566300942</v>
      </c>
      <c r="O13" s="558">
        <f aca="true" t="shared" si="0" ref="O13:O41">SUM(C13-I13)</f>
        <v>-30874</v>
      </c>
      <c r="P13" s="320">
        <f aca="true" t="shared" si="1" ref="P13:P41">SUM(D13-J13)</f>
        <v>-39760</v>
      </c>
      <c r="Q13" s="320">
        <f aca="true" t="shared" si="2" ref="Q13:Q41">SUM(E13-K13)</f>
        <v>36898</v>
      </c>
      <c r="R13" s="513"/>
      <c r="S13" s="393">
        <f>ROUND(Y13/1000,0)</f>
        <v>112627</v>
      </c>
      <c r="T13" s="572">
        <v>64037</v>
      </c>
      <c r="U13" s="566">
        <v>6070</v>
      </c>
      <c r="W13" s="576">
        <v>80720827</v>
      </c>
      <c r="X13" s="576">
        <v>31906106</v>
      </c>
      <c r="Y13" s="576">
        <f>W13+X13</f>
        <v>112626933</v>
      </c>
      <c r="AQ13" s="6">
        <v>-1</v>
      </c>
    </row>
    <row r="14" spans="1:25" s="6" customFormat="1" ht="16.5" customHeight="1">
      <c r="A14" s="745" t="s">
        <v>244</v>
      </c>
      <c r="B14" s="333"/>
      <c r="C14" s="470">
        <f>SUM('Příjmy '!C14+'Příjmy '!I14+'Příjmy '!M14+'Příjmy '!Q14)</f>
        <v>54069</v>
      </c>
      <c r="D14" s="551">
        <f>SUM('Příjmy '!D14+'Příjmy '!J14+'Příjmy '!N14+'Příjmy '!R14)</f>
        <v>75513</v>
      </c>
      <c r="E14" s="304">
        <f>SUM('Příjmy '!E14+'Příjmy '!K14+'Příjmy '!O14+'Příjmy '!S14)</f>
        <v>75123</v>
      </c>
      <c r="F14" s="455">
        <v>-75121762.12</v>
      </c>
      <c r="G14" s="471">
        <f aca="true" t="shared" si="3" ref="G14:G41">-F14/1000-E14</f>
        <v>-1.2378800000005867</v>
      </c>
      <c r="H14" s="552">
        <f aca="true" t="shared" si="4" ref="H14:H41">SUM(E14/D14*100)</f>
        <v>99.48353263676452</v>
      </c>
      <c r="I14" s="303">
        <f>SUM('Výdaje '!C14+'Výdaje '!H14)</f>
        <v>58672</v>
      </c>
      <c r="J14" s="304">
        <f>SUM('Výdaje '!D14+'Výdaje '!I14)</f>
        <v>82386</v>
      </c>
      <c r="K14" s="470">
        <f>SUM('Výdaje '!E14+'Výdaje '!J14)</f>
        <v>75055</v>
      </c>
      <c r="L14" s="470">
        <v>63778450</v>
      </c>
      <c r="M14" s="471">
        <f aca="true" t="shared" si="5" ref="M14:M41">L14/1000-K14</f>
        <v>-11276.550000000003</v>
      </c>
      <c r="N14" s="472">
        <f aca="true" t="shared" si="6" ref="N14:N41">SUM(K14/J14*100)</f>
        <v>91.10164348311606</v>
      </c>
      <c r="O14" s="558">
        <f t="shared" si="0"/>
        <v>-4603</v>
      </c>
      <c r="P14" s="320">
        <f t="shared" si="1"/>
        <v>-6873</v>
      </c>
      <c r="Q14" s="320">
        <f t="shared" si="2"/>
        <v>68</v>
      </c>
      <c r="R14" s="513"/>
      <c r="S14" s="393">
        <f aca="true" t="shared" si="7" ref="S14:S41">ROUND(Y14/1000,0)</f>
        <v>7002</v>
      </c>
      <c r="T14" s="572">
        <v>14210</v>
      </c>
      <c r="U14" s="566">
        <v>1290</v>
      </c>
      <c r="W14" s="576">
        <v>58130</v>
      </c>
      <c r="X14" s="576">
        <v>6944154</v>
      </c>
      <c r="Y14" s="576">
        <f aca="true" t="shared" si="8" ref="Y14:Y41">W14+X14</f>
        <v>7002284</v>
      </c>
    </row>
    <row r="15" spans="1:25" s="6" customFormat="1" ht="16.5" customHeight="1">
      <c r="A15" s="745" t="s">
        <v>245</v>
      </c>
      <c r="B15" s="333"/>
      <c r="C15" s="470">
        <f>SUM('Příjmy '!C15+'Příjmy '!I15+'Příjmy '!M15+'Příjmy '!Q15)</f>
        <v>76559</v>
      </c>
      <c r="D15" s="551">
        <f>SUM('Příjmy '!D15+'Příjmy '!J15+'Příjmy '!N15+'Příjmy '!R15)</f>
        <v>123981</v>
      </c>
      <c r="E15" s="304">
        <f>SUM('Příjmy '!E15+'Příjmy '!K15+'Příjmy '!O15+'Příjmy '!S15)</f>
        <v>95748</v>
      </c>
      <c r="F15" s="455">
        <v>-95749039.85</v>
      </c>
      <c r="G15" s="471">
        <f t="shared" si="3"/>
        <v>1.0398500000010245</v>
      </c>
      <c r="H15" s="552">
        <f t="shared" si="4"/>
        <v>77.22796234906961</v>
      </c>
      <c r="I15" s="303">
        <f>SUM('Výdaje '!C15+'Výdaje '!H15)</f>
        <v>75008</v>
      </c>
      <c r="J15" s="304">
        <f>SUM('Výdaje '!D15+'Výdaje '!I15)</f>
        <v>133368</v>
      </c>
      <c r="K15" s="470">
        <f>SUM('Výdaje '!E15+'Výdaje '!J15)</f>
        <v>89373</v>
      </c>
      <c r="L15" s="470">
        <v>68349807</v>
      </c>
      <c r="M15" s="471">
        <f t="shared" si="5"/>
        <v>-21023.193</v>
      </c>
      <c r="N15" s="472">
        <f t="shared" si="6"/>
        <v>67.01232679503329</v>
      </c>
      <c r="O15" s="558">
        <f t="shared" si="0"/>
        <v>1551</v>
      </c>
      <c r="P15" s="320">
        <f t="shared" si="1"/>
        <v>-9387</v>
      </c>
      <c r="Q15" s="320">
        <f t="shared" si="2"/>
        <v>6375</v>
      </c>
      <c r="R15" s="513"/>
      <c r="S15" s="393">
        <f t="shared" si="7"/>
        <v>25241</v>
      </c>
      <c r="T15" s="572">
        <v>13090</v>
      </c>
      <c r="U15" s="566">
        <v>1373</v>
      </c>
      <c r="W15" s="576">
        <v>5998534</v>
      </c>
      <c r="X15" s="576">
        <v>19241968</v>
      </c>
      <c r="Y15" s="576">
        <f t="shared" si="8"/>
        <v>25240502</v>
      </c>
    </row>
    <row r="16" spans="1:43" s="6" customFormat="1" ht="16.5" customHeight="1">
      <c r="A16" s="745" t="s">
        <v>246</v>
      </c>
      <c r="B16" s="333"/>
      <c r="C16" s="470">
        <f>SUM('Příjmy '!C16+'Příjmy '!I16+'Příjmy '!M16+'Příjmy '!Q16)</f>
        <v>43370</v>
      </c>
      <c r="D16" s="551">
        <f>SUM('Příjmy '!D16+'Příjmy '!J16+'Příjmy '!N16+'Příjmy '!R16)</f>
        <v>72079</v>
      </c>
      <c r="E16" s="304">
        <f>SUM('Příjmy '!E16+'Příjmy '!K16+'Příjmy '!O16+'Příjmy '!S16)</f>
        <v>72467</v>
      </c>
      <c r="F16" s="455">
        <v>-72467755.94</v>
      </c>
      <c r="G16" s="471">
        <f t="shared" si="3"/>
        <v>0.7559400000027381</v>
      </c>
      <c r="H16" s="552">
        <f t="shared" si="4"/>
        <v>100.53829825608014</v>
      </c>
      <c r="I16" s="303">
        <f>SUM('Výdaje '!C16+'Výdaje '!H16)</f>
        <v>39726</v>
      </c>
      <c r="J16" s="304">
        <f>SUM('Výdaje '!D16+'Výdaje '!I16)</f>
        <v>139663</v>
      </c>
      <c r="K16" s="470">
        <f>SUM('Výdaje '!E16+'Výdaje '!J16)</f>
        <v>134977</v>
      </c>
      <c r="L16" s="470">
        <v>52677591</v>
      </c>
      <c r="M16" s="471">
        <f t="shared" si="5"/>
        <v>-82299.409</v>
      </c>
      <c r="N16" s="472">
        <f t="shared" si="6"/>
        <v>96.644780650566</v>
      </c>
      <c r="O16" s="558">
        <f t="shared" si="0"/>
        <v>3644</v>
      </c>
      <c r="P16" s="320">
        <f t="shared" si="1"/>
        <v>-67584</v>
      </c>
      <c r="Q16" s="320">
        <f t="shared" si="2"/>
        <v>-62510</v>
      </c>
      <c r="R16" s="513">
        <f>SUM(Q16/P16*100)</f>
        <v>92.49230587121212</v>
      </c>
      <c r="S16" s="393">
        <f t="shared" si="7"/>
        <v>19206</v>
      </c>
      <c r="T16" s="572">
        <v>10866</v>
      </c>
      <c r="U16" s="566">
        <v>952</v>
      </c>
      <c r="W16" s="576">
        <v>2008159</v>
      </c>
      <c r="X16" s="576">
        <v>17198052</v>
      </c>
      <c r="Y16" s="576">
        <f t="shared" si="8"/>
        <v>19206211</v>
      </c>
      <c r="AQ16" s="6">
        <v>-1</v>
      </c>
    </row>
    <row r="17" spans="1:45" s="6" customFormat="1" ht="16.5" customHeight="1">
      <c r="A17" s="745" t="s">
        <v>247</v>
      </c>
      <c r="B17" s="333"/>
      <c r="C17" s="470">
        <f>SUM('Příjmy '!C17+'Příjmy '!I17+'Příjmy '!M17+'Příjmy '!Q17)</f>
        <v>52644</v>
      </c>
      <c r="D17" s="551">
        <f>SUM('Příjmy '!D17+'Příjmy '!J17+'Příjmy '!N17+'Příjmy '!R17)</f>
        <v>64164</v>
      </c>
      <c r="E17" s="304">
        <f>SUM('Příjmy '!E17+'Příjmy '!K17+'Příjmy '!O17+'Příjmy '!S17)</f>
        <v>64542</v>
      </c>
      <c r="F17" s="455">
        <v>-64541218.44</v>
      </c>
      <c r="G17" s="471">
        <f t="shared" si="3"/>
        <v>-0.7815600000030827</v>
      </c>
      <c r="H17" s="552">
        <f t="shared" si="4"/>
        <v>100.58911539180848</v>
      </c>
      <c r="I17" s="303">
        <f>SUM('Výdaje '!C17+'Výdaje '!H17)</f>
        <v>42979</v>
      </c>
      <c r="J17" s="304">
        <f>SUM('Výdaje '!D17+'Výdaje '!I17)</f>
        <v>54922</v>
      </c>
      <c r="K17" s="470">
        <f>SUM('Výdaje '!E17+'Výdaje '!J17)</f>
        <v>51777</v>
      </c>
      <c r="L17" s="470">
        <v>64296882</v>
      </c>
      <c r="M17" s="471">
        <f t="shared" si="5"/>
        <v>12519.881999999998</v>
      </c>
      <c r="N17" s="472">
        <f t="shared" si="6"/>
        <v>94.27369724336332</v>
      </c>
      <c r="O17" s="558">
        <f t="shared" si="0"/>
        <v>9665</v>
      </c>
      <c r="P17" s="320">
        <f t="shared" si="1"/>
        <v>9242</v>
      </c>
      <c r="Q17" s="320">
        <f t="shared" si="2"/>
        <v>12765</v>
      </c>
      <c r="R17" s="513">
        <f>SUM(Q17/P17*100)</f>
        <v>138.11945466349275</v>
      </c>
      <c r="S17" s="393">
        <f t="shared" si="7"/>
        <v>18202</v>
      </c>
      <c r="T17" s="572">
        <v>12720</v>
      </c>
      <c r="U17" s="566">
        <v>1066</v>
      </c>
      <c r="W17" s="576">
        <v>2009757</v>
      </c>
      <c r="X17" s="576">
        <v>16192027</v>
      </c>
      <c r="Y17" s="576">
        <f t="shared" si="8"/>
        <v>18201784</v>
      </c>
      <c r="AS17" s="6">
        <v>48</v>
      </c>
    </row>
    <row r="18" spans="1:43" s="6" customFormat="1" ht="16.5" customHeight="1">
      <c r="A18" s="745" t="s">
        <v>248</v>
      </c>
      <c r="B18" s="333"/>
      <c r="C18" s="470">
        <f>SUM('Příjmy '!C18+'Příjmy '!I18+'Příjmy '!M18+'Příjmy '!Q18)</f>
        <v>14165</v>
      </c>
      <c r="D18" s="551">
        <f>SUM('Příjmy '!D18+'Příjmy '!J18+'Příjmy '!N18+'Příjmy '!R18)</f>
        <v>15278</v>
      </c>
      <c r="E18" s="304">
        <f>SUM('Příjmy '!E18+'Příjmy '!K18+'Příjmy '!O18+'Příjmy '!S18)</f>
        <v>15187</v>
      </c>
      <c r="F18" s="455">
        <v>-15187021.85</v>
      </c>
      <c r="G18" s="471">
        <f t="shared" si="3"/>
        <v>0.02184999999917636</v>
      </c>
      <c r="H18" s="552">
        <f t="shared" si="4"/>
        <v>99.40437230003927</v>
      </c>
      <c r="I18" s="303">
        <f>SUM('Výdaje '!C18+'Výdaje '!H18)</f>
        <v>15425</v>
      </c>
      <c r="J18" s="304">
        <f>SUM('Výdaje '!D18+'Výdaje '!I18)</f>
        <v>16635</v>
      </c>
      <c r="K18" s="470">
        <f>SUM('Výdaje '!E18+'Výdaje '!J18)</f>
        <v>12844</v>
      </c>
      <c r="L18" s="470">
        <v>13451176</v>
      </c>
      <c r="M18" s="471">
        <f t="shared" si="5"/>
        <v>607.1759999999995</v>
      </c>
      <c r="N18" s="472">
        <f t="shared" si="6"/>
        <v>77.21070033062819</v>
      </c>
      <c r="O18" s="558">
        <f t="shared" si="0"/>
        <v>-1260</v>
      </c>
      <c r="P18" s="320">
        <f t="shared" si="1"/>
        <v>-1357</v>
      </c>
      <c r="Q18" s="320">
        <f t="shared" si="2"/>
        <v>2343</v>
      </c>
      <c r="R18" s="513"/>
      <c r="S18" s="393">
        <f t="shared" si="7"/>
        <v>7728</v>
      </c>
      <c r="T18" s="572">
        <v>2341</v>
      </c>
      <c r="U18" s="566">
        <v>168</v>
      </c>
      <c r="W18" s="576">
        <v>1977591</v>
      </c>
      <c r="X18" s="576">
        <v>5750352</v>
      </c>
      <c r="Y18" s="576">
        <f t="shared" si="8"/>
        <v>7727943</v>
      </c>
      <c r="AQ18" s="6">
        <v>-1</v>
      </c>
    </row>
    <row r="19" spans="1:45" s="6" customFormat="1" ht="16.5" customHeight="1">
      <c r="A19" s="745" t="s">
        <v>249</v>
      </c>
      <c r="B19" s="333"/>
      <c r="C19" s="470">
        <f>SUM('Příjmy '!C19+'Příjmy '!I19+'Příjmy '!M19+'Příjmy '!Q19)</f>
        <v>106357</v>
      </c>
      <c r="D19" s="551">
        <f>SUM('Příjmy '!D19+'Příjmy '!J19+'Příjmy '!N19+'Příjmy '!R19)</f>
        <v>146014</v>
      </c>
      <c r="E19" s="304">
        <f>SUM('Příjmy '!E19+'Příjmy '!K19+'Příjmy '!O19+'Příjmy '!S19)</f>
        <v>147595</v>
      </c>
      <c r="F19" s="455">
        <v>-147596131.77</v>
      </c>
      <c r="G19" s="471">
        <f t="shared" si="3"/>
        <v>1.1317700000072364</v>
      </c>
      <c r="H19" s="552">
        <f t="shared" si="4"/>
        <v>101.08277288479186</v>
      </c>
      <c r="I19" s="303">
        <f>SUM('Výdaje '!C19+'Výdaje '!H19)</f>
        <v>101147</v>
      </c>
      <c r="J19" s="304">
        <f>SUM('Výdaje '!D19+'Výdaje '!I19)</f>
        <v>144948</v>
      </c>
      <c r="K19" s="470">
        <f>SUM('Výdaje '!E19+'Výdaje '!J19)</f>
        <v>130122</v>
      </c>
      <c r="L19" s="470">
        <v>145114585</v>
      </c>
      <c r="M19" s="471">
        <f t="shared" si="5"/>
        <v>14992.584999999992</v>
      </c>
      <c r="N19" s="472">
        <f t="shared" si="6"/>
        <v>89.77150426359798</v>
      </c>
      <c r="O19" s="558">
        <f t="shared" si="0"/>
        <v>5210</v>
      </c>
      <c r="P19" s="320">
        <f t="shared" si="1"/>
        <v>1066</v>
      </c>
      <c r="Q19" s="320">
        <f t="shared" si="2"/>
        <v>17473</v>
      </c>
      <c r="R19" s="513">
        <f>SUM(Q19/P19*100)</f>
        <v>1639.1181988742965</v>
      </c>
      <c r="S19" s="393">
        <f t="shared" si="7"/>
        <v>482</v>
      </c>
      <c r="T19" s="572">
        <v>20470</v>
      </c>
      <c r="U19" s="566">
        <v>1986</v>
      </c>
      <c r="W19" s="576">
        <v>44382</v>
      </c>
      <c r="X19" s="576">
        <v>437259</v>
      </c>
      <c r="Y19" s="576">
        <f t="shared" si="8"/>
        <v>481641</v>
      </c>
      <c r="AR19" s="6">
        <v>59</v>
      </c>
      <c r="AS19" s="6">
        <v>-1</v>
      </c>
    </row>
    <row r="20" spans="1:44" s="6" customFormat="1" ht="16.5" customHeight="1">
      <c r="A20" s="746" t="s">
        <v>250</v>
      </c>
      <c r="B20" s="333"/>
      <c r="C20" s="470">
        <f>SUM('Příjmy '!C20+'Příjmy '!I20+'Příjmy '!M20+'Příjmy '!Q20)</f>
        <v>155685</v>
      </c>
      <c r="D20" s="551">
        <f>SUM('Příjmy '!D20+'Příjmy '!J20+'Příjmy '!N20+'Příjmy '!R20)</f>
        <v>189506</v>
      </c>
      <c r="E20" s="304">
        <f>SUM('Příjmy '!E20+'Příjmy '!K20+'Příjmy '!O20+'Příjmy '!S20)</f>
        <v>188531</v>
      </c>
      <c r="F20" s="455">
        <v>-188531295.12</v>
      </c>
      <c r="G20" s="471">
        <f t="shared" si="3"/>
        <v>0.2951199999952223</v>
      </c>
      <c r="H20" s="552">
        <f t="shared" si="4"/>
        <v>99.48550441674669</v>
      </c>
      <c r="I20" s="303">
        <f>SUM('Výdaje '!C20+'Výdaje '!H20)</f>
        <v>155637</v>
      </c>
      <c r="J20" s="304">
        <f>SUM('Výdaje '!D20+'Výdaje '!I20)</f>
        <v>214979</v>
      </c>
      <c r="K20" s="470">
        <f>SUM('Výdaje '!E20+'Výdaje '!J20)</f>
        <v>183574</v>
      </c>
      <c r="L20" s="470">
        <v>143053898</v>
      </c>
      <c r="M20" s="471">
        <f t="shared" si="5"/>
        <v>-40520.10200000001</v>
      </c>
      <c r="N20" s="472">
        <f t="shared" si="6"/>
        <v>85.39159638848446</v>
      </c>
      <c r="O20" s="558">
        <f t="shared" si="0"/>
        <v>48</v>
      </c>
      <c r="P20" s="320">
        <f t="shared" si="1"/>
        <v>-25473</v>
      </c>
      <c r="Q20" s="320">
        <f t="shared" si="2"/>
        <v>4957</v>
      </c>
      <c r="R20" s="513"/>
      <c r="S20" s="393">
        <f t="shared" si="7"/>
        <v>30471</v>
      </c>
      <c r="T20" s="572">
        <v>22981</v>
      </c>
      <c r="U20" s="566">
        <v>1971</v>
      </c>
      <c r="W20" s="576">
        <v>17683670</v>
      </c>
      <c r="X20" s="576">
        <v>12787634</v>
      </c>
      <c r="Y20" s="576">
        <f t="shared" si="8"/>
        <v>30471304</v>
      </c>
      <c r="AQ20" s="6">
        <v>54</v>
      </c>
      <c r="AR20" s="6">
        <v>61</v>
      </c>
    </row>
    <row r="21" spans="1:25" s="6" customFormat="1" ht="16.5" customHeight="1">
      <c r="A21" s="745" t="s">
        <v>251</v>
      </c>
      <c r="B21" s="333"/>
      <c r="C21" s="470">
        <f>SUM('Příjmy '!C21+'Příjmy '!I21+'Příjmy '!M21+'Příjmy '!Q21)</f>
        <v>9892</v>
      </c>
      <c r="D21" s="551">
        <f>SUM('Příjmy '!D21+'Příjmy '!J21+'Příjmy '!N21+'Příjmy '!R21)</f>
        <v>10426</v>
      </c>
      <c r="E21" s="304">
        <f>SUM('Příjmy '!E21+'Příjmy '!K21+'Příjmy '!O21+'Příjmy '!S21)</f>
        <v>10361</v>
      </c>
      <c r="F21" s="455">
        <v>-10361187.96</v>
      </c>
      <c r="G21" s="471">
        <f t="shared" si="3"/>
        <v>0.18796000000111235</v>
      </c>
      <c r="H21" s="552">
        <f t="shared" si="4"/>
        <v>99.37655860349128</v>
      </c>
      <c r="I21" s="303">
        <f>SUM('Výdaje '!C21+'Výdaje '!H21)</f>
        <v>9892</v>
      </c>
      <c r="J21" s="304">
        <f>SUM('Výdaje '!D21+'Výdaje '!I21)</f>
        <v>13032</v>
      </c>
      <c r="K21" s="470">
        <f>SUM('Výdaje '!E21+'Výdaje '!J21)</f>
        <v>11352</v>
      </c>
      <c r="L21" s="470">
        <v>9051242</v>
      </c>
      <c r="M21" s="471">
        <f t="shared" si="5"/>
        <v>-2300.758</v>
      </c>
      <c r="N21" s="472">
        <f t="shared" si="6"/>
        <v>87.10865561694291</v>
      </c>
      <c r="O21" s="558">
        <f t="shared" si="0"/>
        <v>0</v>
      </c>
      <c r="P21" s="320">
        <f t="shared" si="1"/>
        <v>-2606</v>
      </c>
      <c r="Q21" s="320">
        <f t="shared" si="2"/>
        <v>-991</v>
      </c>
      <c r="R21" s="513"/>
      <c r="S21" s="393">
        <f t="shared" si="7"/>
        <v>3738</v>
      </c>
      <c r="T21" s="572">
        <v>917</v>
      </c>
      <c r="U21" s="566">
        <v>53</v>
      </c>
      <c r="W21" s="576"/>
      <c r="X21" s="576">
        <v>3738056</v>
      </c>
      <c r="Y21" s="576">
        <f t="shared" si="8"/>
        <v>3738056</v>
      </c>
    </row>
    <row r="22" spans="1:25" s="6" customFormat="1" ht="16.5" customHeight="1">
      <c r="A22" s="746" t="s">
        <v>252</v>
      </c>
      <c r="B22" s="333"/>
      <c r="C22" s="470">
        <f>SUM('Příjmy '!C22+'Příjmy '!I22+'Příjmy '!M22+'Příjmy '!Q22)</f>
        <v>28105</v>
      </c>
      <c r="D22" s="551">
        <f>SUM('Příjmy '!D22+'Příjmy '!J22+'Příjmy '!N22+'Příjmy '!R22)</f>
        <v>35467</v>
      </c>
      <c r="E22" s="304">
        <f>SUM('Příjmy '!E22+'Příjmy '!K22+'Příjmy '!O22+'Příjmy '!S22)</f>
        <v>35461</v>
      </c>
      <c r="F22" s="455">
        <v>-35461912.21</v>
      </c>
      <c r="G22" s="471">
        <f t="shared" si="3"/>
        <v>0.9122100000022328</v>
      </c>
      <c r="H22" s="552">
        <f t="shared" si="4"/>
        <v>99.98308286576254</v>
      </c>
      <c r="I22" s="303">
        <f>SUM('Výdaje '!C22+'Výdaje '!H22)</f>
        <v>28710</v>
      </c>
      <c r="J22" s="304">
        <f>SUM('Výdaje '!D22+'Výdaje '!I22)</f>
        <v>36725</v>
      </c>
      <c r="K22" s="470">
        <f>SUM('Výdaje '!E22+'Výdaje '!J22)</f>
        <v>32775</v>
      </c>
      <c r="L22" s="470">
        <v>42970742</v>
      </c>
      <c r="M22" s="471">
        <f t="shared" si="5"/>
        <v>10195.741999999998</v>
      </c>
      <c r="N22" s="472">
        <f t="shared" si="6"/>
        <v>89.24438393464942</v>
      </c>
      <c r="O22" s="558">
        <f t="shared" si="0"/>
        <v>-605</v>
      </c>
      <c r="P22" s="320">
        <f t="shared" si="1"/>
        <v>-1258</v>
      </c>
      <c r="Q22" s="320">
        <f t="shared" si="2"/>
        <v>2686</v>
      </c>
      <c r="R22" s="513"/>
      <c r="S22" s="393">
        <f t="shared" si="7"/>
        <v>6055</v>
      </c>
      <c r="T22" s="572">
        <v>7004</v>
      </c>
      <c r="U22" s="566">
        <v>690</v>
      </c>
      <c r="W22" s="576">
        <v>1659068</v>
      </c>
      <c r="X22" s="576">
        <v>4396138</v>
      </c>
      <c r="Y22" s="576">
        <f t="shared" si="8"/>
        <v>6055206</v>
      </c>
    </row>
    <row r="23" spans="1:44" s="6" customFormat="1" ht="16.5" customHeight="1">
      <c r="A23" s="745" t="s">
        <v>253</v>
      </c>
      <c r="B23" s="333"/>
      <c r="C23" s="470">
        <f>SUM('Příjmy '!C23+'Příjmy '!I23+'Příjmy '!M23+'Příjmy '!Q23)</f>
        <v>15222</v>
      </c>
      <c r="D23" s="551">
        <f>SUM('Příjmy '!D23+'Příjmy '!J23+'Příjmy '!N23+'Příjmy '!R23)</f>
        <v>25899</v>
      </c>
      <c r="E23" s="304">
        <f>SUM('Příjmy '!E23+'Příjmy '!K23+'Příjmy '!O23+'Příjmy '!S23)</f>
        <v>24127</v>
      </c>
      <c r="F23" s="455">
        <v>-24128204.19</v>
      </c>
      <c r="G23" s="471">
        <f t="shared" si="3"/>
        <v>1.2041900000003807</v>
      </c>
      <c r="H23" s="552">
        <f t="shared" si="4"/>
        <v>93.15803698984517</v>
      </c>
      <c r="I23" s="303">
        <f>SUM('Výdaje '!C23+'Výdaje '!H23)</f>
        <v>15222</v>
      </c>
      <c r="J23" s="304">
        <f>SUM('Výdaje '!D23+'Výdaje '!I23)</f>
        <v>26267</v>
      </c>
      <c r="K23" s="470">
        <f>SUM('Výdaje '!E23+'Výdaje '!J23)</f>
        <v>21697</v>
      </c>
      <c r="L23" s="470">
        <v>45386987</v>
      </c>
      <c r="M23" s="471">
        <f t="shared" si="5"/>
        <v>23689.987</v>
      </c>
      <c r="N23" s="472">
        <f t="shared" si="6"/>
        <v>82.60174363269502</v>
      </c>
      <c r="O23" s="558">
        <f t="shared" si="0"/>
        <v>0</v>
      </c>
      <c r="P23" s="320">
        <f t="shared" si="1"/>
        <v>-368</v>
      </c>
      <c r="Q23" s="320">
        <f t="shared" si="2"/>
        <v>2430</v>
      </c>
      <c r="R23" s="513"/>
      <c r="S23" s="393">
        <f t="shared" si="7"/>
        <v>6033</v>
      </c>
      <c r="T23" s="572">
        <v>3799</v>
      </c>
      <c r="U23" s="566">
        <v>328</v>
      </c>
      <c r="W23" s="576">
        <v>2883826</v>
      </c>
      <c r="X23" s="576">
        <v>3149661</v>
      </c>
      <c r="Y23" s="576">
        <f t="shared" si="8"/>
        <v>6033487</v>
      </c>
      <c r="AR23" s="6">
        <v>34</v>
      </c>
    </row>
    <row r="24" spans="1:45" s="6" customFormat="1" ht="16.5" customHeight="1">
      <c r="A24" s="745" t="s">
        <v>254</v>
      </c>
      <c r="B24" s="333"/>
      <c r="C24" s="470">
        <f>SUM('Příjmy '!C24+'Příjmy '!I24+'Příjmy '!M24+'Příjmy '!Q24)</f>
        <v>16680</v>
      </c>
      <c r="D24" s="551">
        <f>SUM('Příjmy '!D24+'Příjmy '!J24+'Příjmy '!N24+'Příjmy '!R24)</f>
        <v>35790</v>
      </c>
      <c r="E24" s="304">
        <f>SUM('Příjmy '!E24+'Příjmy '!K24+'Příjmy '!O24+'Příjmy '!S24)</f>
        <v>35603</v>
      </c>
      <c r="F24" s="455">
        <v>-35603959.19</v>
      </c>
      <c r="G24" s="471">
        <f t="shared" si="3"/>
        <v>0.9591899999941234</v>
      </c>
      <c r="H24" s="552">
        <f t="shared" si="4"/>
        <v>99.47750768371053</v>
      </c>
      <c r="I24" s="303">
        <f>SUM('Výdaje '!C24+'Výdaje '!H24)</f>
        <v>17180</v>
      </c>
      <c r="J24" s="304">
        <f>SUM('Výdaje '!D24+'Výdaje '!I24)</f>
        <v>38022</v>
      </c>
      <c r="K24" s="470">
        <f>SUM('Výdaje '!E24+'Výdaje '!J24)</f>
        <v>28504</v>
      </c>
      <c r="L24" s="470">
        <v>18922131</v>
      </c>
      <c r="M24" s="471">
        <f t="shared" si="5"/>
        <v>-9581.868999999999</v>
      </c>
      <c r="N24" s="472">
        <f t="shared" si="6"/>
        <v>74.96712429645994</v>
      </c>
      <c r="O24" s="558">
        <f t="shared" si="0"/>
        <v>-500</v>
      </c>
      <c r="P24" s="320">
        <f t="shared" si="1"/>
        <v>-2232</v>
      </c>
      <c r="Q24" s="320">
        <f t="shared" si="2"/>
        <v>7099</v>
      </c>
      <c r="R24" s="513"/>
      <c r="S24" s="393">
        <f t="shared" si="7"/>
        <v>10282</v>
      </c>
      <c r="T24" s="572">
        <v>3257</v>
      </c>
      <c r="U24" s="566">
        <v>262</v>
      </c>
      <c r="W24" s="576">
        <v>2107983</v>
      </c>
      <c r="X24" s="576">
        <v>8173701</v>
      </c>
      <c r="Y24" s="576">
        <f t="shared" si="8"/>
        <v>10281684</v>
      </c>
      <c r="AQ24" s="6">
        <v>-1</v>
      </c>
      <c r="AR24" s="6">
        <v>-1</v>
      </c>
      <c r="AS24" s="6">
        <v>-1</v>
      </c>
    </row>
    <row r="25" spans="1:43" s="6" customFormat="1" ht="16.5" customHeight="1">
      <c r="A25" s="746" t="s">
        <v>255</v>
      </c>
      <c r="B25" s="333"/>
      <c r="C25" s="470">
        <f>SUM('Příjmy '!C25+'Příjmy '!I25+'Příjmy '!M25+'Příjmy '!Q25)</f>
        <v>210395</v>
      </c>
      <c r="D25" s="551">
        <f>SUM('Příjmy '!D25+'Příjmy '!J25+'Příjmy '!N25+'Příjmy '!R25)</f>
        <v>301654</v>
      </c>
      <c r="E25" s="304">
        <f>SUM('Příjmy '!E25+'Příjmy '!K25+'Příjmy '!O25+'Příjmy '!S25)</f>
        <v>299138</v>
      </c>
      <c r="F25" s="455">
        <v>-299138431.9</v>
      </c>
      <c r="G25" s="471">
        <f t="shared" si="3"/>
        <v>0.4318999999668449</v>
      </c>
      <c r="H25" s="552">
        <f t="shared" si="4"/>
        <v>99.16593182918177</v>
      </c>
      <c r="I25" s="303">
        <f>SUM('Výdaje '!C25+'Výdaje '!H25)</f>
        <v>213062</v>
      </c>
      <c r="J25" s="304">
        <f>SUM('Výdaje '!D25+'Výdaje '!I25)</f>
        <v>394427</v>
      </c>
      <c r="K25" s="470">
        <f>SUM('Výdaje '!E25+'Výdaje '!J25)</f>
        <v>268732</v>
      </c>
      <c r="L25" s="470">
        <v>236919985</v>
      </c>
      <c r="M25" s="471">
        <f t="shared" si="5"/>
        <v>-31812.015000000014</v>
      </c>
      <c r="N25" s="472">
        <f t="shared" si="6"/>
        <v>68.1322526094816</v>
      </c>
      <c r="O25" s="558">
        <f t="shared" si="0"/>
        <v>-2667</v>
      </c>
      <c r="P25" s="320">
        <f t="shared" si="1"/>
        <v>-92773</v>
      </c>
      <c r="Q25" s="320">
        <f t="shared" si="2"/>
        <v>30406</v>
      </c>
      <c r="R25" s="513"/>
      <c r="S25" s="393">
        <f t="shared" si="7"/>
        <v>126536</v>
      </c>
      <c r="T25" s="572">
        <v>45659</v>
      </c>
      <c r="U25" s="566">
        <v>3967</v>
      </c>
      <c r="W25" s="576">
        <v>3908792</v>
      </c>
      <c r="X25" s="576">
        <v>122627055</v>
      </c>
      <c r="Y25" s="576">
        <f t="shared" si="8"/>
        <v>126535847</v>
      </c>
      <c r="AQ25" s="6">
        <v>47</v>
      </c>
    </row>
    <row r="26" spans="1:43" s="6" customFormat="1" ht="16.5" customHeight="1">
      <c r="A26" s="745" t="s">
        <v>256</v>
      </c>
      <c r="B26" s="333"/>
      <c r="C26" s="470">
        <f>SUM('Příjmy '!C26+'Příjmy '!I26+'Příjmy '!M26+'Příjmy '!Q26)</f>
        <v>24742</v>
      </c>
      <c r="D26" s="551">
        <f>SUM('Příjmy '!D26+'Příjmy '!J26+'Příjmy '!N26+'Příjmy '!R26)</f>
        <v>28777</v>
      </c>
      <c r="E26" s="304">
        <f>SUM('Příjmy '!E26+'Příjmy '!K26+'Příjmy '!O26+'Příjmy '!S26)</f>
        <v>28826</v>
      </c>
      <c r="F26" s="455">
        <v>-28825494.05</v>
      </c>
      <c r="G26" s="471">
        <f t="shared" si="3"/>
        <v>-0.5059499999988475</v>
      </c>
      <c r="H26" s="552">
        <f t="shared" si="4"/>
        <v>100.17027487229385</v>
      </c>
      <c r="I26" s="303">
        <f>SUM('Výdaje '!C26+'Výdaje '!H26)</f>
        <v>26981</v>
      </c>
      <c r="J26" s="304">
        <f>SUM('Výdaje '!D26+'Výdaje '!I26)</f>
        <v>40488</v>
      </c>
      <c r="K26" s="470">
        <f>SUM('Výdaje '!E26+'Výdaje '!J26)</f>
        <v>34421</v>
      </c>
      <c r="L26" s="470">
        <v>28183842</v>
      </c>
      <c r="M26" s="471">
        <f t="shared" si="5"/>
        <v>-6237.157999999999</v>
      </c>
      <c r="N26" s="472">
        <f t="shared" si="6"/>
        <v>85.01531317921359</v>
      </c>
      <c r="O26" s="558">
        <f t="shared" si="0"/>
        <v>-2239</v>
      </c>
      <c r="P26" s="320">
        <f t="shared" si="1"/>
        <v>-11711</v>
      </c>
      <c r="Q26" s="320">
        <f t="shared" si="2"/>
        <v>-5595</v>
      </c>
      <c r="R26" s="513">
        <f>SUM(Q26/P26*100)</f>
        <v>47.77559559388609</v>
      </c>
      <c r="S26" s="393">
        <f t="shared" si="7"/>
        <v>10178</v>
      </c>
      <c r="T26" s="572">
        <v>5145</v>
      </c>
      <c r="U26" s="566">
        <v>415</v>
      </c>
      <c r="W26" s="576">
        <v>4303216</v>
      </c>
      <c r="X26" s="576">
        <v>5874555</v>
      </c>
      <c r="Y26" s="576">
        <f t="shared" si="8"/>
        <v>10177771</v>
      </c>
      <c r="AD26" s="40"/>
      <c r="AQ26" s="6">
        <v>-1</v>
      </c>
    </row>
    <row r="27" spans="1:45" s="6" customFormat="1" ht="16.5" customHeight="1">
      <c r="A27" s="745" t="s">
        <v>257</v>
      </c>
      <c r="B27" s="333"/>
      <c r="C27" s="470">
        <f>SUM('Příjmy '!C27+'Příjmy '!I27+'Příjmy '!M27+'Příjmy '!Q27)</f>
        <v>161350</v>
      </c>
      <c r="D27" s="551">
        <f>SUM('Příjmy '!D27+'Příjmy '!J27+'Příjmy '!N27+'Příjmy '!R27)</f>
        <v>185059</v>
      </c>
      <c r="E27" s="304">
        <f>SUM('Příjmy '!E27+'Příjmy '!K27+'Příjmy '!O27+'Příjmy '!S27)</f>
        <v>185022</v>
      </c>
      <c r="F27" s="455">
        <v>-185020955.26</v>
      </c>
      <c r="G27" s="471">
        <f t="shared" si="3"/>
        <v>-1.0447400000120979</v>
      </c>
      <c r="H27" s="552">
        <f t="shared" si="4"/>
        <v>99.98000637634485</v>
      </c>
      <c r="I27" s="303">
        <f>SUM('Výdaje '!C27+'Výdaje '!H27)</f>
        <v>149264</v>
      </c>
      <c r="J27" s="304">
        <f>SUM('Výdaje '!D27+'Výdaje '!I27)</f>
        <v>196864</v>
      </c>
      <c r="K27" s="470">
        <f>SUM('Výdaje '!E27+'Výdaje '!J27)</f>
        <v>147491</v>
      </c>
      <c r="L27" s="470">
        <v>131496367</v>
      </c>
      <c r="M27" s="471">
        <f t="shared" si="5"/>
        <v>-15994.633000000002</v>
      </c>
      <c r="N27" s="472">
        <f t="shared" si="6"/>
        <v>74.9202495123537</v>
      </c>
      <c r="O27" s="558">
        <f t="shared" si="0"/>
        <v>12086</v>
      </c>
      <c r="P27" s="320">
        <f t="shared" si="1"/>
        <v>-11805</v>
      </c>
      <c r="Q27" s="320">
        <f t="shared" si="2"/>
        <v>37531</v>
      </c>
      <c r="R27" s="513"/>
      <c r="S27" s="393">
        <f t="shared" si="7"/>
        <v>2154</v>
      </c>
      <c r="T27" s="572">
        <v>20609</v>
      </c>
      <c r="U27" s="566">
        <v>2092</v>
      </c>
      <c r="W27" s="576">
        <v>101086</v>
      </c>
      <c r="X27" s="576">
        <v>2053332</v>
      </c>
      <c r="Y27" s="576">
        <f t="shared" si="8"/>
        <v>2154418</v>
      </c>
      <c r="AD27" s="40"/>
      <c r="AS27" s="6">
        <v>-1</v>
      </c>
    </row>
    <row r="28" spans="1:25" s="6" customFormat="1" ht="16.5" customHeight="1">
      <c r="A28" s="745" t="s">
        <v>258</v>
      </c>
      <c r="B28" s="333"/>
      <c r="C28" s="470">
        <f>SUM('Příjmy '!C28+'Příjmy '!I28+'Příjmy '!M28+'Příjmy '!Q28)</f>
        <v>48990</v>
      </c>
      <c r="D28" s="551">
        <f>SUM('Příjmy '!D28+'Příjmy '!J28+'Příjmy '!N28+'Příjmy '!R28)</f>
        <v>74487</v>
      </c>
      <c r="E28" s="304">
        <f>SUM('Příjmy '!E28+'Příjmy '!K28+'Příjmy '!O28+'Příjmy '!S28)</f>
        <v>74098</v>
      </c>
      <c r="F28" s="455">
        <v>-74097822.75</v>
      </c>
      <c r="G28" s="471">
        <f t="shared" si="3"/>
        <v>-0.17724999999336433</v>
      </c>
      <c r="H28" s="552">
        <f t="shared" si="4"/>
        <v>99.47776122007868</v>
      </c>
      <c r="I28" s="303">
        <f>SUM('Výdaje '!C28+'Výdaje '!H28)</f>
        <v>41563</v>
      </c>
      <c r="J28" s="304">
        <f>SUM('Výdaje '!D28+'Výdaje '!I28)</f>
        <v>74600</v>
      </c>
      <c r="K28" s="470">
        <f>SUM('Výdaje '!E28+'Výdaje '!J28)</f>
        <v>66702</v>
      </c>
      <c r="L28" s="470">
        <v>44168132</v>
      </c>
      <c r="M28" s="471">
        <f t="shared" si="5"/>
        <v>-22533.868000000002</v>
      </c>
      <c r="N28" s="472">
        <f t="shared" si="6"/>
        <v>89.41286863270777</v>
      </c>
      <c r="O28" s="558">
        <f t="shared" si="0"/>
        <v>7427</v>
      </c>
      <c r="P28" s="320">
        <f t="shared" si="1"/>
        <v>-113</v>
      </c>
      <c r="Q28" s="320">
        <f t="shared" si="2"/>
        <v>7396</v>
      </c>
      <c r="R28" s="513"/>
      <c r="S28" s="393">
        <f t="shared" si="7"/>
        <v>12825</v>
      </c>
      <c r="T28" s="572">
        <v>7541</v>
      </c>
      <c r="U28" s="566">
        <v>783</v>
      </c>
      <c r="W28" s="576">
        <v>1062</v>
      </c>
      <c r="X28" s="576">
        <v>12823585</v>
      </c>
      <c r="Y28" s="576">
        <f t="shared" si="8"/>
        <v>12824647</v>
      </c>
    </row>
    <row r="29" spans="1:25" s="6" customFormat="1" ht="16.5" customHeight="1">
      <c r="A29" s="746" t="s">
        <v>259</v>
      </c>
      <c r="B29" s="333"/>
      <c r="C29" s="470">
        <f>SUM('Příjmy '!C29+'Příjmy '!I29+'Příjmy '!M29+'Příjmy '!Q29)</f>
        <v>61738</v>
      </c>
      <c r="D29" s="551">
        <f>SUM('Příjmy '!D29+'Příjmy '!J29+'Příjmy '!N29+'Příjmy '!R29)</f>
        <v>75353</v>
      </c>
      <c r="E29" s="304">
        <f>SUM('Příjmy '!E29+'Příjmy '!K29+'Příjmy '!O29+'Příjmy '!S29)</f>
        <v>75301</v>
      </c>
      <c r="F29" s="455">
        <v>-75300910.37</v>
      </c>
      <c r="G29" s="471">
        <f t="shared" si="3"/>
        <v>-0.08963000000221655</v>
      </c>
      <c r="H29" s="552">
        <f t="shared" si="4"/>
        <v>99.93099146682945</v>
      </c>
      <c r="I29" s="303">
        <f>SUM('Výdaje '!C29+'Výdaje '!H29)</f>
        <v>50620</v>
      </c>
      <c r="J29" s="304">
        <f>SUM('Výdaje '!D29+'Výdaje '!I29)</f>
        <v>69273</v>
      </c>
      <c r="K29" s="470">
        <f>SUM('Výdaje '!E29+'Výdaje '!J29)</f>
        <v>55472</v>
      </c>
      <c r="L29" s="470">
        <v>87202201</v>
      </c>
      <c r="M29" s="471">
        <f t="shared" si="5"/>
        <v>31730.201</v>
      </c>
      <c r="N29" s="472">
        <f t="shared" si="6"/>
        <v>80.0773750234579</v>
      </c>
      <c r="O29" s="558">
        <f t="shared" si="0"/>
        <v>11118</v>
      </c>
      <c r="P29" s="320">
        <f t="shared" si="1"/>
        <v>6080</v>
      </c>
      <c r="Q29" s="320">
        <f t="shared" si="2"/>
        <v>19829</v>
      </c>
      <c r="R29" s="513">
        <f>SUM(Q29/P29*100)</f>
        <v>326.13486842105266</v>
      </c>
      <c r="S29" s="393">
        <f t="shared" si="7"/>
        <v>52903</v>
      </c>
      <c r="T29" s="572">
        <v>9203</v>
      </c>
      <c r="U29" s="566">
        <v>808</v>
      </c>
      <c r="W29" s="576">
        <v>702</v>
      </c>
      <c r="X29" s="576">
        <v>52901906</v>
      </c>
      <c r="Y29" s="576">
        <f t="shared" si="8"/>
        <v>52902608</v>
      </c>
    </row>
    <row r="30" spans="1:43" s="6" customFormat="1" ht="16.5" customHeight="1">
      <c r="A30" s="745" t="s">
        <v>260</v>
      </c>
      <c r="B30" s="333"/>
      <c r="C30" s="470">
        <f>SUM('Příjmy '!C30+'Příjmy '!I30+'Příjmy '!M30+'Příjmy '!Q30)</f>
        <v>62258</v>
      </c>
      <c r="D30" s="551">
        <f>SUM('Příjmy '!D30+'Příjmy '!J30+'Příjmy '!N30+'Příjmy '!R30)</f>
        <v>95986</v>
      </c>
      <c r="E30" s="304">
        <f>SUM('Příjmy '!E30+'Příjmy '!K30+'Příjmy '!O30+'Příjmy '!S30)</f>
        <v>96448</v>
      </c>
      <c r="F30" s="455">
        <v>-96447638.78</v>
      </c>
      <c r="G30" s="471">
        <f t="shared" si="3"/>
        <v>-0.36121999999159016</v>
      </c>
      <c r="H30" s="552">
        <f t="shared" si="4"/>
        <v>100.48132019252807</v>
      </c>
      <c r="I30" s="303">
        <f>SUM('Výdaje '!C30+'Výdaje '!H30)</f>
        <v>89558</v>
      </c>
      <c r="J30" s="304">
        <f>SUM('Výdaje '!D30+'Výdaje '!I30)</f>
        <v>115007</v>
      </c>
      <c r="K30" s="470">
        <f>SUM('Výdaje '!E30+'Výdaje '!J30)</f>
        <v>111252</v>
      </c>
      <c r="L30" s="470">
        <v>142711668</v>
      </c>
      <c r="M30" s="471">
        <f t="shared" si="5"/>
        <v>31459.668000000005</v>
      </c>
      <c r="N30" s="472">
        <f t="shared" si="6"/>
        <v>96.73498134896137</v>
      </c>
      <c r="O30" s="558">
        <f t="shared" si="0"/>
        <v>-27300</v>
      </c>
      <c r="P30" s="320">
        <f t="shared" si="1"/>
        <v>-19021</v>
      </c>
      <c r="Q30" s="320">
        <f t="shared" si="2"/>
        <v>-14804</v>
      </c>
      <c r="R30" s="513">
        <f>SUM(Q30/P30*100)</f>
        <v>77.82976709952159</v>
      </c>
      <c r="S30" s="393">
        <f t="shared" si="7"/>
        <v>18686</v>
      </c>
      <c r="T30" s="572">
        <v>13521</v>
      </c>
      <c r="U30" s="566">
        <v>636</v>
      </c>
      <c r="W30" s="576">
        <v>8900767</v>
      </c>
      <c r="X30" s="576">
        <v>9785271</v>
      </c>
      <c r="Y30" s="576">
        <f t="shared" si="8"/>
        <v>18686038</v>
      </c>
      <c r="AQ30" s="6">
        <v>-1</v>
      </c>
    </row>
    <row r="31" spans="1:44" s="6" customFormat="1" ht="16.5" customHeight="1">
      <c r="A31" s="746" t="s">
        <v>261</v>
      </c>
      <c r="B31" s="333"/>
      <c r="C31" s="470">
        <f>SUM('Příjmy '!C31+'Příjmy '!I31+'Příjmy '!M31+'Příjmy '!Q31)</f>
        <v>144563</v>
      </c>
      <c r="D31" s="551">
        <f>SUM('Příjmy '!D31+'Příjmy '!J31+'Příjmy '!N31+'Příjmy '!R31)</f>
        <v>174531</v>
      </c>
      <c r="E31" s="304">
        <f>SUM('Příjmy '!E31+'Příjmy '!K31+'Příjmy '!O31+'Příjmy '!S31)</f>
        <v>170479</v>
      </c>
      <c r="F31" s="455">
        <v>-170478872.99</v>
      </c>
      <c r="G31" s="471">
        <f t="shared" si="3"/>
        <v>-0.12700999999651685</v>
      </c>
      <c r="H31" s="552">
        <f t="shared" si="4"/>
        <v>97.67834940497676</v>
      </c>
      <c r="I31" s="303">
        <f>SUM('Výdaje '!C31+'Výdaje '!H31)</f>
        <v>139910</v>
      </c>
      <c r="J31" s="304">
        <f>SUM('Výdaje '!D31+'Výdaje '!I31)</f>
        <v>172211</v>
      </c>
      <c r="K31" s="470">
        <f>SUM('Výdaje '!E31+'Výdaje '!J31)</f>
        <v>158916</v>
      </c>
      <c r="L31" s="470">
        <v>131658877</v>
      </c>
      <c r="M31" s="471">
        <f t="shared" si="5"/>
        <v>-27257.122999999992</v>
      </c>
      <c r="N31" s="472">
        <f t="shared" si="6"/>
        <v>92.2798195237238</v>
      </c>
      <c r="O31" s="558">
        <f t="shared" si="0"/>
        <v>4653</v>
      </c>
      <c r="P31" s="320">
        <f t="shared" si="1"/>
        <v>2320</v>
      </c>
      <c r="Q31" s="320">
        <f t="shared" si="2"/>
        <v>11563</v>
      </c>
      <c r="R31" s="513">
        <f>SUM(Q31/P31*100)</f>
        <v>498.4051724137931</v>
      </c>
      <c r="S31" s="393">
        <f t="shared" si="7"/>
        <v>8331</v>
      </c>
      <c r="T31" s="572">
        <v>26069</v>
      </c>
      <c r="U31" s="566">
        <v>2572</v>
      </c>
      <c r="W31" s="576">
        <v>7428</v>
      </c>
      <c r="X31" s="576">
        <v>8323188</v>
      </c>
      <c r="Y31" s="576">
        <f t="shared" si="8"/>
        <v>8330616</v>
      </c>
      <c r="AR31" s="6">
        <v>-1</v>
      </c>
    </row>
    <row r="32" spans="1:45" s="6" customFormat="1" ht="16.5" customHeight="1">
      <c r="A32" s="746" t="s">
        <v>262</v>
      </c>
      <c r="B32" s="333"/>
      <c r="C32" s="470">
        <f>SUM('Příjmy '!C32+'Příjmy '!I32+'Příjmy '!M32+'Příjmy '!Q32)</f>
        <v>55537</v>
      </c>
      <c r="D32" s="551">
        <f>SUM('Příjmy '!D32+'Příjmy '!J32+'Příjmy '!N32+'Příjmy '!R32)</f>
        <v>90258</v>
      </c>
      <c r="E32" s="304">
        <f>SUM('Příjmy '!E32+'Příjmy '!K32+'Příjmy '!O32+'Příjmy '!S32)</f>
        <v>91005</v>
      </c>
      <c r="F32" s="455">
        <v>-91004254.48</v>
      </c>
      <c r="G32" s="471">
        <f t="shared" si="3"/>
        <v>-0.745519999996759</v>
      </c>
      <c r="H32" s="552">
        <f t="shared" si="4"/>
        <v>100.82762746792528</v>
      </c>
      <c r="I32" s="303">
        <f>SUM('Výdaje '!C32+'Výdaje '!H32)</f>
        <v>46381</v>
      </c>
      <c r="J32" s="304">
        <f>SUM('Výdaje '!D32+'Výdaje '!I32)</f>
        <v>112339</v>
      </c>
      <c r="K32" s="470">
        <f>SUM('Výdaje '!E32+'Výdaje '!J32)</f>
        <v>69209</v>
      </c>
      <c r="L32" s="470">
        <v>102251434</v>
      </c>
      <c r="M32" s="471">
        <f t="shared" si="5"/>
        <v>33042.433999999994</v>
      </c>
      <c r="N32" s="472">
        <f t="shared" si="6"/>
        <v>61.60727797114092</v>
      </c>
      <c r="O32" s="558">
        <f t="shared" si="0"/>
        <v>9156</v>
      </c>
      <c r="P32" s="320">
        <f t="shared" si="1"/>
        <v>-22081</v>
      </c>
      <c r="Q32" s="320">
        <f t="shared" si="2"/>
        <v>21796</v>
      </c>
      <c r="R32" s="513"/>
      <c r="S32" s="393">
        <f>ROUND(Y32/1000,0)-1</f>
        <v>32714</v>
      </c>
      <c r="T32" s="572">
        <v>8862</v>
      </c>
      <c r="U32" s="566">
        <v>933</v>
      </c>
      <c r="W32" s="576">
        <v>705789</v>
      </c>
      <c r="X32" s="576">
        <v>32008734</v>
      </c>
      <c r="Y32" s="576">
        <f t="shared" si="8"/>
        <v>32714523</v>
      </c>
      <c r="AR32" s="6">
        <v>-1</v>
      </c>
      <c r="AS32" s="6">
        <v>-1</v>
      </c>
    </row>
    <row r="33" spans="1:44" s="6" customFormat="1" ht="16.5" customHeight="1">
      <c r="A33" s="745" t="s">
        <v>263</v>
      </c>
      <c r="B33" s="333"/>
      <c r="C33" s="470">
        <f>SUM('Příjmy '!C33+'Příjmy '!I33+'Příjmy '!M33+'Příjmy '!Q33)</f>
        <v>30620</v>
      </c>
      <c r="D33" s="551">
        <f>SUM('Příjmy '!D33+'Příjmy '!J33+'Příjmy '!N33+'Příjmy '!R33)</f>
        <v>40774</v>
      </c>
      <c r="E33" s="304">
        <f>SUM('Příjmy '!E33+'Příjmy '!K33+'Příjmy '!O33+'Příjmy '!S33)</f>
        <v>40790</v>
      </c>
      <c r="F33" s="455">
        <v>-40789267.23</v>
      </c>
      <c r="G33" s="471">
        <f t="shared" si="3"/>
        <v>-0.7327700000023469</v>
      </c>
      <c r="H33" s="552">
        <f t="shared" si="4"/>
        <v>100.03924069259821</v>
      </c>
      <c r="I33" s="303">
        <f>SUM('Výdaje '!C33+'Výdaje '!H33)</f>
        <v>30620</v>
      </c>
      <c r="J33" s="304">
        <f>SUM('Výdaje '!D33+'Výdaje '!I33)</f>
        <v>47122</v>
      </c>
      <c r="K33" s="470">
        <f>SUM('Výdaje '!E33+'Výdaje '!J33)</f>
        <v>40355</v>
      </c>
      <c r="L33" s="470">
        <v>29707148</v>
      </c>
      <c r="M33" s="471">
        <f t="shared" si="5"/>
        <v>-10647.851999999999</v>
      </c>
      <c r="N33" s="472">
        <f t="shared" si="6"/>
        <v>85.63940409999576</v>
      </c>
      <c r="O33" s="558">
        <f t="shared" si="0"/>
        <v>0</v>
      </c>
      <c r="P33" s="320">
        <f t="shared" si="1"/>
        <v>-6348</v>
      </c>
      <c r="Q33" s="320">
        <f t="shared" si="2"/>
        <v>435</v>
      </c>
      <c r="R33" s="513"/>
      <c r="S33" s="393">
        <f t="shared" si="7"/>
        <v>8098</v>
      </c>
      <c r="T33" s="572">
        <v>5292</v>
      </c>
      <c r="U33" s="566">
        <v>620</v>
      </c>
      <c r="W33" s="576">
        <v>1194072</v>
      </c>
      <c r="X33" s="576">
        <v>6903698</v>
      </c>
      <c r="Y33" s="576">
        <f t="shared" si="8"/>
        <v>8097770</v>
      </c>
      <c r="AQ33" s="6">
        <v>-1</v>
      </c>
      <c r="AR33" s="6">
        <v>-1</v>
      </c>
    </row>
    <row r="34" spans="1:25" s="6" customFormat="1" ht="16.5" customHeight="1">
      <c r="A34" s="745" t="s">
        <v>264</v>
      </c>
      <c r="B34" s="333"/>
      <c r="C34" s="470">
        <f>SUM('Příjmy '!C34+'Příjmy '!I34+'Příjmy '!M34+'Příjmy '!Q34)</f>
        <v>17165</v>
      </c>
      <c r="D34" s="551">
        <f>SUM('Příjmy '!D34+'Příjmy '!J34+'Příjmy '!N34+'Příjmy '!R34)</f>
        <v>21283</v>
      </c>
      <c r="E34" s="304">
        <f>SUM('Příjmy '!E34+'Příjmy '!K34+'Příjmy '!O34+'Příjmy '!S34)</f>
        <v>21109</v>
      </c>
      <c r="F34" s="455">
        <v>-21108562.72</v>
      </c>
      <c r="G34" s="471">
        <f t="shared" si="3"/>
        <v>-0.4372800000019197</v>
      </c>
      <c r="H34" s="552">
        <f t="shared" si="4"/>
        <v>99.18244608372879</v>
      </c>
      <c r="I34" s="303">
        <f>SUM('Výdaje '!C34+'Výdaje '!H34)</f>
        <v>17165</v>
      </c>
      <c r="J34" s="304">
        <f>SUM('Výdaje '!D34+'Výdaje '!I34)</f>
        <v>27582</v>
      </c>
      <c r="K34" s="470">
        <f>SUM('Výdaje '!E34+'Výdaje '!J34)</f>
        <v>25501</v>
      </c>
      <c r="L34" s="470">
        <v>22223757</v>
      </c>
      <c r="M34" s="471">
        <f t="shared" si="5"/>
        <v>-3277.2429999999986</v>
      </c>
      <c r="N34" s="472">
        <f t="shared" si="6"/>
        <v>92.45522442172431</v>
      </c>
      <c r="O34" s="558">
        <f t="shared" si="0"/>
        <v>0</v>
      </c>
      <c r="P34" s="320">
        <f t="shared" si="1"/>
        <v>-6299</v>
      </c>
      <c r="Q34" s="320">
        <f t="shared" si="2"/>
        <v>-4392</v>
      </c>
      <c r="R34" s="513">
        <f>SUM(Q34/P34*100)</f>
        <v>69.72535323067154</v>
      </c>
      <c r="S34" s="393">
        <f t="shared" si="7"/>
        <v>4011</v>
      </c>
      <c r="T34" s="572">
        <v>3348</v>
      </c>
      <c r="U34" s="566">
        <v>474</v>
      </c>
      <c r="W34" s="576">
        <v>2911303</v>
      </c>
      <c r="X34" s="576">
        <v>1100096</v>
      </c>
      <c r="Y34" s="576">
        <f t="shared" si="8"/>
        <v>4011399</v>
      </c>
    </row>
    <row r="35" spans="1:41" s="6" customFormat="1" ht="16.5" customHeight="1">
      <c r="A35" s="745" t="s">
        <v>265</v>
      </c>
      <c r="B35" s="333"/>
      <c r="C35" s="470">
        <f>SUM('Příjmy '!C35+'Příjmy '!I35+'Příjmy '!M35+'Příjmy '!Q35)</f>
        <v>162913</v>
      </c>
      <c r="D35" s="551">
        <f>SUM('Příjmy '!D35+'Příjmy '!J35+'Příjmy '!N35+'Příjmy '!R35)</f>
        <v>252618</v>
      </c>
      <c r="E35" s="304">
        <f>SUM('Příjmy '!E35+'Příjmy '!K35+'Příjmy '!O35+'Příjmy '!S35)</f>
        <v>253417</v>
      </c>
      <c r="F35" s="455">
        <v>-253416304.28</v>
      </c>
      <c r="G35" s="471">
        <f t="shared" si="3"/>
        <v>-0.6957199999887962</v>
      </c>
      <c r="H35" s="552">
        <f t="shared" si="4"/>
        <v>100.3162878338044</v>
      </c>
      <c r="I35" s="303">
        <f>SUM('Výdaje '!C35+'Výdaje '!H35)</f>
        <v>180021</v>
      </c>
      <c r="J35" s="304">
        <f>SUM('Výdaje '!D35+'Výdaje '!I35)</f>
        <v>282910</v>
      </c>
      <c r="K35" s="470">
        <f>SUM('Výdaje '!E35+'Výdaje '!J35)</f>
        <v>191542</v>
      </c>
      <c r="L35" s="470">
        <v>236397849</v>
      </c>
      <c r="M35" s="471">
        <f t="shared" si="5"/>
        <v>44855.84899999999</v>
      </c>
      <c r="N35" s="472">
        <f t="shared" si="6"/>
        <v>67.70421688876321</v>
      </c>
      <c r="O35" s="558">
        <f t="shared" si="0"/>
        <v>-17108</v>
      </c>
      <c r="P35" s="320">
        <f t="shared" si="1"/>
        <v>-30292</v>
      </c>
      <c r="Q35" s="320">
        <f t="shared" si="2"/>
        <v>61875</v>
      </c>
      <c r="R35" s="513"/>
      <c r="S35" s="393">
        <f t="shared" si="7"/>
        <v>37286</v>
      </c>
      <c r="T35" s="572">
        <v>26758</v>
      </c>
      <c r="U35" s="566">
        <v>2409</v>
      </c>
      <c r="W35" s="576">
        <v>18323</v>
      </c>
      <c r="X35" s="576">
        <v>37268154</v>
      </c>
      <c r="Y35" s="576">
        <f t="shared" si="8"/>
        <v>37286477</v>
      </c>
      <c r="AN35" s="6">
        <v>72</v>
      </c>
      <c r="AO35" s="6">
        <v>40</v>
      </c>
    </row>
    <row r="36" spans="1:41" s="6" customFormat="1" ht="16.5" customHeight="1">
      <c r="A36" s="745" t="s">
        <v>266</v>
      </c>
      <c r="B36" s="333"/>
      <c r="C36" s="470">
        <f>SUM('Příjmy '!C36+'Příjmy '!I36+'Příjmy '!M36+'Příjmy '!Q36)</f>
        <v>17198</v>
      </c>
      <c r="D36" s="551">
        <f>SUM('Příjmy '!D36+'Příjmy '!J36+'Příjmy '!N36+'Příjmy '!R36)</f>
        <v>22086</v>
      </c>
      <c r="E36" s="304">
        <f>SUM('Příjmy '!E36+'Příjmy '!K36+'Příjmy '!O36+'Příjmy '!S36)</f>
        <v>22469</v>
      </c>
      <c r="F36" s="455">
        <v>-22468068.24</v>
      </c>
      <c r="G36" s="471">
        <f t="shared" si="3"/>
        <v>-0.9317600000031234</v>
      </c>
      <c r="H36" s="552">
        <f t="shared" si="4"/>
        <v>101.73413021823781</v>
      </c>
      <c r="I36" s="303">
        <f>SUM('Výdaje '!C36+'Výdaje '!H36)</f>
        <v>17198</v>
      </c>
      <c r="J36" s="304">
        <f>SUM('Výdaje '!D36+'Výdaje '!I36)</f>
        <v>23283</v>
      </c>
      <c r="K36" s="470">
        <f>SUM('Výdaje '!E36+'Výdaje '!J36)</f>
        <v>20961</v>
      </c>
      <c r="L36" s="470">
        <v>35817554</v>
      </c>
      <c r="M36" s="471">
        <f t="shared" si="5"/>
        <v>14856.553999999996</v>
      </c>
      <c r="N36" s="472">
        <f t="shared" si="6"/>
        <v>90.02705836876692</v>
      </c>
      <c r="O36" s="558">
        <f t="shared" si="0"/>
        <v>0</v>
      </c>
      <c r="P36" s="320">
        <f t="shared" si="1"/>
        <v>-1197</v>
      </c>
      <c r="Q36" s="320">
        <f t="shared" si="2"/>
        <v>1508</v>
      </c>
      <c r="R36" s="513"/>
      <c r="S36" s="393">
        <f t="shared" si="7"/>
        <v>2534</v>
      </c>
      <c r="T36" s="572">
        <v>4969</v>
      </c>
      <c r="U36" s="566">
        <v>548</v>
      </c>
      <c r="W36" s="576">
        <v>1216264</v>
      </c>
      <c r="X36" s="576">
        <v>1317371</v>
      </c>
      <c r="Y36" s="576">
        <f t="shared" si="8"/>
        <v>2533635</v>
      </c>
      <c r="AO36" s="6">
        <v>35</v>
      </c>
    </row>
    <row r="37" spans="1:42" s="6" customFormat="1" ht="16.5" customHeight="1">
      <c r="A37" s="745" t="s">
        <v>267</v>
      </c>
      <c r="B37" s="333"/>
      <c r="C37" s="470">
        <f>SUM('Příjmy '!C37+'Příjmy '!I37+'Příjmy '!M37+'Příjmy '!Q37)</f>
        <v>67416</v>
      </c>
      <c r="D37" s="551">
        <f>SUM('Příjmy '!D37+'Příjmy '!J37+'Příjmy '!N37+'Příjmy '!R37)</f>
        <v>94095</v>
      </c>
      <c r="E37" s="304">
        <f>SUM('Příjmy '!E37+'Příjmy '!K37+'Příjmy '!O37+'Příjmy '!S37)</f>
        <v>94287</v>
      </c>
      <c r="F37" s="455">
        <v>-94287165.69</v>
      </c>
      <c r="G37" s="471">
        <f t="shared" si="3"/>
        <v>0.16568999999435619</v>
      </c>
      <c r="H37" s="552">
        <f t="shared" si="4"/>
        <v>100.20404909931453</v>
      </c>
      <c r="I37" s="303">
        <f>SUM('Výdaje '!C37+'Výdaje '!H37)</f>
        <v>81850</v>
      </c>
      <c r="J37" s="304">
        <f>SUM('Výdaje '!D37+'Výdaje '!I37)</f>
        <v>103111</v>
      </c>
      <c r="K37" s="470">
        <f>SUM('Výdaje '!E37+'Výdaje '!J37)</f>
        <v>82386</v>
      </c>
      <c r="L37" s="470">
        <v>88121783</v>
      </c>
      <c r="M37" s="471">
        <f t="shared" si="5"/>
        <v>5735.782999999996</v>
      </c>
      <c r="N37" s="472">
        <f t="shared" si="6"/>
        <v>79.90030161670433</v>
      </c>
      <c r="O37" s="558">
        <f t="shared" si="0"/>
        <v>-14434</v>
      </c>
      <c r="P37" s="320">
        <f t="shared" si="1"/>
        <v>-9016</v>
      </c>
      <c r="Q37" s="320">
        <f t="shared" si="2"/>
        <v>11901</v>
      </c>
      <c r="R37" s="513"/>
      <c r="S37" s="393">
        <f t="shared" si="7"/>
        <v>32529</v>
      </c>
      <c r="T37" s="572">
        <v>14905</v>
      </c>
      <c r="U37" s="566">
        <v>1327</v>
      </c>
      <c r="W37" s="576">
        <v>8393774</v>
      </c>
      <c r="X37" s="576">
        <v>24135428</v>
      </c>
      <c r="Y37" s="576">
        <f t="shared" si="8"/>
        <v>32529202</v>
      </c>
      <c r="AP37" s="6">
        <v>-1</v>
      </c>
    </row>
    <row r="38" spans="1:44" s="6" customFormat="1" ht="16.5" customHeight="1">
      <c r="A38" s="745" t="s">
        <v>268</v>
      </c>
      <c r="B38" s="333"/>
      <c r="C38" s="470">
        <f>SUM('Příjmy '!C38+'Příjmy '!I38+'Příjmy '!M38+'Příjmy '!Q38)</f>
        <v>5246</v>
      </c>
      <c r="D38" s="551">
        <f>SUM('Příjmy '!D38+'Příjmy '!J38+'Příjmy '!N38+'Příjmy '!R38)</f>
        <v>6252</v>
      </c>
      <c r="E38" s="304">
        <f>SUM('Příjmy '!E38+'Příjmy '!K38+'Příjmy '!O38+'Příjmy '!S38)</f>
        <v>6127</v>
      </c>
      <c r="F38" s="455">
        <v>-6125542.98</v>
      </c>
      <c r="G38" s="471">
        <f t="shared" si="3"/>
        <v>-1.4570199999998295</v>
      </c>
      <c r="H38" s="552">
        <f t="shared" si="4"/>
        <v>98.00063979526551</v>
      </c>
      <c r="I38" s="303">
        <f>SUM('Výdaje '!C38+'Výdaje '!H38)</f>
        <v>5246</v>
      </c>
      <c r="J38" s="304">
        <f>SUM('Výdaje '!D38+'Výdaje '!I38)</f>
        <v>6251</v>
      </c>
      <c r="K38" s="470">
        <f>SUM('Výdaje '!E38+'Výdaje '!J38)</f>
        <v>5273</v>
      </c>
      <c r="L38" s="470">
        <v>5407182</v>
      </c>
      <c r="M38" s="471">
        <f t="shared" si="5"/>
        <v>134.1819999999998</v>
      </c>
      <c r="N38" s="472">
        <f t="shared" si="6"/>
        <v>84.35450327947528</v>
      </c>
      <c r="O38" s="558">
        <f t="shared" si="0"/>
        <v>0</v>
      </c>
      <c r="P38" s="320">
        <f t="shared" si="1"/>
        <v>1</v>
      </c>
      <c r="Q38" s="320">
        <f t="shared" si="2"/>
        <v>854</v>
      </c>
      <c r="R38" s="513">
        <f>SUM(Q38/P38*100)</f>
        <v>85400</v>
      </c>
      <c r="S38" s="393">
        <f>ROUND(Y38/1000,0)-1</f>
        <v>2214</v>
      </c>
      <c r="T38" s="572">
        <v>1515</v>
      </c>
      <c r="U38" s="566">
        <v>27</v>
      </c>
      <c r="W38" s="576">
        <v>1470255</v>
      </c>
      <c r="X38" s="576">
        <v>744299</v>
      </c>
      <c r="Y38" s="576">
        <f t="shared" si="8"/>
        <v>2214554</v>
      </c>
      <c r="AQ38" s="6">
        <v>38</v>
      </c>
      <c r="AR38" s="6">
        <v>64</v>
      </c>
    </row>
    <row r="39" spans="1:25" s="6" customFormat="1" ht="16.5" customHeight="1">
      <c r="A39" s="745" t="s">
        <v>269</v>
      </c>
      <c r="B39" s="333"/>
      <c r="C39" s="470">
        <f>SUM('Příjmy '!C39+'Příjmy '!I39+'Příjmy '!M39+'Příjmy '!Q39)</f>
        <v>6300</v>
      </c>
      <c r="D39" s="551">
        <f>SUM('Příjmy '!D39+'Příjmy '!J39+'Příjmy '!N39+'Příjmy '!R39)</f>
        <v>7372</v>
      </c>
      <c r="E39" s="304">
        <f>SUM('Příjmy '!E39+'Příjmy '!K39+'Příjmy '!O39+'Příjmy '!S39)</f>
        <v>7327</v>
      </c>
      <c r="F39" s="455">
        <v>-7328021.33</v>
      </c>
      <c r="G39" s="471">
        <f t="shared" si="3"/>
        <v>1.0213300000004892</v>
      </c>
      <c r="H39" s="552">
        <f t="shared" si="4"/>
        <v>99.38958220293</v>
      </c>
      <c r="I39" s="303">
        <f>SUM('Výdaje '!C39+'Výdaje '!H39)</f>
        <v>6300</v>
      </c>
      <c r="J39" s="304">
        <f>SUM('Výdaje '!D39+'Výdaje '!I39)</f>
        <v>8098</v>
      </c>
      <c r="K39" s="470">
        <f>SUM('Výdaje '!E39+'Výdaje '!J39)</f>
        <v>7608</v>
      </c>
      <c r="L39" s="470">
        <v>5775621</v>
      </c>
      <c r="M39" s="471">
        <f t="shared" si="5"/>
        <v>-1832.379</v>
      </c>
      <c r="N39" s="472">
        <f t="shared" si="6"/>
        <v>93.94912324030625</v>
      </c>
      <c r="O39" s="558">
        <f t="shared" si="0"/>
        <v>0</v>
      </c>
      <c r="P39" s="320">
        <f t="shared" si="1"/>
        <v>-726</v>
      </c>
      <c r="Q39" s="320">
        <f t="shared" si="2"/>
        <v>-281</v>
      </c>
      <c r="R39" s="513">
        <f>SUM(Q39/P39*100)</f>
        <v>38.705234159779614</v>
      </c>
      <c r="S39" s="393">
        <f t="shared" si="7"/>
        <v>459</v>
      </c>
      <c r="T39" s="572">
        <v>1046</v>
      </c>
      <c r="U39" s="566">
        <v>214</v>
      </c>
      <c r="W39" s="576">
        <v>12394</v>
      </c>
      <c r="X39" s="576">
        <v>446252</v>
      </c>
      <c r="Y39" s="576">
        <f t="shared" si="8"/>
        <v>458646</v>
      </c>
    </row>
    <row r="40" spans="1:45" s="6" customFormat="1" ht="16.5" customHeight="1">
      <c r="A40" s="746" t="s">
        <v>270</v>
      </c>
      <c r="B40" s="333"/>
      <c r="C40" s="470">
        <f>SUM('Příjmy '!C40+'Příjmy '!I40+'Příjmy '!M40+'Příjmy '!Q40)</f>
        <v>3206</v>
      </c>
      <c r="D40" s="551">
        <f>SUM('Příjmy '!D40+'Příjmy '!J40+'Příjmy '!N40+'Příjmy '!R40)</f>
        <v>3982</v>
      </c>
      <c r="E40" s="304">
        <f>SUM('Příjmy '!E40+'Příjmy '!K40+'Příjmy '!O40+'Příjmy '!S40)</f>
        <v>3977</v>
      </c>
      <c r="F40" s="455">
        <v>-3977264.3</v>
      </c>
      <c r="G40" s="471">
        <f t="shared" si="3"/>
        <v>0.264299999999821</v>
      </c>
      <c r="H40" s="552">
        <f t="shared" si="4"/>
        <v>99.87443495730788</v>
      </c>
      <c r="I40" s="303">
        <f>SUM('Výdaje '!C40+'Výdaje '!H40)</f>
        <v>3206</v>
      </c>
      <c r="J40" s="304">
        <f>SUM('Výdaje '!D40+'Výdaje '!I40)</f>
        <v>3987</v>
      </c>
      <c r="K40" s="470">
        <f>SUM('Výdaje '!E40+'Výdaje '!J40)</f>
        <v>3472</v>
      </c>
      <c r="L40" s="470">
        <v>3848411</v>
      </c>
      <c r="M40" s="471">
        <f t="shared" si="5"/>
        <v>376.41100000000006</v>
      </c>
      <c r="N40" s="472">
        <f t="shared" si="6"/>
        <v>87.08301981439679</v>
      </c>
      <c r="O40" s="558">
        <f t="shared" si="0"/>
        <v>0</v>
      </c>
      <c r="P40" s="320">
        <f t="shared" si="1"/>
        <v>-5</v>
      </c>
      <c r="Q40" s="320">
        <f t="shared" si="2"/>
        <v>505</v>
      </c>
      <c r="R40" s="513"/>
      <c r="S40" s="393">
        <f t="shared" si="7"/>
        <v>740</v>
      </c>
      <c r="T40" s="574">
        <v>547</v>
      </c>
      <c r="U40" s="568"/>
      <c r="W40" s="576">
        <v>164758</v>
      </c>
      <c r="X40" s="576">
        <v>575324</v>
      </c>
      <c r="Y40" s="576">
        <f t="shared" si="8"/>
        <v>740082</v>
      </c>
      <c r="AR40" s="6">
        <v>57</v>
      </c>
      <c r="AS40" s="6">
        <v>56</v>
      </c>
    </row>
    <row r="41" spans="1:25" s="6" customFormat="1" ht="16.5" customHeight="1">
      <c r="A41" s="745" t="s">
        <v>271</v>
      </c>
      <c r="B41" s="333"/>
      <c r="C41" s="470">
        <f>SUM('Příjmy '!C41+'Příjmy '!I41+'Příjmy '!M41+'Příjmy '!Q41)</f>
        <v>2548</v>
      </c>
      <c r="D41" s="551">
        <f>SUM('Příjmy '!D41+'Příjmy '!J41+'Příjmy '!N41+'Příjmy '!R41)</f>
        <v>2798</v>
      </c>
      <c r="E41" s="304">
        <f>SUM('Příjmy '!E41+'Příjmy '!K41+'Příjmy '!O41+'Příjmy '!S41)</f>
        <v>2817</v>
      </c>
      <c r="F41" s="455">
        <v>-2816940.83</v>
      </c>
      <c r="G41" s="471">
        <f t="shared" si="3"/>
        <v>-0.059169999999994616</v>
      </c>
      <c r="H41" s="552">
        <f t="shared" si="4"/>
        <v>100.67905646890635</v>
      </c>
      <c r="I41" s="303">
        <f>SUM('Výdaje '!C41+'Výdaje '!H41)</f>
        <v>2548</v>
      </c>
      <c r="J41" s="304">
        <f>SUM('Výdaje '!D41+'Výdaje '!I41)</f>
        <v>3071</v>
      </c>
      <c r="K41" s="470">
        <f>SUM('Výdaje '!E41+'Výdaje '!J41)</f>
        <v>2229</v>
      </c>
      <c r="L41" s="470">
        <v>3197612</v>
      </c>
      <c r="M41" s="471">
        <f t="shared" si="5"/>
        <v>968.6120000000001</v>
      </c>
      <c r="N41" s="472">
        <f t="shared" si="6"/>
        <v>72.58222077499185</v>
      </c>
      <c r="O41" s="558">
        <f t="shared" si="0"/>
        <v>0</v>
      </c>
      <c r="P41" s="320">
        <f t="shared" si="1"/>
        <v>-273</v>
      </c>
      <c r="Q41" s="320">
        <f t="shared" si="2"/>
        <v>588</v>
      </c>
      <c r="R41" s="513"/>
      <c r="S41" s="393">
        <f t="shared" si="7"/>
        <v>1243</v>
      </c>
      <c r="T41" s="574">
        <v>718</v>
      </c>
      <c r="U41" s="568"/>
      <c r="W41" s="576"/>
      <c r="X41" s="576">
        <v>1242933</v>
      </c>
      <c r="Y41" s="576">
        <f t="shared" si="8"/>
        <v>1242933</v>
      </c>
    </row>
    <row r="42" spans="1:25" s="6" customFormat="1" ht="15" customHeight="1" thickBot="1">
      <c r="A42" s="622"/>
      <c r="B42" s="623"/>
      <c r="C42" s="624"/>
      <c r="D42" s="625"/>
      <c r="E42" s="626"/>
      <c r="F42" s="442"/>
      <c r="G42" s="624"/>
      <c r="H42" s="627"/>
      <c r="I42" s="628"/>
      <c r="J42" s="629"/>
      <c r="K42" s="630"/>
      <c r="L42" s="630"/>
      <c r="M42" s="631"/>
      <c r="N42" s="632"/>
      <c r="O42" s="633"/>
      <c r="P42" s="634"/>
      <c r="Q42" s="634"/>
      <c r="R42" s="635"/>
      <c r="S42" s="636"/>
      <c r="T42" s="575"/>
      <c r="U42" s="569"/>
      <c r="W42" s="576"/>
      <c r="X42" s="576"/>
      <c r="Y42" s="576"/>
    </row>
    <row r="43" spans="3:25" s="6" customFormat="1" ht="15" customHeight="1">
      <c r="C43" s="313"/>
      <c r="D43" s="313"/>
      <c r="E43" s="313"/>
      <c r="F43" s="313"/>
      <c r="G43" s="313"/>
      <c r="H43" s="553"/>
      <c r="I43" s="474"/>
      <c r="J43" s="474"/>
      <c r="K43" s="313"/>
      <c r="L43" s="313"/>
      <c r="M43" s="475"/>
      <c r="O43" s="530"/>
      <c r="P43" s="530"/>
      <c r="Q43" s="530"/>
      <c r="S43" s="313"/>
      <c r="W43" s="576"/>
      <c r="X43" s="576"/>
      <c r="Y43" s="576"/>
    </row>
    <row r="44" spans="3:25" s="6" customFormat="1" ht="15" customHeight="1" thickBot="1">
      <c r="C44" s="313"/>
      <c r="D44" s="313"/>
      <c r="H44" s="554"/>
      <c r="I44" s="313"/>
      <c r="J44" s="313"/>
      <c r="M44" s="39"/>
      <c r="O44" s="530"/>
      <c r="P44" s="530"/>
      <c r="Q44" s="530"/>
      <c r="S44" s="313"/>
      <c r="W44" s="576"/>
      <c r="X44" s="576"/>
      <c r="Y44" s="576"/>
    </row>
    <row r="45" spans="1:25" s="6" customFormat="1" ht="19.5" customHeight="1" thickBot="1">
      <c r="A45" s="37" t="s">
        <v>6</v>
      </c>
      <c r="C45" s="314">
        <f>SUM(C12:C41)</f>
        <v>2042454</v>
      </c>
      <c r="D45" s="476">
        <f>SUM(D12:D41)</f>
        <v>2722620</v>
      </c>
      <c r="E45" s="315">
        <f>SUM(E13:E41)</f>
        <v>2693659</v>
      </c>
      <c r="F45" s="555">
        <f>SUM(F13:F41)</f>
        <v>-2693658620.06</v>
      </c>
      <c r="G45" s="556"/>
      <c r="H45" s="557">
        <f>SUM(E45/D45*100)</f>
        <v>98.93628196369674</v>
      </c>
      <c r="I45" s="314">
        <f>SUM(I13:I41)</f>
        <v>2079486</v>
      </c>
      <c r="J45" s="476">
        <f>SUM(J13:J41)</f>
        <v>3072469</v>
      </c>
      <c r="K45" s="315">
        <f>SUM(K13:K41)</f>
        <v>2482951</v>
      </c>
      <c r="L45" s="477">
        <f>SUM(L13:L41)</f>
        <v>2446085414</v>
      </c>
      <c r="M45" s="478"/>
      <c r="N45" s="316">
        <f>SUM(K45/J45*100)</f>
        <v>80.81289021955958</v>
      </c>
      <c r="O45" s="559">
        <f>SUM(O13:O41)</f>
        <v>-37032</v>
      </c>
      <c r="P45" s="560">
        <f>SUM(P13:P41)</f>
        <v>-349849</v>
      </c>
      <c r="Q45" s="531">
        <f>SUM(Q13:Q41)</f>
        <v>210708</v>
      </c>
      <c r="R45" s="561"/>
      <c r="S45" s="556">
        <f>SUM(S13:S41)</f>
        <v>600508</v>
      </c>
      <c r="T45" s="314">
        <f>SUM(T13:T44)</f>
        <v>371399</v>
      </c>
      <c r="U45" s="570">
        <f>SUM(U13:U41)</f>
        <v>34034</v>
      </c>
      <c r="W45" s="576">
        <f>SUM(W13:W44)</f>
        <v>150461912</v>
      </c>
      <c r="X45" s="576">
        <f>SUM(X13:X44)</f>
        <v>450046289</v>
      </c>
      <c r="Y45" s="576">
        <f>SUM(Y13:Y44)</f>
        <v>600508201</v>
      </c>
    </row>
    <row r="46" spans="5:25" s="6" customFormat="1" ht="15.75">
      <c r="E46" s="39"/>
      <c r="F46" s="39"/>
      <c r="G46" s="39"/>
      <c r="K46" s="39"/>
      <c r="L46" s="39"/>
      <c r="M46" s="39"/>
      <c r="Q46" s="39"/>
      <c r="R46" s="39"/>
      <c r="S46" s="39"/>
      <c r="W46" s="576">
        <v>150461923</v>
      </c>
      <c r="X46" s="576">
        <v>450046300</v>
      </c>
      <c r="Y46" s="576">
        <f>W45+X46</f>
        <v>600508212</v>
      </c>
    </row>
    <row r="47" spans="23:25" s="6" customFormat="1" ht="15.75">
      <c r="W47" s="576"/>
      <c r="X47" s="576"/>
      <c r="Y47" s="576" t="e">
        <f>W46+#REF!</f>
        <v>#REF!</v>
      </c>
    </row>
    <row r="48" spans="19:25" s="6" customFormat="1" ht="15.75">
      <c r="S48" s="422"/>
      <c r="W48" s="576">
        <f>W46-W45</f>
        <v>11</v>
      </c>
      <c r="X48" s="576">
        <f>X46-X45</f>
        <v>11</v>
      </c>
      <c r="Y48" s="576" t="e">
        <f>Y47-Y46</f>
        <v>#REF!</v>
      </c>
    </row>
    <row r="49" spans="3:21" ht="15.75">
      <c r="C49" s="322">
        <v>2042454</v>
      </c>
      <c r="D49" s="322">
        <v>2722620</v>
      </c>
      <c r="E49" s="322">
        <v>2693659</v>
      </c>
      <c r="F49" s="321"/>
      <c r="G49" s="321"/>
      <c r="H49" s="321"/>
      <c r="I49" s="322">
        <v>2079486</v>
      </c>
      <c r="J49" s="322">
        <v>3072469</v>
      </c>
      <c r="K49" s="322">
        <v>2482951</v>
      </c>
      <c r="L49" s="259"/>
      <c r="M49" s="259"/>
      <c r="N49" s="322"/>
      <c r="O49" s="322">
        <v>-37032</v>
      </c>
      <c r="P49" s="322">
        <v>-349849</v>
      </c>
      <c r="Q49" s="322">
        <v>210708</v>
      </c>
      <c r="S49" s="317">
        <f>W46+X46</f>
        <v>600508223</v>
      </c>
      <c r="T49" s="571">
        <v>371399</v>
      </c>
      <c r="U49" s="565">
        <v>34034</v>
      </c>
    </row>
    <row r="50" spans="17:24" ht="15.75" customHeight="1">
      <c r="Q50" s="259"/>
      <c r="W50" s="313"/>
      <c r="X50" s="313"/>
    </row>
    <row r="54" ht="15.75" customHeight="1"/>
    <row r="55" ht="15.75" customHeight="1"/>
    <row r="56" ht="15.75" customHeight="1"/>
    <row r="57" ht="15.75" customHeight="1"/>
    <row r="58" ht="15.75" customHeight="1"/>
    <row r="59" ht="18" customHeight="1"/>
    <row r="60" ht="18" customHeight="1"/>
    <row r="61" ht="13.5" customHeight="1"/>
    <row r="63" ht="18" customHeight="1"/>
    <row r="64" ht="13.5" customHeight="1"/>
    <row r="65" ht="15.75" customHeight="1"/>
    <row r="67" ht="13.5" customHeight="1"/>
    <row r="68" ht="12" customHeight="1"/>
    <row r="69" ht="15.75" customHeight="1">
      <c r="W69" s="79"/>
    </row>
    <row r="70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spans="23:24" ht="15.75" customHeight="1">
      <c r="W111" s="313"/>
      <c r="X111" s="313"/>
    </row>
    <row r="112" spans="20:22" ht="15.75">
      <c r="T112" s="8"/>
      <c r="U112" s="313"/>
      <c r="V112" s="258"/>
    </row>
  </sheetData>
  <mergeCells count="3">
    <mergeCell ref="A2:V2"/>
    <mergeCell ref="S7:S9"/>
    <mergeCell ref="A8:B8"/>
  </mergeCells>
  <printOptions horizontalCentered="1" verticalCentered="1"/>
  <pageMargins left="0.3937007874015748" right="0.3937007874015748" top="0.7480314960629921" bottom="0.7480314960629921" header="0.5118110236220472" footer="0.5118110236220472"/>
  <pageSetup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O113"/>
  <sheetViews>
    <sheetView showZeros="0" view="pageBreakPreview" zoomScale="60" zoomScaleNormal="85" workbookViewId="0" topLeftCell="A1">
      <pane xSplit="2" ySplit="10" topLeftCell="C11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796875" defaultRowHeight="15"/>
  <cols>
    <col min="1" max="1" width="9.796875" style="276" customWidth="1"/>
    <col min="2" max="2" width="16.296875" style="276" customWidth="1"/>
    <col min="3" max="4" width="18.796875" style="276" customWidth="1"/>
    <col min="5" max="5" width="17.296875" style="276" customWidth="1"/>
    <col min="6" max="6" width="13.3984375" style="277" hidden="1" customWidth="1"/>
    <col min="7" max="7" width="13.09765625" style="276" customWidth="1"/>
    <col min="8" max="9" width="18.796875" style="276" customWidth="1"/>
    <col min="10" max="10" width="17.296875" style="276" customWidth="1"/>
    <col min="11" max="11" width="17.296875" style="276" hidden="1" customWidth="1"/>
    <col min="12" max="12" width="13.09765625" style="276" customWidth="1"/>
    <col min="13" max="13" width="5.69921875" style="276" customWidth="1"/>
    <col min="14" max="14" width="21.59765625" style="276" customWidth="1"/>
    <col min="15" max="16384" width="9.796875" style="276" customWidth="1"/>
  </cols>
  <sheetData>
    <row r="1" spans="1:6" s="2" customFormat="1" ht="17.25" customHeight="1">
      <c r="A1" s="157"/>
      <c r="F1" s="4"/>
    </row>
    <row r="2" spans="1:13" s="2" customFormat="1" ht="24" customHeight="1">
      <c r="A2" s="825" t="s">
        <v>234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158"/>
    </row>
    <row r="3" spans="1:13" s="2" customFormat="1" ht="15" customHeight="1">
      <c r="A3" s="159"/>
      <c r="B3" s="159"/>
      <c r="C3" s="159"/>
      <c r="D3" s="159"/>
      <c r="E3" s="159"/>
      <c r="F3" s="4"/>
      <c r="G3" s="160"/>
      <c r="H3" s="159"/>
      <c r="I3" s="159"/>
      <c r="J3" s="159"/>
      <c r="K3" s="159"/>
      <c r="L3" s="159"/>
      <c r="M3" s="159"/>
    </row>
    <row r="4" spans="1:13" s="2" customFormat="1" ht="21" customHeight="1">
      <c r="A4" s="161" t="s">
        <v>27</v>
      </c>
      <c r="B4" s="162"/>
      <c r="C4" s="162"/>
      <c r="D4" s="163"/>
      <c r="E4" s="163"/>
      <c r="F4" s="4"/>
      <c r="G4" s="163"/>
      <c r="H4" s="163"/>
      <c r="I4" s="162"/>
      <c r="J4" s="162"/>
      <c r="K4" s="162"/>
      <c r="L4" s="164"/>
      <c r="M4" s="160"/>
    </row>
    <row r="5" spans="1:13" s="2" customFormat="1" ht="22.5" customHeight="1">
      <c r="A5" s="159"/>
      <c r="B5" s="159"/>
      <c r="C5" s="159"/>
      <c r="F5" s="4"/>
      <c r="G5" s="159"/>
      <c r="H5" s="159"/>
      <c r="I5" s="165"/>
      <c r="J5" s="166"/>
      <c r="K5" s="166"/>
      <c r="L5" s="167" t="s">
        <v>204</v>
      </c>
      <c r="M5" s="168"/>
    </row>
    <row r="6" spans="1:13" s="2" customFormat="1" ht="22.5" customHeight="1" thickBot="1">
      <c r="A6" s="159"/>
      <c r="B6" s="159"/>
      <c r="C6" s="169"/>
      <c r="D6" s="170"/>
      <c r="E6" s="170"/>
      <c r="F6" s="171"/>
      <c r="G6" s="170"/>
      <c r="H6" s="159"/>
      <c r="I6" s="159"/>
      <c r="J6" s="159"/>
      <c r="K6" s="159"/>
      <c r="L6" s="167" t="s">
        <v>18</v>
      </c>
      <c r="M6" s="160"/>
    </row>
    <row r="7" spans="1:13" s="2" customFormat="1" ht="23.25" customHeight="1">
      <c r="A7" s="172"/>
      <c r="B7" s="173"/>
      <c r="C7" s="174" t="s">
        <v>183</v>
      </c>
      <c r="D7" s="175"/>
      <c r="E7" s="176"/>
      <c r="F7" s="4"/>
      <c r="G7" s="177"/>
      <c r="H7" s="178" t="s">
        <v>184</v>
      </c>
      <c r="I7" s="179"/>
      <c r="J7" s="179"/>
      <c r="K7" s="179"/>
      <c r="L7" s="180"/>
      <c r="M7" s="181"/>
    </row>
    <row r="8" spans="1:13" s="2" customFormat="1" ht="18" customHeight="1">
      <c r="A8" s="756" t="s">
        <v>285</v>
      </c>
      <c r="B8" s="757"/>
      <c r="C8" s="182" t="s">
        <v>0</v>
      </c>
      <c r="D8" s="183" t="s">
        <v>4</v>
      </c>
      <c r="E8" s="183" t="s">
        <v>5</v>
      </c>
      <c r="F8" s="183" t="s">
        <v>5</v>
      </c>
      <c r="G8" s="184" t="s">
        <v>2</v>
      </c>
      <c r="H8" s="182" t="s">
        <v>0</v>
      </c>
      <c r="I8" s="183" t="s">
        <v>4</v>
      </c>
      <c r="J8" s="183" t="s">
        <v>5</v>
      </c>
      <c r="K8" s="183" t="s">
        <v>5</v>
      </c>
      <c r="L8" s="184" t="s">
        <v>2</v>
      </c>
      <c r="M8" s="185"/>
    </row>
    <row r="9" spans="1:13" s="2" customFormat="1" ht="18" customHeight="1" thickBot="1">
      <c r="A9" s="186"/>
      <c r="B9" s="187"/>
      <c r="C9" s="188" t="s">
        <v>1</v>
      </c>
      <c r="D9" s="189" t="s">
        <v>1</v>
      </c>
      <c r="E9" s="33" t="s">
        <v>237</v>
      </c>
      <c r="F9" s="190" t="s">
        <v>207</v>
      </c>
      <c r="G9" s="191" t="s">
        <v>19</v>
      </c>
      <c r="H9" s="192" t="s">
        <v>1</v>
      </c>
      <c r="I9" s="193" t="s">
        <v>1</v>
      </c>
      <c r="J9" s="33" t="s">
        <v>237</v>
      </c>
      <c r="K9" s="190" t="s">
        <v>207</v>
      </c>
      <c r="L9" s="194" t="s">
        <v>19</v>
      </c>
      <c r="M9" s="195"/>
    </row>
    <row r="10" spans="1:13" s="2" customFormat="1" ht="18" customHeight="1">
      <c r="A10" s="491"/>
      <c r="B10" s="492"/>
      <c r="C10" s="493"/>
      <c r="D10" s="493"/>
      <c r="E10" s="493"/>
      <c r="F10" s="493" t="s">
        <v>217</v>
      </c>
      <c r="G10" s="493"/>
      <c r="H10" s="493"/>
      <c r="I10" s="493"/>
      <c r="J10" s="493"/>
      <c r="K10" s="493" t="s">
        <v>217</v>
      </c>
      <c r="L10" s="493"/>
      <c r="M10" s="195"/>
    </row>
    <row r="11" spans="3:13" s="2" customFormat="1" ht="15.75" customHeight="1" thickBot="1">
      <c r="C11" s="2" t="s">
        <v>8</v>
      </c>
      <c r="M11" s="159"/>
    </row>
    <row r="12" spans="1:13" s="2" customFormat="1" ht="15.75" customHeight="1">
      <c r="A12" s="698"/>
      <c r="B12" s="699"/>
      <c r="C12" s="494"/>
      <c r="D12" s="495"/>
      <c r="E12" s="496"/>
      <c r="F12" s="496"/>
      <c r="G12" s="703"/>
      <c r="H12" s="706"/>
      <c r="I12" s="707"/>
      <c r="J12" s="707"/>
      <c r="K12" s="707"/>
      <c r="L12" s="708"/>
      <c r="M12" s="497"/>
    </row>
    <row r="13" spans="1:15" s="2" customFormat="1" ht="15.75" customHeight="1">
      <c r="A13" s="746" t="s">
        <v>243</v>
      </c>
      <c r="B13" s="700"/>
      <c r="C13" s="325">
        <v>327648</v>
      </c>
      <c r="D13" s="326">
        <v>385382</v>
      </c>
      <c r="E13" s="327">
        <v>377513</v>
      </c>
      <c r="F13" s="326">
        <v>342504937</v>
      </c>
      <c r="G13" s="704">
        <f>SUM(E13/D13*100)</f>
        <v>97.95812985557187</v>
      </c>
      <c r="H13" s="709">
        <v>90747</v>
      </c>
      <c r="I13" s="326">
        <v>105516</v>
      </c>
      <c r="J13" s="326">
        <v>41866</v>
      </c>
      <c r="K13" s="326">
        <v>84999226</v>
      </c>
      <c r="L13" s="710">
        <f>SUM(J13/I13*100)</f>
        <v>39.67739489745631</v>
      </c>
      <c r="M13" s="498"/>
      <c r="O13" s="4"/>
    </row>
    <row r="14" spans="1:15" s="2" customFormat="1" ht="15.75" customHeight="1">
      <c r="A14" s="745" t="s">
        <v>244</v>
      </c>
      <c r="B14" s="700"/>
      <c r="C14" s="325">
        <v>48781</v>
      </c>
      <c r="D14" s="326">
        <v>60830</v>
      </c>
      <c r="E14" s="327">
        <v>54751</v>
      </c>
      <c r="F14" s="326">
        <v>51890860</v>
      </c>
      <c r="G14" s="704">
        <f aca="true" t="shared" si="0" ref="G14:G41">SUM(E14/D14*100)</f>
        <v>90.00657570277824</v>
      </c>
      <c r="H14" s="709">
        <v>9891</v>
      </c>
      <c r="I14" s="326">
        <v>21556</v>
      </c>
      <c r="J14" s="326">
        <v>20304</v>
      </c>
      <c r="K14" s="326">
        <v>22668380</v>
      </c>
      <c r="L14" s="710">
        <f aca="true" t="shared" si="1" ref="L14:L41">SUM(J14/I14*100)</f>
        <v>94.19187233252923</v>
      </c>
      <c r="M14" s="498"/>
      <c r="O14" s="4"/>
    </row>
    <row r="15" spans="1:15" s="2" customFormat="1" ht="15.75" customHeight="1">
      <c r="A15" s="745" t="s">
        <v>245</v>
      </c>
      <c r="B15" s="700"/>
      <c r="C15" s="325">
        <v>48898</v>
      </c>
      <c r="D15" s="326">
        <v>60783</v>
      </c>
      <c r="E15" s="327">
        <v>50134</v>
      </c>
      <c r="F15" s="326">
        <v>48145699</v>
      </c>
      <c r="G15" s="704">
        <f t="shared" si="0"/>
        <v>82.48029876774756</v>
      </c>
      <c r="H15" s="709">
        <v>26110</v>
      </c>
      <c r="I15" s="326">
        <v>72585</v>
      </c>
      <c r="J15" s="326">
        <v>39239</v>
      </c>
      <c r="K15" s="326">
        <v>35300631</v>
      </c>
      <c r="L15" s="710">
        <f t="shared" si="1"/>
        <v>54.059378659502656</v>
      </c>
      <c r="M15" s="498"/>
      <c r="O15" s="4"/>
    </row>
    <row r="16" spans="1:15" s="2" customFormat="1" ht="15.75" customHeight="1">
      <c r="A16" s="745" t="s">
        <v>246</v>
      </c>
      <c r="B16" s="700"/>
      <c r="C16" s="325">
        <v>37514</v>
      </c>
      <c r="D16" s="326">
        <v>45879</v>
      </c>
      <c r="E16" s="327">
        <v>42413</v>
      </c>
      <c r="F16" s="326">
        <v>43641456</v>
      </c>
      <c r="G16" s="704">
        <f t="shared" si="0"/>
        <v>92.4453453649818</v>
      </c>
      <c r="H16" s="709">
        <v>2212</v>
      </c>
      <c r="I16" s="326">
        <v>93784</v>
      </c>
      <c r="J16" s="326">
        <v>92564</v>
      </c>
      <c r="K16" s="326">
        <v>21767413</v>
      </c>
      <c r="L16" s="710">
        <f t="shared" si="1"/>
        <v>98.69913844579033</v>
      </c>
      <c r="M16" s="498"/>
      <c r="O16" s="4"/>
    </row>
    <row r="17" spans="1:15" s="2" customFormat="1" ht="15.75" customHeight="1">
      <c r="A17" s="745" t="s">
        <v>247</v>
      </c>
      <c r="B17" s="700"/>
      <c r="C17" s="325">
        <v>42229</v>
      </c>
      <c r="D17" s="326">
        <v>51499</v>
      </c>
      <c r="E17" s="327">
        <v>48514</v>
      </c>
      <c r="F17" s="326">
        <v>48535371</v>
      </c>
      <c r="G17" s="704">
        <f t="shared" si="0"/>
        <v>94.20377094700868</v>
      </c>
      <c r="H17" s="709">
        <v>750</v>
      </c>
      <c r="I17" s="326">
        <v>3423</v>
      </c>
      <c r="J17" s="326">
        <v>3263</v>
      </c>
      <c r="K17" s="326">
        <v>3129248</v>
      </c>
      <c r="L17" s="710">
        <f t="shared" si="1"/>
        <v>95.325737657026</v>
      </c>
      <c r="M17" s="498"/>
      <c r="O17" s="4"/>
    </row>
    <row r="18" spans="1:15" s="2" customFormat="1" ht="15.75" customHeight="1">
      <c r="A18" s="745" t="s">
        <v>248</v>
      </c>
      <c r="B18" s="700"/>
      <c r="C18" s="325">
        <v>12190</v>
      </c>
      <c r="D18" s="326">
        <v>13456</v>
      </c>
      <c r="E18" s="327">
        <v>12149</v>
      </c>
      <c r="F18" s="326">
        <v>10920997</v>
      </c>
      <c r="G18" s="704">
        <f t="shared" si="0"/>
        <v>90.28686087990488</v>
      </c>
      <c r="H18" s="709">
        <v>3235</v>
      </c>
      <c r="I18" s="326">
        <v>3179</v>
      </c>
      <c r="J18" s="326">
        <v>695</v>
      </c>
      <c r="K18" s="326">
        <v>1580350</v>
      </c>
      <c r="L18" s="710">
        <f t="shared" si="1"/>
        <v>21.86222082415854</v>
      </c>
      <c r="M18" s="498"/>
      <c r="O18" s="4"/>
    </row>
    <row r="19" spans="1:15" s="2" customFormat="1" ht="15.75" customHeight="1">
      <c r="A19" s="745" t="s">
        <v>249</v>
      </c>
      <c r="B19" s="700"/>
      <c r="C19" s="325">
        <v>90762</v>
      </c>
      <c r="D19" s="326">
        <v>127786</v>
      </c>
      <c r="E19" s="327">
        <v>122334</v>
      </c>
      <c r="F19" s="326">
        <v>103491073</v>
      </c>
      <c r="G19" s="704">
        <f t="shared" si="0"/>
        <v>95.73349193182352</v>
      </c>
      <c r="H19" s="709">
        <v>10385</v>
      </c>
      <c r="I19" s="326">
        <v>17162</v>
      </c>
      <c r="J19" s="326">
        <v>7788</v>
      </c>
      <c r="K19" s="326">
        <v>31384283</v>
      </c>
      <c r="L19" s="710">
        <f t="shared" si="1"/>
        <v>45.379326418832306</v>
      </c>
      <c r="M19" s="498"/>
      <c r="O19" s="4"/>
    </row>
    <row r="20" spans="1:15" s="2" customFormat="1" ht="15.75" customHeight="1">
      <c r="A20" s="746" t="s">
        <v>250</v>
      </c>
      <c r="B20" s="700"/>
      <c r="C20" s="325">
        <v>104884</v>
      </c>
      <c r="D20" s="326">
        <v>130275</v>
      </c>
      <c r="E20" s="327">
        <v>110306</v>
      </c>
      <c r="F20" s="326">
        <v>106939484</v>
      </c>
      <c r="G20" s="704">
        <f t="shared" si="0"/>
        <v>84.67165611207062</v>
      </c>
      <c r="H20" s="709">
        <v>50753</v>
      </c>
      <c r="I20" s="326">
        <v>84704</v>
      </c>
      <c r="J20" s="326">
        <v>73268</v>
      </c>
      <c r="K20" s="326">
        <v>63470382</v>
      </c>
      <c r="L20" s="710">
        <f t="shared" si="1"/>
        <v>86.49886664148092</v>
      </c>
      <c r="M20" s="498"/>
      <c r="O20" s="4"/>
    </row>
    <row r="21" spans="1:15" s="2" customFormat="1" ht="15.75" customHeight="1">
      <c r="A21" s="745" t="s">
        <v>251</v>
      </c>
      <c r="B21" s="700"/>
      <c r="C21" s="325">
        <v>7360</v>
      </c>
      <c r="D21" s="326">
        <v>8097</v>
      </c>
      <c r="E21" s="327">
        <v>6867</v>
      </c>
      <c r="F21" s="326">
        <v>7029818</v>
      </c>
      <c r="G21" s="704">
        <f t="shared" si="0"/>
        <v>84.80918858836606</v>
      </c>
      <c r="H21" s="709">
        <v>2532</v>
      </c>
      <c r="I21" s="326">
        <v>4935</v>
      </c>
      <c r="J21" s="326">
        <v>4485</v>
      </c>
      <c r="K21" s="326">
        <v>3111369</v>
      </c>
      <c r="L21" s="710">
        <f t="shared" si="1"/>
        <v>90.88145896656535</v>
      </c>
      <c r="M21" s="498"/>
      <c r="O21" s="4"/>
    </row>
    <row r="22" spans="1:15" s="2" customFormat="1" ht="15.75" customHeight="1">
      <c r="A22" s="746" t="s">
        <v>252</v>
      </c>
      <c r="B22" s="700"/>
      <c r="C22" s="325">
        <v>26670</v>
      </c>
      <c r="D22" s="326">
        <v>31564</v>
      </c>
      <c r="E22" s="327">
        <v>29117</v>
      </c>
      <c r="F22" s="326">
        <v>27218142</v>
      </c>
      <c r="G22" s="704">
        <f t="shared" si="0"/>
        <v>92.24749714865035</v>
      </c>
      <c r="H22" s="709">
        <v>2040</v>
      </c>
      <c r="I22" s="326">
        <v>5161</v>
      </c>
      <c r="J22" s="326">
        <v>3658</v>
      </c>
      <c r="K22" s="326">
        <v>11000893</v>
      </c>
      <c r="L22" s="710">
        <f t="shared" si="1"/>
        <v>70.87773687269909</v>
      </c>
      <c r="M22" s="498"/>
      <c r="O22" s="4"/>
    </row>
    <row r="23" spans="1:15" s="2" customFormat="1" ht="15.75" customHeight="1">
      <c r="A23" s="745" t="s">
        <v>253</v>
      </c>
      <c r="B23" s="700"/>
      <c r="C23" s="325">
        <v>14822</v>
      </c>
      <c r="D23" s="326">
        <v>17706</v>
      </c>
      <c r="E23" s="327">
        <v>16692</v>
      </c>
      <c r="F23" s="326">
        <v>14246985</v>
      </c>
      <c r="G23" s="704">
        <f t="shared" si="0"/>
        <v>94.27312775330397</v>
      </c>
      <c r="H23" s="709">
        <v>400</v>
      </c>
      <c r="I23" s="326">
        <v>8561</v>
      </c>
      <c r="J23" s="326">
        <v>5005</v>
      </c>
      <c r="K23" s="326">
        <v>14586593</v>
      </c>
      <c r="L23" s="710">
        <f t="shared" si="1"/>
        <v>58.46279640228945</v>
      </c>
      <c r="M23" s="498"/>
      <c r="O23" s="4"/>
    </row>
    <row r="24" spans="1:15" s="2" customFormat="1" ht="15.75" customHeight="1">
      <c r="A24" s="745" t="s">
        <v>254</v>
      </c>
      <c r="B24" s="700"/>
      <c r="C24" s="325">
        <v>16930</v>
      </c>
      <c r="D24" s="326">
        <v>19942</v>
      </c>
      <c r="E24" s="327">
        <v>18536</v>
      </c>
      <c r="F24" s="326">
        <v>16198566</v>
      </c>
      <c r="G24" s="704">
        <f t="shared" si="0"/>
        <v>92.94955370574667</v>
      </c>
      <c r="H24" s="709">
        <v>250</v>
      </c>
      <c r="I24" s="326">
        <v>18080</v>
      </c>
      <c r="J24" s="326">
        <f>9969-1</f>
        <v>9968</v>
      </c>
      <c r="K24" s="326">
        <v>840968</v>
      </c>
      <c r="L24" s="710">
        <f t="shared" si="1"/>
        <v>55.13274336283186</v>
      </c>
      <c r="M24" s="498"/>
      <c r="O24" s="4"/>
    </row>
    <row r="25" spans="1:15" s="2" customFormat="1" ht="15.75" customHeight="1">
      <c r="A25" s="746" t="s">
        <v>255</v>
      </c>
      <c r="B25" s="700"/>
      <c r="C25" s="325">
        <v>174589</v>
      </c>
      <c r="D25" s="326">
        <v>229189</v>
      </c>
      <c r="E25" s="327">
        <v>213797</v>
      </c>
      <c r="F25" s="326">
        <v>187373065</v>
      </c>
      <c r="G25" s="704">
        <f t="shared" si="0"/>
        <v>93.28414539964832</v>
      </c>
      <c r="H25" s="709">
        <v>38473</v>
      </c>
      <c r="I25" s="326">
        <v>165238</v>
      </c>
      <c r="J25" s="326">
        <v>54935</v>
      </c>
      <c r="K25" s="326">
        <v>83501195</v>
      </c>
      <c r="L25" s="710">
        <f t="shared" si="1"/>
        <v>33.2459845798182</v>
      </c>
      <c r="M25" s="498"/>
      <c r="O25" s="4"/>
    </row>
    <row r="26" spans="1:15" s="2" customFormat="1" ht="15.75" customHeight="1">
      <c r="A26" s="745" t="s">
        <v>256</v>
      </c>
      <c r="B26" s="700"/>
      <c r="C26" s="325">
        <v>24381</v>
      </c>
      <c r="D26" s="326">
        <v>27082</v>
      </c>
      <c r="E26" s="327">
        <v>24052</v>
      </c>
      <c r="F26" s="326">
        <v>21980146</v>
      </c>
      <c r="G26" s="704">
        <f t="shared" si="0"/>
        <v>88.81175688649287</v>
      </c>
      <c r="H26" s="709">
        <v>2600</v>
      </c>
      <c r="I26" s="326">
        <v>13406</v>
      </c>
      <c r="J26" s="326">
        <v>10369</v>
      </c>
      <c r="K26" s="326">
        <v>8073674</v>
      </c>
      <c r="L26" s="710">
        <f t="shared" si="1"/>
        <v>77.34596449351037</v>
      </c>
      <c r="M26" s="498"/>
      <c r="O26" s="4"/>
    </row>
    <row r="27" spans="1:15" s="2" customFormat="1" ht="15.75" customHeight="1">
      <c r="A27" s="745" t="s">
        <v>257</v>
      </c>
      <c r="B27" s="700"/>
      <c r="C27" s="325">
        <v>107387</v>
      </c>
      <c r="D27" s="326">
        <v>119802</v>
      </c>
      <c r="E27" s="327">
        <v>110060</v>
      </c>
      <c r="F27" s="326">
        <v>100763061</v>
      </c>
      <c r="G27" s="704">
        <f t="shared" si="0"/>
        <v>91.86824927797532</v>
      </c>
      <c r="H27" s="709">
        <v>41877</v>
      </c>
      <c r="I27" s="326">
        <v>77062</v>
      </c>
      <c r="J27" s="326">
        <v>37431</v>
      </c>
      <c r="K27" s="326">
        <v>30824897</v>
      </c>
      <c r="L27" s="710">
        <f t="shared" si="1"/>
        <v>48.57257792426877</v>
      </c>
      <c r="M27" s="498"/>
      <c r="O27" s="4"/>
    </row>
    <row r="28" spans="1:15" s="2" customFormat="1" ht="15.75" customHeight="1">
      <c r="A28" s="745" t="s">
        <v>258</v>
      </c>
      <c r="B28" s="700"/>
      <c r="C28" s="325">
        <v>33873</v>
      </c>
      <c r="D28" s="326">
        <v>46393</v>
      </c>
      <c r="E28" s="327">
        <v>41463</v>
      </c>
      <c r="F28" s="326">
        <v>36570723</v>
      </c>
      <c r="G28" s="704">
        <f t="shared" si="0"/>
        <v>89.37339684866251</v>
      </c>
      <c r="H28" s="709">
        <v>7690</v>
      </c>
      <c r="I28" s="326">
        <v>28207</v>
      </c>
      <c r="J28" s="326">
        <v>25239</v>
      </c>
      <c r="K28" s="326">
        <v>11258217</v>
      </c>
      <c r="L28" s="710">
        <f t="shared" si="1"/>
        <v>89.4777892012621</v>
      </c>
      <c r="M28" s="498"/>
      <c r="O28" s="4"/>
    </row>
    <row r="29" spans="1:15" s="2" customFormat="1" ht="15.75" customHeight="1">
      <c r="A29" s="746" t="s">
        <v>259</v>
      </c>
      <c r="B29" s="700"/>
      <c r="C29" s="325">
        <v>48537</v>
      </c>
      <c r="D29" s="326">
        <v>63335</v>
      </c>
      <c r="E29" s="327">
        <v>50866</v>
      </c>
      <c r="F29" s="326">
        <v>42754216</v>
      </c>
      <c r="G29" s="704">
        <f t="shared" si="0"/>
        <v>80.31262335201706</v>
      </c>
      <c r="H29" s="709">
        <v>2083</v>
      </c>
      <c r="I29" s="326">
        <v>5938</v>
      </c>
      <c r="J29" s="326">
        <v>4606</v>
      </c>
      <c r="K29" s="326">
        <v>20733092</v>
      </c>
      <c r="L29" s="710">
        <f t="shared" si="1"/>
        <v>77.56820478275513</v>
      </c>
      <c r="M29" s="498"/>
      <c r="O29" s="4"/>
    </row>
    <row r="30" spans="1:15" s="2" customFormat="1" ht="15.75" customHeight="1">
      <c r="A30" s="745" t="s">
        <v>260</v>
      </c>
      <c r="B30" s="700"/>
      <c r="C30" s="325">
        <v>43938</v>
      </c>
      <c r="D30" s="326">
        <v>53080</v>
      </c>
      <c r="E30" s="327">
        <v>49334</v>
      </c>
      <c r="F30" s="326">
        <v>47806115</v>
      </c>
      <c r="G30" s="704">
        <f t="shared" si="0"/>
        <v>92.94272795779955</v>
      </c>
      <c r="H30" s="709">
        <v>45620</v>
      </c>
      <c r="I30" s="326">
        <v>61927</v>
      </c>
      <c r="J30" s="326">
        <v>61918</v>
      </c>
      <c r="K30" s="326">
        <v>76520945</v>
      </c>
      <c r="L30" s="710">
        <f t="shared" si="1"/>
        <v>99.9854667592488</v>
      </c>
      <c r="M30" s="498"/>
      <c r="O30" s="4"/>
    </row>
    <row r="31" spans="1:15" s="2" customFormat="1" ht="15.75" customHeight="1">
      <c r="A31" s="746" t="s">
        <v>261</v>
      </c>
      <c r="B31" s="700"/>
      <c r="C31" s="325">
        <v>100439</v>
      </c>
      <c r="D31" s="326">
        <v>113168</v>
      </c>
      <c r="E31" s="327">
        <v>107759</v>
      </c>
      <c r="F31" s="326">
        <v>114854281</v>
      </c>
      <c r="G31" s="704">
        <f t="shared" si="0"/>
        <v>95.22038031952495</v>
      </c>
      <c r="H31" s="709">
        <v>39471</v>
      </c>
      <c r="I31" s="326">
        <v>59043</v>
      </c>
      <c r="J31" s="326">
        <v>51157</v>
      </c>
      <c r="K31" s="326">
        <v>45494346</v>
      </c>
      <c r="L31" s="710">
        <f t="shared" si="1"/>
        <v>86.64363260674423</v>
      </c>
      <c r="M31" s="498"/>
      <c r="O31" s="4"/>
    </row>
    <row r="32" spans="1:15" s="2" customFormat="1" ht="15.75" customHeight="1">
      <c r="A32" s="746" t="s">
        <v>262</v>
      </c>
      <c r="B32" s="700"/>
      <c r="C32" s="325">
        <v>42285</v>
      </c>
      <c r="D32" s="326">
        <v>47479</v>
      </c>
      <c r="E32" s="327">
        <v>44576</v>
      </c>
      <c r="F32" s="326">
        <v>40768147</v>
      </c>
      <c r="G32" s="704">
        <f t="shared" si="0"/>
        <v>93.88571789633312</v>
      </c>
      <c r="H32" s="709">
        <v>4096</v>
      </c>
      <c r="I32" s="326">
        <v>64860</v>
      </c>
      <c r="J32" s="326">
        <v>24633</v>
      </c>
      <c r="K32" s="326">
        <v>67168931</v>
      </c>
      <c r="L32" s="710">
        <f t="shared" si="1"/>
        <v>37.97872340425532</v>
      </c>
      <c r="M32" s="498"/>
      <c r="O32" s="4"/>
    </row>
    <row r="33" spans="1:15" s="2" customFormat="1" ht="15.75" customHeight="1">
      <c r="A33" s="745" t="s">
        <v>263</v>
      </c>
      <c r="B33" s="700"/>
      <c r="C33" s="325">
        <v>25273</v>
      </c>
      <c r="D33" s="326">
        <v>31221</v>
      </c>
      <c r="E33" s="327">
        <f>27293+1</f>
        <v>27294</v>
      </c>
      <c r="F33" s="326">
        <v>26423215</v>
      </c>
      <c r="G33" s="704">
        <f t="shared" si="0"/>
        <v>87.42192754876525</v>
      </c>
      <c r="H33" s="709">
        <v>5347</v>
      </c>
      <c r="I33" s="326">
        <v>15901</v>
      </c>
      <c r="J33" s="326">
        <v>13061</v>
      </c>
      <c r="K33" s="326">
        <v>10520083</v>
      </c>
      <c r="L33" s="710">
        <f t="shared" si="1"/>
        <v>82.13948808251054</v>
      </c>
      <c r="M33" s="498"/>
      <c r="O33" s="4"/>
    </row>
    <row r="34" spans="1:15" s="2" customFormat="1" ht="15.75" customHeight="1">
      <c r="A34" s="746" t="s">
        <v>264</v>
      </c>
      <c r="B34" s="700"/>
      <c r="C34" s="325">
        <v>17065</v>
      </c>
      <c r="D34" s="326">
        <v>26442</v>
      </c>
      <c r="E34" s="327">
        <v>24490</v>
      </c>
      <c r="F34" s="326">
        <v>20787643</v>
      </c>
      <c r="G34" s="704">
        <f t="shared" si="0"/>
        <v>92.61780500718554</v>
      </c>
      <c r="H34" s="709">
        <v>100</v>
      </c>
      <c r="I34" s="326">
        <v>1140</v>
      </c>
      <c r="J34" s="326">
        <v>1011</v>
      </c>
      <c r="K34" s="326">
        <v>7029197</v>
      </c>
      <c r="L34" s="710">
        <f t="shared" si="1"/>
        <v>88.68421052631578</v>
      </c>
      <c r="M34" s="498"/>
      <c r="O34" s="4"/>
    </row>
    <row r="35" spans="1:15" s="2" customFormat="1" ht="15.75" customHeight="1">
      <c r="A35" s="745" t="s">
        <v>265</v>
      </c>
      <c r="B35" s="700"/>
      <c r="C35" s="325">
        <v>137451</v>
      </c>
      <c r="D35" s="326">
        <v>219137</v>
      </c>
      <c r="E35" s="327">
        <v>157241</v>
      </c>
      <c r="F35" s="326">
        <v>145020036</v>
      </c>
      <c r="G35" s="704">
        <f t="shared" si="0"/>
        <v>71.75465576328963</v>
      </c>
      <c r="H35" s="709">
        <v>42570</v>
      </c>
      <c r="I35" s="326">
        <v>63773</v>
      </c>
      <c r="J35" s="326">
        <v>34301</v>
      </c>
      <c r="K35" s="326">
        <v>59263995</v>
      </c>
      <c r="L35" s="710">
        <f t="shared" si="1"/>
        <v>53.786085020306395</v>
      </c>
      <c r="M35" s="498"/>
      <c r="O35" s="4"/>
    </row>
    <row r="36" spans="1:15" s="2" customFormat="1" ht="15.75" customHeight="1">
      <c r="A36" s="745" t="s">
        <v>266</v>
      </c>
      <c r="B36" s="700"/>
      <c r="C36" s="325">
        <v>17198</v>
      </c>
      <c r="D36" s="326">
        <v>21131</v>
      </c>
      <c r="E36" s="327">
        <v>18637</v>
      </c>
      <c r="F36" s="326">
        <v>17173046</v>
      </c>
      <c r="G36" s="704">
        <f t="shared" si="0"/>
        <v>88.1974350480337</v>
      </c>
      <c r="H36" s="711">
        <v>0</v>
      </c>
      <c r="I36" s="326">
        <v>2152</v>
      </c>
      <c r="J36" s="326">
        <v>2324</v>
      </c>
      <c r="K36" s="326">
        <v>8877430</v>
      </c>
      <c r="L36" s="710">
        <f t="shared" si="1"/>
        <v>107.99256505576209</v>
      </c>
      <c r="M36" s="498"/>
      <c r="O36" s="4"/>
    </row>
    <row r="37" spans="1:15" s="2" customFormat="1" ht="15.75" customHeight="1">
      <c r="A37" s="745" t="s">
        <v>267</v>
      </c>
      <c r="B37" s="700"/>
      <c r="C37" s="325">
        <v>58940</v>
      </c>
      <c r="D37" s="326">
        <v>74670</v>
      </c>
      <c r="E37" s="327">
        <v>68977</v>
      </c>
      <c r="F37" s="326">
        <v>61689494</v>
      </c>
      <c r="G37" s="704">
        <f t="shared" si="0"/>
        <v>92.37578679523236</v>
      </c>
      <c r="H37" s="709">
        <v>22910</v>
      </c>
      <c r="I37" s="326">
        <v>28441</v>
      </c>
      <c r="J37" s="326">
        <v>13409</v>
      </c>
      <c r="K37" s="326">
        <v>28638379</v>
      </c>
      <c r="L37" s="710">
        <f t="shared" si="1"/>
        <v>47.14672479870609</v>
      </c>
      <c r="M37" s="498"/>
      <c r="O37" s="4"/>
    </row>
    <row r="38" spans="1:15" s="2" customFormat="1" ht="15.75" customHeight="1">
      <c r="A38" s="745" t="s">
        <v>268</v>
      </c>
      <c r="B38" s="700"/>
      <c r="C38" s="325">
        <v>5146</v>
      </c>
      <c r="D38" s="326">
        <v>6151</v>
      </c>
      <c r="E38" s="327">
        <v>5173</v>
      </c>
      <c r="F38" s="326">
        <v>5312406</v>
      </c>
      <c r="G38" s="704">
        <f t="shared" si="0"/>
        <v>84.10014631767191</v>
      </c>
      <c r="H38" s="711">
        <v>100</v>
      </c>
      <c r="I38" s="326">
        <v>100</v>
      </c>
      <c r="J38" s="326">
        <v>100</v>
      </c>
      <c r="K38" s="326">
        <v>2665892</v>
      </c>
      <c r="L38" s="710">
        <f t="shared" si="1"/>
        <v>100</v>
      </c>
      <c r="M38" s="498"/>
      <c r="O38" s="4"/>
    </row>
    <row r="39" spans="1:15" s="2" customFormat="1" ht="15.75" customHeight="1">
      <c r="A39" s="745" t="s">
        <v>269</v>
      </c>
      <c r="B39" s="700"/>
      <c r="C39" s="325">
        <v>6094</v>
      </c>
      <c r="D39" s="326">
        <v>6604</v>
      </c>
      <c r="E39" s="327">
        <v>6115</v>
      </c>
      <c r="F39" s="326">
        <v>5750601</v>
      </c>
      <c r="G39" s="704">
        <f t="shared" si="0"/>
        <v>92.595396729255</v>
      </c>
      <c r="H39" s="709">
        <v>206</v>
      </c>
      <c r="I39" s="326">
        <v>1494</v>
      </c>
      <c r="J39" s="326">
        <v>1493</v>
      </c>
      <c r="K39" s="326">
        <v>4841469</v>
      </c>
      <c r="L39" s="710">
        <f t="shared" si="1"/>
        <v>99.9330655957162</v>
      </c>
      <c r="M39" s="498"/>
      <c r="O39" s="4"/>
    </row>
    <row r="40" spans="1:15" s="2" customFormat="1" ht="15.75" customHeight="1">
      <c r="A40" s="746" t="s">
        <v>270</v>
      </c>
      <c r="B40" s="700"/>
      <c r="C40" s="325">
        <v>3156</v>
      </c>
      <c r="D40" s="326">
        <v>3633</v>
      </c>
      <c r="E40" s="327">
        <v>3047</v>
      </c>
      <c r="F40" s="326">
        <v>2373520</v>
      </c>
      <c r="G40" s="704">
        <f t="shared" si="0"/>
        <v>83.87007982383705</v>
      </c>
      <c r="H40" s="709">
        <v>50</v>
      </c>
      <c r="I40" s="326">
        <v>354</v>
      </c>
      <c r="J40" s="326">
        <v>425</v>
      </c>
      <c r="K40" s="326">
        <v>2456520</v>
      </c>
      <c r="L40" s="710">
        <f t="shared" si="1"/>
        <v>120.05649717514125</v>
      </c>
      <c r="M40" s="498"/>
      <c r="O40" s="4"/>
    </row>
    <row r="41" spans="1:15" s="2" customFormat="1" ht="15.75" customHeight="1">
      <c r="A41" s="745" t="s">
        <v>271</v>
      </c>
      <c r="B41" s="700"/>
      <c r="C41" s="325">
        <v>2548</v>
      </c>
      <c r="D41" s="326">
        <v>3069</v>
      </c>
      <c r="E41" s="327">
        <v>2229</v>
      </c>
      <c r="F41" s="326">
        <v>2457165</v>
      </c>
      <c r="G41" s="704">
        <f t="shared" si="0"/>
        <v>72.62952101661779</v>
      </c>
      <c r="H41" s="711">
        <v>0</v>
      </c>
      <c r="I41" s="326">
        <v>2</v>
      </c>
      <c r="J41" s="326">
        <v>0</v>
      </c>
      <c r="K41" s="326">
        <v>56468</v>
      </c>
      <c r="L41" s="710">
        <f t="shared" si="1"/>
        <v>0</v>
      </c>
      <c r="M41" s="498"/>
      <c r="O41" s="4"/>
    </row>
    <row r="42" spans="1:13" s="2" customFormat="1" ht="15" customHeight="1" thickBot="1">
      <c r="A42" s="701"/>
      <c r="B42" s="702"/>
      <c r="C42" s="499"/>
      <c r="D42" s="500"/>
      <c r="E42" s="501"/>
      <c r="F42" s="4"/>
      <c r="G42" s="705"/>
      <c r="H42" s="712"/>
      <c r="I42" s="713"/>
      <c r="J42" s="714"/>
      <c r="K42" s="714"/>
      <c r="L42" s="715"/>
      <c r="M42" s="497"/>
    </row>
    <row r="43" spans="3:13" s="2" customFormat="1" ht="15" customHeight="1">
      <c r="C43" s="502"/>
      <c r="D43" s="502"/>
      <c r="E43" s="502"/>
      <c r="F43" s="503"/>
      <c r="G43" s="504"/>
      <c r="H43" s="502"/>
      <c r="J43" s="502"/>
      <c r="K43" s="502"/>
      <c r="L43" s="504"/>
      <c r="M43" s="160"/>
    </row>
    <row r="44" spans="6:13" s="2" customFormat="1" ht="15" customHeight="1" thickBot="1">
      <c r="F44" s="503"/>
      <c r="G44" s="504"/>
      <c r="L44" s="504"/>
      <c r="M44" s="160"/>
    </row>
    <row r="45" spans="1:13" s="2" customFormat="1" ht="18" customHeight="1" thickBot="1">
      <c r="A45" s="160" t="s">
        <v>9</v>
      </c>
      <c r="B45" s="159"/>
      <c r="C45" s="505">
        <f>SUM(C13:C41)</f>
        <v>1626988</v>
      </c>
      <c r="D45" s="506">
        <f>SUM(D13:D41)</f>
        <v>2044785</v>
      </c>
      <c r="E45" s="506">
        <f>SUM(E13:E42)</f>
        <v>1844436</v>
      </c>
      <c r="F45" s="507">
        <f>SUM(F13:F44)</f>
        <v>1700620268</v>
      </c>
      <c r="G45" s="508">
        <f>SUM(E45/D45*100)</f>
        <v>90.20195277254088</v>
      </c>
      <c r="H45" s="505">
        <f>SUM(H13:H41)</f>
        <v>452498</v>
      </c>
      <c r="I45" s="506">
        <f>SUM(I13:I41)</f>
        <v>1027684</v>
      </c>
      <c r="J45" s="506">
        <f>SUM(J13:J41)</f>
        <v>638515</v>
      </c>
      <c r="K45" s="506">
        <f>SUM(K13:K41)</f>
        <v>761764466</v>
      </c>
      <c r="L45" s="508">
        <f>SUM(J45/I45*100)</f>
        <v>62.131452859050064</v>
      </c>
      <c r="M45" s="498"/>
    </row>
    <row r="46" spans="6:13" s="2" customFormat="1" ht="15.75">
      <c r="F46" s="503"/>
      <c r="G46" s="504"/>
      <c r="L46" s="504"/>
      <c r="M46" s="504"/>
    </row>
    <row r="47" spans="3:13" s="278" customFormat="1" ht="15">
      <c r="C47" s="328">
        <v>1626988</v>
      </c>
      <c r="D47" s="328">
        <v>2044784.5</v>
      </c>
      <c r="E47" s="328">
        <v>1844436</v>
      </c>
      <c r="F47" s="328"/>
      <c r="G47" s="328"/>
      <c r="H47" s="328">
        <v>452498</v>
      </c>
      <c r="I47" s="328">
        <v>1027684</v>
      </c>
      <c r="J47" s="328">
        <v>638515</v>
      </c>
      <c r="K47" s="278">
        <v>761764</v>
      </c>
      <c r="L47" s="279"/>
      <c r="M47" s="279"/>
    </row>
    <row r="48" s="277" customFormat="1" ht="15.75"/>
    <row r="51" spans="5:10" ht="15.75" customHeight="1">
      <c r="E51" s="610"/>
      <c r="J51" s="610"/>
    </row>
    <row r="52" ht="15.75">
      <c r="E52" s="277"/>
    </row>
    <row r="55" ht="15.75" customHeight="1"/>
    <row r="56" ht="15.75" customHeight="1"/>
    <row r="57" ht="15.75" customHeight="1"/>
    <row r="58" ht="15.75" customHeight="1"/>
    <row r="59" ht="15.75" customHeight="1"/>
    <row r="60" ht="18" customHeight="1"/>
    <row r="61" ht="18" customHeight="1"/>
    <row r="62" ht="13.5" customHeight="1"/>
    <row r="64" ht="18" customHeight="1"/>
    <row r="65" ht="13.5" customHeight="1"/>
    <row r="66" ht="15.75" customHeight="1"/>
    <row r="68" ht="13.5" customHeight="1"/>
    <row r="69" ht="12" customHeight="1"/>
    <row r="70" ht="15.75" customHeight="1"/>
    <row r="71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>
      <c r="F113" s="280"/>
    </row>
  </sheetData>
  <mergeCells count="2">
    <mergeCell ref="A2:L2"/>
    <mergeCell ref="A8:B8"/>
  </mergeCells>
  <printOptions horizontalCentered="1" verticalCentered="1"/>
  <pageMargins left="0.3937007874015748" right="0.3937007874015748" top="0.6" bottom="0.67" header="0.5118110236220472" footer="0.5118110236220472"/>
  <pageSetup horizontalDpi="600" verticalDpi="600" orientation="landscape" paperSize="9" scale="6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I55"/>
  <sheetViews>
    <sheetView showZeros="0" view="pageBreakPreview" zoomScale="60" zoomScaleNormal="70" workbookViewId="0" topLeftCell="A1">
      <pane xSplit="2" ySplit="14" topLeftCell="C15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M37" sqref="M37"/>
    </sheetView>
  </sheetViews>
  <sheetFormatPr defaultColWidth="9.796875" defaultRowHeight="15"/>
  <cols>
    <col min="1" max="1" width="9.796875" style="252" customWidth="1"/>
    <col min="2" max="2" width="17.09765625" style="252" customWidth="1"/>
    <col min="3" max="4" width="9.3984375" style="252" customWidth="1"/>
    <col min="5" max="5" width="10" style="252" customWidth="1"/>
    <col min="6" max="6" width="5.796875" style="252" customWidth="1"/>
    <col min="7" max="8" width="6.796875" style="252" customWidth="1"/>
    <col min="9" max="9" width="9.796875" style="252" customWidth="1"/>
    <col min="10" max="10" width="5.796875" style="252" customWidth="1"/>
    <col min="11" max="11" width="7.3984375" style="252" customWidth="1"/>
    <col min="12" max="12" width="6.59765625" style="252" customWidth="1"/>
    <col min="13" max="13" width="10.69921875" style="252" customWidth="1"/>
    <col min="14" max="14" width="6.3984375" style="252" customWidth="1"/>
    <col min="15" max="15" width="7.796875" style="252" customWidth="1"/>
    <col min="16" max="16" width="7.19921875" style="252" customWidth="1"/>
    <col min="17" max="17" width="10.796875" style="252" customWidth="1"/>
    <col min="18" max="18" width="5.796875" style="252" customWidth="1"/>
    <col min="19" max="20" width="6.796875" style="252" hidden="1" customWidth="1"/>
    <col min="21" max="21" width="10.69921875" style="252" hidden="1" customWidth="1"/>
    <col min="22" max="22" width="5.796875" style="252" hidden="1" customWidth="1"/>
    <col min="23" max="23" width="6.3984375" style="6" customWidth="1"/>
    <col min="24" max="24" width="7" style="6" customWidth="1"/>
    <col min="25" max="25" width="9.796875" style="6" customWidth="1"/>
    <col min="26" max="26" width="5.796875" style="6" customWidth="1"/>
    <col min="27" max="29" width="9.8984375" style="252" customWidth="1"/>
    <col min="30" max="30" width="5.796875" style="252" customWidth="1"/>
    <col min="31" max="34" width="9.19921875" style="252" customWidth="1"/>
    <col min="35" max="36" width="9.796875" style="252" customWidth="1"/>
    <col min="37" max="40" width="10.796875" style="252" customWidth="1"/>
    <col min="41" max="41" width="7.796875" style="252" customWidth="1"/>
    <col min="42" max="45" width="6.796875" style="252" customWidth="1"/>
    <col min="46" max="48" width="7.796875" style="252" customWidth="1"/>
    <col min="49" max="49" width="5.796875" style="252" customWidth="1"/>
    <col min="50" max="50" width="7.796875" style="252" customWidth="1"/>
    <col min="51" max="51" width="6.796875" style="252" customWidth="1"/>
    <col min="52" max="52" width="7.796875" style="252" customWidth="1"/>
    <col min="53" max="53" width="5.796875" style="252" customWidth="1"/>
    <col min="54" max="56" width="7.796875" style="252" customWidth="1"/>
    <col min="57" max="57" width="8.296875" style="252" customWidth="1"/>
    <col min="58" max="60" width="9.796875" style="252" customWidth="1"/>
    <col min="61" max="61" width="8.09765625" style="252" customWidth="1"/>
    <col min="62" max="16384" width="9.796875" style="252" customWidth="1"/>
  </cols>
  <sheetData>
    <row r="1" s="6" customFormat="1" ht="17.25" customHeight="1">
      <c r="A1" s="5"/>
    </row>
    <row r="2" spans="1:30" s="6" customFormat="1" ht="24" customHeight="1">
      <c r="A2" s="752" t="s">
        <v>235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752"/>
      <c r="Y2" s="752"/>
      <c r="Z2" s="752"/>
      <c r="AA2" s="752"/>
      <c r="AB2" s="752"/>
      <c r="AC2" s="752"/>
      <c r="AD2" s="752"/>
    </row>
    <row r="3" spans="1:30" s="6" customFormat="1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50" s="6" customFormat="1" ht="21" customHeight="1">
      <c r="A4" s="9" t="s">
        <v>182</v>
      </c>
      <c r="B4" s="10"/>
      <c r="C4" s="10"/>
      <c r="D4" s="10"/>
      <c r="E4" s="10"/>
      <c r="F4" s="111"/>
      <c r="G4" s="10"/>
      <c r="H4" s="10"/>
      <c r="I4" s="10"/>
      <c r="J4" s="10"/>
      <c r="K4" s="10"/>
      <c r="L4" s="10"/>
      <c r="M4" s="210"/>
      <c r="N4" s="210"/>
      <c r="O4" s="10"/>
      <c r="P4" s="10"/>
      <c r="Q4" s="210"/>
      <c r="R4" s="210"/>
      <c r="S4" s="2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O4" s="40"/>
      <c r="AT4" s="224" t="s">
        <v>110</v>
      </c>
      <c r="AV4" s="8"/>
      <c r="AW4" s="8"/>
      <c r="AX4" s="8"/>
    </row>
    <row r="5" spans="13:61" s="6" customFormat="1" ht="22.5" customHeight="1">
      <c r="M5" s="8"/>
      <c r="N5" s="12"/>
      <c r="Q5" s="8"/>
      <c r="R5" s="12"/>
      <c r="Z5" s="40"/>
      <c r="AD5" s="14" t="s">
        <v>111</v>
      </c>
      <c r="AE5" s="40"/>
      <c r="AF5" s="40"/>
      <c r="AG5" s="40"/>
      <c r="AH5" s="40"/>
      <c r="AV5" s="8"/>
      <c r="AW5" s="12"/>
      <c r="BE5" s="40"/>
      <c r="BH5" s="40" t="s">
        <v>112</v>
      </c>
      <c r="BI5" s="40"/>
    </row>
    <row r="6" spans="4:35" s="6" customFormat="1" ht="22.5" customHeight="1" thickBot="1">
      <c r="D6" s="11"/>
      <c r="G6" s="11"/>
      <c r="H6" s="11"/>
      <c r="I6" s="11"/>
      <c r="J6" s="11"/>
      <c r="K6" s="11"/>
      <c r="L6" s="11"/>
      <c r="M6" s="11"/>
      <c r="N6" s="12"/>
      <c r="O6" s="11"/>
      <c r="P6" s="11"/>
      <c r="Q6" s="11"/>
      <c r="R6" s="12"/>
      <c r="S6" s="11"/>
      <c r="T6" s="13"/>
      <c r="U6" s="225"/>
      <c r="V6" s="13"/>
      <c r="W6" s="11"/>
      <c r="X6" s="11"/>
      <c r="Y6" s="11"/>
      <c r="Z6" s="11"/>
      <c r="AA6" s="11"/>
      <c r="AD6" s="14" t="s">
        <v>113</v>
      </c>
      <c r="AE6" s="12"/>
      <c r="AF6" s="12"/>
      <c r="AG6" s="12"/>
      <c r="AH6" s="12"/>
      <c r="AI6" s="11"/>
    </row>
    <row r="7" spans="1:34" s="24" customFormat="1" ht="16.5" customHeight="1" thickBot="1">
      <c r="A7" s="208"/>
      <c r="B7" s="209"/>
      <c r="C7" s="214" t="s">
        <v>182</v>
      </c>
      <c r="D7" s="226"/>
      <c r="E7" s="227"/>
      <c r="F7" s="227"/>
      <c r="G7" s="228" t="s">
        <v>219</v>
      </c>
      <c r="H7" s="229"/>
      <c r="I7" s="229"/>
      <c r="J7" s="229"/>
      <c r="K7" s="229"/>
      <c r="L7" s="230"/>
      <c r="M7" s="229"/>
      <c r="N7" s="229"/>
      <c r="O7" s="229"/>
      <c r="P7" s="230"/>
      <c r="Q7" s="229"/>
      <c r="R7" s="228"/>
      <c r="S7" s="229"/>
      <c r="T7" s="230"/>
      <c r="U7" s="229"/>
      <c r="V7" s="229"/>
      <c r="W7" s="229"/>
      <c r="X7" s="230"/>
      <c r="Y7" s="229"/>
      <c r="Z7" s="229"/>
      <c r="AA7" s="228"/>
      <c r="AB7" s="228"/>
      <c r="AC7" s="229"/>
      <c r="AD7" s="231"/>
      <c r="AG7" s="117"/>
      <c r="AH7" s="117"/>
    </row>
    <row r="8" spans="1:32" s="6" customFormat="1" ht="16.5" customHeight="1">
      <c r="A8" s="756" t="s">
        <v>285</v>
      </c>
      <c r="B8" s="757"/>
      <c r="C8" s="232" t="s">
        <v>52</v>
      </c>
      <c r="D8" s="233"/>
      <c r="E8" s="234"/>
      <c r="F8" s="235"/>
      <c r="G8" s="233" t="s">
        <v>114</v>
      </c>
      <c r="H8" s="234"/>
      <c r="I8" s="234"/>
      <c r="J8" s="234"/>
      <c r="K8" s="232" t="s">
        <v>161</v>
      </c>
      <c r="L8" s="233"/>
      <c r="M8" s="234"/>
      <c r="N8" s="235"/>
      <c r="O8" s="232" t="s">
        <v>115</v>
      </c>
      <c r="P8" s="233"/>
      <c r="Q8" s="234"/>
      <c r="R8" s="235"/>
      <c r="S8" s="232" t="s">
        <v>193</v>
      </c>
      <c r="T8" s="233"/>
      <c r="U8" s="234"/>
      <c r="V8" s="235"/>
      <c r="W8" s="232" t="s">
        <v>238</v>
      </c>
      <c r="X8" s="233"/>
      <c r="Y8" s="234"/>
      <c r="Z8" s="235"/>
      <c r="AA8" s="233" t="s">
        <v>116</v>
      </c>
      <c r="AB8" s="233"/>
      <c r="AC8" s="234"/>
      <c r="AD8" s="235"/>
      <c r="AE8" s="24"/>
      <c r="AF8" s="24"/>
    </row>
    <row r="9" spans="1:35" s="6" customFormat="1" ht="15.75" customHeight="1">
      <c r="A9" s="236"/>
      <c r="B9" s="75"/>
      <c r="C9" s="237" t="s">
        <v>40</v>
      </c>
      <c r="D9" s="238"/>
      <c r="E9" s="239" t="s">
        <v>41</v>
      </c>
      <c r="F9" s="240" t="s">
        <v>2</v>
      </c>
      <c r="G9" s="237" t="s">
        <v>40</v>
      </c>
      <c r="H9" s="238"/>
      <c r="I9" s="239" t="s">
        <v>5</v>
      </c>
      <c r="J9" s="241" t="s">
        <v>2</v>
      </c>
      <c r="K9" s="237" t="s">
        <v>40</v>
      </c>
      <c r="L9" s="238"/>
      <c r="M9" s="239" t="s">
        <v>5</v>
      </c>
      <c r="N9" s="241" t="s">
        <v>2</v>
      </c>
      <c r="O9" s="242" t="s">
        <v>40</v>
      </c>
      <c r="P9" s="243"/>
      <c r="Q9" s="239" t="s">
        <v>5</v>
      </c>
      <c r="R9" s="244" t="s">
        <v>2</v>
      </c>
      <c r="S9" s="237" t="s">
        <v>40</v>
      </c>
      <c r="T9" s="238"/>
      <c r="U9" s="239" t="s">
        <v>5</v>
      </c>
      <c r="V9" s="240" t="s">
        <v>2</v>
      </c>
      <c r="W9" s="237" t="s">
        <v>40</v>
      </c>
      <c r="X9" s="238"/>
      <c r="Y9" s="239" t="s">
        <v>5</v>
      </c>
      <c r="Z9" s="240" t="s">
        <v>2</v>
      </c>
      <c r="AA9" s="242" t="s">
        <v>40</v>
      </c>
      <c r="AB9" s="243"/>
      <c r="AC9" s="239" t="s">
        <v>5</v>
      </c>
      <c r="AD9" s="244" t="s">
        <v>2</v>
      </c>
      <c r="AE9" s="3"/>
      <c r="AF9" s="117"/>
      <c r="AG9" s="117"/>
      <c r="AH9" s="117"/>
      <c r="AI9" s="117"/>
    </row>
    <row r="10" spans="1:34" s="6" customFormat="1" ht="16.5" customHeight="1" thickBot="1">
      <c r="A10" s="245"/>
      <c r="B10" s="246"/>
      <c r="C10" s="247" t="s">
        <v>42</v>
      </c>
      <c r="D10" s="248" t="s">
        <v>43</v>
      </c>
      <c r="E10" s="33" t="s">
        <v>237</v>
      </c>
      <c r="F10" s="249" t="s">
        <v>19</v>
      </c>
      <c r="G10" s="247" t="s">
        <v>73</v>
      </c>
      <c r="H10" s="248" t="s">
        <v>74</v>
      </c>
      <c r="I10" s="33" t="s">
        <v>237</v>
      </c>
      <c r="J10" s="250" t="s">
        <v>19</v>
      </c>
      <c r="K10" s="247" t="s">
        <v>73</v>
      </c>
      <c r="L10" s="248" t="s">
        <v>74</v>
      </c>
      <c r="M10" s="33" t="s">
        <v>237</v>
      </c>
      <c r="N10" s="250" t="s">
        <v>19</v>
      </c>
      <c r="O10" s="131" t="s">
        <v>73</v>
      </c>
      <c r="P10" s="132" t="s">
        <v>74</v>
      </c>
      <c r="Q10" s="33" t="s">
        <v>237</v>
      </c>
      <c r="R10" s="133" t="s">
        <v>19</v>
      </c>
      <c r="S10" s="247" t="s">
        <v>73</v>
      </c>
      <c r="T10" s="248" t="s">
        <v>74</v>
      </c>
      <c r="U10" s="202" t="s">
        <v>190</v>
      </c>
      <c r="V10" s="249" t="s">
        <v>19</v>
      </c>
      <c r="W10" s="247" t="s">
        <v>73</v>
      </c>
      <c r="X10" s="248" t="s">
        <v>74</v>
      </c>
      <c r="Y10" s="33" t="s">
        <v>237</v>
      </c>
      <c r="Z10" s="249" t="s">
        <v>19</v>
      </c>
      <c r="AA10" s="131" t="s">
        <v>73</v>
      </c>
      <c r="AB10" s="132" t="s">
        <v>74</v>
      </c>
      <c r="AC10" s="33" t="s">
        <v>237</v>
      </c>
      <c r="AD10" s="133" t="s">
        <v>19</v>
      </c>
      <c r="AE10" s="128"/>
      <c r="AF10" s="117"/>
      <c r="AG10" s="117"/>
      <c r="AH10" s="117"/>
    </row>
    <row r="11" spans="1:35" s="6" customFormat="1" ht="16.5" customHeight="1" hidden="1" thickTop="1">
      <c r="A11" s="11"/>
      <c r="B11" s="11"/>
      <c r="C11" s="11"/>
      <c r="D11" s="11"/>
      <c r="E11" s="11"/>
      <c r="F11" s="11"/>
      <c r="G11" s="11"/>
      <c r="H11" s="11" t="s">
        <v>117</v>
      </c>
      <c r="I11" s="11"/>
      <c r="J11" s="11"/>
      <c r="K11" s="11"/>
      <c r="L11" s="11" t="s">
        <v>119</v>
      </c>
      <c r="M11" s="11"/>
      <c r="N11" s="11"/>
      <c r="O11" s="11"/>
      <c r="P11" s="11" t="s">
        <v>120</v>
      </c>
      <c r="Q11" s="11"/>
      <c r="R11" s="11"/>
      <c r="S11" s="11"/>
      <c r="T11" s="11" t="s">
        <v>118</v>
      </c>
      <c r="U11" s="11"/>
      <c r="V11" s="11"/>
      <c r="W11" s="11"/>
      <c r="X11" s="11" t="s">
        <v>118</v>
      </c>
      <c r="Y11" s="11"/>
      <c r="Z11" s="11"/>
      <c r="AA11" s="11"/>
      <c r="AB11" s="11" t="s">
        <v>121</v>
      </c>
      <c r="AC11" s="11"/>
      <c r="AD11" s="11"/>
      <c r="AF11" s="135" t="s">
        <v>21</v>
      </c>
      <c r="AG11" s="135"/>
      <c r="AH11" s="135"/>
      <c r="AI11" s="135" t="s">
        <v>29</v>
      </c>
    </row>
    <row r="12" spans="1:35" s="6" customFormat="1" ht="16.5" customHeight="1" hidden="1" thickTop="1">
      <c r="A12" s="11"/>
      <c r="B12" s="11"/>
      <c r="C12" s="11"/>
      <c r="D12" s="11" t="s">
        <v>122</v>
      </c>
      <c r="E12" s="11"/>
      <c r="F12" s="11"/>
      <c r="G12" s="11"/>
      <c r="H12" s="11" t="s">
        <v>123</v>
      </c>
      <c r="I12" s="11"/>
      <c r="J12" s="11"/>
      <c r="K12" s="11"/>
      <c r="L12" s="11" t="s">
        <v>125</v>
      </c>
      <c r="M12" s="11"/>
      <c r="N12" s="11"/>
      <c r="O12" s="11"/>
      <c r="P12" s="11" t="s">
        <v>126</v>
      </c>
      <c r="Q12" s="11"/>
      <c r="R12" s="11"/>
      <c r="S12" s="11"/>
      <c r="T12" s="11" t="s">
        <v>124</v>
      </c>
      <c r="U12" s="11"/>
      <c r="V12" s="11"/>
      <c r="W12" s="11"/>
      <c r="X12" s="11" t="s">
        <v>124</v>
      </c>
      <c r="Y12" s="11"/>
      <c r="Z12" s="11"/>
      <c r="AA12" s="11"/>
      <c r="AB12" s="11" t="s">
        <v>127</v>
      </c>
      <c r="AC12" s="11"/>
      <c r="AD12" s="11"/>
      <c r="AF12" s="135" t="s">
        <v>7</v>
      </c>
      <c r="AG12" s="135"/>
      <c r="AH12" s="135"/>
      <c r="AI12" s="135" t="s">
        <v>128</v>
      </c>
    </row>
    <row r="13" spans="1:30" s="6" customFormat="1" ht="18.75" customHeight="1">
      <c r="A13" s="11"/>
      <c r="B13" s="11"/>
      <c r="C13" s="11"/>
      <c r="D13" s="79" t="s">
        <v>129</v>
      </c>
      <c r="E13" s="11"/>
      <c r="F13" s="11"/>
      <c r="G13" s="736" t="s">
        <v>117</v>
      </c>
      <c r="H13" s="736"/>
      <c r="I13" s="736"/>
      <c r="J13" s="736"/>
      <c r="K13" s="736" t="s">
        <v>119</v>
      </c>
      <c r="L13" s="736"/>
      <c r="M13" s="736"/>
      <c r="N13" s="736"/>
      <c r="O13" s="736" t="s">
        <v>120</v>
      </c>
      <c r="P13" s="736"/>
      <c r="Q13" s="736"/>
      <c r="R13" s="736"/>
      <c r="S13" s="736" t="s">
        <v>174</v>
      </c>
      <c r="T13" s="736"/>
      <c r="U13" s="736"/>
      <c r="V13" s="736"/>
      <c r="W13" s="736" t="s">
        <v>188</v>
      </c>
      <c r="X13" s="736"/>
      <c r="Y13" s="736"/>
      <c r="Z13" s="736"/>
      <c r="AA13" s="736" t="s">
        <v>189</v>
      </c>
      <c r="AB13" s="736"/>
      <c r="AC13" s="736"/>
      <c r="AD13" s="736"/>
    </row>
    <row r="14" spans="1:30" s="6" customFormat="1" ht="18" customHeight="1" thickBo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382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4" s="6" customFormat="1" ht="13.5" customHeight="1">
      <c r="A15" s="650"/>
      <c r="B15" s="651"/>
      <c r="C15" s="716"/>
      <c r="D15" s="372"/>
      <c r="E15" s="372"/>
      <c r="F15" s="391"/>
      <c r="G15" s="385"/>
      <c r="H15" s="386"/>
      <c r="I15" s="386"/>
      <c r="J15" s="387"/>
      <c r="K15" s="376"/>
      <c r="L15" s="372"/>
      <c r="M15" s="372"/>
      <c r="N15" s="373"/>
      <c r="O15" s="376"/>
      <c r="P15" s="372"/>
      <c r="Q15" s="372"/>
      <c r="R15" s="373"/>
      <c r="S15" s="370"/>
      <c r="T15" s="371"/>
      <c r="U15" s="372"/>
      <c r="V15" s="373"/>
      <c r="W15" s="370"/>
      <c r="X15" s="371"/>
      <c r="Y15" s="372"/>
      <c r="Z15" s="717"/>
      <c r="AA15" s="719"/>
      <c r="AB15" s="720"/>
      <c r="AC15" s="721"/>
      <c r="AD15" s="722"/>
      <c r="AE15" s="392"/>
      <c r="AF15" s="392"/>
      <c r="AG15" s="392"/>
      <c r="AH15" s="392"/>
    </row>
    <row r="16" spans="1:34" s="6" customFormat="1" ht="16.5" customHeight="1">
      <c r="A16" s="744" t="s">
        <v>243</v>
      </c>
      <c r="B16" s="603"/>
      <c r="C16" s="334">
        <f>'Výdaje '!C13</f>
        <v>327648</v>
      </c>
      <c r="D16" s="304">
        <f>'Výdaje '!D13</f>
        <v>385382</v>
      </c>
      <c r="E16" s="304">
        <f>'Výdaje '!E13</f>
        <v>377513</v>
      </c>
      <c r="F16" s="308">
        <f>E16/D16*100</f>
        <v>97.95812985557187</v>
      </c>
      <c r="G16" s="347"/>
      <c r="H16" s="307"/>
      <c r="I16" s="307"/>
      <c r="J16" s="308"/>
      <c r="K16" s="303"/>
      <c r="L16" s="304"/>
      <c r="M16" s="304"/>
      <c r="N16" s="308"/>
      <c r="O16" s="309">
        <v>81755</v>
      </c>
      <c r="P16" s="309">
        <v>84793</v>
      </c>
      <c r="Q16" s="309">
        <v>84791</v>
      </c>
      <c r="R16" s="308">
        <f aca="true" t="shared" si="0" ref="R16:R43">Q16/P16*100</f>
        <v>99.99764131473117</v>
      </c>
      <c r="S16" s="374"/>
      <c r="T16" s="307"/>
      <c r="U16" s="304"/>
      <c r="V16" s="308"/>
      <c r="W16" s="374"/>
      <c r="X16" s="309">
        <v>97</v>
      </c>
      <c r="Y16" s="309">
        <v>97</v>
      </c>
      <c r="Z16" s="472">
        <f aca="true" t="shared" si="1" ref="Z16:Z24">Y16/X16*100</f>
        <v>100</v>
      </c>
      <c r="AA16" s="723">
        <f aca="true" t="shared" si="2" ref="AA16:AA44">SUM(C16-G16-S16-W16-K16-O16)</f>
        <v>245893</v>
      </c>
      <c r="AB16" s="394">
        <f aca="true" t="shared" si="3" ref="AB16:AB44">SUM(D16-H16-T16-X16-L16-P16)</f>
        <v>300492</v>
      </c>
      <c r="AC16" s="334">
        <f aca="true" t="shared" si="4" ref="AC16:AC44">SUM(E16-I16-U16-Y16-M16-Q16)</f>
        <v>292625</v>
      </c>
      <c r="AD16" s="356">
        <f aca="true" t="shared" si="5" ref="AD16:AD44">AC16/AB16*100</f>
        <v>97.38196025185363</v>
      </c>
      <c r="AE16" s="395"/>
      <c r="AF16" s="395"/>
      <c r="AG16" s="395"/>
      <c r="AH16" s="395"/>
    </row>
    <row r="17" spans="1:34" s="6" customFormat="1" ht="16.5" customHeight="1">
      <c r="A17" s="745" t="s">
        <v>244</v>
      </c>
      <c r="B17" s="603"/>
      <c r="C17" s="334">
        <f>'Výdaje '!C14</f>
        <v>48781</v>
      </c>
      <c r="D17" s="304">
        <f>'Výdaje '!D14</f>
        <v>60830</v>
      </c>
      <c r="E17" s="304">
        <f>'Výdaje '!E14</f>
        <v>54751</v>
      </c>
      <c r="F17" s="308">
        <f aca="true" t="shared" si="6" ref="F17:F44">E17/D17*100</f>
        <v>90.00657570277824</v>
      </c>
      <c r="G17" s="347"/>
      <c r="H17" s="364"/>
      <c r="I17" s="364"/>
      <c r="J17" s="308"/>
      <c r="K17" s="303"/>
      <c r="L17" s="304"/>
      <c r="M17" s="304"/>
      <c r="N17" s="308"/>
      <c r="O17" s="309">
        <v>11852</v>
      </c>
      <c r="P17" s="309">
        <v>12051</v>
      </c>
      <c r="Q17" s="309">
        <v>12051</v>
      </c>
      <c r="R17" s="308">
        <f t="shared" si="0"/>
        <v>100</v>
      </c>
      <c r="S17" s="374"/>
      <c r="T17" s="307"/>
      <c r="U17" s="304"/>
      <c r="V17" s="308"/>
      <c r="W17" s="374"/>
      <c r="X17" s="307">
        <v>1087</v>
      </c>
      <c r="Y17" s="307">
        <v>1087</v>
      </c>
      <c r="Z17" s="472">
        <f t="shared" si="1"/>
        <v>100</v>
      </c>
      <c r="AA17" s="723">
        <f t="shared" si="2"/>
        <v>36929</v>
      </c>
      <c r="AB17" s="394">
        <f t="shared" si="3"/>
        <v>47692</v>
      </c>
      <c r="AC17" s="334">
        <f t="shared" si="4"/>
        <v>41613</v>
      </c>
      <c r="AD17" s="356">
        <f t="shared" si="5"/>
        <v>87.2536274427577</v>
      </c>
      <c r="AE17" s="395"/>
      <c r="AF17" s="395"/>
      <c r="AG17" s="395"/>
      <c r="AH17" s="395"/>
    </row>
    <row r="18" spans="1:34" s="6" customFormat="1" ht="16.5" customHeight="1">
      <c r="A18" s="745" t="s">
        <v>245</v>
      </c>
      <c r="B18" s="603"/>
      <c r="C18" s="334">
        <f>'Výdaje '!C15</f>
        <v>48898</v>
      </c>
      <c r="D18" s="304">
        <f>'Výdaje '!D15</f>
        <v>60783</v>
      </c>
      <c r="E18" s="304">
        <f>'Výdaje '!E15</f>
        <v>50134</v>
      </c>
      <c r="F18" s="308">
        <f t="shared" si="6"/>
        <v>82.48029876774756</v>
      </c>
      <c r="G18" s="347"/>
      <c r="H18" s="307"/>
      <c r="I18" s="307"/>
      <c r="J18" s="308"/>
      <c r="K18" s="303"/>
      <c r="L18" s="304">
        <v>29</v>
      </c>
      <c r="M18" s="304">
        <v>28</v>
      </c>
      <c r="N18" s="308">
        <f>M18/L18*100</f>
        <v>96.55172413793103</v>
      </c>
      <c r="O18" s="309">
        <v>11065</v>
      </c>
      <c r="P18" s="309">
        <v>12634</v>
      </c>
      <c r="Q18" s="309">
        <v>12632</v>
      </c>
      <c r="R18" s="308">
        <f t="shared" si="0"/>
        <v>99.98416970080734</v>
      </c>
      <c r="S18" s="374"/>
      <c r="T18" s="307">
        <v>0</v>
      </c>
      <c r="U18" s="304"/>
      <c r="V18" s="308"/>
      <c r="W18" s="374"/>
      <c r="X18" s="309">
        <v>404</v>
      </c>
      <c r="Y18" s="309">
        <v>404</v>
      </c>
      <c r="Z18" s="472">
        <f t="shared" si="1"/>
        <v>100</v>
      </c>
      <c r="AA18" s="723">
        <f t="shared" si="2"/>
        <v>37833</v>
      </c>
      <c r="AB18" s="394">
        <f t="shared" si="3"/>
        <v>47716</v>
      </c>
      <c r="AC18" s="334">
        <f t="shared" si="4"/>
        <v>37070</v>
      </c>
      <c r="AD18" s="356">
        <f t="shared" si="5"/>
        <v>77.6888255511778</v>
      </c>
      <c r="AE18" s="395"/>
      <c r="AF18" s="395"/>
      <c r="AG18" s="395"/>
      <c r="AH18" s="395"/>
    </row>
    <row r="19" spans="1:34" s="6" customFormat="1" ht="16.5" customHeight="1">
      <c r="A19" s="745" t="s">
        <v>246</v>
      </c>
      <c r="B19" s="603"/>
      <c r="C19" s="334">
        <f>'Výdaje '!C16</f>
        <v>37514</v>
      </c>
      <c r="D19" s="304">
        <f>'Výdaje '!D16</f>
        <v>45879</v>
      </c>
      <c r="E19" s="304">
        <f>'Výdaje '!E16</f>
        <v>42413</v>
      </c>
      <c r="F19" s="308">
        <f t="shared" si="6"/>
        <v>92.4453453649818</v>
      </c>
      <c r="G19" s="309">
        <v>6372</v>
      </c>
      <c r="H19" s="309">
        <v>6372</v>
      </c>
      <c r="I19" s="309">
        <v>5935</v>
      </c>
      <c r="J19" s="308">
        <f>I19/H19*100</f>
        <v>93.14187068424357</v>
      </c>
      <c r="K19" s="303"/>
      <c r="L19" s="304"/>
      <c r="M19" s="304"/>
      <c r="N19" s="308"/>
      <c r="O19" s="309">
        <v>8794</v>
      </c>
      <c r="P19" s="309">
        <v>9748</v>
      </c>
      <c r="Q19" s="309">
        <v>9743</v>
      </c>
      <c r="R19" s="308">
        <f t="shared" si="0"/>
        <v>99.94870742716455</v>
      </c>
      <c r="S19" s="374"/>
      <c r="T19" s="307"/>
      <c r="U19" s="304"/>
      <c r="V19" s="308"/>
      <c r="W19" s="374"/>
      <c r="X19" s="307">
        <v>693</v>
      </c>
      <c r="Y19" s="307">
        <v>693</v>
      </c>
      <c r="Z19" s="472">
        <f t="shared" si="1"/>
        <v>100</v>
      </c>
      <c r="AA19" s="723">
        <f t="shared" si="2"/>
        <v>22348</v>
      </c>
      <c r="AB19" s="394">
        <f t="shared" si="3"/>
        <v>29066</v>
      </c>
      <c r="AC19" s="334">
        <f t="shared" si="4"/>
        <v>26042</v>
      </c>
      <c r="AD19" s="356">
        <f t="shared" si="5"/>
        <v>89.5960916534783</v>
      </c>
      <c r="AE19" s="395"/>
      <c r="AF19" s="395"/>
      <c r="AG19" s="395"/>
      <c r="AH19" s="395"/>
    </row>
    <row r="20" spans="1:34" s="6" customFormat="1" ht="16.5" customHeight="1">
      <c r="A20" s="745" t="s">
        <v>247</v>
      </c>
      <c r="B20" s="603"/>
      <c r="C20" s="334">
        <f>'Výdaje '!C17</f>
        <v>42229</v>
      </c>
      <c r="D20" s="304">
        <f>'Výdaje '!D17</f>
        <v>51499</v>
      </c>
      <c r="E20" s="304">
        <f>'Výdaje '!E17</f>
        <v>48514</v>
      </c>
      <c r="F20" s="308">
        <f t="shared" si="6"/>
        <v>94.20377094700868</v>
      </c>
      <c r="G20" s="309">
        <v>429</v>
      </c>
      <c r="H20" s="309">
        <v>1544</v>
      </c>
      <c r="I20" s="309">
        <f>1543+1</f>
        <v>1544</v>
      </c>
      <c r="J20" s="308">
        <f>I20/H20*100</f>
        <v>100</v>
      </c>
      <c r="K20" s="303"/>
      <c r="L20" s="304"/>
      <c r="M20" s="304"/>
      <c r="N20" s="308"/>
      <c r="O20" s="309">
        <v>8945</v>
      </c>
      <c r="P20" s="309">
        <v>9589</v>
      </c>
      <c r="Q20" s="309">
        <v>9589</v>
      </c>
      <c r="R20" s="308">
        <f t="shared" si="0"/>
        <v>100</v>
      </c>
      <c r="S20" s="374"/>
      <c r="T20" s="307"/>
      <c r="U20" s="304"/>
      <c r="V20" s="308"/>
      <c r="W20" s="374"/>
      <c r="X20" s="307">
        <v>906</v>
      </c>
      <c r="Y20" s="307">
        <v>906</v>
      </c>
      <c r="Z20" s="472">
        <f t="shared" si="1"/>
        <v>100</v>
      </c>
      <c r="AA20" s="723">
        <f t="shared" si="2"/>
        <v>32855</v>
      </c>
      <c r="AB20" s="394">
        <f t="shared" si="3"/>
        <v>39460</v>
      </c>
      <c r="AC20" s="334">
        <f t="shared" si="4"/>
        <v>36475</v>
      </c>
      <c r="AD20" s="356">
        <f t="shared" si="5"/>
        <v>92.43537759756715</v>
      </c>
      <c r="AE20" s="395"/>
      <c r="AF20" s="395"/>
      <c r="AG20" s="395"/>
      <c r="AH20" s="395"/>
    </row>
    <row r="21" spans="1:34" s="6" customFormat="1" ht="16.5" customHeight="1">
      <c r="A21" s="745" t="s">
        <v>248</v>
      </c>
      <c r="B21" s="603"/>
      <c r="C21" s="334">
        <f>'Výdaje '!C18</f>
        <v>12190</v>
      </c>
      <c r="D21" s="304">
        <f>'Výdaje '!D18</f>
        <v>13456</v>
      </c>
      <c r="E21" s="304">
        <f>'Výdaje '!E18</f>
        <v>12149</v>
      </c>
      <c r="F21" s="308">
        <f t="shared" si="6"/>
        <v>90.28686087990488</v>
      </c>
      <c r="G21" s="365"/>
      <c r="H21" s="366"/>
      <c r="I21" s="366"/>
      <c r="J21" s="308"/>
      <c r="K21" s="303"/>
      <c r="L21" s="304"/>
      <c r="M21" s="304"/>
      <c r="N21" s="308"/>
      <c r="O21" s="309">
        <v>2051</v>
      </c>
      <c r="P21" s="309">
        <v>2087</v>
      </c>
      <c r="Q21" s="309">
        <v>2087</v>
      </c>
      <c r="R21" s="308">
        <f t="shared" si="0"/>
        <v>100</v>
      </c>
      <c r="S21" s="374"/>
      <c r="T21" s="307"/>
      <c r="U21" s="304"/>
      <c r="V21" s="308"/>
      <c r="W21" s="374"/>
      <c r="X21" s="307">
        <v>97</v>
      </c>
      <c r="Y21" s="307">
        <v>97</v>
      </c>
      <c r="Z21" s="472">
        <f t="shared" si="1"/>
        <v>100</v>
      </c>
      <c r="AA21" s="723">
        <f t="shared" si="2"/>
        <v>10139</v>
      </c>
      <c r="AB21" s="394">
        <f t="shared" si="3"/>
        <v>11272</v>
      </c>
      <c r="AC21" s="334">
        <f t="shared" si="4"/>
        <v>9965</v>
      </c>
      <c r="AD21" s="356">
        <f t="shared" si="5"/>
        <v>88.40489709013485</v>
      </c>
      <c r="AE21" s="395"/>
      <c r="AF21" s="395"/>
      <c r="AG21" s="395"/>
      <c r="AH21" s="395"/>
    </row>
    <row r="22" spans="1:34" s="6" customFormat="1" ht="16.5" customHeight="1">
      <c r="A22" s="745" t="s">
        <v>249</v>
      </c>
      <c r="B22" s="603"/>
      <c r="C22" s="334">
        <f>'Výdaje '!C19</f>
        <v>90762</v>
      </c>
      <c r="D22" s="304">
        <f>'Výdaje '!D19</f>
        <v>127786</v>
      </c>
      <c r="E22" s="304">
        <f>'Výdaje '!E19</f>
        <v>122334</v>
      </c>
      <c r="F22" s="308">
        <f t="shared" si="6"/>
        <v>95.73349193182352</v>
      </c>
      <c r="G22" s="307">
        <v>557</v>
      </c>
      <c r="H22" s="307">
        <v>557</v>
      </c>
      <c r="I22" s="307">
        <v>555</v>
      </c>
      <c r="J22" s="308">
        <f>I22/H22*100</f>
        <v>99.64093357271095</v>
      </c>
      <c r="K22" s="303"/>
      <c r="L22" s="304"/>
      <c r="M22" s="304"/>
      <c r="N22" s="308"/>
      <c r="O22" s="309">
        <v>17160</v>
      </c>
      <c r="P22" s="309">
        <v>17190</v>
      </c>
      <c r="Q22" s="309">
        <v>17190</v>
      </c>
      <c r="R22" s="308">
        <f t="shared" si="0"/>
        <v>100</v>
      </c>
      <c r="S22" s="374"/>
      <c r="T22" s="307"/>
      <c r="U22" s="304"/>
      <c r="V22" s="308"/>
      <c r="W22" s="374"/>
      <c r="X22" s="309">
        <v>1098</v>
      </c>
      <c r="Y22" s="309">
        <v>1098</v>
      </c>
      <c r="Z22" s="472">
        <f t="shared" si="1"/>
        <v>100</v>
      </c>
      <c r="AA22" s="723">
        <f t="shared" si="2"/>
        <v>73045</v>
      </c>
      <c r="AB22" s="394">
        <f t="shared" si="3"/>
        <v>108941</v>
      </c>
      <c r="AC22" s="334">
        <f t="shared" si="4"/>
        <v>103491</v>
      </c>
      <c r="AD22" s="356">
        <f t="shared" si="5"/>
        <v>94.99729211224425</v>
      </c>
      <c r="AE22" s="395"/>
      <c r="AF22" s="395"/>
      <c r="AG22" s="395"/>
      <c r="AH22" s="395"/>
    </row>
    <row r="23" spans="1:34" s="6" customFormat="1" ht="16.5" customHeight="1">
      <c r="A23" s="746" t="s">
        <v>250</v>
      </c>
      <c r="B23" s="603"/>
      <c r="C23" s="334">
        <f>'Výdaje '!C20</f>
        <v>104884</v>
      </c>
      <c r="D23" s="304">
        <f>'Výdaje '!D20</f>
        <v>130275</v>
      </c>
      <c r="E23" s="304">
        <f>'Výdaje '!E20</f>
        <v>110306</v>
      </c>
      <c r="F23" s="308">
        <f t="shared" si="6"/>
        <v>84.67165611207062</v>
      </c>
      <c r="G23" s="309">
        <v>2000</v>
      </c>
      <c r="H23" s="309">
        <v>1650</v>
      </c>
      <c r="I23" s="309">
        <v>1590</v>
      </c>
      <c r="J23" s="308">
        <f>I23/H23*100</f>
        <v>96.36363636363636</v>
      </c>
      <c r="K23" s="303"/>
      <c r="L23" s="304"/>
      <c r="M23" s="304"/>
      <c r="N23" s="308"/>
      <c r="O23" s="309">
        <v>14995</v>
      </c>
      <c r="P23" s="309">
        <v>15409</v>
      </c>
      <c r="Q23" s="309">
        <v>15404</v>
      </c>
      <c r="R23" s="308">
        <f t="shared" si="0"/>
        <v>99.9675514309819</v>
      </c>
      <c r="S23" s="374"/>
      <c r="T23" s="307"/>
      <c r="U23" s="304"/>
      <c r="V23" s="308"/>
      <c r="W23" s="374"/>
      <c r="X23" s="307">
        <v>804</v>
      </c>
      <c r="Y23" s="307">
        <v>804</v>
      </c>
      <c r="Z23" s="472">
        <f t="shared" si="1"/>
        <v>100</v>
      </c>
      <c r="AA23" s="723">
        <f t="shared" si="2"/>
        <v>87889</v>
      </c>
      <c r="AB23" s="394">
        <f t="shared" si="3"/>
        <v>112412</v>
      </c>
      <c r="AC23" s="334">
        <f t="shared" si="4"/>
        <v>92508</v>
      </c>
      <c r="AD23" s="356">
        <f t="shared" si="5"/>
        <v>82.29370529836673</v>
      </c>
      <c r="AE23" s="395"/>
      <c r="AF23" s="395"/>
      <c r="AG23" s="395"/>
      <c r="AH23" s="395"/>
    </row>
    <row r="24" spans="1:34" s="6" customFormat="1" ht="16.5" customHeight="1">
      <c r="A24" s="745" t="s">
        <v>251</v>
      </c>
      <c r="B24" s="603"/>
      <c r="C24" s="334">
        <f>'Výdaje '!C21</f>
        <v>7360</v>
      </c>
      <c r="D24" s="304">
        <f>'Výdaje '!D21</f>
        <v>8097</v>
      </c>
      <c r="E24" s="304">
        <f>'Výdaje '!E21</f>
        <v>6867</v>
      </c>
      <c r="F24" s="308">
        <f t="shared" si="6"/>
        <v>84.80918858836606</v>
      </c>
      <c r="G24" s="365"/>
      <c r="H24" s="366"/>
      <c r="I24" s="366"/>
      <c r="J24" s="308"/>
      <c r="K24" s="303"/>
      <c r="L24" s="304"/>
      <c r="M24" s="304"/>
      <c r="N24" s="308"/>
      <c r="O24" s="307"/>
      <c r="P24" s="307">
        <v>507</v>
      </c>
      <c r="Q24" s="307">
        <v>507</v>
      </c>
      <c r="R24" s="308">
        <f t="shared" si="0"/>
        <v>100</v>
      </c>
      <c r="S24" s="374"/>
      <c r="T24" s="307">
        <v>0</v>
      </c>
      <c r="U24" s="304"/>
      <c r="V24" s="308"/>
      <c r="W24" s="374"/>
      <c r="X24" s="307">
        <v>10</v>
      </c>
      <c r="Y24" s="307">
        <v>10</v>
      </c>
      <c r="Z24" s="472">
        <f t="shared" si="1"/>
        <v>100</v>
      </c>
      <c r="AA24" s="723">
        <f t="shared" si="2"/>
        <v>7360</v>
      </c>
      <c r="AB24" s="394">
        <f t="shared" si="3"/>
        <v>7580</v>
      </c>
      <c r="AC24" s="334">
        <f t="shared" si="4"/>
        <v>6350</v>
      </c>
      <c r="AD24" s="356">
        <f t="shared" si="5"/>
        <v>83.7730870712401</v>
      </c>
      <c r="AE24" s="395"/>
      <c r="AF24" s="395"/>
      <c r="AG24" s="395"/>
      <c r="AH24" s="395"/>
    </row>
    <row r="25" spans="1:34" s="6" customFormat="1" ht="16.5" customHeight="1">
      <c r="A25" s="746" t="s">
        <v>252</v>
      </c>
      <c r="B25" s="603"/>
      <c r="C25" s="334">
        <f>'Výdaje '!C22</f>
        <v>26670</v>
      </c>
      <c r="D25" s="304">
        <f>'Výdaje '!D22</f>
        <v>31564</v>
      </c>
      <c r="E25" s="304">
        <f>'Výdaje '!E22</f>
        <v>29117</v>
      </c>
      <c r="F25" s="308">
        <f t="shared" si="6"/>
        <v>92.24749714865035</v>
      </c>
      <c r="G25" s="365"/>
      <c r="H25" s="366"/>
      <c r="I25" s="366"/>
      <c r="J25" s="308"/>
      <c r="K25" s="303"/>
      <c r="L25" s="304"/>
      <c r="M25" s="304"/>
      <c r="N25" s="308"/>
      <c r="O25" s="309">
        <v>5448</v>
      </c>
      <c r="P25" s="309">
        <v>5671</v>
      </c>
      <c r="Q25" s="309">
        <v>5670</v>
      </c>
      <c r="R25" s="308">
        <f t="shared" si="0"/>
        <v>99.98236642567448</v>
      </c>
      <c r="S25" s="374"/>
      <c r="T25" s="307"/>
      <c r="U25" s="304"/>
      <c r="V25" s="308"/>
      <c r="W25" s="374"/>
      <c r="X25" s="307">
        <v>352</v>
      </c>
      <c r="Y25" s="307">
        <v>352</v>
      </c>
      <c r="Z25" s="472">
        <f>Y25/X25*100</f>
        <v>100</v>
      </c>
      <c r="AA25" s="723">
        <f t="shared" si="2"/>
        <v>21222</v>
      </c>
      <c r="AB25" s="394">
        <f t="shared" si="3"/>
        <v>25541</v>
      </c>
      <c r="AC25" s="334">
        <f t="shared" si="4"/>
        <v>23095</v>
      </c>
      <c r="AD25" s="356">
        <f t="shared" si="5"/>
        <v>90.42324106338828</v>
      </c>
      <c r="AE25" s="395"/>
      <c r="AF25" s="395"/>
      <c r="AG25" s="395"/>
      <c r="AH25" s="395"/>
    </row>
    <row r="26" spans="1:34" s="6" customFormat="1" ht="16.5" customHeight="1">
      <c r="A26" s="745" t="s">
        <v>253</v>
      </c>
      <c r="B26" s="603"/>
      <c r="C26" s="334">
        <f>'Výdaje '!C23</f>
        <v>14822</v>
      </c>
      <c r="D26" s="304">
        <f>'Výdaje '!D23</f>
        <v>17706</v>
      </c>
      <c r="E26" s="304">
        <f>'Výdaje '!E23</f>
        <v>16692</v>
      </c>
      <c r="F26" s="308">
        <f t="shared" si="6"/>
        <v>94.27312775330397</v>
      </c>
      <c r="G26" s="365"/>
      <c r="H26" s="366"/>
      <c r="I26" s="366"/>
      <c r="J26" s="308"/>
      <c r="K26" s="303"/>
      <c r="L26" s="304"/>
      <c r="M26" s="304"/>
      <c r="N26" s="308"/>
      <c r="O26" s="309">
        <v>3205</v>
      </c>
      <c r="P26" s="309">
        <v>3320</v>
      </c>
      <c r="Q26" s="309">
        <v>3320</v>
      </c>
      <c r="R26" s="308">
        <f t="shared" si="0"/>
        <v>100</v>
      </c>
      <c r="S26" s="374"/>
      <c r="T26" s="307"/>
      <c r="U26" s="304"/>
      <c r="V26" s="308"/>
      <c r="W26" s="374"/>
      <c r="X26" s="307">
        <v>102</v>
      </c>
      <c r="Y26" s="307">
        <v>102</v>
      </c>
      <c r="Z26" s="472">
        <f>Y26/X26*100</f>
        <v>100</v>
      </c>
      <c r="AA26" s="723">
        <f t="shared" si="2"/>
        <v>11617</v>
      </c>
      <c r="AB26" s="394">
        <f t="shared" si="3"/>
        <v>14284</v>
      </c>
      <c r="AC26" s="334">
        <f t="shared" si="4"/>
        <v>13270</v>
      </c>
      <c r="AD26" s="356">
        <f t="shared" si="5"/>
        <v>92.90114813777653</v>
      </c>
      <c r="AE26" s="395"/>
      <c r="AF26" s="395"/>
      <c r="AG26" s="395"/>
      <c r="AH26" s="395"/>
    </row>
    <row r="27" spans="1:34" s="6" customFormat="1" ht="16.5" customHeight="1">
      <c r="A27" s="745" t="s">
        <v>254</v>
      </c>
      <c r="B27" s="603"/>
      <c r="C27" s="334">
        <f>'Výdaje '!C24</f>
        <v>16930</v>
      </c>
      <c r="D27" s="304">
        <f>'Výdaje '!D24</f>
        <v>19942</v>
      </c>
      <c r="E27" s="304">
        <f>'Výdaje '!E24</f>
        <v>18536</v>
      </c>
      <c r="F27" s="308">
        <f t="shared" si="6"/>
        <v>92.94955370574667</v>
      </c>
      <c r="G27" s="365"/>
      <c r="H27" s="366"/>
      <c r="I27" s="366"/>
      <c r="J27" s="308"/>
      <c r="K27" s="303"/>
      <c r="L27" s="304">
        <v>50</v>
      </c>
      <c r="M27" s="304">
        <v>50</v>
      </c>
      <c r="N27" s="308">
        <f>M27/L27*100</f>
        <v>100</v>
      </c>
      <c r="O27" s="309">
        <v>2359</v>
      </c>
      <c r="P27" s="309">
        <v>3537</v>
      </c>
      <c r="Q27" s="309">
        <v>3037</v>
      </c>
      <c r="R27" s="308">
        <f t="shared" si="0"/>
        <v>85.86372632174158</v>
      </c>
      <c r="S27" s="374"/>
      <c r="T27" s="307">
        <v>0</v>
      </c>
      <c r="U27" s="304"/>
      <c r="V27" s="308"/>
      <c r="W27" s="374"/>
      <c r="X27" s="307">
        <v>252</v>
      </c>
      <c r="Y27" s="307">
        <v>252</v>
      </c>
      <c r="Z27" s="472">
        <f>Y27/X27*100</f>
        <v>100</v>
      </c>
      <c r="AA27" s="723">
        <f t="shared" si="2"/>
        <v>14571</v>
      </c>
      <c r="AB27" s="394">
        <f t="shared" si="3"/>
        <v>16103</v>
      </c>
      <c r="AC27" s="334">
        <f t="shared" si="4"/>
        <v>15197</v>
      </c>
      <c r="AD27" s="356">
        <f t="shared" si="5"/>
        <v>94.37371918276098</v>
      </c>
      <c r="AE27" s="395"/>
      <c r="AF27" s="395"/>
      <c r="AG27" s="395"/>
      <c r="AH27" s="395"/>
    </row>
    <row r="28" spans="1:34" s="6" customFormat="1" ht="16.5" customHeight="1">
      <c r="A28" s="746" t="s">
        <v>255</v>
      </c>
      <c r="B28" s="603"/>
      <c r="C28" s="334">
        <f>'Výdaje '!C25</f>
        <v>174589</v>
      </c>
      <c r="D28" s="304">
        <f>'Výdaje '!D25</f>
        <v>229189</v>
      </c>
      <c r="E28" s="304">
        <f>'Výdaje '!E25</f>
        <v>213797</v>
      </c>
      <c r="F28" s="308">
        <f t="shared" si="6"/>
        <v>93.28414539964832</v>
      </c>
      <c r="G28" s="307">
        <v>576</v>
      </c>
      <c r="H28" s="307">
        <v>576</v>
      </c>
      <c r="I28" s="307">
        <v>576</v>
      </c>
      <c r="J28" s="308">
        <f>I28/H28*100</f>
        <v>100</v>
      </c>
      <c r="K28" s="303"/>
      <c r="L28" s="304"/>
      <c r="M28" s="304"/>
      <c r="N28" s="308"/>
      <c r="O28" s="309">
        <v>41882</v>
      </c>
      <c r="P28" s="309">
        <v>49038</v>
      </c>
      <c r="Q28" s="309">
        <v>49016</v>
      </c>
      <c r="R28" s="308">
        <f t="shared" si="0"/>
        <v>99.95513683266039</v>
      </c>
      <c r="S28" s="374"/>
      <c r="T28" s="307">
        <v>0</v>
      </c>
      <c r="U28" s="304"/>
      <c r="V28" s="308"/>
      <c r="W28" s="374"/>
      <c r="X28" s="309">
        <v>370</v>
      </c>
      <c r="Y28" s="309">
        <v>370</v>
      </c>
      <c r="Z28" s="472">
        <f aca="true" t="shared" si="7" ref="Z28:Z37">Y28/X28*100</f>
        <v>100</v>
      </c>
      <c r="AA28" s="723">
        <f t="shared" si="2"/>
        <v>132131</v>
      </c>
      <c r="AB28" s="394">
        <f t="shared" si="3"/>
        <v>179205</v>
      </c>
      <c r="AC28" s="334">
        <f t="shared" si="4"/>
        <v>163835</v>
      </c>
      <c r="AD28" s="356">
        <f t="shared" si="5"/>
        <v>91.42323037861667</v>
      </c>
      <c r="AE28" s="395"/>
      <c r="AF28" s="395"/>
      <c r="AG28" s="395"/>
      <c r="AH28" s="395"/>
    </row>
    <row r="29" spans="1:34" s="6" customFormat="1" ht="16.5" customHeight="1">
      <c r="A29" s="745" t="s">
        <v>256</v>
      </c>
      <c r="B29" s="603"/>
      <c r="C29" s="334">
        <f>'Výdaje '!C26</f>
        <v>24381</v>
      </c>
      <c r="D29" s="304">
        <f>'Výdaje '!D26</f>
        <v>27082</v>
      </c>
      <c r="E29" s="304">
        <f>'Výdaje '!E26</f>
        <v>24052</v>
      </c>
      <c r="F29" s="308">
        <f t="shared" si="6"/>
        <v>88.81175688649287</v>
      </c>
      <c r="G29" s="365"/>
      <c r="H29" s="366"/>
      <c r="I29" s="366"/>
      <c r="J29" s="308"/>
      <c r="K29" s="303">
        <v>200</v>
      </c>
      <c r="L29" s="304">
        <v>200</v>
      </c>
      <c r="M29" s="304">
        <v>200</v>
      </c>
      <c r="N29" s="308">
        <f>M29/L29*100</f>
        <v>100</v>
      </c>
      <c r="O29" s="309">
        <v>3800</v>
      </c>
      <c r="P29" s="309">
        <v>4508</v>
      </c>
      <c r="Q29" s="309">
        <v>4506</v>
      </c>
      <c r="R29" s="308">
        <f t="shared" si="0"/>
        <v>99.95563442768412</v>
      </c>
      <c r="S29" s="374"/>
      <c r="T29" s="307"/>
      <c r="U29" s="304"/>
      <c r="V29" s="308"/>
      <c r="W29" s="374"/>
      <c r="X29" s="307">
        <v>448</v>
      </c>
      <c r="Y29" s="307">
        <v>448</v>
      </c>
      <c r="Z29" s="472">
        <f t="shared" si="7"/>
        <v>100</v>
      </c>
      <c r="AA29" s="723">
        <f t="shared" si="2"/>
        <v>20381</v>
      </c>
      <c r="AB29" s="394">
        <f t="shared" si="3"/>
        <v>21926</v>
      </c>
      <c r="AC29" s="334">
        <f t="shared" si="4"/>
        <v>18898</v>
      </c>
      <c r="AD29" s="356">
        <f t="shared" si="5"/>
        <v>86.18991152056918</v>
      </c>
      <c r="AE29" s="395"/>
      <c r="AF29" s="395"/>
      <c r="AG29" s="395"/>
      <c r="AH29" s="395"/>
    </row>
    <row r="30" spans="1:34" s="6" customFormat="1" ht="16.5" customHeight="1">
      <c r="A30" s="745" t="s">
        <v>257</v>
      </c>
      <c r="B30" s="603"/>
      <c r="C30" s="334">
        <f>'Výdaje '!C27</f>
        <v>107387</v>
      </c>
      <c r="D30" s="304">
        <f>'Výdaje '!D27</f>
        <v>119802</v>
      </c>
      <c r="E30" s="304">
        <f>'Výdaje '!E27</f>
        <v>110060</v>
      </c>
      <c r="F30" s="308">
        <f t="shared" si="6"/>
        <v>91.86824927797532</v>
      </c>
      <c r="G30" s="309">
        <v>2349</v>
      </c>
      <c r="H30" s="309">
        <v>1816</v>
      </c>
      <c r="I30" s="309">
        <v>1583</v>
      </c>
      <c r="J30" s="308">
        <f aca="true" t="shared" si="8" ref="J30:J35">I30/H30*100</f>
        <v>87.16960352422907</v>
      </c>
      <c r="K30" s="303"/>
      <c r="L30" s="304"/>
      <c r="M30" s="304"/>
      <c r="N30" s="308"/>
      <c r="O30" s="309">
        <v>20753</v>
      </c>
      <c r="P30" s="309">
        <v>21157</v>
      </c>
      <c r="Q30" s="309">
        <v>21102</v>
      </c>
      <c r="R30" s="308">
        <f t="shared" si="0"/>
        <v>99.74003875785792</v>
      </c>
      <c r="S30" s="374"/>
      <c r="T30" s="307"/>
      <c r="U30" s="304"/>
      <c r="V30" s="308"/>
      <c r="W30" s="374"/>
      <c r="X30" s="309">
        <v>2525</v>
      </c>
      <c r="Y30" s="309">
        <v>2525</v>
      </c>
      <c r="Z30" s="472">
        <f t="shared" si="7"/>
        <v>100</v>
      </c>
      <c r="AA30" s="723">
        <f t="shared" si="2"/>
        <v>84285</v>
      </c>
      <c r="AB30" s="394">
        <f t="shared" si="3"/>
        <v>94304</v>
      </c>
      <c r="AC30" s="334">
        <f t="shared" si="4"/>
        <v>84850</v>
      </c>
      <c r="AD30" s="356">
        <f t="shared" si="5"/>
        <v>89.97497455039023</v>
      </c>
      <c r="AE30" s="395"/>
      <c r="AF30" s="395"/>
      <c r="AG30" s="395"/>
      <c r="AH30" s="395"/>
    </row>
    <row r="31" spans="1:34" s="6" customFormat="1" ht="16.5" customHeight="1">
      <c r="A31" s="745" t="s">
        <v>258</v>
      </c>
      <c r="B31" s="603"/>
      <c r="C31" s="334">
        <f>'Výdaje '!C28</f>
        <v>33873</v>
      </c>
      <c r="D31" s="304">
        <f>'Výdaje '!D28</f>
        <v>46393</v>
      </c>
      <c r="E31" s="304">
        <f>'Výdaje '!E28</f>
        <v>41463</v>
      </c>
      <c r="F31" s="308">
        <f t="shared" si="6"/>
        <v>89.37339684866251</v>
      </c>
      <c r="G31" s="307">
        <v>569</v>
      </c>
      <c r="H31" s="307">
        <v>1543</v>
      </c>
      <c r="I31" s="307">
        <v>1453</v>
      </c>
      <c r="J31" s="308">
        <f t="shared" si="8"/>
        <v>94.16720674011665</v>
      </c>
      <c r="K31" s="303"/>
      <c r="L31" s="304"/>
      <c r="M31" s="304"/>
      <c r="N31" s="308"/>
      <c r="O31" s="309">
        <v>8719</v>
      </c>
      <c r="P31" s="309">
        <v>8607</v>
      </c>
      <c r="Q31" s="309">
        <f>8607</f>
        <v>8607</v>
      </c>
      <c r="R31" s="308">
        <f t="shared" si="0"/>
        <v>100</v>
      </c>
      <c r="S31" s="374"/>
      <c r="T31" s="307"/>
      <c r="U31" s="304"/>
      <c r="V31" s="308"/>
      <c r="W31" s="374"/>
      <c r="X31" s="307">
        <v>14</v>
      </c>
      <c r="Y31" s="307">
        <v>14</v>
      </c>
      <c r="Z31" s="472">
        <f t="shared" si="7"/>
        <v>100</v>
      </c>
      <c r="AA31" s="723">
        <f t="shared" si="2"/>
        <v>24585</v>
      </c>
      <c r="AB31" s="394">
        <f t="shared" si="3"/>
        <v>36229</v>
      </c>
      <c r="AC31" s="334">
        <f t="shared" si="4"/>
        <v>31389</v>
      </c>
      <c r="AD31" s="356">
        <f t="shared" si="5"/>
        <v>86.6405365867123</v>
      </c>
      <c r="AE31" s="395"/>
      <c r="AF31" s="395"/>
      <c r="AG31" s="395"/>
      <c r="AH31" s="395"/>
    </row>
    <row r="32" spans="1:34" s="6" customFormat="1" ht="16.5" customHeight="1">
      <c r="A32" s="746" t="s">
        <v>259</v>
      </c>
      <c r="B32" s="603"/>
      <c r="C32" s="334">
        <f>'Výdaje '!C29</f>
        <v>48537</v>
      </c>
      <c r="D32" s="304">
        <f>'Výdaje '!D29</f>
        <v>63335</v>
      </c>
      <c r="E32" s="304">
        <f>'Výdaje '!E29</f>
        <v>50866</v>
      </c>
      <c r="F32" s="308">
        <f t="shared" si="6"/>
        <v>80.31262335201706</v>
      </c>
      <c r="G32" s="307">
        <v>99</v>
      </c>
      <c r="H32" s="307">
        <v>99</v>
      </c>
      <c r="I32" s="307">
        <v>99</v>
      </c>
      <c r="J32" s="308">
        <f t="shared" si="8"/>
        <v>100</v>
      </c>
      <c r="K32" s="303"/>
      <c r="L32" s="304"/>
      <c r="M32" s="304"/>
      <c r="N32" s="308"/>
      <c r="O32" s="309">
        <v>7650</v>
      </c>
      <c r="P32" s="309">
        <v>10870</v>
      </c>
      <c r="Q32" s="309">
        <v>10808</v>
      </c>
      <c r="R32" s="308">
        <f t="shared" si="0"/>
        <v>99.4296228150874</v>
      </c>
      <c r="S32" s="374"/>
      <c r="T32" s="307"/>
      <c r="U32" s="304"/>
      <c r="V32" s="308"/>
      <c r="W32" s="374"/>
      <c r="X32" s="309">
        <v>1115</v>
      </c>
      <c r="Y32" s="309">
        <v>1115</v>
      </c>
      <c r="Z32" s="472">
        <f t="shared" si="7"/>
        <v>100</v>
      </c>
      <c r="AA32" s="723">
        <f t="shared" si="2"/>
        <v>40788</v>
      </c>
      <c r="AB32" s="394">
        <f t="shared" si="3"/>
        <v>51251</v>
      </c>
      <c r="AC32" s="334">
        <f t="shared" si="4"/>
        <v>38844</v>
      </c>
      <c r="AD32" s="356">
        <f t="shared" si="5"/>
        <v>75.79169186942694</v>
      </c>
      <c r="AE32" s="395"/>
      <c r="AF32" s="395"/>
      <c r="AG32" s="395"/>
      <c r="AH32" s="395"/>
    </row>
    <row r="33" spans="1:34" s="6" customFormat="1" ht="16.5" customHeight="1">
      <c r="A33" s="745" t="s">
        <v>260</v>
      </c>
      <c r="B33" s="603"/>
      <c r="C33" s="334">
        <f>'Výdaje '!C30</f>
        <v>43938</v>
      </c>
      <c r="D33" s="304">
        <f>'Výdaje '!D30</f>
        <v>53080</v>
      </c>
      <c r="E33" s="304">
        <f>'Výdaje '!E30</f>
        <v>49334</v>
      </c>
      <c r="F33" s="308">
        <f t="shared" si="6"/>
        <v>92.94272795779955</v>
      </c>
      <c r="G33" s="307">
        <v>2215</v>
      </c>
      <c r="H33" s="309">
        <v>3989</v>
      </c>
      <c r="I33" s="309">
        <v>3129</v>
      </c>
      <c r="J33" s="308">
        <f t="shared" si="8"/>
        <v>78.44071195788418</v>
      </c>
      <c r="K33" s="303"/>
      <c r="L33" s="304"/>
      <c r="M33" s="304"/>
      <c r="N33" s="308"/>
      <c r="O33" s="309">
        <v>8610</v>
      </c>
      <c r="P33" s="309">
        <v>8680</v>
      </c>
      <c r="Q33" s="309">
        <v>8680</v>
      </c>
      <c r="R33" s="308">
        <f t="shared" si="0"/>
        <v>100</v>
      </c>
      <c r="S33" s="374"/>
      <c r="T33" s="307"/>
      <c r="U33" s="304"/>
      <c r="V33" s="308"/>
      <c r="W33" s="374"/>
      <c r="X33" s="307">
        <v>465</v>
      </c>
      <c r="Y33" s="307">
        <v>465</v>
      </c>
      <c r="Z33" s="472">
        <f t="shared" si="7"/>
        <v>100</v>
      </c>
      <c r="AA33" s="723">
        <f t="shared" si="2"/>
        <v>33113</v>
      </c>
      <c r="AB33" s="394">
        <f t="shared" si="3"/>
        <v>39946</v>
      </c>
      <c r="AC33" s="334">
        <f t="shared" si="4"/>
        <v>37060</v>
      </c>
      <c r="AD33" s="356">
        <f t="shared" si="5"/>
        <v>92.7752465828869</v>
      </c>
      <c r="AE33" s="395"/>
      <c r="AF33" s="395"/>
      <c r="AG33" s="395"/>
      <c r="AH33" s="395"/>
    </row>
    <row r="34" spans="1:34" s="6" customFormat="1" ht="16.5" customHeight="1">
      <c r="A34" s="746" t="s">
        <v>261</v>
      </c>
      <c r="B34" s="603"/>
      <c r="C34" s="334">
        <f>'Výdaje '!C31</f>
        <v>100439</v>
      </c>
      <c r="D34" s="304">
        <f>'Výdaje '!D31</f>
        <v>113168</v>
      </c>
      <c r="E34" s="304">
        <f>'Výdaje '!E31</f>
        <v>107759</v>
      </c>
      <c r="F34" s="308">
        <f t="shared" si="6"/>
        <v>95.22038031952495</v>
      </c>
      <c r="G34" s="309">
        <v>2209</v>
      </c>
      <c r="H34" s="309">
        <v>2209</v>
      </c>
      <c r="I34" s="309">
        <v>2209</v>
      </c>
      <c r="J34" s="308">
        <f t="shared" si="8"/>
        <v>100</v>
      </c>
      <c r="K34" s="303"/>
      <c r="L34" s="304"/>
      <c r="M34" s="304"/>
      <c r="N34" s="308"/>
      <c r="O34" s="309">
        <v>40120</v>
      </c>
      <c r="P34" s="309">
        <v>41378</v>
      </c>
      <c r="Q34" s="309">
        <v>41073</v>
      </c>
      <c r="R34" s="308">
        <f t="shared" si="0"/>
        <v>99.26289332495529</v>
      </c>
      <c r="S34" s="374"/>
      <c r="T34" s="307"/>
      <c r="U34" s="304"/>
      <c r="V34" s="308"/>
      <c r="W34" s="374"/>
      <c r="X34" s="309">
        <v>788</v>
      </c>
      <c r="Y34" s="309">
        <v>788</v>
      </c>
      <c r="Z34" s="472">
        <f t="shared" si="7"/>
        <v>100</v>
      </c>
      <c r="AA34" s="723">
        <f t="shared" si="2"/>
        <v>58110</v>
      </c>
      <c r="AB34" s="394">
        <f t="shared" si="3"/>
        <v>68793</v>
      </c>
      <c r="AC34" s="334">
        <f t="shared" si="4"/>
        <v>63689</v>
      </c>
      <c r="AD34" s="356">
        <f t="shared" si="5"/>
        <v>92.58064047214106</v>
      </c>
      <c r="AE34" s="395"/>
      <c r="AF34" s="395"/>
      <c r="AG34" s="395"/>
      <c r="AH34" s="395"/>
    </row>
    <row r="35" spans="1:34" s="6" customFormat="1" ht="16.5" customHeight="1">
      <c r="A35" s="746" t="s">
        <v>262</v>
      </c>
      <c r="B35" s="603"/>
      <c r="C35" s="334">
        <f>'Výdaje '!C32</f>
        <v>42285</v>
      </c>
      <c r="D35" s="304">
        <f>'Výdaje '!D32</f>
        <v>47479</v>
      </c>
      <c r="E35" s="304">
        <f>'Výdaje '!E32</f>
        <v>44576</v>
      </c>
      <c r="F35" s="308">
        <f t="shared" si="6"/>
        <v>93.88571789633312</v>
      </c>
      <c r="G35" s="309">
        <v>5094</v>
      </c>
      <c r="H35" s="309">
        <v>5328</v>
      </c>
      <c r="I35" s="309">
        <v>5328</v>
      </c>
      <c r="J35" s="308">
        <f t="shared" si="8"/>
        <v>100</v>
      </c>
      <c r="K35" s="303"/>
      <c r="L35" s="304"/>
      <c r="M35" s="304"/>
      <c r="N35" s="308"/>
      <c r="O35" s="309">
        <v>14583</v>
      </c>
      <c r="P35" s="309">
        <v>14968</v>
      </c>
      <c r="Q35" s="309">
        <v>14968</v>
      </c>
      <c r="R35" s="308">
        <f t="shared" si="0"/>
        <v>100</v>
      </c>
      <c r="S35" s="374"/>
      <c r="T35" s="307"/>
      <c r="U35" s="304"/>
      <c r="V35" s="308"/>
      <c r="W35" s="374"/>
      <c r="X35" s="307">
        <v>124</v>
      </c>
      <c r="Y35" s="307">
        <v>124</v>
      </c>
      <c r="Z35" s="472">
        <f t="shared" si="7"/>
        <v>100</v>
      </c>
      <c r="AA35" s="723">
        <f t="shared" si="2"/>
        <v>22608</v>
      </c>
      <c r="AB35" s="394">
        <f t="shared" si="3"/>
        <v>27059</v>
      </c>
      <c r="AC35" s="334">
        <f t="shared" si="4"/>
        <v>24156</v>
      </c>
      <c r="AD35" s="356">
        <f t="shared" si="5"/>
        <v>89.27159170701061</v>
      </c>
      <c r="AE35" s="395"/>
      <c r="AF35" s="395"/>
      <c r="AG35" s="395"/>
      <c r="AH35" s="395"/>
    </row>
    <row r="36" spans="1:34" s="6" customFormat="1" ht="16.5" customHeight="1">
      <c r="A36" s="745" t="s">
        <v>263</v>
      </c>
      <c r="B36" s="603"/>
      <c r="C36" s="334">
        <f>'Výdaje '!C33</f>
        <v>25273</v>
      </c>
      <c r="D36" s="304">
        <f>'Výdaje '!D33</f>
        <v>31221</v>
      </c>
      <c r="E36" s="304">
        <f>'Výdaje '!E33</f>
        <v>27294</v>
      </c>
      <c r="F36" s="308">
        <f t="shared" si="6"/>
        <v>87.42192754876525</v>
      </c>
      <c r="G36" s="365"/>
      <c r="H36" s="366"/>
      <c r="I36" s="366"/>
      <c r="J36" s="308"/>
      <c r="K36" s="303"/>
      <c r="L36" s="304"/>
      <c r="M36" s="304"/>
      <c r="N36" s="308"/>
      <c r="O36" s="309">
        <v>4939</v>
      </c>
      <c r="P36" s="309">
        <v>5061</v>
      </c>
      <c r="Q36" s="309">
        <v>5060</v>
      </c>
      <c r="R36" s="308">
        <f t="shared" si="0"/>
        <v>99.98024105907923</v>
      </c>
      <c r="S36" s="374"/>
      <c r="T36" s="307"/>
      <c r="U36" s="304"/>
      <c r="V36" s="308"/>
      <c r="W36" s="374"/>
      <c r="X36" s="307">
        <v>316</v>
      </c>
      <c r="Y36" s="307">
        <v>316</v>
      </c>
      <c r="Z36" s="472">
        <f t="shared" si="7"/>
        <v>100</v>
      </c>
      <c r="AA36" s="723">
        <f t="shared" si="2"/>
        <v>20334</v>
      </c>
      <c r="AB36" s="394">
        <f t="shared" si="3"/>
        <v>25844</v>
      </c>
      <c r="AC36" s="334">
        <f>SUM(E36-I36-U36-Y36-M36-Q36)</f>
        <v>21918</v>
      </c>
      <c r="AD36" s="356">
        <f t="shared" si="5"/>
        <v>84.80885311871226</v>
      </c>
      <c r="AE36" s="395"/>
      <c r="AF36" s="395"/>
      <c r="AG36" s="395"/>
      <c r="AH36" s="395"/>
    </row>
    <row r="37" spans="1:34" s="6" customFormat="1" ht="16.5" customHeight="1">
      <c r="A37" s="745" t="s">
        <v>264</v>
      </c>
      <c r="B37" s="603"/>
      <c r="C37" s="334">
        <f>'Výdaje '!C34</f>
        <v>17065</v>
      </c>
      <c r="D37" s="304">
        <f>'Výdaje '!D34</f>
        <v>26442</v>
      </c>
      <c r="E37" s="304">
        <f>'Výdaje '!E34</f>
        <v>24490</v>
      </c>
      <c r="F37" s="308">
        <f t="shared" si="6"/>
        <v>92.61780500718554</v>
      </c>
      <c r="G37" s="365"/>
      <c r="H37" s="366"/>
      <c r="I37" s="366"/>
      <c r="J37" s="308"/>
      <c r="K37" s="303"/>
      <c r="L37" s="304">
        <v>55</v>
      </c>
      <c r="M37" s="304">
        <f>54+1</f>
        <v>55</v>
      </c>
      <c r="N37" s="308">
        <f>M37/L37*100</f>
        <v>100</v>
      </c>
      <c r="O37" s="309">
        <v>2803</v>
      </c>
      <c r="P37" s="309">
        <v>2846</v>
      </c>
      <c r="Q37" s="309">
        <v>2846</v>
      </c>
      <c r="R37" s="308">
        <f t="shared" si="0"/>
        <v>100</v>
      </c>
      <c r="S37" s="374"/>
      <c r="T37" s="307">
        <v>0</v>
      </c>
      <c r="U37" s="304"/>
      <c r="V37" s="308"/>
      <c r="W37" s="374"/>
      <c r="X37" s="307">
        <v>12</v>
      </c>
      <c r="Y37" s="307">
        <v>12</v>
      </c>
      <c r="Z37" s="472">
        <f t="shared" si="7"/>
        <v>100</v>
      </c>
      <c r="AA37" s="723">
        <f t="shared" si="2"/>
        <v>14262</v>
      </c>
      <c r="AB37" s="394">
        <f t="shared" si="3"/>
        <v>23529</v>
      </c>
      <c r="AC37" s="334">
        <f t="shared" si="4"/>
        <v>21577</v>
      </c>
      <c r="AD37" s="356">
        <f t="shared" si="5"/>
        <v>91.7038548174593</v>
      </c>
      <c r="AE37" s="395"/>
      <c r="AF37" s="395"/>
      <c r="AG37" s="395"/>
      <c r="AH37" s="395"/>
    </row>
    <row r="38" spans="1:34" s="6" customFormat="1" ht="16.5" customHeight="1">
      <c r="A38" s="745" t="s">
        <v>265</v>
      </c>
      <c r="B38" s="603"/>
      <c r="C38" s="334">
        <f>'Výdaje '!C35</f>
        <v>137451</v>
      </c>
      <c r="D38" s="304">
        <f>'Výdaje '!D35</f>
        <v>219137</v>
      </c>
      <c r="E38" s="304">
        <f>'Výdaje '!E35</f>
        <v>157241</v>
      </c>
      <c r="F38" s="308">
        <f t="shared" si="6"/>
        <v>71.75465576328963</v>
      </c>
      <c r="G38" s="307">
        <v>478</v>
      </c>
      <c r="H38" s="309">
        <v>871</v>
      </c>
      <c r="I38" s="307">
        <v>478</v>
      </c>
      <c r="J38" s="308">
        <f>I38/H38*100</f>
        <v>54.879448909299654</v>
      </c>
      <c r="K38" s="303"/>
      <c r="L38" s="304"/>
      <c r="M38" s="304"/>
      <c r="N38" s="308"/>
      <c r="O38" s="309">
        <v>22431</v>
      </c>
      <c r="P38" s="309">
        <v>25583</v>
      </c>
      <c r="Q38" s="309">
        <v>25156</v>
      </c>
      <c r="R38" s="308">
        <f t="shared" si="0"/>
        <v>98.330922878474</v>
      </c>
      <c r="S38" s="374"/>
      <c r="T38" s="307"/>
      <c r="U38" s="304"/>
      <c r="V38" s="308"/>
      <c r="W38" s="374"/>
      <c r="X38" s="309">
        <v>2888</v>
      </c>
      <c r="Y38" s="309">
        <v>2888</v>
      </c>
      <c r="Z38" s="472">
        <f aca="true" t="shared" si="9" ref="Z38:Z44">Y38/X38*100</f>
        <v>100</v>
      </c>
      <c r="AA38" s="723">
        <f t="shared" si="2"/>
        <v>114542</v>
      </c>
      <c r="AB38" s="394">
        <f t="shared" si="3"/>
        <v>189795</v>
      </c>
      <c r="AC38" s="334">
        <f t="shared" si="4"/>
        <v>128719</v>
      </c>
      <c r="AD38" s="356">
        <f t="shared" si="5"/>
        <v>67.82001633341237</v>
      </c>
      <c r="AE38" s="395"/>
      <c r="AF38" s="395"/>
      <c r="AG38" s="395"/>
      <c r="AH38" s="395"/>
    </row>
    <row r="39" spans="1:34" s="6" customFormat="1" ht="16.5" customHeight="1">
      <c r="A39" s="745" t="s">
        <v>266</v>
      </c>
      <c r="B39" s="603"/>
      <c r="C39" s="334">
        <f>'Výdaje '!C36</f>
        <v>17198</v>
      </c>
      <c r="D39" s="304">
        <f>'Výdaje '!D36</f>
        <v>21131</v>
      </c>
      <c r="E39" s="304">
        <f>'Výdaje '!E36</f>
        <v>18637</v>
      </c>
      <c r="F39" s="308">
        <f t="shared" si="6"/>
        <v>88.1974350480337</v>
      </c>
      <c r="G39" s="365"/>
      <c r="H39" s="366"/>
      <c r="I39" s="366"/>
      <c r="J39" s="308"/>
      <c r="K39" s="303">
        <v>13</v>
      </c>
      <c r="L39" s="304">
        <v>13</v>
      </c>
      <c r="M39" s="304">
        <v>13</v>
      </c>
      <c r="N39" s="308">
        <f>M39/L39*100</f>
        <v>100</v>
      </c>
      <c r="O39" s="309">
        <v>3915</v>
      </c>
      <c r="P39" s="309">
        <v>3915</v>
      </c>
      <c r="Q39" s="309">
        <v>3915</v>
      </c>
      <c r="R39" s="308">
        <f t="shared" si="0"/>
        <v>100</v>
      </c>
      <c r="S39" s="374"/>
      <c r="T39" s="307"/>
      <c r="U39" s="304"/>
      <c r="V39" s="308"/>
      <c r="W39" s="374"/>
      <c r="X39" s="307">
        <v>36</v>
      </c>
      <c r="Y39" s="307">
        <v>36</v>
      </c>
      <c r="Z39" s="472">
        <f t="shared" si="9"/>
        <v>100</v>
      </c>
      <c r="AA39" s="723">
        <f t="shared" si="2"/>
        <v>13270</v>
      </c>
      <c r="AB39" s="394">
        <f t="shared" si="3"/>
        <v>17167</v>
      </c>
      <c r="AC39" s="334">
        <f t="shared" si="4"/>
        <v>14673</v>
      </c>
      <c r="AD39" s="356">
        <f t="shared" si="5"/>
        <v>85.4721267548203</v>
      </c>
      <c r="AE39" s="395"/>
      <c r="AF39" s="395"/>
      <c r="AG39" s="395"/>
      <c r="AH39" s="395"/>
    </row>
    <row r="40" spans="1:34" s="6" customFormat="1" ht="16.5" customHeight="1">
      <c r="A40" s="745" t="s">
        <v>267</v>
      </c>
      <c r="B40" s="603"/>
      <c r="C40" s="334">
        <f>'Výdaje '!C37</f>
        <v>58940</v>
      </c>
      <c r="D40" s="304">
        <f>'Výdaje '!D37</f>
        <v>74670</v>
      </c>
      <c r="E40" s="304">
        <f>'Výdaje '!E37</f>
        <v>68977</v>
      </c>
      <c r="F40" s="308">
        <f t="shared" si="6"/>
        <v>92.37578679523236</v>
      </c>
      <c r="G40" s="365"/>
      <c r="H40" s="366"/>
      <c r="I40" s="366"/>
      <c r="J40" s="308"/>
      <c r="K40" s="303"/>
      <c r="L40" s="304"/>
      <c r="M40" s="304"/>
      <c r="N40" s="308"/>
      <c r="O40" s="309">
        <v>3383</v>
      </c>
      <c r="P40" s="309">
        <v>12014</v>
      </c>
      <c r="Q40" s="309">
        <v>12014</v>
      </c>
      <c r="R40" s="308">
        <f t="shared" si="0"/>
        <v>100</v>
      </c>
      <c r="S40" s="374"/>
      <c r="T40" s="307"/>
      <c r="U40" s="304"/>
      <c r="V40" s="308"/>
      <c r="W40" s="374"/>
      <c r="X40" s="309">
        <v>1335</v>
      </c>
      <c r="Y40" s="309">
        <v>1335</v>
      </c>
      <c r="Z40" s="472">
        <f t="shared" si="9"/>
        <v>100</v>
      </c>
      <c r="AA40" s="723">
        <f t="shared" si="2"/>
        <v>55557</v>
      </c>
      <c r="AB40" s="394">
        <f t="shared" si="3"/>
        <v>61321</v>
      </c>
      <c r="AC40" s="334">
        <f t="shared" si="4"/>
        <v>55628</v>
      </c>
      <c r="AD40" s="356">
        <f t="shared" si="5"/>
        <v>90.71606790495915</v>
      </c>
      <c r="AE40" s="395"/>
      <c r="AF40" s="395"/>
      <c r="AG40" s="395"/>
      <c r="AH40" s="395"/>
    </row>
    <row r="41" spans="1:34" s="6" customFormat="1" ht="16.5" customHeight="1">
      <c r="A41" s="745" t="s">
        <v>268</v>
      </c>
      <c r="B41" s="603"/>
      <c r="C41" s="334">
        <f>'Výdaje '!C38</f>
        <v>5146</v>
      </c>
      <c r="D41" s="304">
        <f>'Výdaje '!D38</f>
        <v>6151</v>
      </c>
      <c r="E41" s="304">
        <f>'Výdaje '!E38</f>
        <v>5173</v>
      </c>
      <c r="F41" s="308">
        <f t="shared" si="6"/>
        <v>84.10014631767191</v>
      </c>
      <c r="G41" s="365"/>
      <c r="H41" s="366"/>
      <c r="I41" s="366"/>
      <c r="J41" s="308"/>
      <c r="K41" s="303">
        <v>115</v>
      </c>
      <c r="L41" s="304">
        <v>115</v>
      </c>
      <c r="M41" s="304">
        <v>115</v>
      </c>
      <c r="N41" s="308">
        <f>M41/L41*100</f>
        <v>100</v>
      </c>
      <c r="O41" s="307">
        <v>360</v>
      </c>
      <c r="P41" s="307">
        <v>362</v>
      </c>
      <c r="Q41" s="307">
        <v>362</v>
      </c>
      <c r="R41" s="308">
        <f t="shared" si="0"/>
        <v>100</v>
      </c>
      <c r="S41" s="374"/>
      <c r="T41" s="307">
        <v>0</v>
      </c>
      <c r="U41" s="304"/>
      <c r="V41" s="308"/>
      <c r="W41" s="374"/>
      <c r="X41" s="307">
        <v>1</v>
      </c>
      <c r="Y41" s="307">
        <v>1</v>
      </c>
      <c r="Z41" s="472">
        <f t="shared" si="9"/>
        <v>100</v>
      </c>
      <c r="AA41" s="723">
        <f t="shared" si="2"/>
        <v>4671</v>
      </c>
      <c r="AB41" s="394">
        <f t="shared" si="3"/>
        <v>5673</v>
      </c>
      <c r="AC41" s="334">
        <f t="shared" si="4"/>
        <v>4695</v>
      </c>
      <c r="AD41" s="356">
        <f t="shared" si="5"/>
        <v>82.76044420941301</v>
      </c>
      <c r="AE41" s="395"/>
      <c r="AF41" s="395"/>
      <c r="AG41" s="395"/>
      <c r="AH41" s="395"/>
    </row>
    <row r="42" spans="1:34" s="6" customFormat="1" ht="15" customHeight="1">
      <c r="A42" s="745" t="s">
        <v>269</v>
      </c>
      <c r="B42" s="603"/>
      <c r="C42" s="334">
        <f>'Výdaje '!C39</f>
        <v>6094</v>
      </c>
      <c r="D42" s="304">
        <f>'Výdaje '!D39</f>
        <v>6604</v>
      </c>
      <c r="E42" s="304">
        <f>'Výdaje '!E39</f>
        <v>6115</v>
      </c>
      <c r="F42" s="308">
        <f t="shared" si="6"/>
        <v>92.595396729255</v>
      </c>
      <c r="G42" s="365"/>
      <c r="H42" s="366"/>
      <c r="I42" s="366"/>
      <c r="J42" s="308"/>
      <c r="K42" s="303"/>
      <c r="L42" s="304">
        <v>84</v>
      </c>
      <c r="M42" s="304">
        <v>84</v>
      </c>
      <c r="N42" s="308">
        <f>M42/L42*100</f>
        <v>100</v>
      </c>
      <c r="O42" s="309">
        <v>1700</v>
      </c>
      <c r="P42" s="309">
        <v>1884</v>
      </c>
      <c r="Q42" s="309">
        <f>1883+1</f>
        <v>1884</v>
      </c>
      <c r="R42" s="308">
        <f t="shared" si="0"/>
        <v>100</v>
      </c>
      <c r="S42" s="374"/>
      <c r="T42" s="307">
        <v>0</v>
      </c>
      <c r="U42" s="304"/>
      <c r="V42" s="308"/>
      <c r="W42" s="374"/>
      <c r="X42" s="307">
        <v>5</v>
      </c>
      <c r="Y42" s="307">
        <v>5</v>
      </c>
      <c r="Z42" s="472">
        <f t="shared" si="9"/>
        <v>100</v>
      </c>
      <c r="AA42" s="723">
        <f t="shared" si="2"/>
        <v>4394</v>
      </c>
      <c r="AB42" s="394">
        <f t="shared" si="3"/>
        <v>4631</v>
      </c>
      <c r="AC42" s="334">
        <f t="shared" si="4"/>
        <v>4142</v>
      </c>
      <c r="AD42" s="356">
        <f t="shared" si="5"/>
        <v>89.4407255452386</v>
      </c>
      <c r="AE42" s="395"/>
      <c r="AF42" s="395"/>
      <c r="AG42" s="395"/>
      <c r="AH42" s="395"/>
    </row>
    <row r="43" spans="1:34" s="6" customFormat="1" ht="15" customHeight="1">
      <c r="A43" s="746" t="s">
        <v>270</v>
      </c>
      <c r="B43" s="603"/>
      <c r="C43" s="334">
        <f>'Výdaje '!C40</f>
        <v>3156</v>
      </c>
      <c r="D43" s="304">
        <f>'Výdaje '!D40</f>
        <v>3633</v>
      </c>
      <c r="E43" s="304">
        <f>'Výdaje '!E40</f>
        <v>3047</v>
      </c>
      <c r="F43" s="308">
        <f t="shared" si="6"/>
        <v>83.87007982383705</v>
      </c>
      <c r="G43" s="365"/>
      <c r="H43" s="366"/>
      <c r="I43" s="366"/>
      <c r="J43" s="308"/>
      <c r="K43" s="303">
        <v>64</v>
      </c>
      <c r="L43" s="304">
        <v>64</v>
      </c>
      <c r="M43" s="366">
        <v>64</v>
      </c>
      <c r="N43" s="308">
        <f>M43/L43*100</f>
        <v>100</v>
      </c>
      <c r="O43" s="307">
        <v>207</v>
      </c>
      <c r="P43" s="307">
        <v>162</v>
      </c>
      <c r="Q43" s="307">
        <v>7</v>
      </c>
      <c r="R43" s="308">
        <f t="shared" si="0"/>
        <v>4.320987654320987</v>
      </c>
      <c r="S43" s="374"/>
      <c r="T43" s="307">
        <v>0</v>
      </c>
      <c r="U43" s="304"/>
      <c r="V43" s="308"/>
      <c r="W43" s="374"/>
      <c r="X43" s="307">
        <v>5</v>
      </c>
      <c r="Y43" s="307">
        <v>5</v>
      </c>
      <c r="Z43" s="472">
        <f t="shared" si="9"/>
        <v>100</v>
      </c>
      <c r="AA43" s="723">
        <f t="shared" si="2"/>
        <v>2885</v>
      </c>
      <c r="AB43" s="394">
        <f t="shared" si="3"/>
        <v>3402</v>
      </c>
      <c r="AC43" s="334">
        <f t="shared" si="4"/>
        <v>2971</v>
      </c>
      <c r="AD43" s="356">
        <f t="shared" si="5"/>
        <v>87.33098177542622</v>
      </c>
      <c r="AE43" s="395"/>
      <c r="AF43" s="395"/>
      <c r="AG43" s="395"/>
      <c r="AH43" s="395"/>
    </row>
    <row r="44" spans="1:34" s="6" customFormat="1" ht="15" customHeight="1">
      <c r="A44" s="745" t="s">
        <v>271</v>
      </c>
      <c r="B44" s="751"/>
      <c r="C44" s="334">
        <f>'Výdaje '!C41</f>
        <v>2548</v>
      </c>
      <c r="D44" s="304">
        <f>'Výdaje '!D41</f>
        <v>3069</v>
      </c>
      <c r="E44" s="304">
        <f>'Výdaje '!E41</f>
        <v>2229</v>
      </c>
      <c r="F44" s="308">
        <f t="shared" si="6"/>
        <v>72.62952101661779</v>
      </c>
      <c r="G44" s="365"/>
      <c r="H44" s="366"/>
      <c r="I44" s="366"/>
      <c r="J44" s="308"/>
      <c r="K44" s="381">
        <v>15</v>
      </c>
      <c r="L44" s="304">
        <f>57+15</f>
        <v>72</v>
      </c>
      <c r="M44" s="378">
        <f>57+15</f>
        <v>72</v>
      </c>
      <c r="N44" s="308">
        <f>M44/L44*100</f>
        <v>100</v>
      </c>
      <c r="O44" s="377"/>
      <c r="P44" s="304"/>
      <c r="Q44" s="378"/>
      <c r="R44" s="308"/>
      <c r="S44" s="374"/>
      <c r="T44" s="307">
        <v>0</v>
      </c>
      <c r="U44" s="378"/>
      <c r="V44" s="308"/>
      <c r="W44" s="374"/>
      <c r="X44" s="307">
        <v>1</v>
      </c>
      <c r="Y44" s="307">
        <v>1</v>
      </c>
      <c r="Z44" s="472">
        <f t="shared" si="9"/>
        <v>100</v>
      </c>
      <c r="AA44" s="723">
        <f t="shared" si="2"/>
        <v>2533</v>
      </c>
      <c r="AB44" s="394">
        <f t="shared" si="3"/>
        <v>2996</v>
      </c>
      <c r="AC44" s="334">
        <f t="shared" si="4"/>
        <v>2156</v>
      </c>
      <c r="AD44" s="356">
        <f t="shared" si="5"/>
        <v>71.96261682242991</v>
      </c>
      <c r="AE44" s="395"/>
      <c r="AF44" s="395"/>
      <c r="AG44" s="395"/>
      <c r="AH44" s="395"/>
    </row>
    <row r="45" spans="1:34" s="6" customFormat="1" ht="16.5" customHeight="1" thickBot="1">
      <c r="A45" s="245"/>
      <c r="B45" s="652"/>
      <c r="C45" s="605"/>
      <c r="D45" s="353"/>
      <c r="E45" s="353"/>
      <c r="F45" s="383"/>
      <c r="G45" s="367"/>
      <c r="H45" s="368"/>
      <c r="I45" s="368"/>
      <c r="J45" s="388"/>
      <c r="K45" s="352"/>
      <c r="L45" s="353"/>
      <c r="M45" s="353"/>
      <c r="N45" s="383"/>
      <c r="O45" s="352"/>
      <c r="P45" s="353"/>
      <c r="Q45" s="353"/>
      <c r="R45" s="379"/>
      <c r="S45" s="352"/>
      <c r="T45" s="363"/>
      <c r="U45" s="353"/>
      <c r="V45" s="354"/>
      <c r="W45" s="352"/>
      <c r="X45" s="363"/>
      <c r="Y45" s="353"/>
      <c r="Z45" s="718"/>
      <c r="AA45" s="664"/>
      <c r="AB45" s="724"/>
      <c r="AC45" s="665"/>
      <c r="AD45" s="725"/>
      <c r="AE45" s="397"/>
      <c r="AF45" s="397"/>
      <c r="AG45" s="397"/>
      <c r="AH45" s="397"/>
    </row>
    <row r="46" spans="3:34" s="6" customFormat="1" ht="16.5" customHeight="1">
      <c r="C46" s="313"/>
      <c r="J46" s="389"/>
      <c r="K46" s="384"/>
      <c r="L46" s="384"/>
      <c r="M46" s="384"/>
      <c r="V46" s="8"/>
      <c r="Z46" s="8"/>
      <c r="AD46" s="8"/>
      <c r="AE46" s="8"/>
      <c r="AF46" s="8"/>
      <c r="AG46" s="8"/>
      <c r="AH46" s="8"/>
    </row>
    <row r="47" spans="10:34" s="6" customFormat="1" ht="16.5" customHeight="1" thickBot="1">
      <c r="J47" s="389"/>
      <c r="K47" s="384"/>
      <c r="L47" s="384"/>
      <c r="M47" s="384"/>
      <c r="V47" s="8"/>
      <c r="Z47" s="8"/>
      <c r="AD47" s="8"/>
      <c r="AE47" s="8"/>
      <c r="AF47" s="8"/>
      <c r="AG47" s="8"/>
      <c r="AH47" s="8"/>
    </row>
    <row r="48" spans="1:34" s="6" customFormat="1" ht="18" customHeight="1" thickBot="1">
      <c r="A48" s="37" t="s">
        <v>6</v>
      </c>
      <c r="C48" s="314">
        <f>SUM(C16:C44)</f>
        <v>1626988</v>
      </c>
      <c r="D48" s="315">
        <f>SUM(D16:D44)</f>
        <v>2044785</v>
      </c>
      <c r="E48" s="315">
        <f>SUM(E16:E44)</f>
        <v>1844436</v>
      </c>
      <c r="F48" s="316">
        <f>E48/D48*100</f>
        <v>90.20195277254088</v>
      </c>
      <c r="G48" s="369">
        <f>SUM(G16:G44)</f>
        <v>22947</v>
      </c>
      <c r="H48" s="315">
        <f>SUM(H16:H44)</f>
        <v>26554</v>
      </c>
      <c r="I48" s="315">
        <f>SUM(I16:I44)</f>
        <v>24479</v>
      </c>
      <c r="J48" s="316">
        <f>I48/H48*100</f>
        <v>92.185734729231</v>
      </c>
      <c r="K48" s="375">
        <f>SUM(K16:K44)</f>
        <v>407</v>
      </c>
      <c r="L48" s="315">
        <f>SUM(L16:L44)</f>
        <v>682</v>
      </c>
      <c r="M48" s="315">
        <f>SUM(M16:M44)</f>
        <v>681</v>
      </c>
      <c r="N48" s="316">
        <f>M48/L48*100</f>
        <v>99.8533724340176</v>
      </c>
      <c r="O48" s="369">
        <f>SUM(O16:O44)</f>
        <v>353484</v>
      </c>
      <c r="P48" s="380">
        <f>SUM(P16:P44)</f>
        <v>387569</v>
      </c>
      <c r="Q48" s="380">
        <f>SUM(Q16:Q44)</f>
        <v>386025</v>
      </c>
      <c r="R48" s="316">
        <f>Q48/P48*100</f>
        <v>99.60161932455898</v>
      </c>
      <c r="S48" s="375"/>
      <c r="T48" s="315">
        <f>SUM(T16:T47)</f>
        <v>0</v>
      </c>
      <c r="U48" s="315">
        <f>SUM(U16:U44)</f>
        <v>0</v>
      </c>
      <c r="V48" s="316"/>
      <c r="W48" s="375"/>
      <c r="X48" s="315">
        <f>SUM(X16:X47)</f>
        <v>16350</v>
      </c>
      <c r="Y48" s="315">
        <f>SUM(Y16:Y44)</f>
        <v>16350</v>
      </c>
      <c r="Z48" s="316">
        <f>Y48/X48*100</f>
        <v>100</v>
      </c>
      <c r="AA48" s="369">
        <f>SUM(AA16:AA44)</f>
        <v>1250150</v>
      </c>
      <c r="AB48" s="315">
        <f>SUM(AB16:AB44)</f>
        <v>1613630</v>
      </c>
      <c r="AC48" s="315">
        <f>SUM(AC16:AC44)</f>
        <v>1416901</v>
      </c>
      <c r="AD48" s="316">
        <f>AC48/AB48*100</f>
        <v>87.80829558201074</v>
      </c>
      <c r="AE48" s="395"/>
      <c r="AF48" s="395"/>
      <c r="AG48" s="395"/>
      <c r="AH48" s="395"/>
    </row>
    <row r="49" spans="9:25" s="6" customFormat="1" ht="16.5" customHeight="1">
      <c r="I49" s="79"/>
      <c r="Q49" s="79"/>
      <c r="U49" s="79"/>
      <c r="Y49" s="79"/>
    </row>
    <row r="50" s="343" customFormat="1" ht="12.75">
      <c r="E50" s="398"/>
    </row>
    <row r="51" spans="3:5" s="6" customFormat="1" ht="15.75">
      <c r="C51" s="39"/>
      <c r="D51" s="39"/>
      <c r="E51" s="39"/>
    </row>
    <row r="52" spans="3:26" s="259" customFormat="1" ht="15.75">
      <c r="C52" s="322">
        <v>1626988</v>
      </c>
      <c r="D52" s="322">
        <v>2044785</v>
      </c>
      <c r="E52" s="322">
        <v>1844436</v>
      </c>
      <c r="F52" s="322"/>
      <c r="G52" s="322">
        <v>22947</v>
      </c>
      <c r="H52" s="322">
        <v>26554</v>
      </c>
      <c r="I52" s="322">
        <v>24479</v>
      </c>
      <c r="J52" s="322"/>
      <c r="K52" s="322">
        <f>392+15</f>
        <v>407</v>
      </c>
      <c r="L52" s="322">
        <f>533+149</f>
        <v>682</v>
      </c>
      <c r="M52" s="322">
        <f>533+148</f>
        <v>681</v>
      </c>
      <c r="N52" s="322"/>
      <c r="O52" s="322">
        <v>353484</v>
      </c>
      <c r="P52" s="322">
        <v>387569</v>
      </c>
      <c r="Q52" s="322">
        <v>386025</v>
      </c>
      <c r="R52" s="322"/>
      <c r="S52" s="322"/>
      <c r="T52" s="322"/>
      <c r="U52" s="322"/>
      <c r="V52" s="322"/>
      <c r="W52" s="322"/>
      <c r="X52" s="322">
        <v>16350</v>
      </c>
      <c r="Y52" s="322">
        <v>16350</v>
      </c>
      <c r="Z52" s="322"/>
    </row>
    <row r="53" ht="15.75">
      <c r="Q53" s="259">
        <f>365562+20463</f>
        <v>386025</v>
      </c>
    </row>
    <row r="55" ht="15.75">
      <c r="L55" s="262"/>
    </row>
    <row r="64" ht="15.75" customHeight="1"/>
    <row r="65" ht="15.7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2" customHeight="1"/>
    <row r="99" ht="12" customHeight="1"/>
    <row r="100" ht="15.75" customHeight="1"/>
  </sheetData>
  <mergeCells count="8">
    <mergeCell ref="A2:AD2"/>
    <mergeCell ref="S13:V13"/>
    <mergeCell ref="G13:J13"/>
    <mergeCell ref="K13:N13"/>
    <mergeCell ref="O13:R13"/>
    <mergeCell ref="W13:Z13"/>
    <mergeCell ref="AA13:AD13"/>
    <mergeCell ref="A8:B8"/>
  </mergeCells>
  <printOptions horizontalCentered="1" verticalCentered="1"/>
  <pageMargins left="0.5" right="0.3937007874015748" top="0.7480314960629921" bottom="0.7480314960629921" header="0.5118110236220472" footer="0.5118110236220472"/>
  <pageSetup fitToHeight="1" fitToWidth="1" horizontalDpi="180" verticalDpi="180" orientation="landscape" paperSize="9" scale="53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AO52"/>
  <sheetViews>
    <sheetView showZeros="0" view="pageBreakPreview" zoomScale="60" workbookViewId="0" topLeftCell="A1">
      <pane xSplit="2" ySplit="12" topLeftCell="C13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O28" sqref="O28"/>
    </sheetView>
  </sheetViews>
  <sheetFormatPr defaultColWidth="9.796875" defaultRowHeight="15"/>
  <cols>
    <col min="1" max="1" width="9.796875" style="6" customWidth="1"/>
    <col min="2" max="2" width="15.796875" style="6" customWidth="1"/>
    <col min="3" max="5" width="10.796875" style="6" customWidth="1"/>
    <col min="6" max="6" width="8" style="6" customWidth="1"/>
    <col min="7" max="9" width="10.796875" style="6" customWidth="1"/>
    <col min="10" max="10" width="10.796875" style="6" hidden="1" customWidth="1"/>
    <col min="11" max="11" width="8" style="6" customWidth="1"/>
    <col min="12" max="14" width="10.8984375" style="6" customWidth="1"/>
    <col min="15" max="15" width="8" style="6" customWidth="1"/>
    <col min="16" max="18" width="10.796875" style="6" customWidth="1"/>
    <col min="19" max="19" width="8.09765625" style="6" customWidth="1"/>
    <col min="20" max="20" width="5.3984375" style="6" customWidth="1"/>
    <col min="21" max="21" width="11.19921875" style="6" customWidth="1"/>
    <col min="22" max="22" width="7.796875" style="39" customWidth="1"/>
    <col min="23" max="27" width="7.796875" style="6" customWidth="1"/>
    <col min="28" max="16384" width="9.796875" style="6" customWidth="1"/>
  </cols>
  <sheetData>
    <row r="1" ht="17.25" customHeight="1">
      <c r="A1" s="5"/>
    </row>
    <row r="2" spans="1:27" ht="24" customHeight="1">
      <c r="A2" s="752" t="s">
        <v>235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10"/>
      <c r="U2" s="10"/>
      <c r="V2" s="586"/>
      <c r="W2" s="10"/>
      <c r="X2" s="10"/>
      <c r="Y2" s="10"/>
      <c r="Z2" s="10"/>
      <c r="AA2" s="10"/>
    </row>
    <row r="3" ht="15" customHeight="1">
      <c r="G3" s="8"/>
    </row>
    <row r="4" spans="1:27" ht="21" customHeight="1">
      <c r="A4" s="761" t="s">
        <v>130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10"/>
      <c r="U4" s="10"/>
      <c r="V4" s="586"/>
      <c r="W4" s="10"/>
      <c r="X4" s="10"/>
      <c r="Y4" s="10"/>
      <c r="Z4" s="10"/>
      <c r="AA4" s="10"/>
    </row>
    <row r="5" spans="1:25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S5" s="14" t="s">
        <v>131</v>
      </c>
      <c r="U5" s="11"/>
      <c r="V5" s="110"/>
      <c r="W5" s="11"/>
      <c r="X5" s="11"/>
      <c r="Y5" s="11"/>
    </row>
    <row r="6" spans="1:41" ht="22.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S6" s="14" t="s">
        <v>3</v>
      </c>
      <c r="U6" s="11"/>
      <c r="V6" s="110"/>
      <c r="W6" s="11"/>
      <c r="X6" s="11"/>
      <c r="Y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23" ht="18" customHeight="1" thickBot="1">
      <c r="A7" s="16"/>
      <c r="B7" s="64"/>
      <c r="C7" s="22" t="s">
        <v>132</v>
      </c>
      <c r="D7" s="22"/>
      <c r="E7" s="19"/>
      <c r="F7" s="19"/>
      <c r="G7" s="63" t="s">
        <v>220</v>
      </c>
      <c r="H7" s="49"/>
      <c r="I7" s="17"/>
      <c r="J7" s="17"/>
      <c r="K7" s="17"/>
      <c r="L7" s="17"/>
      <c r="M7" s="17"/>
      <c r="N7" s="17"/>
      <c r="O7" s="17"/>
      <c r="P7" s="17"/>
      <c r="Q7" s="17"/>
      <c r="R7" s="17"/>
      <c r="S7" s="64"/>
      <c r="T7" s="74"/>
      <c r="U7" s="24"/>
      <c r="V7" s="61"/>
      <c r="W7" s="24"/>
    </row>
    <row r="8" spans="1:23" ht="18" customHeight="1">
      <c r="A8" s="74"/>
      <c r="B8" s="120"/>
      <c r="C8" s="196"/>
      <c r="D8" s="197"/>
      <c r="E8" s="117"/>
      <c r="F8" s="198"/>
      <c r="G8" s="759" t="s">
        <v>206</v>
      </c>
      <c r="H8" s="758"/>
      <c r="I8" s="758"/>
      <c r="J8" s="758"/>
      <c r="K8" s="760"/>
      <c r="L8" s="759" t="s">
        <v>283</v>
      </c>
      <c r="M8" s="758"/>
      <c r="N8" s="758"/>
      <c r="O8" s="760"/>
      <c r="P8" s="787" t="s">
        <v>223</v>
      </c>
      <c r="Q8" s="788"/>
      <c r="R8" s="788"/>
      <c r="S8" s="789"/>
      <c r="T8" s="24"/>
      <c r="U8" s="24"/>
      <c r="V8" s="61"/>
      <c r="W8" s="24"/>
    </row>
    <row r="9" spans="1:23" ht="18" customHeight="1">
      <c r="A9" s="756" t="s">
        <v>285</v>
      </c>
      <c r="B9" s="757"/>
      <c r="C9" s="786" t="s">
        <v>52</v>
      </c>
      <c r="D9" s="786"/>
      <c r="E9" s="786"/>
      <c r="F9" s="786"/>
      <c r="G9" s="820" t="s">
        <v>221</v>
      </c>
      <c r="H9" s="812"/>
      <c r="I9" s="812"/>
      <c r="J9" s="812"/>
      <c r="K9" s="813"/>
      <c r="L9" s="820" t="s">
        <v>222</v>
      </c>
      <c r="M9" s="812"/>
      <c r="N9" s="812"/>
      <c r="O9" s="813"/>
      <c r="P9" s="196"/>
      <c r="Q9" s="117"/>
      <c r="R9" s="117"/>
      <c r="S9" s="198"/>
      <c r="T9" s="24"/>
      <c r="U9" s="24"/>
      <c r="V9" s="61"/>
      <c r="W9" s="24"/>
    </row>
    <row r="10" spans="1:19" ht="18" customHeight="1">
      <c r="A10" s="74"/>
      <c r="B10" s="141"/>
      <c r="C10" s="199" t="s">
        <v>0</v>
      </c>
      <c r="D10" s="200" t="s">
        <v>4</v>
      </c>
      <c r="E10" s="200" t="s">
        <v>5</v>
      </c>
      <c r="F10" s="201" t="s">
        <v>2</v>
      </c>
      <c r="G10" s="199" t="s">
        <v>0</v>
      </c>
      <c r="H10" s="200" t="s">
        <v>4</v>
      </c>
      <c r="I10" s="200" t="s">
        <v>5</v>
      </c>
      <c r="J10" s="216"/>
      <c r="K10" s="201" t="s">
        <v>2</v>
      </c>
      <c r="L10" s="199" t="s">
        <v>0</v>
      </c>
      <c r="M10" s="200" t="s">
        <v>4</v>
      </c>
      <c r="N10" s="200" t="s">
        <v>5</v>
      </c>
      <c r="O10" s="201" t="s">
        <v>2</v>
      </c>
      <c r="P10" s="199" t="s">
        <v>0</v>
      </c>
      <c r="Q10" s="200" t="s">
        <v>4</v>
      </c>
      <c r="R10" s="200" t="s">
        <v>5</v>
      </c>
      <c r="S10" s="201" t="s">
        <v>2</v>
      </c>
    </row>
    <row r="11" spans="1:19" ht="15" customHeight="1" thickBot="1">
      <c r="A11" s="29"/>
      <c r="B11" s="144"/>
      <c r="C11" s="31" t="s">
        <v>1</v>
      </c>
      <c r="D11" s="32" t="s">
        <v>1</v>
      </c>
      <c r="E11" s="33" t="s">
        <v>237</v>
      </c>
      <c r="F11" s="34" t="s">
        <v>19</v>
      </c>
      <c r="G11" s="31" t="s">
        <v>1</v>
      </c>
      <c r="H11" s="32" t="s">
        <v>1</v>
      </c>
      <c r="I11" s="33" t="s">
        <v>237</v>
      </c>
      <c r="J11" s="251"/>
      <c r="K11" s="34" t="s">
        <v>19</v>
      </c>
      <c r="L11" s="31" t="s">
        <v>1</v>
      </c>
      <c r="M11" s="32" t="s">
        <v>1</v>
      </c>
      <c r="N11" s="33" t="s">
        <v>237</v>
      </c>
      <c r="O11" s="34" t="s">
        <v>19</v>
      </c>
      <c r="P11" s="31" t="s">
        <v>1</v>
      </c>
      <c r="Q11" s="32" t="s">
        <v>1</v>
      </c>
      <c r="R11" s="33" t="s">
        <v>237</v>
      </c>
      <c r="S11" s="34" t="s">
        <v>19</v>
      </c>
    </row>
    <row r="12" spans="1:19" ht="17.25" customHeight="1">
      <c r="A12" s="24"/>
      <c r="B12" s="75"/>
      <c r="C12" s="128"/>
      <c r="D12" s="128"/>
      <c r="E12" s="128"/>
      <c r="F12" s="24"/>
      <c r="G12" s="826" t="s">
        <v>242</v>
      </c>
      <c r="H12" s="826"/>
      <c r="I12" s="826"/>
      <c r="J12" s="826"/>
      <c r="K12" s="826"/>
      <c r="L12" s="203"/>
      <c r="M12" s="203"/>
      <c r="N12" s="203"/>
      <c r="O12" s="203"/>
      <c r="P12" s="826"/>
      <c r="Q12" s="826"/>
      <c r="R12" s="826"/>
      <c r="S12" s="826"/>
    </row>
    <row r="13" spans="1:19" ht="15" customHeight="1" thickBot="1">
      <c r="A13" s="24"/>
      <c r="B13" s="75"/>
      <c r="C13" s="128"/>
      <c r="D13" s="128"/>
      <c r="E13" s="128"/>
      <c r="F13" s="24"/>
      <c r="G13" s="128"/>
      <c r="H13" s="3"/>
      <c r="I13" s="128"/>
      <c r="J13" s="128"/>
      <c r="K13" s="24"/>
      <c r="L13" s="24"/>
      <c r="M13" s="24"/>
      <c r="N13" s="24"/>
      <c r="O13" s="24"/>
      <c r="P13" s="24"/>
      <c r="Q13" s="24"/>
      <c r="R13" s="24"/>
      <c r="S13" s="24"/>
    </row>
    <row r="14" spans="1:19" ht="16.5" customHeight="1">
      <c r="A14" s="357"/>
      <c r="B14" s="484"/>
      <c r="C14" s="305"/>
      <c r="D14" s="349"/>
      <c r="E14" s="349"/>
      <c r="F14" s="481"/>
      <c r="G14" s="348"/>
      <c r="H14" s="349"/>
      <c r="I14" s="349"/>
      <c r="J14" s="562"/>
      <c r="K14" s="341"/>
      <c r="L14" s="588"/>
      <c r="M14" s="589"/>
      <c r="N14" s="589"/>
      <c r="O14" s="590"/>
      <c r="P14" s="348"/>
      <c r="Q14" s="349"/>
      <c r="R14" s="349"/>
      <c r="S14" s="341"/>
    </row>
    <row r="15" spans="1:22" ht="16.5" customHeight="1">
      <c r="A15" s="748" t="s">
        <v>243</v>
      </c>
      <c r="B15" s="329"/>
      <c r="C15" s="303">
        <f>'Výdaje '!H13</f>
        <v>90747</v>
      </c>
      <c r="D15" s="304">
        <f>'Výdaje '!I13</f>
        <v>105516</v>
      </c>
      <c r="E15" s="304">
        <f>'Výdaje '!J13</f>
        <v>41866</v>
      </c>
      <c r="F15" s="308">
        <f aca="true" t="shared" si="0" ref="F15:F43">E15/D15*100</f>
        <v>39.67739489745631</v>
      </c>
      <c r="G15" s="303"/>
      <c r="H15" s="304">
        <v>11614</v>
      </c>
      <c r="I15" s="304">
        <v>3726</v>
      </c>
      <c r="J15" s="551">
        <f>H15-I15</f>
        <v>7888</v>
      </c>
      <c r="K15" s="308">
        <f aca="true" t="shared" si="1" ref="K15:K26">I15/H15*100</f>
        <v>32.08197003616325</v>
      </c>
      <c r="L15" s="471"/>
      <c r="M15" s="591"/>
      <c r="N15" s="591"/>
      <c r="O15" s="308"/>
      <c r="P15" s="303">
        <f>C15-G15-L15</f>
        <v>90747</v>
      </c>
      <c r="Q15" s="304">
        <f>D15-H15-M15</f>
        <v>93902</v>
      </c>
      <c r="R15" s="304">
        <f>E15-I15-N15</f>
        <v>38140</v>
      </c>
      <c r="S15" s="308">
        <f aca="true" t="shared" si="2" ref="S15:S42">R15/Q15*100</f>
        <v>40.6168132734127</v>
      </c>
      <c r="U15" s="6">
        <v>38139926.38</v>
      </c>
      <c r="V15" s="39">
        <f>U15/1000-R15</f>
        <v>-0.07361999999557156</v>
      </c>
    </row>
    <row r="16" spans="1:22" ht="16.5" customHeight="1">
      <c r="A16" s="749" t="s">
        <v>244</v>
      </c>
      <c r="B16" s="329"/>
      <c r="C16" s="303">
        <f>'Výdaje '!H14</f>
        <v>9891</v>
      </c>
      <c r="D16" s="304">
        <f>'Výdaje '!I14</f>
        <v>21556</v>
      </c>
      <c r="E16" s="304">
        <f>'Výdaje '!J14</f>
        <v>20304</v>
      </c>
      <c r="F16" s="308">
        <f t="shared" si="0"/>
        <v>94.19187233252923</v>
      </c>
      <c r="G16" s="303"/>
      <c r="H16" s="304">
        <v>3150</v>
      </c>
      <c r="I16" s="304">
        <v>3150</v>
      </c>
      <c r="J16" s="551">
        <f aca="true" t="shared" si="3" ref="J16:J43">H16-I16</f>
        <v>0</v>
      </c>
      <c r="K16" s="308">
        <f t="shared" si="1"/>
        <v>100</v>
      </c>
      <c r="L16" s="471"/>
      <c r="M16" s="591"/>
      <c r="N16" s="591"/>
      <c r="O16" s="308"/>
      <c r="P16" s="303">
        <f aca="true" t="shared" si="4" ref="P16:P43">C16-G16-L16</f>
        <v>9891</v>
      </c>
      <c r="Q16" s="304">
        <f aca="true" t="shared" si="5" ref="Q16:Q42">D16-H16-M16</f>
        <v>18406</v>
      </c>
      <c r="R16" s="304">
        <f aca="true" t="shared" si="6" ref="R16:R42">E16-I16-N16</f>
        <v>17154</v>
      </c>
      <c r="S16" s="308">
        <f t="shared" si="2"/>
        <v>93.19787025969792</v>
      </c>
      <c r="U16" s="6">
        <v>17153693.4</v>
      </c>
      <c r="V16" s="39">
        <f aca="true" t="shared" si="7" ref="V16:V44">U16/1000-R16</f>
        <v>-0.3065999999998894</v>
      </c>
    </row>
    <row r="17" spans="1:22" ht="16.5" customHeight="1">
      <c r="A17" s="749" t="s">
        <v>245</v>
      </c>
      <c r="B17" s="329"/>
      <c r="C17" s="303">
        <f>'Výdaje '!H15</f>
        <v>26110</v>
      </c>
      <c r="D17" s="304">
        <f>'Výdaje '!I15</f>
        <v>72585</v>
      </c>
      <c r="E17" s="304">
        <f>'Výdaje '!J15</f>
        <v>39239</v>
      </c>
      <c r="F17" s="308">
        <f t="shared" si="0"/>
        <v>54.059378659502656</v>
      </c>
      <c r="G17" s="303"/>
      <c r="H17" s="304">
        <v>20510</v>
      </c>
      <c r="I17" s="304">
        <v>20510</v>
      </c>
      <c r="J17" s="551">
        <f t="shared" si="3"/>
        <v>0</v>
      </c>
      <c r="K17" s="308">
        <f t="shared" si="1"/>
        <v>100</v>
      </c>
      <c r="L17" s="471"/>
      <c r="M17" s="591"/>
      <c r="N17" s="591"/>
      <c r="O17" s="308"/>
      <c r="P17" s="303">
        <f t="shared" si="4"/>
        <v>26110</v>
      </c>
      <c r="Q17" s="304">
        <f t="shared" si="5"/>
        <v>52075</v>
      </c>
      <c r="R17" s="304">
        <f t="shared" si="6"/>
        <v>18729</v>
      </c>
      <c r="S17" s="308">
        <f>R17/Q17*100</f>
        <v>35.965434469515124</v>
      </c>
      <c r="U17" s="6">
        <v>18728547.27</v>
      </c>
      <c r="V17" s="39">
        <f t="shared" si="7"/>
        <v>-0.4527300000008836</v>
      </c>
    </row>
    <row r="18" spans="1:22" ht="16.5" customHeight="1">
      <c r="A18" s="749" t="s">
        <v>246</v>
      </c>
      <c r="B18" s="329"/>
      <c r="C18" s="303">
        <f>'Výdaje '!H16</f>
        <v>2212</v>
      </c>
      <c r="D18" s="304">
        <f>'Výdaje '!I16</f>
        <v>93784</v>
      </c>
      <c r="E18" s="304">
        <f>'Výdaje '!J16</f>
        <v>92564</v>
      </c>
      <c r="F18" s="308">
        <f t="shared" si="0"/>
        <v>98.69913844579033</v>
      </c>
      <c r="G18" s="303"/>
      <c r="H18" s="304">
        <v>14467</v>
      </c>
      <c r="I18" s="304">
        <v>14467</v>
      </c>
      <c r="J18" s="551">
        <f t="shared" si="3"/>
        <v>0</v>
      </c>
      <c r="K18" s="308">
        <f t="shared" si="1"/>
        <v>100</v>
      </c>
      <c r="L18" s="471"/>
      <c r="M18" s="591"/>
      <c r="N18" s="591"/>
      <c r="O18" s="308"/>
      <c r="P18" s="303">
        <f t="shared" si="4"/>
        <v>2212</v>
      </c>
      <c r="Q18" s="304">
        <f t="shared" si="5"/>
        <v>79317</v>
      </c>
      <c r="R18" s="304">
        <f t="shared" si="6"/>
        <v>78097</v>
      </c>
      <c r="S18" s="308">
        <f t="shared" si="2"/>
        <v>98.46186819975541</v>
      </c>
      <c r="U18" s="6">
        <v>78097121.37</v>
      </c>
      <c r="V18" s="39">
        <f t="shared" si="7"/>
        <v>0.121370000008028</v>
      </c>
    </row>
    <row r="19" spans="1:22" ht="16.5" customHeight="1">
      <c r="A19" s="749" t="s">
        <v>247</v>
      </c>
      <c r="B19" s="329"/>
      <c r="C19" s="303">
        <f>'Výdaje '!H17</f>
        <v>750</v>
      </c>
      <c r="D19" s="304">
        <f>'Výdaje '!I17</f>
        <v>3423</v>
      </c>
      <c r="E19" s="304">
        <f>'Výdaje '!J17</f>
        <v>3263</v>
      </c>
      <c r="F19" s="308">
        <f t="shared" si="0"/>
        <v>95.325737657026</v>
      </c>
      <c r="G19" s="303"/>
      <c r="H19" s="304"/>
      <c r="I19" s="304"/>
      <c r="J19" s="551">
        <f t="shared" si="3"/>
        <v>0</v>
      </c>
      <c r="K19" s="308"/>
      <c r="L19" s="471"/>
      <c r="M19" s="591"/>
      <c r="N19" s="591"/>
      <c r="O19" s="308"/>
      <c r="P19" s="303">
        <f t="shared" si="4"/>
        <v>750</v>
      </c>
      <c r="Q19" s="304">
        <f t="shared" si="5"/>
        <v>3423</v>
      </c>
      <c r="R19" s="304">
        <f t="shared" si="6"/>
        <v>3263</v>
      </c>
      <c r="S19" s="308">
        <f t="shared" si="2"/>
        <v>95.325737657026</v>
      </c>
      <c r="U19" s="6">
        <v>3262926.6</v>
      </c>
      <c r="V19" s="39">
        <f t="shared" si="7"/>
        <v>-0.07339999999976499</v>
      </c>
    </row>
    <row r="20" spans="1:22" ht="16.5" customHeight="1">
      <c r="A20" s="749" t="s">
        <v>248</v>
      </c>
      <c r="B20" s="329"/>
      <c r="C20" s="303">
        <f>'Výdaje '!H18</f>
        <v>3235</v>
      </c>
      <c r="D20" s="304">
        <f>'Výdaje '!I18</f>
        <v>3179</v>
      </c>
      <c r="E20" s="304">
        <f>'Výdaje '!J18</f>
        <v>695</v>
      </c>
      <c r="F20" s="308">
        <f t="shared" si="0"/>
        <v>21.86222082415854</v>
      </c>
      <c r="G20" s="303"/>
      <c r="H20" s="304"/>
      <c r="I20" s="304"/>
      <c r="J20" s="551">
        <f t="shared" si="3"/>
        <v>0</v>
      </c>
      <c r="K20" s="308"/>
      <c r="L20" s="471"/>
      <c r="M20" s="591"/>
      <c r="N20" s="591"/>
      <c r="O20" s="308"/>
      <c r="P20" s="303">
        <f t="shared" si="4"/>
        <v>3235</v>
      </c>
      <c r="Q20" s="304">
        <f t="shared" si="5"/>
        <v>3179</v>
      </c>
      <c r="R20" s="304">
        <f t="shared" si="6"/>
        <v>695</v>
      </c>
      <c r="S20" s="308">
        <f t="shared" si="2"/>
        <v>21.86222082415854</v>
      </c>
      <c r="U20" s="6">
        <v>695282</v>
      </c>
      <c r="V20" s="39">
        <f t="shared" si="7"/>
        <v>0.2820000000000391</v>
      </c>
    </row>
    <row r="21" spans="1:22" ht="16.5" customHeight="1">
      <c r="A21" s="749" t="s">
        <v>249</v>
      </c>
      <c r="B21" s="329"/>
      <c r="C21" s="303">
        <f>'Výdaje '!H19</f>
        <v>10385</v>
      </c>
      <c r="D21" s="304">
        <f>'Výdaje '!I19</f>
        <v>17162</v>
      </c>
      <c r="E21" s="304">
        <f>'Výdaje '!J19</f>
        <v>7788</v>
      </c>
      <c r="F21" s="308">
        <f t="shared" si="0"/>
        <v>45.379326418832306</v>
      </c>
      <c r="G21" s="303"/>
      <c r="H21" s="304">
        <v>4280</v>
      </c>
      <c r="I21" s="304">
        <v>4280</v>
      </c>
      <c r="J21" s="551">
        <f t="shared" si="3"/>
        <v>0</v>
      </c>
      <c r="K21" s="308">
        <f t="shared" si="1"/>
        <v>100</v>
      </c>
      <c r="L21" s="471"/>
      <c r="M21" s="591"/>
      <c r="N21" s="591"/>
      <c r="O21" s="308"/>
      <c r="P21" s="303">
        <f t="shared" si="4"/>
        <v>10385</v>
      </c>
      <c r="Q21" s="304">
        <f t="shared" si="5"/>
        <v>12882</v>
      </c>
      <c r="R21" s="304">
        <f t="shared" si="6"/>
        <v>3508</v>
      </c>
      <c r="S21" s="308">
        <f t="shared" si="2"/>
        <v>27.231796304921595</v>
      </c>
      <c r="U21" s="602">
        <f>'[1]Žabovřesky'!$F$22+8671</f>
        <v>3508496.2</v>
      </c>
      <c r="V21" s="39">
        <f t="shared" si="7"/>
        <v>0.4962000000000444</v>
      </c>
    </row>
    <row r="22" spans="1:22" ht="16.5" customHeight="1">
      <c r="A22" s="750" t="s">
        <v>250</v>
      </c>
      <c r="B22" s="329"/>
      <c r="C22" s="303">
        <f>'Výdaje '!H20</f>
        <v>50753</v>
      </c>
      <c r="D22" s="304">
        <f>'Výdaje '!I20</f>
        <v>84704</v>
      </c>
      <c r="E22" s="304">
        <f>'Výdaje '!J20</f>
        <v>73268</v>
      </c>
      <c r="F22" s="308">
        <f t="shared" si="0"/>
        <v>86.49886664148092</v>
      </c>
      <c r="G22" s="303"/>
      <c r="H22" s="304">
        <f>10920+1200</f>
        <v>12120</v>
      </c>
      <c r="I22" s="304">
        <f>10920+1200</f>
        <v>12120</v>
      </c>
      <c r="J22" s="551">
        <f t="shared" si="3"/>
        <v>0</v>
      </c>
      <c r="K22" s="308">
        <f t="shared" si="1"/>
        <v>100</v>
      </c>
      <c r="L22" s="471"/>
      <c r="M22" s="591">
        <v>76</v>
      </c>
      <c r="N22" s="591">
        <v>76</v>
      </c>
      <c r="O22" s="308">
        <f>N22/M22*100</f>
        <v>100</v>
      </c>
      <c r="P22" s="303">
        <f t="shared" si="4"/>
        <v>50753</v>
      </c>
      <c r="Q22" s="304">
        <f t="shared" si="5"/>
        <v>72508</v>
      </c>
      <c r="R22" s="304">
        <f t="shared" si="6"/>
        <v>61072</v>
      </c>
      <c r="S22" s="308">
        <f t="shared" si="2"/>
        <v>84.22794726099188</v>
      </c>
      <c r="U22" s="6">
        <v>61071384.9</v>
      </c>
      <c r="V22" s="39">
        <f t="shared" si="7"/>
        <v>-0.6151000000027125</v>
      </c>
    </row>
    <row r="23" spans="1:22" ht="16.5" customHeight="1">
      <c r="A23" s="749" t="s">
        <v>251</v>
      </c>
      <c r="B23" s="329"/>
      <c r="C23" s="303">
        <f>'Výdaje '!H21</f>
        <v>2532</v>
      </c>
      <c r="D23" s="304">
        <f>'Výdaje '!I21</f>
        <v>4935</v>
      </c>
      <c r="E23" s="304">
        <f>'Výdaje '!J21</f>
        <v>4485</v>
      </c>
      <c r="F23" s="308">
        <f t="shared" si="0"/>
        <v>90.88145896656535</v>
      </c>
      <c r="G23" s="303"/>
      <c r="H23" s="304"/>
      <c r="I23" s="304"/>
      <c r="J23" s="551">
        <f t="shared" si="3"/>
        <v>0</v>
      </c>
      <c r="K23" s="308"/>
      <c r="L23" s="471"/>
      <c r="M23" s="591"/>
      <c r="N23" s="591"/>
      <c r="O23" s="308"/>
      <c r="P23" s="303">
        <f t="shared" si="4"/>
        <v>2532</v>
      </c>
      <c r="Q23" s="304">
        <f t="shared" si="5"/>
        <v>4935</v>
      </c>
      <c r="R23" s="304">
        <f t="shared" si="6"/>
        <v>4485</v>
      </c>
      <c r="S23" s="308">
        <f t="shared" si="2"/>
        <v>90.88145896656535</v>
      </c>
      <c r="U23" s="6">
        <v>4484702.3</v>
      </c>
      <c r="V23" s="39">
        <f t="shared" si="7"/>
        <v>-0.2977000000000771</v>
      </c>
    </row>
    <row r="24" spans="1:22" ht="16.5" customHeight="1">
      <c r="A24" s="750" t="s">
        <v>252</v>
      </c>
      <c r="B24" s="333"/>
      <c r="C24" s="303">
        <f>'Výdaje '!H22</f>
        <v>2040</v>
      </c>
      <c r="D24" s="304">
        <f>'Výdaje '!I22</f>
        <v>5161</v>
      </c>
      <c r="E24" s="304">
        <f>'Výdaje '!J22</f>
        <v>3658</v>
      </c>
      <c r="F24" s="308">
        <f t="shared" si="0"/>
        <v>70.87773687269909</v>
      </c>
      <c r="G24" s="303"/>
      <c r="H24" s="304">
        <v>2253</v>
      </c>
      <c r="I24" s="304">
        <v>2253</v>
      </c>
      <c r="J24" s="551">
        <f t="shared" si="3"/>
        <v>0</v>
      </c>
      <c r="K24" s="308">
        <f t="shared" si="1"/>
        <v>100</v>
      </c>
      <c r="L24" s="39"/>
      <c r="M24" s="591"/>
      <c r="N24" s="591"/>
      <c r="O24" s="308"/>
      <c r="P24" s="303">
        <f t="shared" si="4"/>
        <v>2040</v>
      </c>
      <c r="Q24" s="304">
        <f t="shared" si="5"/>
        <v>2908</v>
      </c>
      <c r="R24" s="304">
        <f t="shared" si="6"/>
        <v>1405</v>
      </c>
      <c r="S24" s="308">
        <f t="shared" si="2"/>
        <v>48.31499312242091</v>
      </c>
      <c r="U24" s="6">
        <v>1405062</v>
      </c>
      <c r="V24" s="39">
        <f t="shared" si="7"/>
        <v>0.06199999999989814</v>
      </c>
    </row>
    <row r="25" spans="1:22" ht="16.5" customHeight="1">
      <c r="A25" s="750" t="s">
        <v>253</v>
      </c>
      <c r="B25" s="333"/>
      <c r="C25" s="303">
        <f>'Výdaje '!H23</f>
        <v>400</v>
      </c>
      <c r="D25" s="304">
        <f>'Výdaje '!I23</f>
        <v>8561</v>
      </c>
      <c r="E25" s="304">
        <f>'Výdaje '!J23</f>
        <v>5005</v>
      </c>
      <c r="F25" s="308">
        <f t="shared" si="0"/>
        <v>58.46279640228945</v>
      </c>
      <c r="G25" s="303"/>
      <c r="H25" s="304">
        <v>1399</v>
      </c>
      <c r="I25" s="304">
        <v>1399</v>
      </c>
      <c r="J25" s="551">
        <f t="shared" si="3"/>
        <v>0</v>
      </c>
      <c r="K25" s="308">
        <f t="shared" si="1"/>
        <v>100</v>
      </c>
      <c r="L25" s="471"/>
      <c r="M25" s="591"/>
      <c r="N25" s="591"/>
      <c r="O25" s="592"/>
      <c r="P25" s="303">
        <f t="shared" si="4"/>
        <v>400</v>
      </c>
      <c r="Q25" s="304">
        <f t="shared" si="5"/>
        <v>7162</v>
      </c>
      <c r="R25" s="304">
        <f t="shared" si="6"/>
        <v>3606</v>
      </c>
      <c r="S25" s="308">
        <f t="shared" si="2"/>
        <v>50.349064507120914</v>
      </c>
      <c r="U25" s="6">
        <v>3605999</v>
      </c>
      <c r="V25" s="39">
        <f t="shared" si="7"/>
        <v>-0.0010000000002037268</v>
      </c>
    </row>
    <row r="26" spans="1:22" ht="16.5" customHeight="1">
      <c r="A26" s="750" t="s">
        <v>254</v>
      </c>
      <c r="B26" s="333"/>
      <c r="C26" s="303">
        <f>'Výdaje '!H24</f>
        <v>250</v>
      </c>
      <c r="D26" s="304">
        <f>'Výdaje '!I24</f>
        <v>18080</v>
      </c>
      <c r="E26" s="304">
        <f>'Výdaje '!J24</f>
        <v>9968</v>
      </c>
      <c r="F26" s="308">
        <f t="shared" si="0"/>
        <v>55.13274336283186</v>
      </c>
      <c r="G26" s="303"/>
      <c r="H26" s="304">
        <v>16860</v>
      </c>
      <c r="I26" s="304">
        <v>8860</v>
      </c>
      <c r="J26" s="551">
        <f t="shared" si="3"/>
        <v>8000</v>
      </c>
      <c r="K26" s="308">
        <f t="shared" si="1"/>
        <v>52.55041518386714</v>
      </c>
      <c r="L26" s="471"/>
      <c r="M26" s="591"/>
      <c r="N26" s="591"/>
      <c r="O26" s="592"/>
      <c r="P26" s="303">
        <f t="shared" si="4"/>
        <v>250</v>
      </c>
      <c r="Q26" s="304">
        <f t="shared" si="5"/>
        <v>1220</v>
      </c>
      <c r="R26" s="304">
        <f t="shared" si="6"/>
        <v>1108</v>
      </c>
      <c r="S26" s="308">
        <f t="shared" si="2"/>
        <v>90.81967213114754</v>
      </c>
      <c r="U26" s="6">
        <v>1108541</v>
      </c>
      <c r="V26" s="39">
        <f t="shared" si="7"/>
        <v>0.54099999999994</v>
      </c>
    </row>
    <row r="27" spans="1:22" ht="16.5" customHeight="1">
      <c r="A27" s="750" t="s">
        <v>255</v>
      </c>
      <c r="B27" s="333"/>
      <c r="C27" s="303">
        <f>'Výdaje '!H25</f>
        <v>38473</v>
      </c>
      <c r="D27" s="304">
        <f>'Výdaje '!I25</f>
        <v>165238</v>
      </c>
      <c r="E27" s="304">
        <f>'Výdaje '!J25</f>
        <v>54935</v>
      </c>
      <c r="F27" s="308">
        <f t="shared" si="0"/>
        <v>33.2459845798182</v>
      </c>
      <c r="G27" s="303"/>
      <c r="H27" s="304">
        <v>65898</v>
      </c>
      <c r="I27" s="304">
        <v>11864</v>
      </c>
      <c r="J27" s="551">
        <f t="shared" si="3"/>
        <v>54034</v>
      </c>
      <c r="K27" s="308">
        <f aca="true" t="shared" si="8" ref="K27:K41">I27/H27*100</f>
        <v>18.003581292300222</v>
      </c>
      <c r="L27" s="471"/>
      <c r="M27" s="591">
        <v>53</v>
      </c>
      <c r="N27" s="591">
        <v>53</v>
      </c>
      <c r="O27" s="308">
        <f>N27/M27*100</f>
        <v>100</v>
      </c>
      <c r="P27" s="303">
        <f t="shared" si="4"/>
        <v>38473</v>
      </c>
      <c r="Q27" s="304">
        <f t="shared" si="5"/>
        <v>99287</v>
      </c>
      <c r="R27" s="304">
        <f t="shared" si="6"/>
        <v>43018</v>
      </c>
      <c r="S27" s="308">
        <f t="shared" si="2"/>
        <v>43.32692094634746</v>
      </c>
      <c r="U27" s="6">
        <v>43017780.36</v>
      </c>
      <c r="V27" s="39">
        <f t="shared" si="7"/>
        <v>-0.21964000000298256</v>
      </c>
    </row>
    <row r="28" spans="1:22" ht="16.5" customHeight="1">
      <c r="A28" s="749" t="s">
        <v>256</v>
      </c>
      <c r="B28" s="329"/>
      <c r="C28" s="303">
        <f>'Výdaje '!H26</f>
        <v>2600</v>
      </c>
      <c r="D28" s="304">
        <f>'Výdaje '!I26</f>
        <v>13406</v>
      </c>
      <c r="E28" s="304">
        <f>'Výdaje '!J26</f>
        <v>10369</v>
      </c>
      <c r="F28" s="308">
        <f t="shared" si="0"/>
        <v>77.34596449351037</v>
      </c>
      <c r="G28" s="303"/>
      <c r="H28" s="304">
        <v>1221</v>
      </c>
      <c r="I28" s="304">
        <v>1000</v>
      </c>
      <c r="J28" s="551">
        <f t="shared" si="3"/>
        <v>221</v>
      </c>
      <c r="K28" s="308">
        <f t="shared" si="8"/>
        <v>81.9000819000819</v>
      </c>
      <c r="L28" s="39"/>
      <c r="M28" s="591"/>
      <c r="N28" s="591"/>
      <c r="O28" s="308"/>
      <c r="P28" s="303">
        <f t="shared" si="4"/>
        <v>2600</v>
      </c>
      <c r="Q28" s="304">
        <f t="shared" si="5"/>
        <v>12185</v>
      </c>
      <c r="R28" s="304">
        <f t="shared" si="6"/>
        <v>9369</v>
      </c>
      <c r="S28" s="308">
        <f t="shared" si="2"/>
        <v>76.88961838325811</v>
      </c>
      <c r="U28" s="6">
        <v>9369465.9</v>
      </c>
      <c r="V28" s="39">
        <f t="shared" si="7"/>
        <v>0.46590000000105647</v>
      </c>
    </row>
    <row r="29" spans="1:22" ht="16.5" customHeight="1">
      <c r="A29" s="749" t="s">
        <v>257</v>
      </c>
      <c r="B29" s="329"/>
      <c r="C29" s="303">
        <f>'Výdaje '!H27</f>
        <v>41877</v>
      </c>
      <c r="D29" s="304">
        <f>'Výdaje '!I27</f>
        <v>77062</v>
      </c>
      <c r="E29" s="304">
        <f>'Výdaje '!J27</f>
        <v>37431</v>
      </c>
      <c r="F29" s="308">
        <f t="shared" si="0"/>
        <v>48.57257792426877</v>
      </c>
      <c r="G29" s="303">
        <v>237</v>
      </c>
      <c r="H29" s="304">
        <v>6350</v>
      </c>
      <c r="I29" s="304">
        <v>1150</v>
      </c>
      <c r="J29" s="551">
        <f t="shared" si="3"/>
        <v>5200</v>
      </c>
      <c r="K29" s="308">
        <f t="shared" si="8"/>
        <v>18.11023622047244</v>
      </c>
      <c r="L29" s="471"/>
      <c r="M29" s="591"/>
      <c r="N29" s="591"/>
      <c r="O29" s="308"/>
      <c r="P29" s="303">
        <f t="shared" si="4"/>
        <v>41640</v>
      </c>
      <c r="Q29" s="304">
        <f t="shared" si="5"/>
        <v>70712</v>
      </c>
      <c r="R29" s="304">
        <f t="shared" si="6"/>
        <v>36281</v>
      </c>
      <c r="S29" s="308">
        <f t="shared" si="2"/>
        <v>51.30812309084738</v>
      </c>
      <c r="U29" s="6">
        <v>36281168.6</v>
      </c>
      <c r="V29" s="39">
        <f t="shared" si="7"/>
        <v>0.16860000000451691</v>
      </c>
    </row>
    <row r="30" spans="1:22" ht="16.5" customHeight="1">
      <c r="A30" s="749" t="s">
        <v>258</v>
      </c>
      <c r="B30" s="329"/>
      <c r="C30" s="303">
        <f>'Výdaje '!H28</f>
        <v>7690</v>
      </c>
      <c r="D30" s="304">
        <f>'Výdaje '!I28</f>
        <v>28207</v>
      </c>
      <c r="E30" s="304">
        <f>'Výdaje '!J28</f>
        <v>25239</v>
      </c>
      <c r="F30" s="308">
        <f t="shared" si="0"/>
        <v>89.4777892012621</v>
      </c>
      <c r="G30" s="303"/>
      <c r="H30" s="304">
        <v>150</v>
      </c>
      <c r="I30" s="304">
        <v>150</v>
      </c>
      <c r="J30" s="551">
        <f t="shared" si="3"/>
        <v>0</v>
      </c>
      <c r="K30" s="308">
        <f t="shared" si="8"/>
        <v>100</v>
      </c>
      <c r="L30" s="471"/>
      <c r="M30" s="591"/>
      <c r="N30" s="591"/>
      <c r="O30" s="308"/>
      <c r="P30" s="303">
        <f t="shared" si="4"/>
        <v>7690</v>
      </c>
      <c r="Q30" s="304">
        <f t="shared" si="5"/>
        <v>28057</v>
      </c>
      <c r="R30" s="304">
        <f t="shared" si="6"/>
        <v>25089</v>
      </c>
      <c r="S30" s="308">
        <f t="shared" si="2"/>
        <v>89.42153473286524</v>
      </c>
      <c r="U30" s="6">
        <v>25088573.020000003</v>
      </c>
      <c r="V30" s="39">
        <f t="shared" si="7"/>
        <v>-0.4269799999965471</v>
      </c>
    </row>
    <row r="31" spans="1:22" ht="16.5" customHeight="1">
      <c r="A31" s="750" t="s">
        <v>259</v>
      </c>
      <c r="B31" s="329"/>
      <c r="C31" s="303">
        <f>'Výdaje '!H29</f>
        <v>2083</v>
      </c>
      <c r="D31" s="304">
        <f>'Výdaje '!I29</f>
        <v>5938</v>
      </c>
      <c r="E31" s="304">
        <f>'Výdaje '!J29</f>
        <v>4606</v>
      </c>
      <c r="F31" s="308">
        <f t="shared" si="0"/>
        <v>77.56820478275513</v>
      </c>
      <c r="G31" s="303"/>
      <c r="H31" s="304">
        <v>1973</v>
      </c>
      <c r="I31" s="304">
        <v>1493</v>
      </c>
      <c r="J31" s="551">
        <f t="shared" si="3"/>
        <v>480</v>
      </c>
      <c r="K31" s="308">
        <f t="shared" si="8"/>
        <v>75.67156614292955</v>
      </c>
      <c r="L31" s="471"/>
      <c r="M31" s="591"/>
      <c r="N31" s="591"/>
      <c r="O31" s="308"/>
      <c r="P31" s="303">
        <f t="shared" si="4"/>
        <v>2083</v>
      </c>
      <c r="Q31" s="304">
        <f t="shared" si="5"/>
        <v>3965</v>
      </c>
      <c r="R31" s="304">
        <f t="shared" si="6"/>
        <v>3113</v>
      </c>
      <c r="S31" s="308">
        <f t="shared" si="2"/>
        <v>78.51197982345523</v>
      </c>
      <c r="U31" s="6">
        <v>3112519.8</v>
      </c>
      <c r="V31" s="39">
        <f t="shared" si="7"/>
        <v>-0.480199999999968</v>
      </c>
    </row>
    <row r="32" spans="1:22" ht="16.5" customHeight="1">
      <c r="A32" s="749" t="s">
        <v>260</v>
      </c>
      <c r="B32" s="329"/>
      <c r="C32" s="303">
        <f>'Výdaje '!H30</f>
        <v>45620</v>
      </c>
      <c r="D32" s="304">
        <f>'Výdaje '!I30</f>
        <v>61927</v>
      </c>
      <c r="E32" s="304">
        <f>'Výdaje '!J30</f>
        <v>61918</v>
      </c>
      <c r="F32" s="308">
        <f t="shared" si="0"/>
        <v>99.9854667592488</v>
      </c>
      <c r="G32" s="303"/>
      <c r="H32" s="304">
        <v>15500</v>
      </c>
      <c r="I32" s="304">
        <v>15500</v>
      </c>
      <c r="J32" s="551">
        <f t="shared" si="3"/>
        <v>0</v>
      </c>
      <c r="K32" s="308">
        <f t="shared" si="8"/>
        <v>100</v>
      </c>
      <c r="L32" s="471"/>
      <c r="M32" s="591"/>
      <c r="N32" s="591"/>
      <c r="O32" s="308"/>
      <c r="P32" s="303">
        <f t="shared" si="4"/>
        <v>45620</v>
      </c>
      <c r="Q32" s="304">
        <f t="shared" si="5"/>
        <v>46427</v>
      </c>
      <c r="R32" s="304">
        <f t="shared" si="6"/>
        <v>46418</v>
      </c>
      <c r="S32" s="308">
        <f t="shared" si="2"/>
        <v>99.98061472849851</v>
      </c>
      <c r="U32" s="6">
        <v>46417757.02</v>
      </c>
      <c r="V32" s="39">
        <f t="shared" si="7"/>
        <v>-0.24297999999544118</v>
      </c>
    </row>
    <row r="33" spans="1:22" ht="16.5" customHeight="1">
      <c r="A33" s="750" t="s">
        <v>261</v>
      </c>
      <c r="B33" s="329"/>
      <c r="C33" s="303">
        <f>'Výdaje '!H31</f>
        <v>39471</v>
      </c>
      <c r="D33" s="304">
        <f>'Výdaje '!I31</f>
        <v>59043</v>
      </c>
      <c r="E33" s="304">
        <f>'Výdaje '!J31</f>
        <v>51157</v>
      </c>
      <c r="F33" s="308">
        <f t="shared" si="0"/>
        <v>86.64363260674423</v>
      </c>
      <c r="G33" s="303"/>
      <c r="H33" s="304">
        <v>1000</v>
      </c>
      <c r="I33" s="304">
        <v>1000</v>
      </c>
      <c r="J33" s="551">
        <f t="shared" si="3"/>
        <v>0</v>
      </c>
      <c r="K33" s="308">
        <f t="shared" si="8"/>
        <v>100</v>
      </c>
      <c r="L33" s="471"/>
      <c r="M33" s="591"/>
      <c r="N33" s="591"/>
      <c r="O33" s="308"/>
      <c r="P33" s="303">
        <f t="shared" si="4"/>
        <v>39471</v>
      </c>
      <c r="Q33" s="304">
        <f t="shared" si="5"/>
        <v>58043</v>
      </c>
      <c r="R33" s="304">
        <f t="shared" si="6"/>
        <v>50157</v>
      </c>
      <c r="S33" s="308">
        <f t="shared" si="2"/>
        <v>86.41352101028548</v>
      </c>
      <c r="U33" s="6">
        <v>50156597</v>
      </c>
      <c r="V33" s="39">
        <f t="shared" si="7"/>
        <v>-0.4029999999984284</v>
      </c>
    </row>
    <row r="34" spans="1:22" ht="16.5" customHeight="1">
      <c r="A34" s="750" t="s">
        <v>262</v>
      </c>
      <c r="B34" s="329"/>
      <c r="C34" s="303">
        <f>'Výdaje '!H32</f>
        <v>4096</v>
      </c>
      <c r="D34" s="304">
        <f>'Výdaje '!I32</f>
        <v>64860</v>
      </c>
      <c r="E34" s="304">
        <f>'Výdaje '!J32</f>
        <v>24633</v>
      </c>
      <c r="F34" s="308">
        <f t="shared" si="0"/>
        <v>37.97872340425532</v>
      </c>
      <c r="G34" s="303"/>
      <c r="H34" s="304">
        <v>26080</v>
      </c>
      <c r="I34" s="304">
        <v>9900</v>
      </c>
      <c r="J34" s="551">
        <f t="shared" si="3"/>
        <v>16180</v>
      </c>
      <c r="K34" s="308">
        <f t="shared" si="8"/>
        <v>37.9601226993865</v>
      </c>
      <c r="L34" s="471"/>
      <c r="M34" s="591">
        <f>2000+1000</f>
        <v>3000</v>
      </c>
      <c r="N34" s="591">
        <f>2000+1000</f>
        <v>3000</v>
      </c>
      <c r="O34" s="308">
        <f>N34/M34*100</f>
        <v>100</v>
      </c>
      <c r="P34" s="303">
        <f t="shared" si="4"/>
        <v>4096</v>
      </c>
      <c r="Q34" s="304">
        <f t="shared" si="5"/>
        <v>35780</v>
      </c>
      <c r="R34" s="304">
        <f t="shared" si="6"/>
        <v>11733</v>
      </c>
      <c r="S34" s="308">
        <f t="shared" si="2"/>
        <v>32.79206260480716</v>
      </c>
      <c r="U34" s="6">
        <v>11732496.58</v>
      </c>
      <c r="V34" s="39">
        <f t="shared" si="7"/>
        <v>-0.503419999999096</v>
      </c>
    </row>
    <row r="35" spans="1:22" ht="16.5" customHeight="1">
      <c r="A35" s="750" t="s">
        <v>263</v>
      </c>
      <c r="B35" s="333"/>
      <c r="C35" s="303">
        <f>'Výdaje '!H33</f>
        <v>5347</v>
      </c>
      <c r="D35" s="304">
        <f>'Výdaje '!I33</f>
        <v>15901</v>
      </c>
      <c r="E35" s="304">
        <f>'Výdaje '!J33</f>
        <v>13061</v>
      </c>
      <c r="F35" s="308">
        <f t="shared" si="0"/>
        <v>82.13948808251054</v>
      </c>
      <c r="G35" s="303"/>
      <c r="H35" s="304">
        <v>3800</v>
      </c>
      <c r="I35" s="304">
        <v>3800</v>
      </c>
      <c r="J35" s="551">
        <f t="shared" si="3"/>
        <v>0</v>
      </c>
      <c r="K35" s="308">
        <f t="shared" si="8"/>
        <v>100</v>
      </c>
      <c r="L35" s="471"/>
      <c r="M35" s="591">
        <f>2000+1000</f>
        <v>3000</v>
      </c>
      <c r="N35" s="591">
        <f>2000+1000</f>
        <v>3000</v>
      </c>
      <c r="O35" s="308">
        <f>N35/M35*100</f>
        <v>100</v>
      </c>
      <c r="P35" s="303">
        <f t="shared" si="4"/>
        <v>5347</v>
      </c>
      <c r="Q35" s="304">
        <f t="shared" si="5"/>
        <v>9101</v>
      </c>
      <c r="R35" s="304">
        <f t="shared" si="6"/>
        <v>6261</v>
      </c>
      <c r="S35" s="308">
        <f t="shared" si="2"/>
        <v>68.79463795187341</v>
      </c>
      <c r="U35" s="6">
        <v>6261323</v>
      </c>
      <c r="V35" s="39">
        <f t="shared" si="7"/>
        <v>0.32300000000032014</v>
      </c>
    </row>
    <row r="36" spans="1:22" ht="16.5" customHeight="1">
      <c r="A36" s="750" t="s">
        <v>264</v>
      </c>
      <c r="B36" s="333"/>
      <c r="C36" s="303">
        <f>'Výdaje '!H34</f>
        <v>100</v>
      </c>
      <c r="D36" s="304">
        <f>'Výdaje '!I34</f>
        <v>1140</v>
      </c>
      <c r="E36" s="304">
        <f>'Výdaje '!J34</f>
        <v>1011</v>
      </c>
      <c r="F36" s="308">
        <f t="shared" si="0"/>
        <v>88.68421052631578</v>
      </c>
      <c r="G36" s="303"/>
      <c r="H36" s="304"/>
      <c r="I36" s="304"/>
      <c r="J36" s="551">
        <f t="shared" si="3"/>
        <v>0</v>
      </c>
      <c r="K36" s="308"/>
      <c r="L36" s="471"/>
      <c r="M36" s="591"/>
      <c r="N36" s="591"/>
      <c r="O36" s="308"/>
      <c r="P36" s="303">
        <f t="shared" si="4"/>
        <v>100</v>
      </c>
      <c r="Q36" s="304">
        <f t="shared" si="5"/>
        <v>1140</v>
      </c>
      <c r="R36" s="304">
        <f t="shared" si="6"/>
        <v>1011</v>
      </c>
      <c r="S36" s="308">
        <f t="shared" si="2"/>
        <v>88.68421052631578</v>
      </c>
      <c r="T36" s="422"/>
      <c r="U36" s="6">
        <v>1011495</v>
      </c>
      <c r="V36" s="39">
        <f t="shared" si="7"/>
        <v>0.49500000000000455</v>
      </c>
    </row>
    <row r="37" spans="1:22" ht="16.5" customHeight="1">
      <c r="A37" s="749" t="s">
        <v>265</v>
      </c>
      <c r="B37" s="329"/>
      <c r="C37" s="303">
        <f>'Výdaje '!H35</f>
        <v>42570</v>
      </c>
      <c r="D37" s="304">
        <f>'Výdaje '!I35</f>
        <v>63773</v>
      </c>
      <c r="E37" s="304">
        <f>'Výdaje '!J35</f>
        <v>34301</v>
      </c>
      <c r="F37" s="308">
        <f t="shared" si="0"/>
        <v>53.786085020306395</v>
      </c>
      <c r="H37" s="486">
        <v>6406</v>
      </c>
      <c r="I37" s="304">
        <v>1300</v>
      </c>
      <c r="J37" s="551">
        <f t="shared" si="3"/>
        <v>5106</v>
      </c>
      <c r="K37" s="308">
        <f t="shared" si="8"/>
        <v>20.293474867311893</v>
      </c>
      <c r="L37" s="593"/>
      <c r="M37" s="594">
        <v>246</v>
      </c>
      <c r="N37" s="594"/>
      <c r="O37" s="308"/>
      <c r="P37" s="303">
        <f t="shared" si="4"/>
        <v>42570</v>
      </c>
      <c r="Q37" s="304">
        <f t="shared" si="5"/>
        <v>57121</v>
      </c>
      <c r="R37" s="304">
        <f t="shared" si="6"/>
        <v>33001</v>
      </c>
      <c r="S37" s="308">
        <f t="shared" si="2"/>
        <v>57.77384849705012</v>
      </c>
      <c r="U37" s="6">
        <v>33001486.21</v>
      </c>
      <c r="V37" s="39">
        <f t="shared" si="7"/>
        <v>0.4862100000027567</v>
      </c>
    </row>
    <row r="38" spans="1:22" ht="16.5" customHeight="1">
      <c r="A38" s="749" t="s">
        <v>266</v>
      </c>
      <c r="B38" s="603"/>
      <c r="C38" s="334">
        <f>'Výdaje '!H36</f>
        <v>0</v>
      </c>
      <c r="D38" s="304">
        <f>'Výdaje '!I36</f>
        <v>2152</v>
      </c>
      <c r="E38" s="304">
        <f>'Výdaje '!J36</f>
        <v>2324</v>
      </c>
      <c r="F38" s="308">
        <f t="shared" si="0"/>
        <v>107.99256505576209</v>
      </c>
      <c r="G38" s="303"/>
      <c r="H38" s="304">
        <v>1554</v>
      </c>
      <c r="I38" s="304">
        <v>1554</v>
      </c>
      <c r="J38" s="551">
        <f t="shared" si="3"/>
        <v>0</v>
      </c>
      <c r="K38" s="308">
        <f t="shared" si="8"/>
        <v>100</v>
      </c>
      <c r="L38" s="471"/>
      <c r="M38" s="591"/>
      <c r="N38" s="591"/>
      <c r="O38" s="308"/>
      <c r="P38" s="303">
        <f t="shared" si="4"/>
        <v>0</v>
      </c>
      <c r="Q38" s="304">
        <f t="shared" si="5"/>
        <v>598</v>
      </c>
      <c r="R38" s="304">
        <f t="shared" si="6"/>
        <v>770</v>
      </c>
      <c r="S38" s="308">
        <f t="shared" si="2"/>
        <v>128.76254180602007</v>
      </c>
      <c r="U38" s="6">
        <v>769704.6</v>
      </c>
      <c r="V38" s="39">
        <f t="shared" si="7"/>
        <v>-0.29539999999997235</v>
      </c>
    </row>
    <row r="39" spans="1:22" ht="16.5" customHeight="1">
      <c r="A39" s="749" t="s">
        <v>267</v>
      </c>
      <c r="B39" s="603"/>
      <c r="C39" s="334">
        <f>'Výdaje '!H37</f>
        <v>22910</v>
      </c>
      <c r="D39" s="304">
        <f>'Výdaje '!I37</f>
        <v>28441</v>
      </c>
      <c r="E39" s="304">
        <f>'Výdaje '!J37</f>
        <v>13409</v>
      </c>
      <c r="F39" s="308">
        <f>E39/D39*100</f>
        <v>47.14672479870609</v>
      </c>
      <c r="G39" s="303"/>
      <c r="H39" s="304">
        <v>3000</v>
      </c>
      <c r="I39" s="304">
        <v>3000</v>
      </c>
      <c r="J39" s="551">
        <f t="shared" si="3"/>
        <v>0</v>
      </c>
      <c r="K39" s="308">
        <f t="shared" si="8"/>
        <v>100</v>
      </c>
      <c r="L39" s="471"/>
      <c r="M39" s="591">
        <v>3029</v>
      </c>
      <c r="N39" s="591">
        <v>3029</v>
      </c>
      <c r="O39" s="308">
        <f>N39/M39*100</f>
        <v>100</v>
      </c>
      <c r="P39" s="303">
        <f t="shared" si="4"/>
        <v>22910</v>
      </c>
      <c r="Q39" s="304">
        <f t="shared" si="5"/>
        <v>22412</v>
      </c>
      <c r="R39" s="304">
        <f t="shared" si="6"/>
        <v>7380</v>
      </c>
      <c r="S39" s="308">
        <f t="shared" si="2"/>
        <v>32.928788149205786</v>
      </c>
      <c r="U39" s="6">
        <v>7380325.49</v>
      </c>
      <c r="V39" s="39">
        <f t="shared" si="7"/>
        <v>0.3254900000001726</v>
      </c>
    </row>
    <row r="40" spans="1:22" ht="16.5" customHeight="1">
      <c r="A40" s="749" t="s">
        <v>268</v>
      </c>
      <c r="B40" s="603"/>
      <c r="C40" s="334">
        <f>'Výdaje '!H38</f>
        <v>100</v>
      </c>
      <c r="D40" s="304">
        <f>'Výdaje '!I38</f>
        <v>100</v>
      </c>
      <c r="E40" s="304">
        <f>'Výdaje '!J38</f>
        <v>100</v>
      </c>
      <c r="F40" s="308">
        <f t="shared" si="0"/>
        <v>100</v>
      </c>
      <c r="G40" s="303"/>
      <c r="H40" s="304"/>
      <c r="I40" s="304"/>
      <c r="J40" s="551">
        <f t="shared" si="3"/>
        <v>0</v>
      </c>
      <c r="K40" s="308"/>
      <c r="L40" s="471"/>
      <c r="M40" s="591"/>
      <c r="N40" s="591"/>
      <c r="O40" s="308"/>
      <c r="P40" s="303">
        <f t="shared" si="4"/>
        <v>100</v>
      </c>
      <c r="Q40" s="304">
        <f t="shared" si="5"/>
        <v>100</v>
      </c>
      <c r="R40" s="304">
        <f t="shared" si="6"/>
        <v>100</v>
      </c>
      <c r="S40" s="308">
        <f t="shared" si="2"/>
        <v>100</v>
      </c>
      <c r="U40" s="6">
        <v>100000</v>
      </c>
      <c r="V40" s="39">
        <f t="shared" si="7"/>
        <v>0</v>
      </c>
    </row>
    <row r="41" spans="1:22" ht="16.5" customHeight="1">
      <c r="A41" s="750" t="s">
        <v>269</v>
      </c>
      <c r="B41" s="603"/>
      <c r="C41" s="334">
        <f>'Výdaje '!H39</f>
        <v>206</v>
      </c>
      <c r="D41" s="304">
        <f>'Výdaje '!I39</f>
        <v>1494</v>
      </c>
      <c r="E41" s="304">
        <f>'Výdaje '!J39</f>
        <v>1493</v>
      </c>
      <c r="F41" s="308">
        <f t="shared" si="0"/>
        <v>99.9330655957162</v>
      </c>
      <c r="G41" s="303"/>
      <c r="H41" s="304">
        <v>300</v>
      </c>
      <c r="I41" s="304">
        <v>300</v>
      </c>
      <c r="J41" s="551">
        <f t="shared" si="3"/>
        <v>0</v>
      </c>
      <c r="K41" s="308">
        <f t="shared" si="8"/>
        <v>100</v>
      </c>
      <c r="L41" s="471"/>
      <c r="M41" s="591"/>
      <c r="N41" s="591"/>
      <c r="O41" s="308"/>
      <c r="P41" s="303">
        <f t="shared" si="4"/>
        <v>206</v>
      </c>
      <c r="Q41" s="304">
        <f t="shared" si="5"/>
        <v>1194</v>
      </c>
      <c r="R41" s="304">
        <f t="shared" si="6"/>
        <v>1193</v>
      </c>
      <c r="S41" s="308">
        <f t="shared" si="2"/>
        <v>99.91624790619765</v>
      </c>
      <c r="U41" s="6">
        <v>1192801.8</v>
      </c>
      <c r="V41" s="39">
        <f t="shared" si="7"/>
        <v>-0.19820000000004256</v>
      </c>
    </row>
    <row r="42" spans="1:22" ht="15" customHeight="1">
      <c r="A42" s="750" t="s">
        <v>270</v>
      </c>
      <c r="B42" s="603"/>
      <c r="C42" s="334">
        <f>'Výdaje '!H40</f>
        <v>50</v>
      </c>
      <c r="D42" s="304">
        <f>'Výdaje '!I40</f>
        <v>354</v>
      </c>
      <c r="E42" s="304">
        <f>'Výdaje '!J40</f>
        <v>425</v>
      </c>
      <c r="F42" s="308">
        <f>E42/D42*100</f>
        <v>120.05649717514125</v>
      </c>
      <c r="G42" s="303"/>
      <c r="I42" s="307"/>
      <c r="J42" s="551">
        <f t="shared" si="3"/>
        <v>0</v>
      </c>
      <c r="K42" s="308">
        <f>I42/H38*100</f>
        <v>0</v>
      </c>
      <c r="L42" s="471"/>
      <c r="M42" s="591">
        <v>200</v>
      </c>
      <c r="N42" s="591">
        <v>200</v>
      </c>
      <c r="O42" s="308">
        <f>N42/M42*100</f>
        <v>100</v>
      </c>
      <c r="P42" s="303">
        <f t="shared" si="4"/>
        <v>50</v>
      </c>
      <c r="Q42" s="304">
        <f t="shared" si="5"/>
        <v>154</v>
      </c>
      <c r="R42" s="304">
        <f t="shared" si="6"/>
        <v>225</v>
      </c>
      <c r="S42" s="308">
        <f t="shared" si="2"/>
        <v>146.10389610389612</v>
      </c>
      <c r="U42" s="6">
        <v>225373</v>
      </c>
      <c r="V42" s="39">
        <f t="shared" si="7"/>
        <v>0.37299999999999045</v>
      </c>
    </row>
    <row r="43" spans="1:22" ht="15" customHeight="1">
      <c r="A43" s="749" t="s">
        <v>271</v>
      </c>
      <c r="B43" s="751"/>
      <c r="C43" s="334">
        <f>'Výdaje '!H41</f>
        <v>0</v>
      </c>
      <c r="D43" s="304">
        <f>'Výdaje '!I41</f>
        <v>2</v>
      </c>
      <c r="E43" s="304">
        <f>'Výdaje '!J41</f>
        <v>0</v>
      </c>
      <c r="F43" s="308">
        <f t="shared" si="0"/>
        <v>0</v>
      </c>
      <c r="G43" s="303"/>
      <c r="H43" s="304"/>
      <c r="I43" s="378"/>
      <c r="J43" s="551">
        <f t="shared" si="3"/>
        <v>0</v>
      </c>
      <c r="K43" s="308">
        <f>I43/H39*100</f>
        <v>0</v>
      </c>
      <c r="L43" s="471"/>
      <c r="M43" s="591"/>
      <c r="N43" s="591"/>
      <c r="O43" s="592"/>
      <c r="P43" s="303">
        <f t="shared" si="4"/>
        <v>0</v>
      </c>
      <c r="Q43" s="304"/>
      <c r="R43" s="378"/>
      <c r="S43" s="308"/>
      <c r="U43" s="6">
        <v>0</v>
      </c>
      <c r="V43" s="39">
        <f t="shared" si="7"/>
        <v>0</v>
      </c>
    </row>
    <row r="44" spans="1:22" ht="15" customHeight="1" thickBot="1">
      <c r="A44" s="29"/>
      <c r="B44" s="604"/>
      <c r="C44" s="605"/>
      <c r="D44" s="311"/>
      <c r="E44" s="311"/>
      <c r="F44" s="312"/>
      <c r="G44" s="352"/>
      <c r="H44" s="353"/>
      <c r="I44" s="353"/>
      <c r="J44" s="606"/>
      <c r="K44" s="383"/>
      <c r="L44" s="595"/>
      <c r="M44" s="596"/>
      <c r="N44" s="596"/>
      <c r="O44" s="597"/>
      <c r="P44" s="352"/>
      <c r="Q44" s="353"/>
      <c r="R44" s="353"/>
      <c r="S44" s="383"/>
      <c r="V44" s="39">
        <f t="shared" si="7"/>
        <v>0</v>
      </c>
    </row>
    <row r="45" spans="3:19" ht="12" customHeight="1">
      <c r="C45" s="313"/>
      <c r="E45" s="313"/>
      <c r="K45" s="8"/>
      <c r="L45" s="39"/>
      <c r="M45" s="39"/>
      <c r="N45" s="39"/>
      <c r="O45" s="8"/>
      <c r="S45" s="8"/>
    </row>
    <row r="46" spans="5:19" ht="11.25" customHeight="1" thickBot="1">
      <c r="E46" s="60"/>
      <c r="K46" s="8"/>
      <c r="L46" s="8"/>
      <c r="M46" s="8"/>
      <c r="N46" s="8"/>
      <c r="O46" s="8"/>
      <c r="S46" s="8"/>
    </row>
    <row r="47" spans="1:21" ht="18" customHeight="1" thickBot="1">
      <c r="A47" s="37" t="s">
        <v>6</v>
      </c>
      <c r="C47" s="314">
        <f>SUM(C15:C43)</f>
        <v>452498</v>
      </c>
      <c r="D47" s="315">
        <f>SUM(D15:D43)</f>
        <v>1027684</v>
      </c>
      <c r="E47" s="315">
        <f>SUM(E15:E43)</f>
        <v>638515</v>
      </c>
      <c r="F47" s="316">
        <f>E47/D47*100</f>
        <v>62.131452859050064</v>
      </c>
      <c r="G47" s="315">
        <f>SUM(G15:G43)</f>
        <v>237</v>
      </c>
      <c r="H47" s="315">
        <f>SUM(H15:H43)</f>
        <v>219885</v>
      </c>
      <c r="I47" s="315">
        <f>SUM(I15:I43)</f>
        <v>122776</v>
      </c>
      <c r="J47" s="476"/>
      <c r="K47" s="607">
        <f>I47/H47*100</f>
        <v>55.8364599677104</v>
      </c>
      <c r="L47" s="598">
        <f>SUM(L14:L43)</f>
        <v>0</v>
      </c>
      <c r="M47" s="599">
        <f>SUM(M14:M43)</f>
        <v>9604</v>
      </c>
      <c r="N47" s="600">
        <f>SUM(N14:N43)</f>
        <v>9358</v>
      </c>
      <c r="O47" s="601">
        <f>N47/M47*100</f>
        <v>97.43856726364015</v>
      </c>
      <c r="P47" s="429">
        <f>SUM(P15:P43)</f>
        <v>452261</v>
      </c>
      <c r="Q47" s="315">
        <f>SUM(Q15:Q43)</f>
        <v>798193</v>
      </c>
      <c r="R47" s="315">
        <f>SUM(R15:R43)</f>
        <v>506381</v>
      </c>
      <c r="S47" s="316">
        <f>R47/Q47*100</f>
        <v>63.440922182980806</v>
      </c>
      <c r="U47" s="6">
        <f>SUM(U15:U46)</f>
        <v>506380549.8</v>
      </c>
    </row>
    <row r="48" spans="1:27" ht="18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0"/>
      <c r="W48" s="11"/>
      <c r="X48" s="608"/>
      <c r="Y48" s="608"/>
      <c r="Z48" s="608"/>
      <c r="AA48" s="13"/>
    </row>
    <row r="49" spans="3:9" s="39" customFormat="1" ht="15.75">
      <c r="C49" s="39">
        <v>452498</v>
      </c>
      <c r="D49" s="39">
        <v>1027684</v>
      </c>
      <c r="E49" s="39">
        <v>638515</v>
      </c>
      <c r="H49" s="6"/>
      <c r="I49" s="6"/>
    </row>
    <row r="52" ht="15.75">
      <c r="Q52" s="422"/>
    </row>
  </sheetData>
  <mergeCells count="11">
    <mergeCell ref="L9:O9"/>
    <mergeCell ref="A9:B9"/>
    <mergeCell ref="P12:S12"/>
    <mergeCell ref="G12:K12"/>
    <mergeCell ref="A2:S2"/>
    <mergeCell ref="A4:S4"/>
    <mergeCell ref="C9:F9"/>
    <mergeCell ref="P8:S8"/>
    <mergeCell ref="G9:K9"/>
    <mergeCell ref="G8:K8"/>
    <mergeCell ref="L8:O8"/>
  </mergeCells>
  <printOptions horizontalCentered="1" verticalCentered="1"/>
  <pageMargins left="0.3937007874015748" right="0.3937007874015748" top="0.7480314960629921" bottom="0.7480314960629921" header="0.5118110236220472" footer="0.5118110236220472"/>
  <pageSetup horizontalDpi="180" verticalDpi="180" orientation="landscape" paperSize="9" scale="6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AU72"/>
  <sheetViews>
    <sheetView showZeros="0" view="pageBreakPreview" zoomScale="60" zoomScaleNormal="75" workbookViewId="0" topLeftCell="A2">
      <pane xSplit="2" ySplit="12" topLeftCell="C14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R48" sqref="R48"/>
    </sheetView>
  </sheetViews>
  <sheetFormatPr defaultColWidth="9.796875" defaultRowHeight="15"/>
  <cols>
    <col min="1" max="1" width="9.796875" style="6" customWidth="1"/>
    <col min="2" max="2" width="17.796875" style="6" customWidth="1"/>
    <col min="3" max="4" width="7.796875" style="6" customWidth="1"/>
    <col min="5" max="5" width="9.19921875" style="6" customWidth="1"/>
    <col min="6" max="6" width="8.3984375" style="6" customWidth="1"/>
    <col min="7" max="7" width="6.8984375" style="6" customWidth="1"/>
    <col min="8" max="10" width="7.796875" style="6" customWidth="1"/>
    <col min="11" max="11" width="7.19921875" style="6" customWidth="1"/>
    <col min="12" max="13" width="7.796875" style="6" customWidth="1"/>
    <col min="14" max="14" width="9.69921875" style="6" customWidth="1"/>
    <col min="15" max="16" width="7.796875" style="6" customWidth="1"/>
    <col min="17" max="17" width="8.3984375" style="6" customWidth="1"/>
    <col min="18" max="20" width="7.796875" style="6" customWidth="1"/>
    <col min="21" max="21" width="8.296875" style="6" customWidth="1"/>
    <col min="22" max="22" width="7.796875" style="6" customWidth="1"/>
    <col min="23" max="24" width="6.8984375" style="6" customWidth="1"/>
    <col min="25" max="25" width="7.796875" style="6" customWidth="1"/>
    <col min="26" max="28" width="6.8984375" style="6" customWidth="1"/>
    <col min="29" max="29" width="7.796875" style="6" customWidth="1"/>
    <col min="30" max="30" width="6.8984375" style="6" customWidth="1"/>
    <col min="31" max="31" width="7.796875" style="6" customWidth="1"/>
    <col min="32" max="34" width="9.09765625" style="6" customWidth="1"/>
    <col min="35" max="35" width="0.3046875" style="6" customWidth="1"/>
    <col min="36" max="36" width="2.296875" style="6" customWidth="1"/>
    <col min="37" max="37" width="10.3984375" style="39" customWidth="1"/>
    <col min="38" max="60" width="7.796875" style="6" customWidth="1"/>
    <col min="61" max="16384" width="9.796875" style="6" customWidth="1"/>
  </cols>
  <sheetData>
    <row r="1" ht="17.25" customHeight="1">
      <c r="A1" s="5"/>
    </row>
    <row r="2" spans="1:30" ht="24" customHeight="1">
      <c r="A2" s="752" t="s">
        <v>231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752"/>
      <c r="Y2" s="752"/>
      <c r="Z2" s="752"/>
      <c r="AA2" s="752"/>
      <c r="AB2" s="752"/>
      <c r="AC2" s="752"/>
      <c r="AD2" s="752"/>
    </row>
    <row r="3" spans="1:47" ht="15" customHeight="1">
      <c r="A3" s="752"/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  <c r="R3" s="752"/>
      <c r="S3" s="752"/>
      <c r="T3" s="752"/>
      <c r="U3" s="752"/>
      <c r="V3" s="752"/>
      <c r="W3" s="752"/>
      <c r="X3" s="752"/>
      <c r="Y3" s="752"/>
      <c r="Z3" s="752"/>
      <c r="AA3" s="752"/>
      <c r="AB3" s="752"/>
      <c r="AC3" s="752"/>
      <c r="AD3" s="752"/>
      <c r="AE3" s="10"/>
      <c r="AF3" s="62"/>
      <c r="AG3" s="10"/>
      <c r="AH3" s="10"/>
      <c r="AI3" s="10"/>
      <c r="AJ3" s="10"/>
      <c r="AK3" s="586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33" ht="21" customHeight="1">
      <c r="A4" s="761" t="s">
        <v>151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761"/>
      <c r="AB4" s="761"/>
      <c r="AC4" s="761"/>
      <c r="AD4" s="761"/>
      <c r="AE4" s="10"/>
      <c r="AF4" s="9"/>
      <c r="AG4" s="10"/>
    </row>
    <row r="5" spans="12:14" ht="22.5" customHeight="1">
      <c r="L5" s="40" t="s">
        <v>68</v>
      </c>
      <c r="N5" s="12"/>
    </row>
    <row r="6" spans="1:30" ht="22.5" customHeight="1">
      <c r="A6" s="11"/>
      <c r="B6" s="11"/>
      <c r="D6" s="11"/>
      <c r="E6" s="11"/>
      <c r="F6" s="11"/>
      <c r="G6" s="11"/>
      <c r="H6" s="11"/>
      <c r="I6" s="11"/>
      <c r="J6" s="11"/>
      <c r="K6" s="11"/>
      <c r="L6" s="11"/>
      <c r="M6" s="12"/>
      <c r="N6" s="13"/>
      <c r="O6" s="11"/>
      <c r="P6" s="11"/>
      <c r="Q6" s="11"/>
      <c r="R6" s="11"/>
      <c r="S6" s="11"/>
      <c r="T6" s="11"/>
      <c r="U6" s="11"/>
      <c r="V6" s="11"/>
      <c r="W6" s="11"/>
      <c r="X6" s="11"/>
      <c r="Y6" s="40"/>
      <c r="Z6" s="204"/>
      <c r="AA6" s="11"/>
      <c r="AB6" s="11"/>
      <c r="AC6" s="40" t="s">
        <v>181</v>
      </c>
      <c r="AD6" s="5"/>
    </row>
    <row r="7" spans="1:33" ht="16.5" customHeight="1" thickBot="1">
      <c r="A7" s="11"/>
      <c r="B7" s="11"/>
      <c r="C7" s="86"/>
      <c r="D7" s="87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X7" s="11"/>
      <c r="Z7" s="8"/>
      <c r="AB7" s="11"/>
      <c r="AD7" s="8" t="s">
        <v>3</v>
      </c>
      <c r="AE7" s="8"/>
      <c r="AF7" s="8"/>
      <c r="AG7" s="8"/>
    </row>
    <row r="8" spans="1:42" ht="18" customHeight="1" thickBot="1">
      <c r="A8" s="16"/>
      <c r="B8" s="17"/>
      <c r="C8" s="18" t="s">
        <v>141</v>
      </c>
      <c r="D8" s="19"/>
      <c r="E8" s="19"/>
      <c r="F8" s="20"/>
      <c r="G8" s="82" t="s">
        <v>143</v>
      </c>
      <c r="H8" s="83"/>
      <c r="I8" s="84"/>
      <c r="J8" s="85"/>
      <c r="K8" s="82" t="s">
        <v>143</v>
      </c>
      <c r="L8" s="22"/>
      <c r="M8" s="19"/>
      <c r="N8" s="20"/>
      <c r="O8" s="82" t="s">
        <v>146</v>
      </c>
      <c r="P8" s="84"/>
      <c r="Q8" s="84"/>
      <c r="R8" s="85"/>
      <c r="S8" s="82" t="s">
        <v>146</v>
      </c>
      <c r="T8" s="84"/>
      <c r="U8" s="84"/>
      <c r="V8" s="85"/>
      <c r="W8" s="759" t="s">
        <v>209</v>
      </c>
      <c r="X8" s="758"/>
      <c r="Y8" s="758"/>
      <c r="Z8" s="760"/>
      <c r="AA8" s="759" t="s">
        <v>211</v>
      </c>
      <c r="AB8" s="758"/>
      <c r="AC8" s="758"/>
      <c r="AD8" s="760"/>
      <c r="AF8" s="117"/>
      <c r="AG8" s="117"/>
      <c r="AK8" s="61"/>
      <c r="AL8" s="3"/>
      <c r="AM8" s="3"/>
      <c r="AN8" s="24"/>
      <c r="AO8" s="24"/>
      <c r="AP8" s="24"/>
    </row>
    <row r="9" spans="1:42" ht="18" customHeight="1" thickBot="1">
      <c r="A9" s="74"/>
      <c r="B9" s="24"/>
      <c r="C9" s="770" t="s">
        <v>142</v>
      </c>
      <c r="D9" s="833"/>
      <c r="E9" s="833"/>
      <c r="F9" s="834"/>
      <c r="G9" s="770" t="s">
        <v>144</v>
      </c>
      <c r="H9" s="833"/>
      <c r="I9" s="833"/>
      <c r="J9" s="834"/>
      <c r="K9" s="770" t="s">
        <v>145</v>
      </c>
      <c r="L9" s="833"/>
      <c r="M9" s="833"/>
      <c r="N9" s="834"/>
      <c r="O9" s="770" t="s">
        <v>147</v>
      </c>
      <c r="P9" s="833"/>
      <c r="Q9" s="833"/>
      <c r="R9" s="834"/>
      <c r="S9" s="770" t="s">
        <v>148</v>
      </c>
      <c r="T9" s="833"/>
      <c r="U9" s="833"/>
      <c r="V9" s="834"/>
      <c r="W9" s="770" t="s">
        <v>210</v>
      </c>
      <c r="X9" s="833"/>
      <c r="Y9" s="833"/>
      <c r="Z9" s="834"/>
      <c r="AA9" s="770" t="s">
        <v>210</v>
      </c>
      <c r="AB9" s="833"/>
      <c r="AC9" s="833"/>
      <c r="AD9" s="834"/>
      <c r="AF9" s="827" t="s">
        <v>176</v>
      </c>
      <c r="AG9" s="828"/>
      <c r="AH9" s="829"/>
      <c r="AK9" s="61"/>
      <c r="AL9" s="3"/>
      <c r="AM9" s="3"/>
      <c r="AN9" s="24"/>
      <c r="AO9" s="24"/>
      <c r="AP9" s="24"/>
    </row>
    <row r="10" spans="1:42" ht="18" customHeight="1">
      <c r="A10" s="756" t="s">
        <v>285</v>
      </c>
      <c r="B10" s="757"/>
      <c r="C10" s="88" t="s">
        <v>40</v>
      </c>
      <c r="D10" s="89"/>
      <c r="E10" s="77" t="s">
        <v>41</v>
      </c>
      <c r="F10" s="78" t="s">
        <v>2</v>
      </c>
      <c r="G10" s="92" t="s">
        <v>40</v>
      </c>
      <c r="H10" s="93"/>
      <c r="I10" s="77" t="s">
        <v>41</v>
      </c>
      <c r="J10" s="78" t="s">
        <v>2</v>
      </c>
      <c r="K10" s="92" t="s">
        <v>40</v>
      </c>
      <c r="L10" s="93"/>
      <c r="M10" s="152" t="s">
        <v>41</v>
      </c>
      <c r="N10" s="206" t="s">
        <v>2</v>
      </c>
      <c r="O10" s="92" t="s">
        <v>40</v>
      </c>
      <c r="P10" s="93"/>
      <c r="Q10" s="152" t="s">
        <v>41</v>
      </c>
      <c r="R10" s="206" t="s">
        <v>2</v>
      </c>
      <c r="S10" s="92" t="s">
        <v>40</v>
      </c>
      <c r="T10" s="93"/>
      <c r="U10" s="152" t="s">
        <v>41</v>
      </c>
      <c r="V10" s="206" t="s">
        <v>2</v>
      </c>
      <c r="W10" s="92" t="s">
        <v>40</v>
      </c>
      <c r="X10" s="93"/>
      <c r="Y10" s="152" t="s">
        <v>41</v>
      </c>
      <c r="Z10" s="206" t="s">
        <v>2</v>
      </c>
      <c r="AA10" s="92" t="s">
        <v>40</v>
      </c>
      <c r="AB10" s="93"/>
      <c r="AC10" s="152" t="s">
        <v>41</v>
      </c>
      <c r="AD10" s="206" t="s">
        <v>2</v>
      </c>
      <c r="AE10" s="3"/>
      <c r="AF10" s="830" t="s">
        <v>177</v>
      </c>
      <c r="AG10" s="762"/>
      <c r="AH10" s="831"/>
      <c r="AK10" s="61"/>
      <c r="AL10" s="3"/>
      <c r="AM10" s="3"/>
      <c r="AN10" s="24"/>
      <c r="AO10" s="24"/>
      <c r="AP10" s="24"/>
    </row>
    <row r="11" spans="1:42" ht="18" customHeight="1" thickBot="1">
      <c r="A11" s="29"/>
      <c r="B11" s="30"/>
      <c r="C11" s="31" t="s">
        <v>73</v>
      </c>
      <c r="D11" s="33" t="s">
        <v>74</v>
      </c>
      <c r="E11" s="32" t="s">
        <v>200</v>
      </c>
      <c r="F11" s="34" t="s">
        <v>19</v>
      </c>
      <c r="G11" s="31" t="s">
        <v>73</v>
      </c>
      <c r="H11" s="32" t="s">
        <v>74</v>
      </c>
      <c r="I11" s="32" t="s">
        <v>200</v>
      </c>
      <c r="J11" s="34" t="s">
        <v>19</v>
      </c>
      <c r="K11" s="107" t="s">
        <v>73</v>
      </c>
      <c r="L11" s="108" t="s">
        <v>74</v>
      </c>
      <c r="M11" s="32" t="s">
        <v>200</v>
      </c>
      <c r="N11" s="109" t="s">
        <v>19</v>
      </c>
      <c r="O11" s="31" t="s">
        <v>73</v>
      </c>
      <c r="P11" s="32" t="s">
        <v>74</v>
      </c>
      <c r="Q11" s="32" t="s">
        <v>200</v>
      </c>
      <c r="R11" s="34" t="s">
        <v>19</v>
      </c>
      <c r="S11" s="31" t="s">
        <v>73</v>
      </c>
      <c r="T11" s="32" t="s">
        <v>74</v>
      </c>
      <c r="U11" s="32" t="s">
        <v>200</v>
      </c>
      <c r="V11" s="34" t="s">
        <v>19</v>
      </c>
      <c r="W11" s="31" t="s">
        <v>73</v>
      </c>
      <c r="X11" s="32" t="s">
        <v>74</v>
      </c>
      <c r="Y11" s="32" t="s">
        <v>200</v>
      </c>
      <c r="Z11" s="34" t="s">
        <v>19</v>
      </c>
      <c r="AA11" s="31" t="s">
        <v>73</v>
      </c>
      <c r="AB11" s="32" t="s">
        <v>74</v>
      </c>
      <c r="AC11" s="32" t="s">
        <v>200</v>
      </c>
      <c r="AD11" s="34" t="s">
        <v>19</v>
      </c>
      <c r="AE11" s="128"/>
      <c r="AF11" s="118" t="s">
        <v>20</v>
      </c>
      <c r="AG11" s="57" t="s">
        <v>21</v>
      </c>
      <c r="AH11" s="119" t="s">
        <v>178</v>
      </c>
      <c r="AI11" s="10"/>
      <c r="AK11" s="61"/>
      <c r="AL11" s="3"/>
      <c r="AM11" s="3"/>
      <c r="AN11" s="24"/>
      <c r="AO11" s="24"/>
      <c r="AP11" s="24"/>
    </row>
    <row r="12" spans="4:42" ht="15.75" customHeight="1" hidden="1" thickBot="1" thickTop="1">
      <c r="D12" s="6" t="s">
        <v>75</v>
      </c>
      <c r="H12" s="6" t="s">
        <v>76</v>
      </c>
      <c r="L12" s="6" t="s">
        <v>77</v>
      </c>
      <c r="P12" s="6" t="s">
        <v>78</v>
      </c>
      <c r="T12" s="6" t="s">
        <v>79</v>
      </c>
      <c r="W12" s="6" t="s">
        <v>40</v>
      </c>
      <c r="Y12" s="6" t="s">
        <v>41</v>
      </c>
      <c r="Z12" s="6" t="s">
        <v>2</v>
      </c>
      <c r="AA12" s="6" t="s">
        <v>40</v>
      </c>
      <c r="AC12" s="6" t="s">
        <v>41</v>
      </c>
      <c r="AD12" s="6" t="s">
        <v>2</v>
      </c>
      <c r="AF12" s="207"/>
      <c r="AG12" s="59"/>
      <c r="AH12" s="124"/>
      <c r="AK12" s="61"/>
      <c r="AL12" s="24"/>
      <c r="AM12" s="24"/>
      <c r="AN12" s="24"/>
      <c r="AO12" s="24"/>
      <c r="AP12" s="24"/>
    </row>
    <row r="13" spans="3:39" ht="15.75" customHeight="1">
      <c r="C13" s="736" t="s">
        <v>282</v>
      </c>
      <c r="D13" s="736"/>
      <c r="E13" s="736"/>
      <c r="F13" s="736"/>
      <c r="G13" s="736" t="s">
        <v>140</v>
      </c>
      <c r="H13" s="736"/>
      <c r="I13" s="736"/>
      <c r="J13" s="736"/>
      <c r="K13" s="736" t="s">
        <v>140</v>
      </c>
      <c r="L13" s="736"/>
      <c r="M13" s="736"/>
      <c r="N13" s="736"/>
      <c r="O13" s="736" t="s">
        <v>149</v>
      </c>
      <c r="P13" s="736"/>
      <c r="Q13" s="736"/>
      <c r="R13" s="736"/>
      <c r="S13" s="736" t="s">
        <v>149</v>
      </c>
      <c r="T13" s="736"/>
      <c r="U13" s="736"/>
      <c r="V13" s="736"/>
      <c r="W13" s="736" t="s">
        <v>212</v>
      </c>
      <c r="X13" s="736"/>
      <c r="Y13" s="736"/>
      <c r="Z13" s="736"/>
      <c r="AA13" s="736" t="s">
        <v>213</v>
      </c>
      <c r="AB13" s="736"/>
      <c r="AC13" s="736"/>
      <c r="AD13" s="736"/>
      <c r="AH13" s="24"/>
      <c r="AI13" s="24"/>
      <c r="AJ13" s="24"/>
      <c r="AK13" s="61"/>
      <c r="AL13" s="24"/>
      <c r="AM13" s="24"/>
    </row>
    <row r="14" spans="3:42" ht="15.75" customHeight="1" thickBot="1">
      <c r="C14" s="6" t="s">
        <v>83</v>
      </c>
      <c r="D14" s="39"/>
      <c r="AH14" s="24"/>
      <c r="AK14" s="61"/>
      <c r="AL14" s="24"/>
      <c r="AM14" s="24"/>
      <c r="AN14" s="24"/>
      <c r="AO14" s="24"/>
      <c r="AP14" s="24"/>
    </row>
    <row r="15" spans="1:42" ht="16.5" customHeight="1" thickBot="1">
      <c r="A15" s="611"/>
      <c r="B15" s="681"/>
      <c r="C15" s="648"/>
      <c r="D15" s="349"/>
      <c r="E15" s="349"/>
      <c r="F15" s="481"/>
      <c r="G15" s="348"/>
      <c r="H15" s="349"/>
      <c r="I15" s="349"/>
      <c r="J15" s="481"/>
      <c r="K15" s="348"/>
      <c r="L15" s="349"/>
      <c r="M15" s="349"/>
      <c r="N15" s="341"/>
      <c r="O15" s="348"/>
      <c r="P15" s="349"/>
      <c r="Q15" s="349"/>
      <c r="R15" s="341"/>
      <c r="S15" s="348"/>
      <c r="T15" s="349"/>
      <c r="U15" s="349"/>
      <c r="V15" s="341"/>
      <c r="W15" s="348"/>
      <c r="X15" s="349"/>
      <c r="Y15" s="349"/>
      <c r="Z15" s="341"/>
      <c r="AA15" s="348"/>
      <c r="AB15" s="349"/>
      <c r="AC15" s="349"/>
      <c r="AD15" s="341"/>
      <c r="AE15" s="392"/>
      <c r="AF15" s="208"/>
      <c r="AG15" s="209"/>
      <c r="AH15" s="585"/>
      <c r="AK15" s="61"/>
      <c r="AL15" s="24"/>
      <c r="AM15" s="24"/>
      <c r="AN15" s="24"/>
      <c r="AO15" s="24"/>
      <c r="AP15" s="24"/>
    </row>
    <row r="16" spans="1:42" ht="16.5" customHeight="1">
      <c r="A16" s="746" t="s">
        <v>243</v>
      </c>
      <c r="B16" s="603"/>
      <c r="C16" s="726">
        <v>35000</v>
      </c>
      <c r="D16" s="355">
        <v>43886</v>
      </c>
      <c r="E16" s="355">
        <v>-32773</v>
      </c>
      <c r="F16" s="513"/>
      <c r="G16" s="511"/>
      <c r="H16" s="355"/>
      <c r="I16" s="355"/>
      <c r="J16" s="513"/>
      <c r="K16" s="511"/>
      <c r="L16" s="355"/>
      <c r="M16" s="355"/>
      <c r="N16" s="513"/>
      <c r="O16" s="355">
        <v>-4126</v>
      </c>
      <c r="P16" s="355">
        <v>-4126</v>
      </c>
      <c r="Q16" s="355">
        <v>-4126</v>
      </c>
      <c r="R16" s="513">
        <f>Q16/P16*100</f>
        <v>100</v>
      </c>
      <c r="S16" s="511"/>
      <c r="T16" s="355"/>
      <c r="U16" s="355"/>
      <c r="V16" s="513"/>
      <c r="W16" s="511"/>
      <c r="X16" s="355"/>
      <c r="Y16" s="355"/>
      <c r="Z16" s="308"/>
      <c r="AA16" s="511"/>
      <c r="AB16" s="355"/>
      <c r="AC16" s="355"/>
      <c r="AD16" s="308"/>
      <c r="AE16" s="395"/>
      <c r="AF16" s="577">
        <f>C16+G16+K16+O16+S16+AA16+W16</f>
        <v>30874</v>
      </c>
      <c r="AG16" s="578">
        <f aca="true" t="shared" si="0" ref="AG16:AH31">D16+H16+L16+P16+T16+AB16+X16</f>
        <v>39760</v>
      </c>
      <c r="AH16" s="579">
        <f t="shared" si="0"/>
        <v>-36899</v>
      </c>
      <c r="AI16" s="329"/>
      <c r="AJ16" s="532"/>
      <c r="AK16" s="39">
        <v>-36898924</v>
      </c>
      <c r="AL16" s="61">
        <f>AK16/1000-AH16</f>
        <v>0.07600000000093132</v>
      </c>
      <c r="AM16" s="24"/>
      <c r="AN16" s="24"/>
      <c r="AO16" s="24"/>
      <c r="AP16" s="24"/>
    </row>
    <row r="17" spans="1:42" ht="16.5" customHeight="1">
      <c r="A17" s="745" t="s">
        <v>244</v>
      </c>
      <c r="B17" s="603"/>
      <c r="C17" s="726">
        <v>4603</v>
      </c>
      <c r="D17" s="355">
        <v>6873</v>
      </c>
      <c r="E17" s="355">
        <v>-67</v>
      </c>
      <c r="F17" s="513"/>
      <c r="G17" s="511"/>
      <c r="H17" s="355"/>
      <c r="I17" s="355"/>
      <c r="J17" s="513"/>
      <c r="K17" s="511"/>
      <c r="L17" s="355"/>
      <c r="M17" s="355"/>
      <c r="N17" s="513"/>
      <c r="O17" s="355"/>
      <c r="P17" s="355"/>
      <c r="Q17" s="355"/>
      <c r="R17" s="513"/>
      <c r="S17" s="511"/>
      <c r="T17" s="355"/>
      <c r="U17" s="355"/>
      <c r="V17" s="513"/>
      <c r="W17" s="511"/>
      <c r="X17" s="355"/>
      <c r="Y17" s="512"/>
      <c r="Z17" s="513"/>
      <c r="AA17" s="511"/>
      <c r="AB17" s="355"/>
      <c r="AC17" s="512"/>
      <c r="AD17" s="513"/>
      <c r="AE17" s="395"/>
      <c r="AF17" s="580">
        <f aca="true" t="shared" si="1" ref="AF17:AH45">C17+G17+K17+O17+S17+AA17+W17</f>
        <v>4603</v>
      </c>
      <c r="AG17" s="581">
        <f t="shared" si="0"/>
        <v>6873</v>
      </c>
      <c r="AH17" s="582">
        <f t="shared" si="0"/>
        <v>-67</v>
      </c>
      <c r="AI17" s="329"/>
      <c r="AJ17" s="532"/>
      <c r="AK17" s="39">
        <v>-66734</v>
      </c>
      <c r="AL17" s="61">
        <f aca="true" t="shared" si="2" ref="AL17:AL44">AK17/1000-AH17</f>
        <v>0.26600000000000534</v>
      </c>
      <c r="AM17" s="24"/>
      <c r="AN17" s="24"/>
      <c r="AO17" s="24"/>
      <c r="AP17" s="24"/>
    </row>
    <row r="18" spans="1:42" ht="16.5" customHeight="1">
      <c r="A18" s="745" t="s">
        <v>245</v>
      </c>
      <c r="B18" s="603"/>
      <c r="C18" s="726">
        <v>207</v>
      </c>
      <c r="D18" s="355">
        <v>11145</v>
      </c>
      <c r="E18" s="355">
        <v>-4619</v>
      </c>
      <c r="F18" s="513"/>
      <c r="G18" s="511"/>
      <c r="H18" s="355"/>
      <c r="I18" s="355"/>
      <c r="J18" s="513"/>
      <c r="K18" s="511"/>
      <c r="L18" s="355"/>
      <c r="M18" s="355"/>
      <c r="N18" s="513"/>
      <c r="O18" s="355">
        <v>-1758</v>
      </c>
      <c r="P18" s="355">
        <v>-1758</v>
      </c>
      <c r="Q18" s="355">
        <v>-1758</v>
      </c>
      <c r="R18" s="513">
        <f>Q18/P18*100</f>
        <v>100</v>
      </c>
      <c r="S18" s="511"/>
      <c r="T18" s="355"/>
      <c r="U18" s="355"/>
      <c r="V18" s="513"/>
      <c r="W18" s="511"/>
      <c r="X18" s="355"/>
      <c r="Y18" s="355"/>
      <c r="Z18" s="513"/>
      <c r="AA18" s="511"/>
      <c r="AB18" s="355"/>
      <c r="AC18" s="355"/>
      <c r="AD18" s="513"/>
      <c r="AE18" s="395"/>
      <c r="AF18" s="580">
        <f t="shared" si="1"/>
        <v>-1551</v>
      </c>
      <c r="AG18" s="581">
        <f t="shared" si="0"/>
        <v>9387</v>
      </c>
      <c r="AH18" s="582">
        <f t="shared" si="0"/>
        <v>-6377</v>
      </c>
      <c r="AI18" s="329"/>
      <c r="AJ18" s="532"/>
      <c r="AK18" s="39">
        <v>-6376493</v>
      </c>
      <c r="AL18" s="61">
        <f t="shared" si="2"/>
        <v>0.5069999999996071</v>
      </c>
      <c r="AM18" s="24"/>
      <c r="AN18" s="24"/>
      <c r="AO18" s="24"/>
      <c r="AP18" s="24"/>
    </row>
    <row r="19" spans="1:42" ht="16.5" customHeight="1">
      <c r="A19" s="745" t="s">
        <v>246</v>
      </c>
      <c r="B19" s="603"/>
      <c r="C19" s="726">
        <v>7600</v>
      </c>
      <c r="D19" s="355">
        <v>18828</v>
      </c>
      <c r="E19" s="355">
        <f>2470-1</f>
        <v>2469</v>
      </c>
      <c r="F19" s="513">
        <f>E19/D19*100</f>
        <v>13.11344805608668</v>
      </c>
      <c r="G19" s="511"/>
      <c r="H19" s="355"/>
      <c r="I19" s="355"/>
      <c r="J19" s="513"/>
      <c r="K19" s="511"/>
      <c r="L19" s="355">
        <v>60000</v>
      </c>
      <c r="M19" s="355">
        <v>71294</v>
      </c>
      <c r="N19" s="513">
        <f>M19/L19*100</f>
        <v>118.82333333333332</v>
      </c>
      <c r="O19" s="355">
        <v>-3083</v>
      </c>
      <c r="P19" s="355">
        <v>-3083</v>
      </c>
      <c r="Q19" s="355">
        <v>-3083</v>
      </c>
      <c r="R19" s="513">
        <f>Q19/P19*100</f>
        <v>100</v>
      </c>
      <c r="S19" s="511">
        <v>-8161</v>
      </c>
      <c r="T19" s="355">
        <v>-8161</v>
      </c>
      <c r="U19" s="355">
        <v>-8171</v>
      </c>
      <c r="V19" s="513">
        <f>U19/T19*100</f>
        <v>100.12253400318589</v>
      </c>
      <c r="W19" s="511"/>
      <c r="X19" s="355"/>
      <c r="Y19" s="355"/>
      <c r="Z19" s="513"/>
      <c r="AA19" s="511"/>
      <c r="AB19" s="355"/>
      <c r="AC19" s="355"/>
      <c r="AD19" s="513"/>
      <c r="AE19" s="395"/>
      <c r="AF19" s="580">
        <f t="shared" si="1"/>
        <v>-3644</v>
      </c>
      <c r="AG19" s="581">
        <f t="shared" si="0"/>
        <v>67584</v>
      </c>
      <c r="AH19" s="582">
        <f t="shared" si="0"/>
        <v>62509</v>
      </c>
      <c r="AI19" s="329"/>
      <c r="AJ19" s="532"/>
      <c r="AK19" s="39">
        <v>62509227</v>
      </c>
      <c r="AL19" s="61">
        <f t="shared" si="2"/>
        <v>0.22699999999895226</v>
      </c>
      <c r="AM19" s="24"/>
      <c r="AN19" s="24"/>
      <c r="AO19" s="24"/>
      <c r="AP19" s="24"/>
    </row>
    <row r="20" spans="1:42" ht="16.5" customHeight="1">
      <c r="A20" s="745" t="s">
        <v>247</v>
      </c>
      <c r="B20" s="603"/>
      <c r="C20" s="726">
        <v>300</v>
      </c>
      <c r="D20" s="355">
        <v>745</v>
      </c>
      <c r="E20" s="355">
        <v>-2778</v>
      </c>
      <c r="F20" s="513"/>
      <c r="G20" s="511"/>
      <c r="H20" s="355"/>
      <c r="I20" s="355"/>
      <c r="J20" s="513"/>
      <c r="K20" s="511"/>
      <c r="L20" s="355"/>
      <c r="M20" s="355"/>
      <c r="N20" s="513"/>
      <c r="O20" s="355">
        <v>-852</v>
      </c>
      <c r="P20" s="355">
        <v>-852</v>
      </c>
      <c r="Q20" s="355">
        <v>-852</v>
      </c>
      <c r="R20" s="513">
        <f>Q20/P20*100</f>
        <v>100</v>
      </c>
      <c r="S20" s="511">
        <v>-9113</v>
      </c>
      <c r="T20" s="355">
        <f>-9987-P20</f>
        <v>-9135</v>
      </c>
      <c r="U20" s="355">
        <v>-9135</v>
      </c>
      <c r="V20" s="513">
        <f>U20/T20*100</f>
        <v>100</v>
      </c>
      <c r="W20" s="511"/>
      <c r="X20" s="355"/>
      <c r="Y20" s="355">
        <f>21063-21063</f>
        <v>0</v>
      </c>
      <c r="Z20" s="513"/>
      <c r="AA20" s="511"/>
      <c r="AB20" s="355"/>
      <c r="AC20" s="355"/>
      <c r="AD20" s="513"/>
      <c r="AE20" s="395"/>
      <c r="AF20" s="580">
        <f t="shared" si="1"/>
        <v>-9665</v>
      </c>
      <c r="AG20" s="581">
        <f t="shared" si="0"/>
        <v>-9242</v>
      </c>
      <c r="AH20" s="582">
        <f t="shared" si="0"/>
        <v>-12765</v>
      </c>
      <c r="AI20" s="329"/>
      <c r="AJ20" s="532"/>
      <c r="AK20" s="39">
        <v>-12764356</v>
      </c>
      <c r="AL20" s="61">
        <f t="shared" si="2"/>
        <v>0.6440000000002328</v>
      </c>
      <c r="AM20" s="24"/>
      <c r="AN20" s="24"/>
      <c r="AO20" s="24"/>
      <c r="AP20" s="24"/>
    </row>
    <row r="21" spans="1:42" ht="16.5" customHeight="1">
      <c r="A21" s="745" t="s">
        <v>248</v>
      </c>
      <c r="B21" s="603"/>
      <c r="C21" s="726">
        <v>1468</v>
      </c>
      <c r="D21" s="355">
        <v>1565</v>
      </c>
      <c r="E21" s="355">
        <v>-2134</v>
      </c>
      <c r="F21" s="513"/>
      <c r="G21" s="511"/>
      <c r="H21" s="355"/>
      <c r="I21" s="355"/>
      <c r="J21" s="513"/>
      <c r="K21" s="511"/>
      <c r="L21" s="355"/>
      <c r="M21" s="355"/>
      <c r="N21" s="513"/>
      <c r="O21" s="355">
        <v>-208</v>
      </c>
      <c r="P21" s="355">
        <v>-208</v>
      </c>
      <c r="Q21" s="355">
        <v>-208</v>
      </c>
      <c r="R21" s="513">
        <f>Q21/P21*100</f>
        <v>100</v>
      </c>
      <c r="S21" s="511"/>
      <c r="T21" s="355"/>
      <c r="U21" s="355"/>
      <c r="V21" s="513"/>
      <c r="W21" s="511"/>
      <c r="X21" s="355"/>
      <c r="Y21" s="355"/>
      <c r="Z21" s="513"/>
      <c r="AA21" s="511"/>
      <c r="AB21" s="355"/>
      <c r="AC21" s="355"/>
      <c r="AD21" s="513"/>
      <c r="AE21" s="395"/>
      <c r="AF21" s="580">
        <f t="shared" si="1"/>
        <v>1260</v>
      </c>
      <c r="AG21" s="581">
        <f t="shared" si="0"/>
        <v>1357</v>
      </c>
      <c r="AH21" s="582">
        <f t="shared" si="0"/>
        <v>-2342</v>
      </c>
      <c r="AI21" s="329"/>
      <c r="AJ21" s="532"/>
      <c r="AK21" s="39">
        <v>-2342626</v>
      </c>
      <c r="AL21" s="61">
        <f t="shared" si="2"/>
        <v>-0.6260000000002037</v>
      </c>
      <c r="AM21" s="24"/>
      <c r="AN21" s="24"/>
      <c r="AO21" s="24"/>
      <c r="AP21" s="24"/>
    </row>
    <row r="22" spans="1:42" ht="16.5" customHeight="1">
      <c r="A22" s="745" t="s">
        <v>249</v>
      </c>
      <c r="B22" s="603"/>
      <c r="C22" s="726">
        <v>1000</v>
      </c>
      <c r="D22" s="355">
        <v>5144</v>
      </c>
      <c r="E22" s="355">
        <v>-11264</v>
      </c>
      <c r="F22" s="513"/>
      <c r="G22" s="511"/>
      <c r="H22" s="355"/>
      <c r="I22" s="355"/>
      <c r="J22" s="513"/>
      <c r="K22" s="511"/>
      <c r="L22" s="355"/>
      <c r="M22" s="355"/>
      <c r="N22" s="513"/>
      <c r="O22" s="355">
        <v>-4191</v>
      </c>
      <c r="P22" s="355">
        <v>-4191</v>
      </c>
      <c r="Q22" s="355">
        <v>-4191</v>
      </c>
      <c r="R22" s="513">
        <f>Q22/P22*100</f>
        <v>100</v>
      </c>
      <c r="S22" s="511">
        <v>-2019</v>
      </c>
      <c r="T22" s="355">
        <v>-2019</v>
      </c>
      <c r="U22" s="355">
        <v>-2019</v>
      </c>
      <c r="V22" s="513">
        <f>U22/T22*100</f>
        <v>100</v>
      </c>
      <c r="W22" s="511"/>
      <c r="X22" s="355"/>
      <c r="Y22" s="355">
        <f>11970-11970</f>
        <v>0</v>
      </c>
      <c r="Z22" s="513"/>
      <c r="AA22" s="511"/>
      <c r="AB22" s="355"/>
      <c r="AC22" s="355"/>
      <c r="AD22" s="513"/>
      <c r="AE22" s="395"/>
      <c r="AF22" s="580">
        <f t="shared" si="1"/>
        <v>-5210</v>
      </c>
      <c r="AG22" s="581">
        <f t="shared" si="0"/>
        <v>-1066</v>
      </c>
      <c r="AH22" s="582">
        <f t="shared" si="0"/>
        <v>-17474</v>
      </c>
      <c r="AI22" s="329"/>
      <c r="AJ22" s="532"/>
      <c r="AK22" s="39">
        <v>-17473543</v>
      </c>
      <c r="AL22" s="61">
        <f t="shared" si="2"/>
        <v>0.4569999999985157</v>
      </c>
      <c r="AM22" s="24"/>
      <c r="AN22" s="24"/>
      <c r="AO22" s="24"/>
      <c r="AP22" s="24"/>
    </row>
    <row r="23" spans="1:42" ht="16.5" customHeight="1">
      <c r="A23" s="746" t="s">
        <v>250</v>
      </c>
      <c r="B23" s="603"/>
      <c r="C23" s="726">
        <v>3792</v>
      </c>
      <c r="D23" s="355">
        <v>29313</v>
      </c>
      <c r="E23" s="355">
        <v>-1117</v>
      </c>
      <c r="F23" s="513"/>
      <c r="G23" s="511"/>
      <c r="H23" s="355"/>
      <c r="I23" s="355"/>
      <c r="J23" s="513"/>
      <c r="K23" s="511"/>
      <c r="L23" s="355"/>
      <c r="M23" s="355"/>
      <c r="N23" s="513"/>
      <c r="O23" s="355"/>
      <c r="P23" s="355"/>
      <c r="Q23" s="355"/>
      <c r="R23" s="513"/>
      <c r="S23" s="511">
        <v>-3840</v>
      </c>
      <c r="T23" s="355">
        <v>-3840</v>
      </c>
      <c r="U23" s="355">
        <v>-3840</v>
      </c>
      <c r="V23" s="513">
        <f>U23/T23*100</f>
        <v>100</v>
      </c>
      <c r="W23" s="511"/>
      <c r="X23" s="355"/>
      <c r="Y23" s="355">
        <f>120000-120000</f>
        <v>0</v>
      </c>
      <c r="Z23" s="513"/>
      <c r="AA23" s="511"/>
      <c r="AB23" s="355"/>
      <c r="AC23" s="355"/>
      <c r="AD23" s="513"/>
      <c r="AE23" s="395"/>
      <c r="AF23" s="580">
        <f t="shared" si="1"/>
        <v>-48</v>
      </c>
      <c r="AG23" s="581">
        <f t="shared" si="0"/>
        <v>25473</v>
      </c>
      <c r="AH23" s="582">
        <f t="shared" si="0"/>
        <v>-4957</v>
      </c>
      <c r="AI23" s="329"/>
      <c r="AJ23" s="532"/>
      <c r="AK23" s="39">
        <v>-4957495</v>
      </c>
      <c r="AL23" s="61">
        <f t="shared" si="2"/>
        <v>-0.49499999999989086</v>
      </c>
      <c r="AM23" s="24"/>
      <c r="AN23" s="24"/>
      <c r="AO23" s="24"/>
      <c r="AP23" s="24"/>
    </row>
    <row r="24" spans="1:42" ht="16.5" customHeight="1">
      <c r="A24" s="745" t="s">
        <v>251</v>
      </c>
      <c r="B24" s="603"/>
      <c r="C24" s="726"/>
      <c r="D24" s="355">
        <v>2606</v>
      </c>
      <c r="E24" s="355">
        <v>990</v>
      </c>
      <c r="F24" s="513">
        <f>E24/D24*100</f>
        <v>37.98925556408289</v>
      </c>
      <c r="G24" s="511"/>
      <c r="H24" s="355"/>
      <c r="I24" s="355"/>
      <c r="J24" s="513"/>
      <c r="K24" s="511"/>
      <c r="L24" s="355"/>
      <c r="M24" s="355"/>
      <c r="N24" s="513"/>
      <c r="O24" s="355"/>
      <c r="P24" s="355"/>
      <c r="Q24" s="355"/>
      <c r="R24" s="513"/>
      <c r="S24" s="511"/>
      <c r="T24" s="355"/>
      <c r="U24" s="355"/>
      <c r="V24" s="513"/>
      <c r="W24" s="511"/>
      <c r="X24" s="355"/>
      <c r="Y24" s="355"/>
      <c r="Z24" s="513"/>
      <c r="AA24" s="511"/>
      <c r="AB24" s="355"/>
      <c r="AC24" s="355"/>
      <c r="AD24" s="513"/>
      <c r="AE24" s="395"/>
      <c r="AF24" s="580">
        <f t="shared" si="1"/>
        <v>0</v>
      </c>
      <c r="AG24" s="581">
        <f t="shared" si="0"/>
        <v>2606</v>
      </c>
      <c r="AH24" s="582">
        <f t="shared" si="0"/>
        <v>990</v>
      </c>
      <c r="AI24" s="329"/>
      <c r="AJ24" s="532"/>
      <c r="AK24" s="39">
        <v>990184</v>
      </c>
      <c r="AL24" s="61">
        <f t="shared" si="2"/>
        <v>0.18399999999996908</v>
      </c>
      <c r="AM24" s="24"/>
      <c r="AN24" s="24"/>
      <c r="AO24" s="24"/>
      <c r="AP24" s="24"/>
    </row>
    <row r="25" spans="1:42" ht="16.5" customHeight="1">
      <c r="A25" s="745" t="s">
        <v>252</v>
      </c>
      <c r="B25" s="603"/>
      <c r="C25" s="726">
        <v>1115</v>
      </c>
      <c r="D25" s="355">
        <v>1768</v>
      </c>
      <c r="E25" s="355">
        <f>-2277+100</f>
        <v>-2177</v>
      </c>
      <c r="F25" s="513"/>
      <c r="G25" s="511"/>
      <c r="H25" s="355"/>
      <c r="I25" s="355"/>
      <c r="J25" s="513"/>
      <c r="K25" s="511"/>
      <c r="L25" s="355"/>
      <c r="M25" s="355"/>
      <c r="N25" s="513"/>
      <c r="O25" s="355">
        <v>-510</v>
      </c>
      <c r="P25" s="355">
        <v>-510</v>
      </c>
      <c r="Q25" s="355">
        <v>-510</v>
      </c>
      <c r="R25" s="513">
        <f>Q25/P25*100</f>
        <v>100</v>
      </c>
      <c r="S25" s="511"/>
      <c r="T25" s="355"/>
      <c r="U25" s="355"/>
      <c r="V25" s="513"/>
      <c r="W25" s="511"/>
      <c r="X25" s="355"/>
      <c r="Y25" s="355"/>
      <c r="Z25" s="513"/>
      <c r="AA25" s="511"/>
      <c r="AB25" s="355"/>
      <c r="AC25" s="355"/>
      <c r="AD25" s="513"/>
      <c r="AE25" s="395"/>
      <c r="AF25" s="580">
        <f t="shared" si="1"/>
        <v>605</v>
      </c>
      <c r="AG25" s="581">
        <f t="shared" si="0"/>
        <v>1258</v>
      </c>
      <c r="AH25" s="582">
        <f t="shared" si="0"/>
        <v>-2687</v>
      </c>
      <c r="AI25" s="329"/>
      <c r="AJ25" s="532"/>
      <c r="AK25" s="39">
        <v>-2686966</v>
      </c>
      <c r="AL25" s="61">
        <f t="shared" si="2"/>
        <v>0.0340000000001055</v>
      </c>
      <c r="AM25" s="24"/>
      <c r="AN25" s="24"/>
      <c r="AO25" s="24"/>
      <c r="AP25" s="24"/>
    </row>
    <row r="26" spans="1:42" ht="16.5" customHeight="1">
      <c r="A26" s="745" t="s">
        <v>253</v>
      </c>
      <c r="B26" s="603"/>
      <c r="C26" s="726"/>
      <c r="D26" s="355">
        <v>368</v>
      </c>
      <c r="E26" s="355">
        <v>-2431</v>
      </c>
      <c r="F26" s="513"/>
      <c r="G26" s="511"/>
      <c r="H26" s="355"/>
      <c r="I26" s="355"/>
      <c r="J26" s="513"/>
      <c r="K26" s="511"/>
      <c r="L26" s="355"/>
      <c r="M26" s="355"/>
      <c r="N26" s="513"/>
      <c r="O26" s="355"/>
      <c r="P26" s="355"/>
      <c r="Q26" s="355"/>
      <c r="R26" s="513"/>
      <c r="S26" s="511"/>
      <c r="T26" s="355"/>
      <c r="U26" s="355"/>
      <c r="V26" s="513"/>
      <c r="W26" s="511"/>
      <c r="X26" s="355"/>
      <c r="Y26" s="355"/>
      <c r="Z26" s="513"/>
      <c r="AA26" s="511"/>
      <c r="AB26" s="355"/>
      <c r="AC26" s="355"/>
      <c r="AD26" s="513"/>
      <c r="AE26" s="395"/>
      <c r="AF26" s="580">
        <f t="shared" si="1"/>
        <v>0</v>
      </c>
      <c r="AG26" s="581">
        <f t="shared" si="0"/>
        <v>368</v>
      </c>
      <c r="AH26" s="582">
        <f t="shared" si="0"/>
        <v>-2431</v>
      </c>
      <c r="AI26" s="329"/>
      <c r="AJ26" s="532"/>
      <c r="AK26" s="39">
        <v>-2431472</v>
      </c>
      <c r="AL26" s="61">
        <f t="shared" si="2"/>
        <v>-0.47200000000020736</v>
      </c>
      <c r="AM26" s="24"/>
      <c r="AN26" s="24"/>
      <c r="AO26" s="24"/>
      <c r="AP26" s="24"/>
    </row>
    <row r="27" spans="1:42" ht="16.5" customHeight="1">
      <c r="A27" s="745" t="s">
        <v>254</v>
      </c>
      <c r="B27" s="603"/>
      <c r="C27" s="726">
        <v>500</v>
      </c>
      <c r="D27" s="355">
        <v>2232</v>
      </c>
      <c r="E27" s="355">
        <v>-7099</v>
      </c>
      <c r="F27" s="513"/>
      <c r="G27" s="511"/>
      <c r="H27" s="355"/>
      <c r="I27" s="355"/>
      <c r="J27" s="513"/>
      <c r="K27" s="511"/>
      <c r="L27" s="355"/>
      <c r="M27" s="355"/>
      <c r="N27" s="513"/>
      <c r="O27" s="355"/>
      <c r="P27" s="355"/>
      <c r="Q27" s="355"/>
      <c r="R27" s="513"/>
      <c r="S27" s="511"/>
      <c r="T27" s="355"/>
      <c r="U27" s="355"/>
      <c r="V27" s="513"/>
      <c r="W27" s="511"/>
      <c r="X27" s="355"/>
      <c r="Y27" s="355"/>
      <c r="Z27" s="513"/>
      <c r="AA27" s="511"/>
      <c r="AB27" s="355"/>
      <c r="AC27" s="355"/>
      <c r="AD27" s="513"/>
      <c r="AE27" s="395"/>
      <c r="AF27" s="580">
        <f t="shared" si="1"/>
        <v>500</v>
      </c>
      <c r="AG27" s="581">
        <f t="shared" si="0"/>
        <v>2232</v>
      </c>
      <c r="AH27" s="582">
        <f t="shared" si="0"/>
        <v>-7099</v>
      </c>
      <c r="AI27" s="329"/>
      <c r="AJ27" s="532"/>
      <c r="AK27" s="39">
        <v>-7099446</v>
      </c>
      <c r="AL27" s="61">
        <f t="shared" si="2"/>
        <v>-0.4459999999999127</v>
      </c>
      <c r="AM27" s="24"/>
      <c r="AN27" s="24"/>
      <c r="AO27" s="24"/>
      <c r="AP27" s="24"/>
    </row>
    <row r="28" spans="1:42" ht="16.5" customHeight="1">
      <c r="A28" s="746" t="s">
        <v>255</v>
      </c>
      <c r="B28" s="603"/>
      <c r="C28" s="726">
        <v>19616</v>
      </c>
      <c r="D28" s="355">
        <v>72652</v>
      </c>
      <c r="E28" s="355">
        <v>-50529</v>
      </c>
      <c r="F28" s="513"/>
      <c r="G28" s="511"/>
      <c r="H28" s="355">
        <v>37070</v>
      </c>
      <c r="I28" s="355">
        <v>37070</v>
      </c>
      <c r="J28" s="513">
        <f>I28/H28*100</f>
        <v>100</v>
      </c>
      <c r="K28" s="511"/>
      <c r="L28" s="355"/>
      <c r="M28" s="355"/>
      <c r="N28" s="513"/>
      <c r="O28" s="355">
        <v>-8403</v>
      </c>
      <c r="P28" s="355">
        <v>-8403</v>
      </c>
      <c r="Q28" s="355">
        <v>-8403</v>
      </c>
      <c r="R28" s="513">
        <f>Q28/P28*100</f>
        <v>100</v>
      </c>
      <c r="S28" s="511">
        <v>-8546</v>
      </c>
      <c r="T28" s="355">
        <v>-8546</v>
      </c>
      <c r="U28" s="355">
        <v>-8544</v>
      </c>
      <c r="V28" s="513">
        <f>U28/T28*100</f>
        <v>99.97659723847414</v>
      </c>
      <c r="W28" s="511"/>
      <c r="X28" s="355"/>
      <c r="Y28" s="355"/>
      <c r="Z28" s="513"/>
      <c r="AA28" s="511"/>
      <c r="AB28" s="355"/>
      <c r="AC28" s="355"/>
      <c r="AD28" s="513"/>
      <c r="AE28" s="395"/>
      <c r="AF28" s="580">
        <f t="shared" si="1"/>
        <v>2667</v>
      </c>
      <c r="AG28" s="581">
        <f t="shared" si="0"/>
        <v>92773</v>
      </c>
      <c r="AH28" s="582">
        <f t="shared" si="0"/>
        <v>-30406</v>
      </c>
      <c r="AI28" s="329"/>
      <c r="AJ28" s="532"/>
      <c r="AK28" s="39">
        <v>-30405952</v>
      </c>
      <c r="AL28" s="61">
        <f t="shared" si="2"/>
        <v>0.04799999999886495</v>
      </c>
      <c r="AM28" s="24"/>
      <c r="AN28" s="24"/>
      <c r="AO28" s="24"/>
      <c r="AP28" s="24"/>
    </row>
    <row r="29" spans="1:38" ht="16.5" customHeight="1">
      <c r="A29" s="745" t="s">
        <v>256</v>
      </c>
      <c r="B29" s="603"/>
      <c r="C29" s="726">
        <v>2239</v>
      </c>
      <c r="D29" s="355">
        <v>11711</v>
      </c>
      <c r="E29" s="355">
        <v>5596</v>
      </c>
      <c r="F29" s="513">
        <f>E29/D29*100</f>
        <v>47.78413457433183</v>
      </c>
      <c r="G29" s="511"/>
      <c r="H29" s="355"/>
      <c r="I29" s="355"/>
      <c r="J29" s="513"/>
      <c r="K29" s="511"/>
      <c r="L29" s="355"/>
      <c r="M29" s="355"/>
      <c r="N29" s="513"/>
      <c r="O29" s="355"/>
      <c r="P29" s="355"/>
      <c r="Q29" s="355"/>
      <c r="R29" s="513"/>
      <c r="S29" s="511"/>
      <c r="T29" s="355"/>
      <c r="U29" s="355"/>
      <c r="V29" s="513"/>
      <c r="W29" s="511"/>
      <c r="X29" s="355"/>
      <c r="Y29" s="355"/>
      <c r="Z29" s="513"/>
      <c r="AA29" s="511"/>
      <c r="AB29" s="355"/>
      <c r="AC29" s="355"/>
      <c r="AD29" s="513"/>
      <c r="AE29" s="395"/>
      <c r="AF29" s="580">
        <f t="shared" si="1"/>
        <v>2239</v>
      </c>
      <c r="AG29" s="581">
        <f t="shared" si="0"/>
        <v>11711</v>
      </c>
      <c r="AH29" s="582">
        <f t="shared" si="0"/>
        <v>5596</v>
      </c>
      <c r="AI29" s="329"/>
      <c r="AJ29" s="532"/>
      <c r="AK29" s="39">
        <v>5595980</v>
      </c>
      <c r="AL29" s="61">
        <f t="shared" si="2"/>
        <v>-0.020000000000436557</v>
      </c>
    </row>
    <row r="30" spans="1:38" ht="16.5" customHeight="1">
      <c r="A30" s="745" t="s">
        <v>257</v>
      </c>
      <c r="B30" s="603"/>
      <c r="C30" s="726"/>
      <c r="D30" s="355">
        <v>24070</v>
      </c>
      <c r="E30" s="355">
        <f>-25264-1</f>
        <v>-25265</v>
      </c>
      <c r="F30" s="513"/>
      <c r="G30" s="511"/>
      <c r="H30" s="355"/>
      <c r="I30" s="355"/>
      <c r="J30" s="513"/>
      <c r="K30" s="511"/>
      <c r="L30" s="355"/>
      <c r="M30" s="355"/>
      <c r="N30" s="513"/>
      <c r="O30" s="355"/>
      <c r="P30" s="355"/>
      <c r="Q30" s="355"/>
      <c r="R30" s="513"/>
      <c r="S30" s="511">
        <v>-12086</v>
      </c>
      <c r="T30" s="355">
        <v>-12265</v>
      </c>
      <c r="U30" s="355">
        <v>-12265</v>
      </c>
      <c r="V30" s="513">
        <f>U30/T30*100</f>
        <v>100</v>
      </c>
      <c r="W30" s="511"/>
      <c r="X30" s="355"/>
      <c r="Y30" s="355">
        <f>2497600-2497600</f>
        <v>0</v>
      </c>
      <c r="Z30" s="513"/>
      <c r="AA30" s="511"/>
      <c r="AB30" s="355"/>
      <c r="AC30" s="355"/>
      <c r="AD30" s="513"/>
      <c r="AE30" s="395"/>
      <c r="AF30" s="580">
        <f t="shared" si="1"/>
        <v>-12086</v>
      </c>
      <c r="AG30" s="581">
        <f t="shared" si="0"/>
        <v>11805</v>
      </c>
      <c r="AH30" s="582">
        <f t="shared" si="0"/>
        <v>-37530</v>
      </c>
      <c r="AI30" s="329"/>
      <c r="AJ30" s="532"/>
      <c r="AK30" s="39">
        <v>-37529383</v>
      </c>
      <c r="AL30" s="61">
        <f t="shared" si="2"/>
        <v>0.6169999999983702</v>
      </c>
    </row>
    <row r="31" spans="1:38" ht="16.5" customHeight="1">
      <c r="A31" s="745" t="s">
        <v>258</v>
      </c>
      <c r="B31" s="603"/>
      <c r="C31" s="726">
        <v>3655</v>
      </c>
      <c r="D31" s="355">
        <v>11195</v>
      </c>
      <c r="E31" s="355">
        <v>1422</v>
      </c>
      <c r="F31" s="513">
        <f>E31/D31*100</f>
        <v>12.702099151406879</v>
      </c>
      <c r="G31" s="511"/>
      <c r="H31" s="355"/>
      <c r="I31" s="355"/>
      <c r="J31" s="513"/>
      <c r="K31" s="511"/>
      <c r="L31" s="355"/>
      <c r="M31" s="355"/>
      <c r="N31" s="513"/>
      <c r="O31" s="355">
        <v>-8891</v>
      </c>
      <c r="P31" s="355">
        <v>-8891</v>
      </c>
      <c r="Q31" s="355">
        <f>-10829-U31+1</f>
        <v>-8637</v>
      </c>
      <c r="R31" s="513">
        <f aca="true" t="shared" si="3" ref="R31:R38">Q31/P31*100</f>
        <v>97.1431784951074</v>
      </c>
      <c r="S31" s="583">
        <v>-2191</v>
      </c>
      <c r="T31" s="355">
        <v>-2191</v>
      </c>
      <c r="U31" s="355">
        <v>-2191</v>
      </c>
      <c r="V31" s="513">
        <f>U31/T31*100</f>
        <v>100</v>
      </c>
      <c r="W31" s="511"/>
      <c r="X31" s="355"/>
      <c r="Y31" s="355">
        <f>2010-1</f>
        <v>2009</v>
      </c>
      <c r="Z31" s="513"/>
      <c r="AA31" s="511"/>
      <c r="AB31" s="355"/>
      <c r="AC31" s="355"/>
      <c r="AD31" s="513"/>
      <c r="AE31" s="395"/>
      <c r="AF31" s="580">
        <f t="shared" si="1"/>
        <v>-7427</v>
      </c>
      <c r="AG31" s="581">
        <f t="shared" si="0"/>
        <v>113</v>
      </c>
      <c r="AH31" s="582">
        <f t="shared" si="0"/>
        <v>-7397</v>
      </c>
      <c r="AI31" s="329"/>
      <c r="AJ31" s="532"/>
      <c r="AK31" s="39">
        <v>-7396584</v>
      </c>
      <c r="AL31" s="61">
        <f t="shared" si="2"/>
        <v>0.41600000000016735</v>
      </c>
    </row>
    <row r="32" spans="1:38" ht="16.5" customHeight="1">
      <c r="A32" s="746" t="s">
        <v>259</v>
      </c>
      <c r="B32" s="603"/>
      <c r="C32" s="726"/>
      <c r="D32" s="355">
        <v>4389</v>
      </c>
      <c r="E32" s="355">
        <v>-9168</v>
      </c>
      <c r="F32" s="513"/>
      <c r="G32" s="511"/>
      <c r="H32" s="355">
        <v>649</v>
      </c>
      <c r="I32" s="355">
        <f>457+192</f>
        <v>649</v>
      </c>
      <c r="J32" s="513">
        <f>I32/H32*100</f>
        <v>100</v>
      </c>
      <c r="K32" s="511"/>
      <c r="L32" s="355"/>
      <c r="M32" s="355">
        <v>-192</v>
      </c>
      <c r="N32" s="513"/>
      <c r="O32" s="355">
        <v>-11118</v>
      </c>
      <c r="P32" s="355">
        <v>-11118</v>
      </c>
      <c r="Q32" s="355">
        <f>-11118-U32</f>
        <v>-11310</v>
      </c>
      <c r="R32" s="513">
        <f t="shared" si="3"/>
        <v>101.72692930383162</v>
      </c>
      <c r="S32" s="511"/>
      <c r="T32" s="355"/>
      <c r="U32" s="355">
        <v>192</v>
      </c>
      <c r="V32" s="513"/>
      <c r="W32" s="511"/>
      <c r="X32" s="355"/>
      <c r="Y32" s="355"/>
      <c r="Z32" s="513"/>
      <c r="AA32" s="511"/>
      <c r="AB32" s="355"/>
      <c r="AC32" s="355"/>
      <c r="AD32" s="513"/>
      <c r="AE32" s="395"/>
      <c r="AF32" s="580">
        <f t="shared" si="1"/>
        <v>-11118</v>
      </c>
      <c r="AG32" s="581">
        <f t="shared" si="1"/>
        <v>-6080</v>
      </c>
      <c r="AH32" s="582">
        <f t="shared" si="1"/>
        <v>-19829</v>
      </c>
      <c r="AI32" s="329"/>
      <c r="AJ32" s="532"/>
      <c r="AK32" s="39">
        <v>-19829151</v>
      </c>
      <c r="AL32" s="61">
        <f t="shared" si="2"/>
        <v>-0.15100000000165892</v>
      </c>
    </row>
    <row r="33" spans="1:38" ht="16.5" customHeight="1">
      <c r="A33" s="745" t="s">
        <v>260</v>
      </c>
      <c r="B33" s="603"/>
      <c r="C33" s="726">
        <v>8943</v>
      </c>
      <c r="D33" s="355">
        <v>664</v>
      </c>
      <c r="E33" s="355">
        <f>-3553</f>
        <v>-3553</v>
      </c>
      <c r="F33" s="513"/>
      <c r="G33" s="511"/>
      <c r="H33" s="355"/>
      <c r="I33" s="355"/>
      <c r="J33" s="513"/>
      <c r="K33" s="511">
        <v>28500</v>
      </c>
      <c r="L33" s="355">
        <v>28500</v>
      </c>
      <c r="M33" s="355">
        <v>28500</v>
      </c>
      <c r="N33" s="513">
        <f>M33/L33*100</f>
        <v>100</v>
      </c>
      <c r="O33" s="355">
        <v>-1676</v>
      </c>
      <c r="P33" s="355">
        <v>-1676</v>
      </c>
      <c r="Q33" s="355">
        <v>-1676</v>
      </c>
      <c r="R33" s="513">
        <f t="shared" si="3"/>
        <v>100</v>
      </c>
      <c r="S33" s="583">
        <v>-8467</v>
      </c>
      <c r="T33" s="355">
        <v>-8467</v>
      </c>
      <c r="U33" s="355">
        <v>-8467</v>
      </c>
      <c r="V33" s="513">
        <f>U33/T33*100</f>
        <v>100</v>
      </c>
      <c r="W33" s="511"/>
      <c r="X33" s="355"/>
      <c r="Y33" s="355"/>
      <c r="Z33" s="513"/>
      <c r="AA33" s="511"/>
      <c r="AB33" s="355"/>
      <c r="AC33" s="355"/>
      <c r="AD33" s="513"/>
      <c r="AE33" s="395"/>
      <c r="AF33" s="580">
        <f t="shared" si="1"/>
        <v>27300</v>
      </c>
      <c r="AG33" s="581">
        <f t="shared" si="1"/>
        <v>19021</v>
      </c>
      <c r="AH33" s="582">
        <f t="shared" si="1"/>
        <v>14804</v>
      </c>
      <c r="AI33" s="329"/>
      <c r="AJ33" s="532"/>
      <c r="AK33" s="39">
        <v>14804307</v>
      </c>
      <c r="AL33" s="61">
        <f t="shared" si="2"/>
        <v>0.3070000000006985</v>
      </c>
    </row>
    <row r="34" spans="1:38" ht="16.5" customHeight="1">
      <c r="A34" s="746" t="s">
        <v>261</v>
      </c>
      <c r="B34" s="603"/>
      <c r="C34" s="726">
        <v>9515</v>
      </c>
      <c r="D34" s="355">
        <v>11848</v>
      </c>
      <c r="E34" s="355">
        <v>2605</v>
      </c>
      <c r="F34" s="513">
        <f>E34/D34*100</f>
        <v>21.986833220796758</v>
      </c>
      <c r="G34" s="511"/>
      <c r="H34" s="355"/>
      <c r="I34" s="355"/>
      <c r="J34" s="513"/>
      <c r="K34" s="511"/>
      <c r="L34" s="355"/>
      <c r="M34" s="355"/>
      <c r="N34" s="513"/>
      <c r="O34" s="355">
        <v>-5168</v>
      </c>
      <c r="P34" s="355">
        <v>-5168</v>
      </c>
      <c r="Q34" s="355">
        <v>-5168</v>
      </c>
      <c r="R34" s="513">
        <f t="shared" si="3"/>
        <v>100</v>
      </c>
      <c r="S34" s="511">
        <v>-9000</v>
      </c>
      <c r="T34" s="355">
        <v>-9000</v>
      </c>
      <c r="U34" s="355">
        <v>-9000</v>
      </c>
      <c r="V34" s="513">
        <f>U34/T34*100</f>
        <v>100</v>
      </c>
      <c r="W34" s="511"/>
      <c r="X34" s="355"/>
      <c r="Y34" s="355"/>
      <c r="Z34" s="513"/>
      <c r="AA34" s="511"/>
      <c r="AB34" s="355"/>
      <c r="AC34" s="355"/>
      <c r="AD34" s="513"/>
      <c r="AE34" s="395"/>
      <c r="AF34" s="580">
        <f t="shared" si="1"/>
        <v>-4653</v>
      </c>
      <c r="AG34" s="581">
        <f t="shared" si="1"/>
        <v>-2320</v>
      </c>
      <c r="AH34" s="582">
        <f t="shared" si="1"/>
        <v>-11563</v>
      </c>
      <c r="AI34" s="329"/>
      <c r="AJ34" s="532"/>
      <c r="AK34" s="39">
        <v>-11562953</v>
      </c>
      <c r="AL34" s="61">
        <f t="shared" si="2"/>
        <v>0.04700000000048021</v>
      </c>
    </row>
    <row r="35" spans="1:38" ht="16.5" customHeight="1">
      <c r="A35" s="745" t="s">
        <v>262</v>
      </c>
      <c r="B35" s="603"/>
      <c r="C35" s="726"/>
      <c r="D35" s="355">
        <v>146</v>
      </c>
      <c r="E35" s="39">
        <v>-19731</v>
      </c>
      <c r="F35" s="513"/>
      <c r="G35" s="511"/>
      <c r="H35" s="355"/>
      <c r="I35" s="355"/>
      <c r="J35" s="513"/>
      <c r="K35" s="511"/>
      <c r="L35" s="355">
        <v>28681</v>
      </c>
      <c r="M35" s="355">
        <f>4681+1</f>
        <v>4682</v>
      </c>
      <c r="N35" s="513">
        <f>M35/L35*100</f>
        <v>16.324395941564102</v>
      </c>
      <c r="O35" s="355">
        <v>-1133</v>
      </c>
      <c r="P35" s="355">
        <v>-1133</v>
      </c>
      <c r="Q35" s="355">
        <v>-1133</v>
      </c>
      <c r="R35" s="513">
        <f t="shared" si="3"/>
        <v>100</v>
      </c>
      <c r="S35" s="584">
        <v>-8023</v>
      </c>
      <c r="T35" s="587">
        <f>-6746-P35</f>
        <v>-5613</v>
      </c>
      <c r="U35" s="587">
        <f>-5613+1</f>
        <v>-5612</v>
      </c>
      <c r="V35" s="513">
        <f>U35/T35*100</f>
        <v>99.98218421521467</v>
      </c>
      <c r="W35" s="511"/>
      <c r="X35" s="355"/>
      <c r="Y35" s="355"/>
      <c r="Z35" s="513"/>
      <c r="AA35" s="511"/>
      <c r="AB35" s="355"/>
      <c r="AC35" s="355"/>
      <c r="AD35" s="513"/>
      <c r="AE35" s="395"/>
      <c r="AF35" s="580">
        <f t="shared" si="1"/>
        <v>-9156</v>
      </c>
      <c r="AG35" s="581">
        <f t="shared" si="1"/>
        <v>22081</v>
      </c>
      <c r="AH35" s="582">
        <f t="shared" si="1"/>
        <v>-21794</v>
      </c>
      <c r="AI35" s="329"/>
      <c r="AJ35" s="532"/>
      <c r="AK35" s="39">
        <v>-21795397</v>
      </c>
      <c r="AL35" s="61">
        <f t="shared" si="2"/>
        <v>-1.397000000000844</v>
      </c>
    </row>
    <row r="36" spans="1:38" ht="16.5" customHeight="1">
      <c r="A36" s="745" t="s">
        <v>263</v>
      </c>
      <c r="B36" s="603"/>
      <c r="C36" s="726"/>
      <c r="D36" s="355">
        <v>6348</v>
      </c>
      <c r="E36" s="355">
        <v>-435</v>
      </c>
      <c r="F36" s="513">
        <f>E37/D36*100</f>
        <v>69.20289855072464</v>
      </c>
      <c r="G36" s="511"/>
      <c r="H36" s="355"/>
      <c r="I36" s="355"/>
      <c r="J36" s="513"/>
      <c r="K36" s="511"/>
      <c r="L36" s="355"/>
      <c r="M36" s="355"/>
      <c r="N36" s="513"/>
      <c r="O36" s="355"/>
      <c r="P36" s="355"/>
      <c r="Q36" s="355"/>
      <c r="R36" s="513"/>
      <c r="S36" s="511"/>
      <c r="T36" s="355"/>
      <c r="U36" s="355"/>
      <c r="V36" s="513"/>
      <c r="W36" s="511"/>
      <c r="X36" s="355"/>
      <c r="Y36" s="355"/>
      <c r="Z36" s="513"/>
      <c r="AA36" s="511"/>
      <c r="AB36" s="355"/>
      <c r="AC36" s="355"/>
      <c r="AD36" s="513"/>
      <c r="AE36" s="395"/>
      <c r="AF36" s="580">
        <f t="shared" si="1"/>
        <v>0</v>
      </c>
      <c r="AG36" s="581">
        <f t="shared" si="1"/>
        <v>6348</v>
      </c>
      <c r="AH36" s="582">
        <f t="shared" si="1"/>
        <v>-435</v>
      </c>
      <c r="AI36" s="329"/>
      <c r="AJ36" s="532"/>
      <c r="AK36" s="39">
        <v>-434521</v>
      </c>
      <c r="AL36" s="61">
        <f t="shared" si="2"/>
        <v>0.478999999999985</v>
      </c>
    </row>
    <row r="37" spans="1:38" ht="16.5" customHeight="1">
      <c r="A37" s="745" t="s">
        <v>264</v>
      </c>
      <c r="B37" s="603"/>
      <c r="C37" s="726"/>
      <c r="D37" s="355">
        <v>6299</v>
      </c>
      <c r="E37" s="355">
        <v>4393</v>
      </c>
      <c r="F37" s="513">
        <f>E37/D37*100</f>
        <v>69.74122876647087</v>
      </c>
      <c r="G37" s="511"/>
      <c r="H37" s="355"/>
      <c r="I37" s="355"/>
      <c r="J37" s="513"/>
      <c r="K37" s="511"/>
      <c r="L37" s="355"/>
      <c r="M37" s="355"/>
      <c r="N37" s="513"/>
      <c r="O37" s="355"/>
      <c r="P37" s="355"/>
      <c r="Q37" s="355"/>
      <c r="R37" s="513"/>
      <c r="S37" s="511"/>
      <c r="T37" s="355"/>
      <c r="U37" s="355"/>
      <c r="V37" s="513"/>
      <c r="W37" s="511"/>
      <c r="X37" s="355"/>
      <c r="Y37" s="355"/>
      <c r="Z37" s="513"/>
      <c r="AA37" s="511"/>
      <c r="AB37" s="355"/>
      <c r="AC37" s="355"/>
      <c r="AD37" s="513"/>
      <c r="AE37" s="395"/>
      <c r="AF37" s="580">
        <f t="shared" si="1"/>
        <v>0</v>
      </c>
      <c r="AG37" s="581">
        <f t="shared" si="1"/>
        <v>6299</v>
      </c>
      <c r="AH37" s="582">
        <f t="shared" si="1"/>
        <v>4393</v>
      </c>
      <c r="AI37" s="329"/>
      <c r="AJ37" s="532"/>
      <c r="AK37" s="39">
        <v>4392880</v>
      </c>
      <c r="AL37" s="61">
        <f t="shared" si="2"/>
        <v>-0.11999999999989086</v>
      </c>
    </row>
    <row r="38" spans="1:38" ht="16.5" customHeight="1">
      <c r="A38" s="745" t="s">
        <v>265</v>
      </c>
      <c r="B38" s="603"/>
      <c r="C38" s="726">
        <v>23000</v>
      </c>
      <c r="D38" s="355">
        <v>36184</v>
      </c>
      <c r="E38" s="355">
        <v>-982</v>
      </c>
      <c r="F38" s="513"/>
      <c r="G38" s="511"/>
      <c r="H38" s="355"/>
      <c r="I38" s="355"/>
      <c r="J38" s="513"/>
      <c r="K38" s="511"/>
      <c r="L38" s="355"/>
      <c r="M38" s="355"/>
      <c r="N38" s="513"/>
      <c r="O38" s="355">
        <v>-600</v>
      </c>
      <c r="P38" s="355">
        <v>-600</v>
      </c>
      <c r="Q38" s="355">
        <v>-600</v>
      </c>
      <c r="R38" s="513">
        <f t="shared" si="3"/>
        <v>100</v>
      </c>
      <c r="S38" s="511">
        <v>-5292</v>
      </c>
      <c r="T38" s="355">
        <v>-5292</v>
      </c>
      <c r="U38" s="355">
        <v>-5292</v>
      </c>
      <c r="V38" s="513">
        <f>U38/T38*100</f>
        <v>100</v>
      </c>
      <c r="W38" s="511"/>
      <c r="X38" s="355"/>
      <c r="Y38" s="355">
        <f>15128-15128</f>
        <v>0</v>
      </c>
      <c r="Z38" s="513"/>
      <c r="AA38" s="511"/>
      <c r="AB38" s="355"/>
      <c r="AC38" s="355">
        <v>-55000</v>
      </c>
      <c r="AD38" s="513"/>
      <c r="AE38" s="395"/>
      <c r="AF38" s="580">
        <f t="shared" si="1"/>
        <v>17108</v>
      </c>
      <c r="AG38" s="581">
        <f t="shared" si="1"/>
        <v>30292</v>
      </c>
      <c r="AH38" s="582">
        <f t="shared" si="1"/>
        <v>-61874</v>
      </c>
      <c r="AI38" s="329"/>
      <c r="AJ38" s="532"/>
      <c r="AK38" s="39">
        <v>-61873886</v>
      </c>
      <c r="AL38" s="61">
        <f t="shared" si="2"/>
        <v>0.11400000000139698</v>
      </c>
    </row>
    <row r="39" spans="1:38" ht="16.5" customHeight="1">
      <c r="A39" s="745" t="s">
        <v>266</v>
      </c>
      <c r="B39" s="603"/>
      <c r="C39" s="726"/>
      <c r="D39" s="355">
        <v>1197</v>
      </c>
      <c r="E39" s="355">
        <v>-1507</v>
      </c>
      <c r="F39" s="513"/>
      <c r="G39" s="511"/>
      <c r="H39" s="355"/>
      <c r="I39" s="355"/>
      <c r="J39" s="513"/>
      <c r="K39" s="511"/>
      <c r="L39" s="355"/>
      <c r="M39" s="355"/>
      <c r="N39" s="513"/>
      <c r="O39" s="511"/>
      <c r="P39" s="355"/>
      <c r="Q39" s="355"/>
      <c r="R39" s="513"/>
      <c r="S39" s="511"/>
      <c r="T39" s="355"/>
      <c r="U39" s="355"/>
      <c r="V39" s="513"/>
      <c r="W39" s="511"/>
      <c r="X39" s="355"/>
      <c r="Y39" s="355"/>
      <c r="Z39" s="513"/>
      <c r="AA39" s="511"/>
      <c r="AB39" s="355"/>
      <c r="AC39" s="355"/>
      <c r="AD39" s="513"/>
      <c r="AE39" s="395"/>
      <c r="AF39" s="580">
        <f t="shared" si="1"/>
        <v>0</v>
      </c>
      <c r="AG39" s="581">
        <f t="shared" si="1"/>
        <v>1197</v>
      </c>
      <c r="AH39" s="582">
        <f t="shared" si="1"/>
        <v>-1507</v>
      </c>
      <c r="AI39" s="329"/>
      <c r="AJ39" s="532"/>
      <c r="AK39" s="39">
        <v>-1507216</v>
      </c>
      <c r="AL39" s="61">
        <f t="shared" si="2"/>
        <v>-0.2159999999998945</v>
      </c>
    </row>
    <row r="40" spans="1:38" ht="16.5" customHeight="1">
      <c r="A40" s="745" t="s">
        <v>267</v>
      </c>
      <c r="B40" s="603"/>
      <c r="C40" s="726">
        <v>14434</v>
      </c>
      <c r="D40" s="355">
        <v>9016</v>
      </c>
      <c r="E40" s="355">
        <v>-11901</v>
      </c>
      <c r="F40" s="513"/>
      <c r="G40" s="511"/>
      <c r="H40" s="355"/>
      <c r="I40" s="355"/>
      <c r="J40" s="513"/>
      <c r="K40" s="511"/>
      <c r="L40" s="355"/>
      <c r="M40" s="355"/>
      <c r="N40" s="513"/>
      <c r="O40" s="511"/>
      <c r="P40" s="355"/>
      <c r="Q40" s="355"/>
      <c r="R40" s="513"/>
      <c r="S40" s="511"/>
      <c r="T40" s="355"/>
      <c r="U40" s="355"/>
      <c r="V40" s="513"/>
      <c r="W40" s="511"/>
      <c r="X40" s="355"/>
      <c r="Y40" s="355"/>
      <c r="Z40" s="513"/>
      <c r="AA40" s="511"/>
      <c r="AB40" s="355"/>
      <c r="AC40" s="355"/>
      <c r="AD40" s="513"/>
      <c r="AE40" s="395"/>
      <c r="AF40" s="580">
        <f t="shared" si="1"/>
        <v>14434</v>
      </c>
      <c r="AG40" s="581">
        <f t="shared" si="1"/>
        <v>9016</v>
      </c>
      <c r="AH40" s="582">
        <f t="shared" si="1"/>
        <v>-11901</v>
      </c>
      <c r="AI40" s="329"/>
      <c r="AJ40" s="532"/>
      <c r="AK40" s="39">
        <v>-11901333</v>
      </c>
      <c r="AL40" s="61">
        <f t="shared" si="2"/>
        <v>-0.3330000000005384</v>
      </c>
    </row>
    <row r="41" spans="1:38" ht="16.5" customHeight="1">
      <c r="A41" s="745" t="s">
        <v>268</v>
      </c>
      <c r="B41" s="603"/>
      <c r="C41" s="726"/>
      <c r="D41" s="355">
        <v>-1</v>
      </c>
      <c r="E41" s="355">
        <v>-853</v>
      </c>
      <c r="F41" s="513">
        <f>E41/D41*100</f>
        <v>85300</v>
      </c>
      <c r="G41" s="511"/>
      <c r="H41" s="355"/>
      <c r="I41" s="355"/>
      <c r="J41" s="513"/>
      <c r="K41" s="511"/>
      <c r="L41" s="355"/>
      <c r="M41" s="355"/>
      <c r="N41" s="513"/>
      <c r="O41" s="511"/>
      <c r="P41" s="355"/>
      <c r="Q41" s="355"/>
      <c r="R41" s="513"/>
      <c r="S41" s="511"/>
      <c r="T41" s="355"/>
      <c r="U41" s="355"/>
      <c r="V41" s="513"/>
      <c r="W41" s="511"/>
      <c r="X41" s="355"/>
      <c r="Y41" s="355"/>
      <c r="Z41" s="513"/>
      <c r="AA41" s="511"/>
      <c r="AB41" s="355"/>
      <c r="AC41" s="355"/>
      <c r="AD41" s="513"/>
      <c r="AE41" s="395"/>
      <c r="AF41" s="580">
        <f t="shared" si="1"/>
        <v>0</v>
      </c>
      <c r="AG41" s="581">
        <f t="shared" si="1"/>
        <v>-1</v>
      </c>
      <c r="AH41" s="582">
        <f t="shared" si="1"/>
        <v>-853</v>
      </c>
      <c r="AI41" s="329"/>
      <c r="AJ41" s="532"/>
      <c r="AK41" s="39">
        <v>-852858</v>
      </c>
      <c r="AL41" s="61">
        <f t="shared" si="2"/>
        <v>0.14200000000005275</v>
      </c>
    </row>
    <row r="42" spans="1:38" ht="16.5" customHeight="1">
      <c r="A42" s="745" t="s">
        <v>269</v>
      </c>
      <c r="B42" s="603"/>
      <c r="C42" s="726"/>
      <c r="D42" s="355">
        <v>726</v>
      </c>
      <c r="E42" s="355">
        <v>280</v>
      </c>
      <c r="F42" s="513">
        <f>E42/D42*100</f>
        <v>38.56749311294766</v>
      </c>
      <c r="G42" s="511"/>
      <c r="H42" s="355"/>
      <c r="I42" s="355"/>
      <c r="J42" s="513"/>
      <c r="K42" s="511"/>
      <c r="L42" s="355"/>
      <c r="M42" s="355"/>
      <c r="N42" s="513"/>
      <c r="O42" s="511"/>
      <c r="P42" s="355"/>
      <c r="Q42" s="355"/>
      <c r="R42" s="513"/>
      <c r="S42" s="511"/>
      <c r="T42" s="355"/>
      <c r="U42" s="355"/>
      <c r="V42" s="513"/>
      <c r="W42" s="511"/>
      <c r="X42" s="355"/>
      <c r="Y42" s="355"/>
      <c r="Z42" s="513"/>
      <c r="AA42" s="511"/>
      <c r="AB42" s="355"/>
      <c r="AC42" s="355"/>
      <c r="AD42" s="513"/>
      <c r="AE42" s="395"/>
      <c r="AF42" s="580">
        <f t="shared" si="1"/>
        <v>0</v>
      </c>
      <c r="AG42" s="581">
        <f t="shared" si="1"/>
        <v>726</v>
      </c>
      <c r="AH42" s="582">
        <f t="shared" si="1"/>
        <v>280</v>
      </c>
      <c r="AI42" s="330"/>
      <c r="AJ42" s="532"/>
      <c r="AK42" s="39">
        <v>279517</v>
      </c>
      <c r="AL42" s="61">
        <f t="shared" si="2"/>
        <v>-0.4830000000000041</v>
      </c>
    </row>
    <row r="43" spans="1:38" ht="16.5" customHeight="1">
      <c r="A43" s="746" t="s">
        <v>270</v>
      </c>
      <c r="B43" s="603"/>
      <c r="C43" s="727"/>
      <c r="D43" s="518">
        <v>5</v>
      </c>
      <c r="E43" s="355">
        <v>-505</v>
      </c>
      <c r="F43" s="513"/>
      <c r="G43" s="511"/>
      <c r="H43" s="355"/>
      <c r="I43" s="355"/>
      <c r="J43" s="513"/>
      <c r="K43" s="511"/>
      <c r="L43" s="355"/>
      <c r="M43" s="355"/>
      <c r="N43" s="513"/>
      <c r="O43" s="511"/>
      <c r="P43" s="355"/>
      <c r="Q43" s="518"/>
      <c r="R43" s="513"/>
      <c r="S43" s="511"/>
      <c r="T43" s="355"/>
      <c r="U43" s="355"/>
      <c r="V43" s="513"/>
      <c r="W43" s="511"/>
      <c r="X43" s="355"/>
      <c r="Y43" s="355"/>
      <c r="Z43" s="513"/>
      <c r="AA43" s="511"/>
      <c r="AB43" s="355"/>
      <c r="AC43" s="355"/>
      <c r="AD43" s="513"/>
      <c r="AE43" s="395"/>
      <c r="AF43" s="580">
        <f t="shared" si="1"/>
        <v>0</v>
      </c>
      <c r="AG43" s="581">
        <f t="shared" si="1"/>
        <v>5</v>
      </c>
      <c r="AH43" s="582">
        <f t="shared" si="1"/>
        <v>-505</v>
      </c>
      <c r="AI43" s="330"/>
      <c r="AJ43" s="532"/>
      <c r="AK43" s="39">
        <v>-505720</v>
      </c>
      <c r="AL43" s="61">
        <f t="shared" si="2"/>
        <v>-0.7200000000000273</v>
      </c>
    </row>
    <row r="44" spans="1:38" ht="16.5" customHeight="1">
      <c r="A44" s="745" t="s">
        <v>271</v>
      </c>
      <c r="B44" s="751"/>
      <c r="C44" s="727"/>
      <c r="D44" s="518">
        <v>273</v>
      </c>
      <c r="E44" s="355">
        <v>-588</v>
      </c>
      <c r="F44" s="513"/>
      <c r="G44" s="511"/>
      <c r="H44" s="355"/>
      <c r="I44" s="355"/>
      <c r="J44" s="513"/>
      <c r="K44" s="431"/>
      <c r="L44" s="355"/>
      <c r="M44" s="518"/>
      <c r="N44" s="513"/>
      <c r="O44" s="511"/>
      <c r="P44" s="355"/>
      <c r="Q44" s="518"/>
      <c r="R44" s="513"/>
      <c r="S44" s="511"/>
      <c r="T44" s="355"/>
      <c r="U44" s="355"/>
      <c r="V44" s="513"/>
      <c r="W44" s="511"/>
      <c r="X44" s="355"/>
      <c r="Y44" s="355"/>
      <c r="Z44" s="513"/>
      <c r="AA44" s="511"/>
      <c r="AB44" s="355"/>
      <c r="AC44" s="355"/>
      <c r="AD44" s="513"/>
      <c r="AE44" s="395"/>
      <c r="AF44" s="580">
        <f t="shared" si="1"/>
        <v>0</v>
      </c>
      <c r="AG44" s="581">
        <f t="shared" si="1"/>
        <v>273</v>
      </c>
      <c r="AH44" s="582">
        <f t="shared" si="1"/>
        <v>-588</v>
      </c>
      <c r="AI44" s="35"/>
      <c r="AJ44" s="532"/>
      <c r="AK44" s="39">
        <v>-587862</v>
      </c>
      <c r="AL44" s="61">
        <f t="shared" si="2"/>
        <v>0.13800000000003365</v>
      </c>
    </row>
    <row r="45" spans="1:38" ht="15" customHeight="1" thickBot="1">
      <c r="A45" s="245"/>
      <c r="B45" s="652"/>
      <c r="C45" s="649"/>
      <c r="D45" s="353"/>
      <c r="E45" s="353"/>
      <c r="F45" s="383"/>
      <c r="G45" s="519"/>
      <c r="H45" s="520"/>
      <c r="I45" s="520"/>
      <c r="J45" s="383"/>
      <c r="K45" s="352"/>
      <c r="L45" s="363"/>
      <c r="M45" s="353"/>
      <c r="N45" s="383"/>
      <c r="O45" s="352"/>
      <c r="P45" s="353"/>
      <c r="Q45" s="353"/>
      <c r="R45" s="354"/>
      <c r="S45" s="482"/>
      <c r="T45" s="483"/>
      <c r="U45" s="483"/>
      <c r="V45" s="362"/>
      <c r="W45" s="310"/>
      <c r="X45" s="311"/>
      <c r="Y45" s="311"/>
      <c r="Z45" s="350"/>
      <c r="AA45" s="310"/>
      <c r="AB45" s="311"/>
      <c r="AC45" s="311"/>
      <c r="AD45" s="350"/>
      <c r="AE45" s="395"/>
      <c r="AF45" s="728">
        <f t="shared" si="1"/>
        <v>0</v>
      </c>
      <c r="AG45" s="729">
        <f t="shared" si="1"/>
        <v>0</v>
      </c>
      <c r="AH45" s="730">
        <f t="shared" si="1"/>
        <v>0</v>
      </c>
      <c r="AI45" s="24"/>
      <c r="AJ45" s="24"/>
      <c r="AK45" s="61"/>
      <c r="AL45" s="24"/>
    </row>
    <row r="46" spans="6:38" ht="16.5" customHeight="1" thickBot="1">
      <c r="F46" s="8"/>
      <c r="G46" s="521"/>
      <c r="H46" s="521"/>
      <c r="I46" s="521"/>
      <c r="N46" s="8"/>
      <c r="R46" s="8"/>
      <c r="S46" s="8"/>
      <c r="T46" s="8"/>
      <c r="U46" s="8"/>
      <c r="V46" s="8"/>
      <c r="W46" s="313"/>
      <c r="X46" s="313"/>
      <c r="Y46" s="313"/>
      <c r="Z46" s="351"/>
      <c r="AA46" s="313"/>
      <c r="AB46" s="313"/>
      <c r="AC46" s="313"/>
      <c r="AD46" s="351"/>
      <c r="AE46" s="351"/>
      <c r="AF46" s="731">
        <f>SUM(AF16:AF45)</f>
        <v>37032</v>
      </c>
      <c r="AG46" s="599">
        <f>SUM(AG16:AG45)</f>
        <v>349849</v>
      </c>
      <c r="AH46" s="732">
        <f>SUM(AH16:AH45)</f>
        <v>-210708</v>
      </c>
      <c r="AI46" s="733">
        <f>SUM(AI16:AI45)</f>
        <v>0</v>
      </c>
      <c r="AJ46" s="24"/>
      <c r="AK46" s="61">
        <f>SUM(AK16:AK45)</f>
        <v>-210708776</v>
      </c>
      <c r="AL46" s="24"/>
    </row>
    <row r="47" spans="6:38" ht="16.5" customHeight="1" thickBot="1">
      <c r="F47" s="8"/>
      <c r="G47" s="521"/>
      <c r="H47" s="521"/>
      <c r="I47" s="521"/>
      <c r="N47" s="8"/>
      <c r="R47" s="8"/>
      <c r="S47" s="8"/>
      <c r="T47" s="8"/>
      <c r="U47" s="8"/>
      <c r="V47" s="8"/>
      <c r="Z47" s="351"/>
      <c r="AD47" s="351"/>
      <c r="AE47" s="351"/>
      <c r="AF47" s="734"/>
      <c r="AG47" s="734"/>
      <c r="AH47" s="734"/>
      <c r="AI47" s="24"/>
      <c r="AJ47" s="24"/>
      <c r="AK47" s="61"/>
      <c r="AL47" s="24"/>
    </row>
    <row r="48" spans="1:35" ht="18" customHeight="1" thickBot="1">
      <c r="A48" s="37" t="s">
        <v>6</v>
      </c>
      <c r="C48" s="314">
        <f>SUM(C16:C44)</f>
        <v>136987</v>
      </c>
      <c r="D48" s="315">
        <f>SUM(D16:D44)</f>
        <v>321195</v>
      </c>
      <c r="E48" s="445">
        <f>SUM(E16:E44)</f>
        <v>-173721</v>
      </c>
      <c r="F48" s="561"/>
      <c r="G48" s="314"/>
      <c r="H48" s="315">
        <f>SUM(H16:H44)</f>
        <v>37719</v>
      </c>
      <c r="I48" s="315">
        <f>SUM(I16:I44)</f>
        <v>37719</v>
      </c>
      <c r="J48" s="316">
        <f>I48/H48*100</f>
        <v>100</v>
      </c>
      <c r="K48" s="315">
        <f>SUM(K15:K44)</f>
        <v>28500</v>
      </c>
      <c r="L48" s="315">
        <f>SUM(L15:L44)</f>
        <v>117181</v>
      </c>
      <c r="M48" s="315">
        <f>SUM(M15:M44)</f>
        <v>104284</v>
      </c>
      <c r="N48" s="316">
        <f>M48/L48*100</f>
        <v>88.99394953106732</v>
      </c>
      <c r="O48" s="517">
        <f>SUM(O16:O44)</f>
        <v>-51717</v>
      </c>
      <c r="P48" s="445">
        <f>SUM(P16:P44)</f>
        <v>-51717</v>
      </c>
      <c r="Q48" s="445">
        <f>SUM(Q16:Q44)</f>
        <v>-51655</v>
      </c>
      <c r="R48" s="316">
        <f>Q48/P48*100</f>
        <v>99.88011678945028</v>
      </c>
      <c r="S48" s="517">
        <f>SUM(S16:S44)</f>
        <v>-76738</v>
      </c>
      <c r="T48" s="445">
        <f>SUM(T16:T44)</f>
        <v>-74529</v>
      </c>
      <c r="U48" s="445">
        <f>SUM(U16:U44)</f>
        <v>-74344</v>
      </c>
      <c r="V48" s="316">
        <f>U48/T48*100</f>
        <v>99.75177447704921</v>
      </c>
      <c r="W48" s="514">
        <f>SUM(W16:W44)</f>
        <v>0</v>
      </c>
      <c r="X48" s="515">
        <f>SUM(X16:X44)</f>
        <v>0</v>
      </c>
      <c r="Y48" s="516">
        <f>SUM(Y16:Y44)</f>
        <v>2009</v>
      </c>
      <c r="Z48" s="316"/>
      <c r="AA48" s="517">
        <f>SUM(AA16:AA44)</f>
        <v>0</v>
      </c>
      <c r="AB48" s="445">
        <f>SUM(AB16:AB44)</f>
        <v>0</v>
      </c>
      <c r="AC48" s="445">
        <f>SUM(AC16:AC44)</f>
        <v>-55000</v>
      </c>
      <c r="AD48" s="316"/>
      <c r="AE48" s="395"/>
      <c r="AF48" s="39"/>
      <c r="AG48" s="39"/>
      <c r="AH48" s="39"/>
      <c r="AI48" s="593">
        <f>SUM(AI16:AI47)</f>
        <v>0</v>
      </c>
    </row>
    <row r="49" spans="21:35" ht="15.75" customHeight="1" thickBot="1">
      <c r="U49" s="79"/>
      <c r="Y49" s="60"/>
      <c r="AC49" s="60"/>
      <c r="AF49" s="343"/>
      <c r="AG49" s="343"/>
      <c r="AH49" s="343"/>
      <c r="AI49" s="735">
        <f>AI46+AI48</f>
        <v>0</v>
      </c>
    </row>
    <row r="50" spans="22:37" s="317" customFormat="1" ht="15.75" customHeight="1">
      <c r="V50" s="538"/>
      <c r="AE50" s="343"/>
      <c r="AF50" s="343">
        <v>24566</v>
      </c>
      <c r="AG50" s="343">
        <v>293101</v>
      </c>
      <c r="AH50" s="343">
        <v>-67260</v>
      </c>
      <c r="AI50" s="343"/>
      <c r="AJ50" s="343"/>
      <c r="AK50" s="317">
        <v>-210707786</v>
      </c>
    </row>
    <row r="51" spans="1:36" ht="19.5" customHeight="1">
      <c r="A51" s="11"/>
      <c r="B51" s="11"/>
      <c r="C51" s="11"/>
      <c r="D51" s="110"/>
      <c r="E51" s="110"/>
      <c r="F51" s="11"/>
      <c r="G51" s="11"/>
      <c r="H51" s="11"/>
      <c r="J51" s="11"/>
      <c r="K51" s="11"/>
      <c r="L51" s="11"/>
      <c r="M51" s="11"/>
      <c r="N51" s="11"/>
      <c r="O51" s="11"/>
      <c r="P51" s="11"/>
      <c r="Q51" s="447">
        <f>Q53-Q48</f>
        <v>0</v>
      </c>
      <c r="R51" s="11"/>
      <c r="U51" s="39"/>
      <c r="Z51" s="422"/>
      <c r="AE51" s="343"/>
      <c r="AI51" s="343"/>
      <c r="AJ51" s="343"/>
    </row>
    <row r="52" spans="31:37" s="343" customFormat="1" ht="15.75" customHeight="1">
      <c r="AE52" s="6"/>
      <c r="AF52" s="6"/>
      <c r="AG52" s="6"/>
      <c r="AI52" s="6"/>
      <c r="AJ52" s="6"/>
      <c r="AK52" s="343">
        <f>AK50-AK46</f>
        <v>990</v>
      </c>
    </row>
    <row r="53" spans="3:36" s="343" customFormat="1" ht="15.75" customHeight="1">
      <c r="C53" s="343">
        <v>136987</v>
      </c>
      <c r="D53" s="343">
        <v>321195</v>
      </c>
      <c r="E53" s="343">
        <v>-173721</v>
      </c>
      <c r="H53" s="343">
        <v>37719</v>
      </c>
      <c r="I53" s="343">
        <v>37719</v>
      </c>
      <c r="K53" s="343">
        <v>28500</v>
      </c>
      <c r="L53" s="343">
        <v>117181</v>
      </c>
      <c r="M53" s="343">
        <v>104284</v>
      </c>
      <c r="O53" s="343">
        <v>-51717</v>
      </c>
      <c r="P53" s="343">
        <v>-51717</v>
      </c>
      <c r="Q53" s="343">
        <v>-51655</v>
      </c>
      <c r="S53" s="343">
        <v>-76738</v>
      </c>
      <c r="T53" s="343">
        <v>-74529</v>
      </c>
      <c r="U53" s="343">
        <v>-74344</v>
      </c>
      <c r="Y53" s="343">
        <v>2009</v>
      </c>
      <c r="AC53" s="343">
        <v>-55000</v>
      </c>
      <c r="AE53" s="6"/>
      <c r="AF53" s="6"/>
      <c r="AG53" s="6"/>
      <c r="AH53" s="6"/>
      <c r="AI53" s="6"/>
      <c r="AJ53" s="6"/>
    </row>
    <row r="54" spans="16:18" ht="15.75">
      <c r="P54" s="39"/>
      <c r="Q54" s="39"/>
      <c r="R54" s="39"/>
    </row>
    <row r="55" spans="4:5" ht="15.75">
      <c r="D55" s="39">
        <f>D53-D48</f>
        <v>0</v>
      </c>
      <c r="E55" s="39">
        <f>E53-E48</f>
        <v>0</v>
      </c>
    </row>
    <row r="56" spans="5:9" ht="15.75">
      <c r="E56" s="39"/>
      <c r="F56" s="736"/>
      <c r="G56" s="736"/>
      <c r="H56" s="736"/>
      <c r="I56" s="736"/>
    </row>
    <row r="57" spans="5:9" ht="15.75">
      <c r="E57" s="6">
        <f>E56/2</f>
        <v>0</v>
      </c>
      <c r="F57" s="832"/>
      <c r="G57" s="832"/>
      <c r="H57" s="832"/>
      <c r="I57" s="832"/>
    </row>
    <row r="58" spans="6:9" ht="15.75">
      <c r="F58" s="736"/>
      <c r="G58" s="736"/>
      <c r="H58" s="736"/>
      <c r="I58" s="736"/>
    </row>
    <row r="71" ht="15.75">
      <c r="G71" s="6">
        <f>800+400+380+380</f>
        <v>1960</v>
      </c>
    </row>
    <row r="72" ht="15.75">
      <c r="G72" s="6">
        <v>500</v>
      </c>
    </row>
  </sheetData>
  <mergeCells count="27">
    <mergeCell ref="W8:Z8"/>
    <mergeCell ref="W9:Z9"/>
    <mergeCell ref="W13:Z13"/>
    <mergeCell ref="G13:J13"/>
    <mergeCell ref="K13:N13"/>
    <mergeCell ref="O13:R13"/>
    <mergeCell ref="S13:V13"/>
    <mergeCell ref="A2:AD2"/>
    <mergeCell ref="C9:F9"/>
    <mergeCell ref="G9:J9"/>
    <mergeCell ref="K9:N9"/>
    <mergeCell ref="O9:R9"/>
    <mergeCell ref="S9:V9"/>
    <mergeCell ref="AA8:AD8"/>
    <mergeCell ref="A3:AD3"/>
    <mergeCell ref="A4:AD4"/>
    <mergeCell ref="AA9:AD9"/>
    <mergeCell ref="A10:B10"/>
    <mergeCell ref="F58:G58"/>
    <mergeCell ref="H58:I58"/>
    <mergeCell ref="AF9:AH9"/>
    <mergeCell ref="AF10:AH10"/>
    <mergeCell ref="F56:I56"/>
    <mergeCell ref="F57:G57"/>
    <mergeCell ref="H57:I57"/>
    <mergeCell ref="AA13:AD13"/>
    <mergeCell ref="C13:F13"/>
  </mergeCells>
  <printOptions horizontalCentered="1" verticalCentered="1"/>
  <pageMargins left="0.3937007874015748" right="0.3937007874015748" top="0.7480314960629921" bottom="0.7480314960629921" header="0.5118110236220472" footer="0.5118110236220472"/>
  <pageSetup horizontalDpi="180" verticalDpi="180" orientation="landscape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X112"/>
  <sheetViews>
    <sheetView showZeros="0" view="pageBreakPreview" zoomScale="60" zoomScaleNormal="85" workbookViewId="0" topLeftCell="A1">
      <pane xSplit="2" ySplit="9" topLeftCell="C10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O17" sqref="O17"/>
    </sheetView>
  </sheetViews>
  <sheetFormatPr defaultColWidth="9.796875" defaultRowHeight="15"/>
  <cols>
    <col min="1" max="1" width="9.796875" style="252" customWidth="1"/>
    <col min="2" max="2" width="16.19921875" style="252" customWidth="1"/>
    <col min="3" max="4" width="11.796875" style="6" customWidth="1"/>
    <col min="5" max="5" width="11.796875" style="252" customWidth="1"/>
    <col min="6" max="6" width="13.296875" style="252" hidden="1" customWidth="1"/>
    <col min="7" max="7" width="6.296875" style="252" hidden="1" customWidth="1"/>
    <col min="8" max="8" width="6.796875" style="252" customWidth="1"/>
    <col min="9" max="11" width="11.796875" style="252" customWidth="1"/>
    <col min="12" max="12" width="6.796875" style="252" customWidth="1"/>
    <col min="13" max="15" width="11.796875" style="252" customWidth="1"/>
    <col min="16" max="16" width="6.796875" style="252" customWidth="1"/>
    <col min="17" max="19" width="11.796875" style="252" customWidth="1"/>
    <col min="20" max="20" width="6.796875" style="252" customWidth="1"/>
    <col min="21" max="21" width="7.796875" style="252" customWidth="1"/>
    <col min="22" max="22" width="0" style="252" hidden="1" customWidth="1"/>
    <col min="23" max="25" width="9.796875" style="252" customWidth="1"/>
    <col min="26" max="26" width="10.796875" style="252" customWidth="1"/>
    <col min="27" max="29" width="9.796875" style="252" customWidth="1"/>
    <col min="30" max="30" width="10.796875" style="252" customWidth="1"/>
    <col min="31" max="33" width="9.796875" style="252" customWidth="1"/>
    <col min="34" max="34" width="10.796875" style="252" customWidth="1"/>
    <col min="35" max="37" width="9.796875" style="252" customWidth="1"/>
    <col min="38" max="38" width="10.796875" style="252" customWidth="1"/>
    <col min="39" max="16384" width="9.796875" style="252" customWidth="1"/>
  </cols>
  <sheetData>
    <row r="1" s="6" customFormat="1" ht="17.25" customHeight="1">
      <c r="A1" s="5"/>
    </row>
    <row r="2" spans="1:21" s="6" customFormat="1" ht="24" customHeight="1">
      <c r="A2" s="752" t="s">
        <v>232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</row>
    <row r="3" spans="9:17" s="6" customFormat="1" ht="15" customHeight="1">
      <c r="I3" s="8"/>
      <c r="Q3" s="6" t="s">
        <v>16</v>
      </c>
    </row>
    <row r="4" spans="1:20" s="6" customFormat="1" ht="21" customHeight="1">
      <c r="A4" s="9" t="s">
        <v>25</v>
      </c>
      <c r="B4" s="10"/>
      <c r="C4" s="10"/>
      <c r="D4" s="10"/>
      <c r="E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s="6" customFormat="1" ht="22.5" customHeight="1">
      <c r="A5" s="11"/>
      <c r="B5" s="11"/>
      <c r="C5" s="11"/>
      <c r="D5" s="11"/>
      <c r="E5" s="11"/>
      <c r="H5" s="11"/>
      <c r="I5" s="11"/>
      <c r="J5" s="11"/>
      <c r="K5" s="12"/>
      <c r="L5" s="13"/>
      <c r="M5" s="11"/>
      <c r="N5" s="11"/>
      <c r="O5" s="11"/>
      <c r="P5" s="11"/>
      <c r="Q5" s="11"/>
      <c r="R5" s="11"/>
      <c r="T5" s="14" t="s">
        <v>15</v>
      </c>
    </row>
    <row r="6" spans="1:20" s="6" customFormat="1" ht="22.5" customHeight="1" thickBot="1">
      <c r="A6" s="11"/>
      <c r="B6" s="11"/>
      <c r="C6" s="11"/>
      <c r="D6" s="11"/>
      <c r="E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 t="s">
        <v>17</v>
      </c>
      <c r="T6" s="15"/>
    </row>
    <row r="7" spans="1:20" s="6" customFormat="1" ht="21.75" customHeight="1">
      <c r="A7" s="16"/>
      <c r="B7" s="17"/>
      <c r="C7" s="18" t="s">
        <v>22</v>
      </c>
      <c r="D7" s="19"/>
      <c r="E7" s="19"/>
      <c r="F7" s="19"/>
      <c r="G7" s="19"/>
      <c r="H7" s="20"/>
      <c r="I7" s="18" t="s">
        <v>24</v>
      </c>
      <c r="J7" s="21"/>
      <c r="K7" s="19"/>
      <c r="L7" s="20"/>
      <c r="M7" s="22" t="s">
        <v>26</v>
      </c>
      <c r="N7" s="19"/>
      <c r="O7" s="19"/>
      <c r="P7" s="19"/>
      <c r="Q7" s="18" t="s">
        <v>155</v>
      </c>
      <c r="R7" s="21"/>
      <c r="S7" s="19"/>
      <c r="T7" s="20"/>
    </row>
    <row r="8" spans="1:20" s="6" customFormat="1" ht="18" customHeight="1">
      <c r="A8" s="756" t="s">
        <v>285</v>
      </c>
      <c r="B8" s="757"/>
      <c r="C8" s="25" t="s">
        <v>0</v>
      </c>
      <c r="D8" s="26" t="s">
        <v>4</v>
      </c>
      <c r="E8" s="26" t="s">
        <v>5</v>
      </c>
      <c r="F8" s="1" t="s">
        <v>175</v>
      </c>
      <c r="G8" s="1"/>
      <c r="H8" s="27" t="s">
        <v>2</v>
      </c>
      <c r="I8" s="25" t="s">
        <v>0</v>
      </c>
      <c r="J8" s="26" t="s">
        <v>4</v>
      </c>
      <c r="K8" s="26" t="s">
        <v>5</v>
      </c>
      <c r="L8" s="27" t="s">
        <v>2</v>
      </c>
      <c r="M8" s="25" t="s">
        <v>0</v>
      </c>
      <c r="N8" s="26" t="s">
        <v>4</v>
      </c>
      <c r="O8" s="26" t="s">
        <v>5</v>
      </c>
      <c r="P8" s="27" t="s">
        <v>2</v>
      </c>
      <c r="Q8" s="25" t="s">
        <v>0</v>
      </c>
      <c r="R8" s="26" t="s">
        <v>4</v>
      </c>
      <c r="S8" s="26" t="s">
        <v>5</v>
      </c>
      <c r="T8" s="28" t="s">
        <v>2</v>
      </c>
    </row>
    <row r="9" spans="1:20" s="6" customFormat="1" ht="18" customHeight="1" thickBot="1">
      <c r="A9" s="29"/>
      <c r="B9" s="30"/>
      <c r="C9" s="31" t="s">
        <v>1</v>
      </c>
      <c r="D9" s="32" t="s">
        <v>1</v>
      </c>
      <c r="E9" s="33" t="s">
        <v>237</v>
      </c>
      <c r="F9" s="33" t="s">
        <v>277</v>
      </c>
      <c r="G9" s="33"/>
      <c r="H9" s="34" t="s">
        <v>19</v>
      </c>
      <c r="I9" s="31" t="s">
        <v>1</v>
      </c>
      <c r="J9" s="32" t="s">
        <v>1</v>
      </c>
      <c r="K9" s="33" t="s">
        <v>237</v>
      </c>
      <c r="L9" s="34" t="s">
        <v>19</v>
      </c>
      <c r="M9" s="31" t="s">
        <v>1</v>
      </c>
      <c r="N9" s="32" t="s">
        <v>1</v>
      </c>
      <c r="O9" s="33" t="s">
        <v>237</v>
      </c>
      <c r="P9" s="34" t="s">
        <v>19</v>
      </c>
      <c r="Q9" s="31" t="s">
        <v>1</v>
      </c>
      <c r="R9" s="32" t="s">
        <v>1</v>
      </c>
      <c r="S9" s="33" t="s">
        <v>237</v>
      </c>
      <c r="T9" s="34" t="s">
        <v>19</v>
      </c>
    </row>
    <row r="10" s="6" customFormat="1" ht="16.5" customHeight="1"/>
    <row r="11" s="6" customFormat="1" ht="16.5" customHeight="1" thickBot="1"/>
    <row r="12" spans="1:22" s="6" customFormat="1" ht="16.5" customHeight="1">
      <c r="A12" s="357"/>
      <c r="B12" s="484"/>
      <c r="C12" s="522"/>
      <c r="D12" s="349"/>
      <c r="E12" s="349"/>
      <c r="F12" s="562"/>
      <c r="G12" s="562"/>
      <c r="H12" s="481"/>
      <c r="I12" s="348"/>
      <c r="J12" s="349"/>
      <c r="K12" s="349"/>
      <c r="L12" s="341"/>
      <c r="M12" s="348"/>
      <c r="N12" s="349"/>
      <c r="O12" s="349"/>
      <c r="P12" s="341"/>
      <c r="Q12" s="348"/>
      <c r="R12" s="349"/>
      <c r="S12" s="349"/>
      <c r="T12" s="341"/>
      <c r="V12" s="24"/>
    </row>
    <row r="13" spans="1:20" s="6" customFormat="1" ht="16.5" customHeight="1">
      <c r="A13" s="744" t="s">
        <v>243</v>
      </c>
      <c r="B13" s="333"/>
      <c r="C13" s="374">
        <f>'Daňové příjmy'!C13+'Daňové příjmy'!G13++'Daňové příjmy'!K13+'Daňové příjmy'!O13+'Ost.daně=Místní popl.'!C14</f>
        <v>105530</v>
      </c>
      <c r="D13" s="433">
        <f>'Daňové příjmy'!D13+'Daňové příjmy'!H13++'Daňové příjmy'!L13+'Daňové příjmy'!P13+'Ost.daně=Místní popl.'!D14</f>
        <v>71402</v>
      </c>
      <c r="E13" s="433">
        <f>'Daňové příjmy'!E13+'Daňové příjmy'!I13+'Daňové příjmy'!M13+'Daňové příjmy'!Q13+'Ost.daně=Místní popl.'!E14</f>
        <v>85289</v>
      </c>
      <c r="F13" s="455">
        <v>-85288736.08</v>
      </c>
      <c r="G13" s="539">
        <f>-F13/1000-E13</f>
        <v>-0.2639199999975972</v>
      </c>
      <c r="H13" s="462">
        <f aca="true" t="shared" si="0" ref="H13:H41">SUM(E13/D13*100)</f>
        <v>119.44903504103526</v>
      </c>
      <c r="I13" s="433">
        <f>'Nedaňové příjmy'!C15+'Nedaňové příjmy'!G15+'Nedaňové příjmy'!K15+'Nedaňové příjmy'!O15+'Nedaňové příjmy'!S15+'Nedaňové příjmy'!W15</f>
        <v>15835</v>
      </c>
      <c r="J13" s="433">
        <f>'Nedaňové příjmy'!D15+'Nedaňové příjmy'!H15+'Nedaňové příjmy'!L15+'Nedaňové příjmy'!P15+'Nedaňové příjmy'!T15+'Nedaňové příjmy'!X15</f>
        <v>51180</v>
      </c>
      <c r="K13" s="433">
        <f>'Nedaňové příjmy'!E15+'Nedaňové příjmy'!I15+'Nedaňové příjmy'!M15+'Nedaňové příjmy'!Q15+'Nedaňové příjmy'!U15+'Nedaňové příjmy'!Y15</f>
        <v>51757</v>
      </c>
      <c r="L13" s="462">
        <f>SUM(K13/J13*100)</f>
        <v>101.12739351309105</v>
      </c>
      <c r="M13" s="433">
        <f>'Kapitálové příjmy'!C13+'Kapitálové příjmy'!G13</f>
        <v>0</v>
      </c>
      <c r="N13" s="433">
        <f>'Kapitálové příjmy'!D13+'Kapitálové příjmy'!H13</f>
        <v>0</v>
      </c>
      <c r="O13" s="461">
        <f>'Kapitálové příjmy'!E13+'Kapitálové příjmy'!I13</f>
        <v>-449</v>
      </c>
      <c r="P13" s="462"/>
      <c r="Q13" s="433">
        <f>'Transfery neinvestiční 2.5'!C14+'Transfery neinvestiční 2.5'!G14+'Transfery neinvestiční 2.5'!K14+'Transfery neinvestiční 2.5'!O14+'Transfery nein.2.5a'!C15+'Transfery nein.2.5a'!O15+'Transfery nein.2.5a'!S15+'Transfery nein.2.5a'!W15+'Transfery investiční'!C14+'Transfery investiční'!G14+'Transfery investiční'!K14+'Transfery investiční'!O14+'Transfery investiční'!S14+'Transfery investiční'!W14+'Transfery investiční'!AA14+'Transfery nein.2.5a'!AA15</f>
        <v>266156</v>
      </c>
      <c r="R13" s="433">
        <f>'Transfery neinvestiční 2.5'!D14+'Transfery neinvestiční 2.5'!H14+'Transfery neinvestiční 2.5'!L14+'Transfery neinvestiční 2.5'!P14+'Transfery nein.2.5a'!D15+'Transfery nein.2.5a'!P15+'Transfery nein.2.5a'!T15+'Transfery nein.2.5a'!X15+'Transfery investiční'!D14+'Transfery investiční'!H14+'Transfery investiční'!L14+'Transfery investiční'!P14+'Transfery investiční'!T14+'Transfery investiční'!X14+'Transfery investiční'!AB14+'Transfery nein.2.5a'!AB15</f>
        <v>328556</v>
      </c>
      <c r="S13" s="433">
        <f>'Transfery neinvestiční 2.5'!E14+'Transfery neinvestiční 2.5'!I14+'Transfery neinvestiční 2.5'!M14+'Transfery neinvestiční 2.5'!Q14+'Transfery nein.2.5a'!E15+'Transfery nein.2.5a'!Q15+'Transfery nein.2.5a'!U15+'Transfery nein.2.5a'!Y15+'Transfery investiční'!E14+'Transfery investiční'!I14+'Transfery investiční'!M14+'Transfery investiční'!Q14+'Transfery investiční'!U14+'Transfery investiční'!Y14+'Transfery investiční'!AC14+'Transfery nein.2.5a'!AC15</f>
        <v>319680</v>
      </c>
      <c r="T13" s="462">
        <f>SUM(S13/R13*100)</f>
        <v>97.29848184175604</v>
      </c>
    </row>
    <row r="14" spans="1:23" s="6" customFormat="1" ht="16.5" customHeight="1">
      <c r="A14" s="745" t="s">
        <v>244</v>
      </c>
      <c r="B14" s="333"/>
      <c r="C14" s="374">
        <f>'Daňové příjmy'!C14+'Daňové příjmy'!G14++'Daňové příjmy'!K14+'Daňové příjmy'!O14+'Ost.daně=Místní popl.'!C15</f>
        <v>6440</v>
      </c>
      <c r="D14" s="433">
        <f>'Daňové příjmy'!D14+'Daňové příjmy'!H14++'Daňové příjmy'!L14+'Daňové příjmy'!P14+'Ost.daně=Místní popl.'!D15</f>
        <v>6388</v>
      </c>
      <c r="E14" s="433">
        <f>'Daňové příjmy'!E14+'Daňové příjmy'!I14+'Daňové příjmy'!M14+'Daňové příjmy'!Q14+'Ost.daně=Místní popl.'!E15</f>
        <v>5984</v>
      </c>
      <c r="F14" s="455">
        <v>-5982635</v>
      </c>
      <c r="G14" s="539">
        <f aca="true" t="shared" si="1" ref="G14:G41">-F14/1000-E14</f>
        <v>-1.3649999999997817</v>
      </c>
      <c r="H14" s="462">
        <f t="shared" si="0"/>
        <v>93.6756418284283</v>
      </c>
      <c r="I14" s="433">
        <f>'Nedaňové příjmy'!C16+'Nedaňové příjmy'!G16+'Nedaňové příjmy'!K16+'Nedaňové příjmy'!O16+'Nedaňové příjmy'!S16+'Nedaňové příjmy'!W16</f>
        <v>3795</v>
      </c>
      <c r="J14" s="433">
        <f>'Nedaňové příjmy'!D16+'Nedaňové příjmy'!H16+'Nedaňové příjmy'!L16+'Nedaňové příjmy'!P16+'Nedaňové příjmy'!T16+'Nedaňové příjmy'!X16</f>
        <v>8706</v>
      </c>
      <c r="K14" s="433">
        <f>'Nedaňové příjmy'!E16+'Nedaňové příjmy'!I16+'Nedaňové příjmy'!M16+'Nedaňové příjmy'!Q16+'Nedaňové příjmy'!U16+'Nedaňové příjmy'!Y16</f>
        <v>8720</v>
      </c>
      <c r="L14" s="462">
        <f aca="true" t="shared" si="2" ref="L14:L41">SUM(K14/J14*100)</f>
        <v>100.16080863772112</v>
      </c>
      <c r="M14" s="433">
        <f>'Kapitálové příjmy'!C14+'Kapitálové příjmy'!G14</f>
        <v>0</v>
      </c>
      <c r="N14" s="433">
        <f>'Kapitálové příjmy'!D14+'Kapitálové příjmy'!H14</f>
        <v>0</v>
      </c>
      <c r="O14" s="463">
        <f>'Kapitálové příjmy'!E14+'Kapitálové příjmy'!I14</f>
        <v>0</v>
      </c>
      <c r="P14" s="462"/>
      <c r="Q14" s="433">
        <f>'Transfery neinvestiční 2.5'!C15+'Transfery neinvestiční 2.5'!G15+'Transfery neinvestiční 2.5'!K15+'Transfery neinvestiční 2.5'!O15+'Transfery nein.2.5a'!C16+'Transfery nein.2.5a'!O16+'Transfery nein.2.5a'!S16+'Transfery nein.2.5a'!W16+'Transfery investiční'!C15+'Transfery investiční'!G15+'Transfery investiční'!K15+'Transfery investiční'!O15+'Transfery investiční'!S15+'Transfery investiční'!W15+'Transfery investiční'!AA15+'Transfery nein.2.5a'!AA16</f>
        <v>43834</v>
      </c>
      <c r="R14" s="433">
        <f>'Transfery neinvestiční 2.5'!D15+'Transfery neinvestiční 2.5'!H15+'Transfery neinvestiční 2.5'!L15+'Transfery neinvestiční 2.5'!P15+'Transfery nein.2.5a'!D16+'Transfery nein.2.5a'!P16+'Transfery nein.2.5a'!T16+'Transfery nein.2.5a'!X16+'Transfery investiční'!D15+'Transfery investiční'!H15+'Transfery investiční'!L15+'Transfery investiční'!P15+'Transfery investiční'!T15+'Transfery investiční'!X15+'Transfery investiční'!AB15+'Transfery nein.2.5a'!AB16</f>
        <v>60419</v>
      </c>
      <c r="S14" s="433">
        <f>'Transfery neinvestiční 2.5'!E15+'Transfery neinvestiční 2.5'!I15+'Transfery neinvestiční 2.5'!M15+'Transfery neinvestiční 2.5'!Q15+'Transfery nein.2.5a'!E16+'Transfery nein.2.5a'!Q16+'Transfery nein.2.5a'!U16+'Transfery nein.2.5a'!Y16+'Transfery investiční'!E15+'Transfery investiční'!I15+'Transfery investiční'!M15+'Transfery investiční'!Q15+'Transfery investiční'!U15+'Transfery investiční'!Y15+'Transfery investiční'!AC15+'Transfery nein.2.5a'!AC16</f>
        <v>60419</v>
      </c>
      <c r="T14" s="462">
        <f aca="true" t="shared" si="3" ref="T14:T41">SUM(S14/R14*100)</f>
        <v>100</v>
      </c>
      <c r="V14" s="422"/>
      <c r="W14" s="422"/>
    </row>
    <row r="15" spans="1:20" s="6" customFormat="1" ht="16.5" customHeight="1">
      <c r="A15" s="745" t="s">
        <v>245</v>
      </c>
      <c r="B15" s="333"/>
      <c r="C15" s="374">
        <f>'Daňové příjmy'!C15+'Daňové příjmy'!G15++'Daňové příjmy'!K15+'Daňové příjmy'!O15+'Ost.daně=Místní popl.'!C16</f>
        <v>7158</v>
      </c>
      <c r="D15" s="433">
        <f>'Daňové příjmy'!D15+'Daňové příjmy'!H15++'Daňové příjmy'!L15+'Daňové příjmy'!P15+'Ost.daně=Místní popl.'!D16</f>
        <v>9729</v>
      </c>
      <c r="E15" s="433">
        <f>'Daňové příjmy'!E15+'Daňové příjmy'!I15+'Daňové příjmy'!M15+'Daňové příjmy'!Q15+'Ost.daně=Místní popl.'!E16</f>
        <v>9124</v>
      </c>
      <c r="F15" s="455">
        <v>-9125358.86</v>
      </c>
      <c r="G15" s="539">
        <f t="shared" si="1"/>
        <v>1.358860000000277</v>
      </c>
      <c r="H15" s="462">
        <f t="shared" si="0"/>
        <v>93.78147805529859</v>
      </c>
      <c r="I15" s="433">
        <f>'Nedaňové příjmy'!C17+'Nedaňové příjmy'!G17+'Nedaňové příjmy'!K17+'Nedaňové příjmy'!O17+'Nedaňové příjmy'!S17+'Nedaňové příjmy'!W17</f>
        <v>3485</v>
      </c>
      <c r="J15" s="433">
        <f>'Nedaňové příjmy'!D17+'Nedaňové příjmy'!H17+'Nedaňové příjmy'!L17+'Nedaňové příjmy'!P17+'Nedaňové příjmy'!T17+'Nedaňové příjmy'!X17</f>
        <v>7934</v>
      </c>
      <c r="K15" s="433">
        <f>'Nedaňové příjmy'!E17+'Nedaňové příjmy'!I17+'Nedaňové příjmy'!M17+'Nedaňové příjmy'!Q17+'Nedaňové příjmy'!U17+'Nedaňové příjmy'!Y17</f>
        <v>8205</v>
      </c>
      <c r="L15" s="462">
        <f t="shared" si="2"/>
        <v>103.41567935467609</v>
      </c>
      <c r="M15" s="433">
        <f>'Kapitálové příjmy'!C15+'Kapitálové příjmy'!G15</f>
        <v>0</v>
      </c>
      <c r="N15" s="433">
        <f>'Kapitálové příjmy'!D15+'Kapitálové příjmy'!H15</f>
        <v>0</v>
      </c>
      <c r="O15" s="463">
        <f>'Kapitálové příjmy'!E15+'Kapitálové příjmy'!I15</f>
        <v>0</v>
      </c>
      <c r="P15" s="462"/>
      <c r="Q15" s="433">
        <f>'Transfery neinvestiční 2.5'!C16+'Transfery neinvestiční 2.5'!G16+'Transfery neinvestiční 2.5'!K16+'Transfery neinvestiční 2.5'!O16+'Transfery nein.2.5a'!C17+'Transfery nein.2.5a'!O17+'Transfery nein.2.5a'!S17+'Transfery nein.2.5a'!W17+'Transfery investiční'!C16+'Transfery investiční'!G16+'Transfery investiční'!K16+'Transfery investiční'!O16+'Transfery investiční'!S16+'Transfery investiční'!W16+'Transfery investiční'!AA16+'Transfery nein.2.5a'!AA17</f>
        <v>65916</v>
      </c>
      <c r="R15" s="433">
        <f>'Transfery neinvestiční 2.5'!D16+'Transfery neinvestiční 2.5'!H16+'Transfery neinvestiční 2.5'!L16+'Transfery neinvestiční 2.5'!P16+'Transfery nein.2.5a'!D17+'Transfery nein.2.5a'!P17+'Transfery nein.2.5a'!T17+'Transfery nein.2.5a'!X17+'Transfery investiční'!D16+'Transfery investiční'!H16+'Transfery investiční'!L16+'Transfery investiční'!P16+'Transfery investiční'!T16+'Transfery investiční'!X16+'Transfery investiční'!AB16+'Transfery nein.2.5a'!AB17</f>
        <v>106318</v>
      </c>
      <c r="S15" s="433">
        <f>'Transfery neinvestiční 2.5'!E16+'Transfery neinvestiční 2.5'!I16+'Transfery neinvestiční 2.5'!M16+'Transfery neinvestiční 2.5'!Q16+'Transfery nein.2.5a'!E17+'Transfery nein.2.5a'!Q17+'Transfery nein.2.5a'!U17+'Transfery nein.2.5a'!Y17+'Transfery investiční'!E16+'Transfery investiční'!I16+'Transfery investiční'!M16+'Transfery investiční'!Q16+'Transfery investiční'!U16+'Transfery investiční'!Y16+'Transfery investiční'!AC16+'Transfery nein.2.5a'!AC17</f>
        <v>78419</v>
      </c>
      <c r="T15" s="462">
        <f t="shared" si="3"/>
        <v>73.75891194341504</v>
      </c>
    </row>
    <row r="16" spans="1:24" s="6" customFormat="1" ht="16.5" customHeight="1">
      <c r="A16" s="745" t="s">
        <v>246</v>
      </c>
      <c r="B16" s="333"/>
      <c r="C16" s="374">
        <f>'Daňové příjmy'!C16+'Daňové příjmy'!G16++'Daňové příjmy'!K16+'Daňové příjmy'!O16+'Ost.daně=Místní popl.'!C17</f>
        <v>945</v>
      </c>
      <c r="D16" s="433">
        <f>'Daňové příjmy'!D16+'Daňové příjmy'!H16++'Daňové příjmy'!L16+'Daňové příjmy'!P16+'Ost.daně=Místní popl.'!D17</f>
        <v>5383</v>
      </c>
      <c r="E16" s="433">
        <f>'Daňové příjmy'!E16+'Daňové příjmy'!I16+'Daňové příjmy'!M16+'Daňové příjmy'!Q16+'Ost.daně=Místní popl.'!E17</f>
        <v>5628</v>
      </c>
      <c r="F16" s="455">
        <v>-5627695</v>
      </c>
      <c r="G16" s="539">
        <f t="shared" si="1"/>
        <v>-0.30500000000029104</v>
      </c>
      <c r="H16" s="462">
        <f t="shared" si="0"/>
        <v>104.55136540962289</v>
      </c>
      <c r="I16" s="433">
        <f>'Nedaňové příjmy'!C18+'Nedaňové příjmy'!G18+'Nedaňové příjmy'!K18+'Nedaňové příjmy'!O18+'Nedaňové příjmy'!S18+'Nedaňové příjmy'!W18</f>
        <v>1553</v>
      </c>
      <c r="J16" s="433">
        <f>'Nedaňové příjmy'!D18+'Nedaňové příjmy'!H18+'Nedaňové příjmy'!L18+'Nedaňové příjmy'!P18+'Nedaňové příjmy'!T18+'Nedaňové příjmy'!X18</f>
        <v>2265</v>
      </c>
      <c r="K16" s="433">
        <f>'Nedaňové příjmy'!E18+'Nedaňové příjmy'!I18+'Nedaňové příjmy'!M18+'Nedaňové příjmy'!Q18+'Nedaňové příjmy'!U18+'Nedaňové příjmy'!Y18</f>
        <v>3054</v>
      </c>
      <c r="L16" s="462">
        <f t="shared" si="2"/>
        <v>134.83443708609272</v>
      </c>
      <c r="M16" s="433">
        <f>'Kapitálové příjmy'!C16+'Kapitálové příjmy'!G16</f>
        <v>0</v>
      </c>
      <c r="N16" s="433">
        <f>'Kapitálové příjmy'!D16+'Kapitálové příjmy'!H16</f>
        <v>0</v>
      </c>
      <c r="O16" s="463">
        <f>'Kapitálové příjmy'!E16+'Kapitálové příjmy'!I16</f>
        <v>0</v>
      </c>
      <c r="P16" s="462"/>
      <c r="Q16" s="433">
        <f>'Transfery neinvestiční 2.5'!C17+'Transfery neinvestiční 2.5'!G17+'Transfery neinvestiční 2.5'!K17+'Transfery neinvestiční 2.5'!O17+'Transfery nein.2.5a'!C18+'Transfery nein.2.5a'!O18+'Transfery nein.2.5a'!S18+'Transfery nein.2.5a'!W18+'Transfery investiční'!C17+'Transfery investiční'!G17+'Transfery investiční'!K17+'Transfery investiční'!O17+'Transfery investiční'!S17+'Transfery investiční'!W17+'Transfery investiční'!AA17+'Transfery nein.2.5a'!AA18</f>
        <v>40872</v>
      </c>
      <c r="R16" s="433">
        <f>'Transfery neinvestiční 2.5'!D17+'Transfery neinvestiční 2.5'!H17+'Transfery neinvestiční 2.5'!L17+'Transfery neinvestiční 2.5'!P17+'Transfery nein.2.5a'!D18+'Transfery nein.2.5a'!P18+'Transfery nein.2.5a'!T18+'Transfery nein.2.5a'!X18+'Transfery investiční'!D17+'Transfery investiční'!H17+'Transfery investiční'!L17+'Transfery investiční'!P17+'Transfery investiční'!T17+'Transfery investiční'!X17+'Transfery investiční'!AB17+'Transfery nein.2.5a'!AB18</f>
        <v>64431</v>
      </c>
      <c r="S16" s="433">
        <f>'Transfery neinvestiční 2.5'!E17+'Transfery neinvestiční 2.5'!I17+'Transfery neinvestiční 2.5'!M17+'Transfery neinvestiční 2.5'!Q17+'Transfery nein.2.5a'!E18+'Transfery nein.2.5a'!Q18+'Transfery nein.2.5a'!U18+'Transfery nein.2.5a'!Y18+'Transfery investiční'!E17+'Transfery investiční'!I17+'Transfery investiční'!M17+'Transfery investiční'!Q17+'Transfery investiční'!U17+'Transfery investiční'!Y17+'Transfery investiční'!AC17+'Transfery nein.2.5a'!AC18</f>
        <v>63785</v>
      </c>
      <c r="T16" s="462">
        <f t="shared" si="3"/>
        <v>98.99737703900297</v>
      </c>
      <c r="W16" s="422"/>
      <c r="X16" s="422"/>
    </row>
    <row r="17" spans="1:20" s="6" customFormat="1" ht="16.5" customHeight="1">
      <c r="A17" s="745" t="s">
        <v>247</v>
      </c>
      <c r="B17" s="333"/>
      <c r="C17" s="374">
        <f>'Daňové příjmy'!C17+'Daňové příjmy'!G17++'Daňové příjmy'!K17+'Daňové příjmy'!O17+'Ost.daně=Místní popl.'!C18</f>
        <v>3233</v>
      </c>
      <c r="D17" s="433">
        <f>'Daňové příjmy'!D17+'Daňové příjmy'!H17++'Daňové příjmy'!L17+'Daňové příjmy'!P17+'Ost.daně=Místní popl.'!D18</f>
        <v>3623</v>
      </c>
      <c r="E17" s="433">
        <f>'Daňové příjmy'!E17+'Daňové příjmy'!I17+'Daňové příjmy'!M17+'Daňové příjmy'!Q17+'Ost.daně=Místní popl.'!E18</f>
        <v>3603</v>
      </c>
      <c r="F17" s="455">
        <v>-3603461.08</v>
      </c>
      <c r="G17" s="539">
        <f t="shared" si="1"/>
        <v>0.4610800000000381</v>
      </c>
      <c r="H17" s="462">
        <f t="shared" si="0"/>
        <v>99.44797129450731</v>
      </c>
      <c r="I17" s="433">
        <f>'Nedaňové příjmy'!C19+'Nedaňové příjmy'!G19+'Nedaňové příjmy'!K19+'Nedaňové příjmy'!O19+'Nedaňové příjmy'!S19+'Nedaňové příjmy'!W19</f>
        <v>3442</v>
      </c>
      <c r="J17" s="433">
        <f>'Nedaňové příjmy'!D19+'Nedaňové příjmy'!H19+'Nedaňové příjmy'!L19+'Nedaňové příjmy'!P19+'Nedaňové příjmy'!T19+'Nedaňové příjmy'!X19</f>
        <v>6823</v>
      </c>
      <c r="K17" s="433">
        <f>'Nedaňové příjmy'!E19+'Nedaňové příjmy'!I19+'Nedaňové příjmy'!M19+'Nedaňové příjmy'!Q19+'Nedaňové příjmy'!U19+'Nedaňové příjmy'!Y19</f>
        <v>7220</v>
      </c>
      <c r="L17" s="462">
        <f t="shared" si="2"/>
        <v>105.81855488787923</v>
      </c>
      <c r="M17" s="433">
        <f>'Kapitálové příjmy'!C17+'Kapitálové příjmy'!G17</f>
        <v>0</v>
      </c>
      <c r="N17" s="433">
        <f>'Kapitálové příjmy'!D17+'Kapitálové příjmy'!H17</f>
        <v>0</v>
      </c>
      <c r="O17" s="463">
        <f>'Kapitálové příjmy'!E17+'Kapitálové příjmy'!I17</f>
        <v>0</v>
      </c>
      <c r="P17" s="462"/>
      <c r="Q17" s="433">
        <f>'Transfery neinvestiční 2.5'!C18+'Transfery neinvestiční 2.5'!G18+'Transfery neinvestiční 2.5'!K18+'Transfery neinvestiční 2.5'!O18+'Transfery nein.2.5a'!C19+'Transfery nein.2.5a'!O19+'Transfery nein.2.5a'!S19+'Transfery nein.2.5a'!W19+'Transfery investiční'!C18+'Transfery investiční'!G18+'Transfery investiční'!K18+'Transfery investiční'!O18+'Transfery investiční'!S18+'Transfery investiční'!W18+'Transfery investiční'!AA18+'Transfery nein.2.5a'!AA19</f>
        <v>45969</v>
      </c>
      <c r="R17" s="433">
        <f>'Transfery neinvestiční 2.5'!D18+'Transfery neinvestiční 2.5'!H18+'Transfery neinvestiční 2.5'!L18+'Transfery neinvestiční 2.5'!P18+'Transfery nein.2.5a'!D19+'Transfery nein.2.5a'!P19+'Transfery nein.2.5a'!T19+'Transfery nein.2.5a'!X19+'Transfery investiční'!D18+'Transfery investiční'!H18+'Transfery investiční'!L18+'Transfery investiční'!P18+'Transfery investiční'!T18+'Transfery investiční'!X18+'Transfery investiční'!AB18+'Transfery nein.2.5a'!AB19</f>
        <v>53718</v>
      </c>
      <c r="S17" s="433">
        <f>'Transfery neinvestiční 2.5'!E18+'Transfery neinvestiční 2.5'!I18+'Transfery neinvestiční 2.5'!M18+'Transfery neinvestiční 2.5'!Q18+'Transfery nein.2.5a'!E19+'Transfery nein.2.5a'!Q19+'Transfery nein.2.5a'!U19+'Transfery nein.2.5a'!Y19+'Transfery investiční'!E18+'Transfery investiční'!I18+'Transfery investiční'!M18+'Transfery investiční'!Q18+'Transfery investiční'!U18+'Transfery investiční'!Y18+'Transfery investiční'!AC18+'Transfery nein.2.5a'!AC19</f>
        <v>53719</v>
      </c>
      <c r="T17" s="462">
        <f t="shared" si="3"/>
        <v>100.00186157340183</v>
      </c>
    </row>
    <row r="18" spans="1:20" s="6" customFormat="1" ht="16.5" customHeight="1">
      <c r="A18" s="745" t="s">
        <v>248</v>
      </c>
      <c r="B18" s="333"/>
      <c r="C18" s="374">
        <f>'Daňové příjmy'!C18+'Daňové příjmy'!G18++'Daňové příjmy'!K18+'Daňové příjmy'!O18+'Ost.daně=Místní popl.'!C19</f>
        <v>1162</v>
      </c>
      <c r="D18" s="433">
        <f>'Daňové příjmy'!D18+'Daňové příjmy'!H18++'Daňové příjmy'!L18+'Daňové příjmy'!P18+'Ost.daně=Místní popl.'!D19</f>
        <v>1140</v>
      </c>
      <c r="E18" s="433">
        <f>'Daňové příjmy'!E18+'Daňové příjmy'!I18+'Daňové příjmy'!M18+'Daňové příjmy'!Q18+'Ost.daně=Místní popl.'!E19</f>
        <v>1080</v>
      </c>
      <c r="F18" s="455">
        <v>-1079676</v>
      </c>
      <c r="G18" s="539">
        <f t="shared" si="1"/>
        <v>-0.3240000000000691</v>
      </c>
      <c r="H18" s="462">
        <f t="shared" si="0"/>
        <v>94.73684210526315</v>
      </c>
      <c r="I18" s="433">
        <f>'Nedaňové příjmy'!C20+'Nedaňové příjmy'!G20+'Nedaňové příjmy'!K20+'Nedaňové příjmy'!O20+'Nedaňové příjmy'!S20+'Nedaňové příjmy'!W20</f>
        <v>2848</v>
      </c>
      <c r="J18" s="433">
        <f>'Nedaňové příjmy'!D20+'Nedaňové příjmy'!H20+'Nedaňové příjmy'!L20+'Nedaňové příjmy'!P20+'Nedaňové příjmy'!T20+'Nedaňové příjmy'!X20</f>
        <v>3155</v>
      </c>
      <c r="K18" s="433">
        <f>'Nedaňové příjmy'!E20+'Nedaňové příjmy'!I20+'Nedaňové příjmy'!M20+'Nedaňové příjmy'!Q20+'Nedaňové příjmy'!U20+'Nedaňové příjmy'!Y20</f>
        <v>3138</v>
      </c>
      <c r="L18" s="462">
        <f t="shared" si="2"/>
        <v>99.46117274167987</v>
      </c>
      <c r="M18" s="433">
        <f>'Kapitálové příjmy'!C18+'Kapitálové příjmy'!G18</f>
        <v>0</v>
      </c>
      <c r="N18" s="433">
        <f>'Kapitálové příjmy'!D18+'Kapitálové příjmy'!H18</f>
        <v>0</v>
      </c>
      <c r="O18" s="463">
        <f>'Kapitálové příjmy'!E18+'Kapitálové příjmy'!I18</f>
        <v>0</v>
      </c>
      <c r="P18" s="462"/>
      <c r="Q18" s="433">
        <f>'Transfery neinvestiční 2.5'!C19+'Transfery neinvestiční 2.5'!G19+'Transfery neinvestiční 2.5'!K19+'Transfery neinvestiční 2.5'!O19+'Transfery nein.2.5a'!C20+'Transfery nein.2.5a'!O20+'Transfery nein.2.5a'!S20+'Transfery nein.2.5a'!W20+'Transfery investiční'!C19+'Transfery investiční'!G19+'Transfery investiční'!K19+'Transfery investiční'!O19+'Transfery investiční'!S19+'Transfery investiční'!W19+'Transfery investiční'!AA19+'Transfery nein.2.5a'!AA20</f>
        <v>10155</v>
      </c>
      <c r="R18" s="433">
        <f>'Transfery neinvestiční 2.5'!D19+'Transfery neinvestiční 2.5'!H19+'Transfery neinvestiční 2.5'!L19+'Transfery neinvestiční 2.5'!P19+'Transfery nein.2.5a'!D20+'Transfery nein.2.5a'!P20+'Transfery nein.2.5a'!T20+'Transfery nein.2.5a'!X20+'Transfery investiční'!D19+'Transfery investiční'!H19+'Transfery investiční'!L19+'Transfery investiční'!P19+'Transfery investiční'!T19+'Transfery investiční'!X19+'Transfery investiční'!AB19+'Transfery nein.2.5a'!AB20</f>
        <v>10983</v>
      </c>
      <c r="S18" s="433">
        <f>'Transfery neinvestiční 2.5'!E19+'Transfery neinvestiční 2.5'!I19+'Transfery neinvestiční 2.5'!M19+'Transfery neinvestiční 2.5'!Q19+'Transfery nein.2.5a'!E20+'Transfery nein.2.5a'!Q20+'Transfery nein.2.5a'!U20+'Transfery nein.2.5a'!Y20+'Transfery investiční'!E19+'Transfery investiční'!I19+'Transfery investiční'!M19+'Transfery investiční'!Q19+'Transfery investiční'!U19+'Transfery investiční'!Y19+'Transfery investiční'!AC19+'Transfery nein.2.5a'!AC20</f>
        <v>10969</v>
      </c>
      <c r="T18" s="462">
        <f t="shared" si="3"/>
        <v>99.87253027405991</v>
      </c>
    </row>
    <row r="19" spans="1:20" s="6" customFormat="1" ht="16.5" customHeight="1">
      <c r="A19" s="745" t="s">
        <v>249</v>
      </c>
      <c r="B19" s="333"/>
      <c r="C19" s="374">
        <f>'Daňové příjmy'!C19+'Daňové příjmy'!G19++'Daňové příjmy'!K19+'Daňové příjmy'!O19+'Ost.daně=Místní popl.'!C20</f>
        <v>9720</v>
      </c>
      <c r="D19" s="433">
        <f>'Daňové příjmy'!D19+'Daňové příjmy'!H19++'Daňové příjmy'!L19+'Daňové příjmy'!P19+'Ost.daně=Místní popl.'!D20</f>
        <v>8858</v>
      </c>
      <c r="E19" s="433">
        <f>'Daňové příjmy'!E19+'Daňové příjmy'!I19+'Daňové příjmy'!M19+'Daňové příjmy'!Q19+'Ost.daně=Místní popl.'!E20</f>
        <v>6679</v>
      </c>
      <c r="F19" s="455">
        <v>-6678982.9</v>
      </c>
      <c r="G19" s="539">
        <f t="shared" si="1"/>
        <v>-0.01710000000002765</v>
      </c>
      <c r="H19" s="462">
        <f t="shared" si="0"/>
        <v>75.40076766764507</v>
      </c>
      <c r="I19" s="433">
        <f>'Nedaňové příjmy'!C21+'Nedaňové příjmy'!G21+'Nedaňové příjmy'!K21+'Nedaňové příjmy'!O21+'Nedaňové příjmy'!S21+'Nedaňové příjmy'!W21</f>
        <v>15630</v>
      </c>
      <c r="J19" s="433">
        <f>'Nedaňové příjmy'!D21+'Nedaňové příjmy'!H21+'Nedaňové příjmy'!L21+'Nedaňové příjmy'!P21+'Nedaňové příjmy'!T21+'Nedaňové příjmy'!X21</f>
        <v>17745</v>
      </c>
      <c r="K19" s="433">
        <f>'Nedaňové příjmy'!E21+'Nedaňové příjmy'!I21+'Nedaňové příjmy'!M21+'Nedaňové příjmy'!Q21+'Nedaňové příjmy'!U21+'Nedaňové příjmy'!Y21</f>
        <v>15834</v>
      </c>
      <c r="L19" s="462">
        <f t="shared" si="2"/>
        <v>89.23076923076924</v>
      </c>
      <c r="M19" s="433">
        <f>'Kapitálové příjmy'!C19+'Kapitálové příjmy'!G19</f>
        <v>0</v>
      </c>
      <c r="N19" s="433">
        <f>'Kapitálové příjmy'!D19+'Kapitálové příjmy'!H19</f>
        <v>0</v>
      </c>
      <c r="O19" s="463">
        <f>'Kapitálové příjmy'!E19+'Kapitálové příjmy'!I19</f>
        <v>0</v>
      </c>
      <c r="P19" s="462"/>
      <c r="Q19" s="433">
        <f>'Transfery neinvestiční 2.5'!C20+'Transfery neinvestiční 2.5'!G20+'Transfery neinvestiční 2.5'!K20+'Transfery neinvestiční 2.5'!O20+'Transfery nein.2.5a'!C21+'Transfery nein.2.5a'!O21+'Transfery nein.2.5a'!S21+'Transfery nein.2.5a'!W21+'Transfery investiční'!C20+'Transfery investiční'!G20+'Transfery investiční'!K20+'Transfery investiční'!O20+'Transfery investiční'!S20+'Transfery investiční'!W20+'Transfery investiční'!AA20+'Transfery nein.2.5a'!AA21</f>
        <v>81007</v>
      </c>
      <c r="R19" s="433">
        <f>'Transfery neinvestiční 2.5'!D20+'Transfery neinvestiční 2.5'!H20+'Transfery neinvestiční 2.5'!L20+'Transfery neinvestiční 2.5'!P20+'Transfery nein.2.5a'!D21+'Transfery nein.2.5a'!P21+'Transfery nein.2.5a'!T21+'Transfery nein.2.5a'!X21+'Transfery investiční'!D20+'Transfery investiční'!H20+'Transfery investiční'!L20+'Transfery investiční'!P20+'Transfery investiční'!T20+'Transfery investiční'!X20+'Transfery investiční'!AB20+'Transfery nein.2.5a'!AB21</f>
        <v>119411</v>
      </c>
      <c r="S19" s="433">
        <f>'Transfery neinvestiční 2.5'!E20+'Transfery neinvestiční 2.5'!I20+'Transfery neinvestiční 2.5'!M20+'Transfery neinvestiční 2.5'!Q20+'Transfery nein.2.5a'!E21+'Transfery nein.2.5a'!Q21+'Transfery nein.2.5a'!U21+'Transfery nein.2.5a'!Y21+'Transfery investiční'!E20+'Transfery investiční'!I20+'Transfery investiční'!M20+'Transfery investiční'!Q20+'Transfery investiční'!U20+'Transfery investiční'!Y20+'Transfery investiční'!AC20+'Transfery nein.2.5a'!AC21</f>
        <v>125082</v>
      </c>
      <c r="T19" s="462">
        <f t="shared" si="3"/>
        <v>104.74914371372822</v>
      </c>
    </row>
    <row r="20" spans="1:20" s="6" customFormat="1" ht="16.5" customHeight="1">
      <c r="A20" s="746" t="s">
        <v>250</v>
      </c>
      <c r="B20" s="333"/>
      <c r="C20" s="374">
        <f>'Daňové příjmy'!C20+'Daňové příjmy'!G20++'Daňové příjmy'!K20+'Daňové příjmy'!O20+'Ost.daně=Místní popl.'!C21</f>
        <v>3960</v>
      </c>
      <c r="D20" s="433">
        <f>'Daňové příjmy'!D20+'Daňové příjmy'!H20++'Daňové příjmy'!L20+'Daňové příjmy'!P20+'Ost.daně=Místní popl.'!D21</f>
        <v>10008</v>
      </c>
      <c r="E20" s="433">
        <f>'Daňové příjmy'!E20+'Daňové příjmy'!I20+'Daňové příjmy'!M20+'Daňové příjmy'!Q20+'Ost.daně=Místní popl.'!E21</f>
        <v>10824</v>
      </c>
      <c r="F20" s="455">
        <v>-10823674.94</v>
      </c>
      <c r="G20" s="539">
        <f t="shared" si="1"/>
        <v>-0.32506000000103086</v>
      </c>
      <c r="H20" s="462">
        <f t="shared" si="0"/>
        <v>108.15347721822542</v>
      </c>
      <c r="I20" s="433">
        <f>'Nedaňové příjmy'!C22+'Nedaňové příjmy'!G22+'Nedaňové příjmy'!K22+'Nedaňové příjmy'!O22+'Nedaňové příjmy'!S22+'Nedaňové příjmy'!W22</f>
        <v>11181</v>
      </c>
      <c r="J20" s="433">
        <f>'Nedaňové příjmy'!D22+'Nedaňové příjmy'!H22+'Nedaňové příjmy'!L22+'Nedaňové příjmy'!P22+'Nedaňové příjmy'!T22+'Nedaňové příjmy'!X22</f>
        <v>26078</v>
      </c>
      <c r="K20" s="433">
        <f>'Nedaňové příjmy'!E22+'Nedaňové příjmy'!I22+'Nedaňové příjmy'!M22+'Nedaňové příjmy'!Q22+'Nedaňové příjmy'!U22+'Nedaňové příjmy'!Y22</f>
        <v>24308</v>
      </c>
      <c r="L20" s="462">
        <f t="shared" si="2"/>
        <v>93.21266968325791</v>
      </c>
      <c r="M20" s="433">
        <f>'Kapitálové příjmy'!C20+'Kapitálové příjmy'!G20</f>
        <v>0</v>
      </c>
      <c r="N20" s="433">
        <f>'Kapitálové příjmy'!D20+'Kapitálové příjmy'!H20</f>
        <v>0</v>
      </c>
      <c r="O20" s="463">
        <f>'Kapitálové příjmy'!E20+'Kapitálové příjmy'!I20</f>
        <v>0</v>
      </c>
      <c r="P20" s="462"/>
      <c r="Q20" s="433">
        <f>'Transfery neinvestiční 2.5'!C21+'Transfery neinvestiční 2.5'!G21+'Transfery neinvestiční 2.5'!K21+'Transfery neinvestiční 2.5'!O21+'Transfery nein.2.5a'!C22+'Transfery nein.2.5a'!O22+'Transfery nein.2.5a'!S22+'Transfery nein.2.5a'!W22+'Transfery investiční'!C21+'Transfery investiční'!G21+'Transfery investiční'!K21+'Transfery investiční'!O21+'Transfery investiční'!S21+'Transfery investiční'!W21+'Transfery investiční'!AA21+'Transfery nein.2.5a'!AA22</f>
        <v>140544</v>
      </c>
      <c r="R20" s="433">
        <f>'Transfery neinvestiční 2.5'!D21+'Transfery neinvestiční 2.5'!H21+'Transfery neinvestiční 2.5'!L21+'Transfery neinvestiční 2.5'!P21+'Transfery nein.2.5a'!D22+'Transfery nein.2.5a'!P22+'Transfery nein.2.5a'!T22+'Transfery nein.2.5a'!X22+'Transfery investiční'!D21+'Transfery investiční'!H21+'Transfery investiční'!L21+'Transfery investiční'!P21+'Transfery investiční'!T21+'Transfery investiční'!X21+'Transfery investiční'!AB21+'Transfery nein.2.5a'!AB22</f>
        <v>153420</v>
      </c>
      <c r="S20" s="433">
        <f>'Transfery neinvestiční 2.5'!E21+'Transfery neinvestiční 2.5'!I21+'Transfery neinvestiční 2.5'!M21+'Transfery neinvestiční 2.5'!Q21+'Transfery nein.2.5a'!E22+'Transfery nein.2.5a'!Q22+'Transfery nein.2.5a'!U22+'Transfery nein.2.5a'!Y22+'Transfery investiční'!E21+'Transfery investiční'!I21+'Transfery investiční'!M21+'Transfery investiční'!Q21+'Transfery investiční'!U21+'Transfery investiční'!Y21+'Transfery investiční'!AC21+'Transfery nein.2.5a'!AC22</f>
        <v>153399</v>
      </c>
      <c r="T20" s="462">
        <f t="shared" si="3"/>
        <v>99.986312084474</v>
      </c>
    </row>
    <row r="21" spans="1:20" s="6" customFormat="1" ht="16.5" customHeight="1">
      <c r="A21" s="745" t="s">
        <v>251</v>
      </c>
      <c r="B21" s="333"/>
      <c r="C21" s="374">
        <f>'Daňové příjmy'!C21+'Daňové příjmy'!G21++'Daňové příjmy'!K21+'Daňové příjmy'!O21+'Ost.daně=Místní popl.'!C22</f>
        <v>120</v>
      </c>
      <c r="D21" s="433">
        <f>'Daňové příjmy'!D21+'Daňové příjmy'!H21++'Daňové příjmy'!L21+'Daňové příjmy'!P21+'Ost.daně=Místní popl.'!D22</f>
        <v>216</v>
      </c>
      <c r="E21" s="433">
        <f>'Daňové příjmy'!E21+'Daňové příjmy'!I21+'Daňové příjmy'!M21+'Daňové příjmy'!Q21+'Ost.daně=Místní popl.'!E22</f>
        <v>190</v>
      </c>
      <c r="F21" s="455">
        <v>-190102</v>
      </c>
      <c r="G21" s="539">
        <f t="shared" si="1"/>
        <v>0.10200000000000387</v>
      </c>
      <c r="H21" s="462">
        <f t="shared" si="0"/>
        <v>87.96296296296296</v>
      </c>
      <c r="I21" s="433">
        <f>'Nedaňové příjmy'!C23+'Nedaňové příjmy'!G23+'Nedaňové příjmy'!K23+'Nedaňové příjmy'!O23+'Nedaňové příjmy'!S23+'Nedaňové příjmy'!W23</f>
        <v>361</v>
      </c>
      <c r="J21" s="433">
        <f>'Nedaňové příjmy'!D23+'Nedaňové příjmy'!H23+'Nedaňové příjmy'!L23+'Nedaňové příjmy'!P23+'Nedaňové příjmy'!T23+'Nedaňové příjmy'!X23</f>
        <v>657</v>
      </c>
      <c r="K21" s="433">
        <f>'Nedaňové příjmy'!E23+'Nedaňové příjmy'!I23+'Nedaňové příjmy'!M23+'Nedaňové příjmy'!Q23+'Nedaňové příjmy'!U23+'Nedaňové příjmy'!Y23</f>
        <v>618</v>
      </c>
      <c r="L21" s="462">
        <f t="shared" si="2"/>
        <v>94.06392694063926</v>
      </c>
      <c r="M21" s="433">
        <f>'Kapitálové příjmy'!C21+'Kapitálové příjmy'!G21</f>
        <v>0</v>
      </c>
      <c r="N21" s="433">
        <f>'Kapitálové příjmy'!D21+'Kapitálové příjmy'!H21</f>
        <v>0</v>
      </c>
      <c r="O21" s="463">
        <f>'Kapitálové příjmy'!E21+'Kapitálové příjmy'!I21</f>
        <v>0</v>
      </c>
      <c r="P21" s="462"/>
      <c r="Q21" s="433">
        <f>'Transfery neinvestiční 2.5'!C22+'Transfery neinvestiční 2.5'!G22+'Transfery neinvestiční 2.5'!K22+'Transfery neinvestiční 2.5'!O22+'Transfery nein.2.5a'!C23+'Transfery nein.2.5a'!O23+'Transfery nein.2.5a'!S23+'Transfery nein.2.5a'!W23+'Transfery investiční'!C22+'Transfery investiční'!G22+'Transfery investiční'!K22+'Transfery investiční'!O22+'Transfery investiční'!S22+'Transfery investiční'!W22+'Transfery investiční'!AA22+'Transfery nein.2.5a'!AA23</f>
        <v>9411</v>
      </c>
      <c r="R21" s="433">
        <f>'Transfery neinvestiční 2.5'!D22+'Transfery neinvestiční 2.5'!H22+'Transfery neinvestiční 2.5'!L22+'Transfery neinvestiční 2.5'!P22+'Transfery nein.2.5a'!D23+'Transfery nein.2.5a'!P23+'Transfery nein.2.5a'!T23+'Transfery nein.2.5a'!X23+'Transfery investiční'!D22+'Transfery investiční'!H22+'Transfery investiční'!L22+'Transfery investiční'!P22+'Transfery investiční'!T22+'Transfery investiční'!X22+'Transfery investiční'!AB22+'Transfery nein.2.5a'!AB23</f>
        <v>9553</v>
      </c>
      <c r="S21" s="433">
        <f>'Transfery neinvestiční 2.5'!E22+'Transfery neinvestiční 2.5'!I22+'Transfery neinvestiční 2.5'!M22+'Transfery neinvestiční 2.5'!Q22+'Transfery nein.2.5a'!E23+'Transfery nein.2.5a'!Q23+'Transfery nein.2.5a'!U23+'Transfery nein.2.5a'!Y23+'Transfery investiční'!E22+'Transfery investiční'!I22+'Transfery investiční'!M22+'Transfery investiční'!Q22+'Transfery investiční'!U22+'Transfery investiční'!Y22+'Transfery investiční'!AC22+'Transfery nein.2.5a'!AC23</f>
        <v>9553</v>
      </c>
      <c r="T21" s="462">
        <f t="shared" si="3"/>
        <v>100</v>
      </c>
    </row>
    <row r="22" spans="1:20" s="6" customFormat="1" ht="16.5" customHeight="1">
      <c r="A22" s="746" t="s">
        <v>252</v>
      </c>
      <c r="B22" s="333"/>
      <c r="C22" s="374">
        <f>'Daňové příjmy'!C22+'Daňové příjmy'!G22++'Daňové příjmy'!K22+'Daňové příjmy'!O22+'Ost.daně=Místní popl.'!C23</f>
        <v>1741</v>
      </c>
      <c r="D22" s="433">
        <f>'Daňové příjmy'!D22+'Daňové příjmy'!H22++'Daňové příjmy'!L22+'Daňové příjmy'!P22+'Ost.daně=Místní popl.'!D23</f>
        <v>2123</v>
      </c>
      <c r="E22" s="433">
        <f>'Daňové příjmy'!E22+'Daňové příjmy'!I22+'Daňové příjmy'!M22+'Daňové příjmy'!Q22+'Ost.daně=Místní popl.'!E23</f>
        <v>1842</v>
      </c>
      <c r="F22" s="455">
        <v>-1842467</v>
      </c>
      <c r="G22" s="539">
        <f t="shared" si="1"/>
        <v>0.4670000000000982</v>
      </c>
      <c r="H22" s="462">
        <f t="shared" si="0"/>
        <v>86.76401318888367</v>
      </c>
      <c r="I22" s="433">
        <f>'Nedaňové příjmy'!C24+'Nedaňové příjmy'!G24+'Nedaňové příjmy'!K24+'Nedaňové příjmy'!O24+'Nedaňové příjmy'!S24+'Nedaňové příjmy'!W24</f>
        <v>1889</v>
      </c>
      <c r="J22" s="433">
        <f>'Nedaňové příjmy'!D24+'Nedaňové příjmy'!H24+'Nedaňové příjmy'!L24+'Nedaňové příjmy'!P24+'Nedaňové příjmy'!T24+'Nedaňové příjmy'!X24</f>
        <v>2850</v>
      </c>
      <c r="K22" s="433">
        <f>'Nedaňové příjmy'!E24+'Nedaňové příjmy'!I24+'Nedaňové příjmy'!M24+'Nedaňové příjmy'!Q24+'Nedaňové příjmy'!U24+'Nedaňové příjmy'!Y24</f>
        <v>2639</v>
      </c>
      <c r="L22" s="462">
        <f t="shared" si="2"/>
        <v>92.59649122807018</v>
      </c>
      <c r="M22" s="433">
        <f>'Kapitálové příjmy'!C22+'Kapitálové příjmy'!G22</f>
        <v>0</v>
      </c>
      <c r="N22" s="461">
        <f>'Kapitálové příjmy'!D22+'Kapitálové příjmy'!H22</f>
        <v>750</v>
      </c>
      <c r="O22" s="461">
        <f>'Kapitálové příjmy'!E22+'Kapitálové příjmy'!I22</f>
        <v>750</v>
      </c>
      <c r="P22" s="462">
        <f>SUM(O22/N22*100)</f>
        <v>100</v>
      </c>
      <c r="Q22" s="433">
        <f>'Transfery neinvestiční 2.5'!C23+'Transfery neinvestiční 2.5'!G23+'Transfery neinvestiční 2.5'!K23+'Transfery neinvestiční 2.5'!O23+'Transfery nein.2.5a'!C24+'Transfery nein.2.5a'!O24+'Transfery nein.2.5a'!S24+'Transfery nein.2.5a'!W24+'Transfery investiční'!C23+'Transfery investiční'!G23+'Transfery investiční'!K23+'Transfery investiční'!O23+'Transfery investiční'!S23+'Transfery investiční'!W23+'Transfery investiční'!AA23+'Transfery nein.2.5a'!AA24</f>
        <v>24475</v>
      </c>
      <c r="R22" s="433">
        <f>'Transfery neinvestiční 2.5'!D23+'Transfery neinvestiční 2.5'!H23+'Transfery neinvestiční 2.5'!L23+'Transfery neinvestiční 2.5'!P23+'Transfery nein.2.5a'!D24+'Transfery nein.2.5a'!P24+'Transfery nein.2.5a'!T24+'Transfery nein.2.5a'!X24+'Transfery investiční'!D23+'Transfery investiční'!H23+'Transfery investiční'!L23+'Transfery investiční'!P23+'Transfery investiční'!T23+'Transfery investiční'!X23+'Transfery investiční'!AB23+'Transfery nein.2.5a'!AB24</f>
        <v>29744</v>
      </c>
      <c r="S22" s="433">
        <f>'Transfery neinvestiční 2.5'!E23+'Transfery neinvestiční 2.5'!I23+'Transfery neinvestiční 2.5'!M23+'Transfery neinvestiční 2.5'!Q23+'Transfery nein.2.5a'!E24+'Transfery nein.2.5a'!Q24+'Transfery nein.2.5a'!U24+'Transfery nein.2.5a'!Y24+'Transfery investiční'!E23+'Transfery investiční'!I23+'Transfery investiční'!M23+'Transfery investiční'!Q23+'Transfery investiční'!U23+'Transfery investiční'!Y23+'Transfery investiční'!AC23+'Transfery nein.2.5a'!AC24</f>
        <v>30230</v>
      </c>
      <c r="T22" s="462">
        <f t="shared" si="3"/>
        <v>101.63394298009682</v>
      </c>
    </row>
    <row r="23" spans="1:20" s="6" customFormat="1" ht="16.5" customHeight="1">
      <c r="A23" s="745" t="s">
        <v>253</v>
      </c>
      <c r="B23" s="333"/>
      <c r="C23" s="374">
        <f>'Daňové příjmy'!C23+'Daňové příjmy'!G23++'Daňové příjmy'!K23+'Daňové příjmy'!O23+'Ost.daně=Místní popl.'!C24</f>
        <v>1766</v>
      </c>
      <c r="D23" s="433">
        <f>'Daňové příjmy'!D23+'Daňové příjmy'!H23++'Daňové příjmy'!L23+'Daňové příjmy'!P23+'Ost.daně=Místní popl.'!D24</f>
        <v>1992</v>
      </c>
      <c r="E23" s="433">
        <f>'Daňové příjmy'!E23+'Daňové příjmy'!I23+'Daňové příjmy'!M23+'Daňové příjmy'!Q23+'Ost.daně=Místní popl.'!E24</f>
        <v>2004</v>
      </c>
      <c r="F23" s="455">
        <v>-2004898</v>
      </c>
      <c r="G23" s="539">
        <f t="shared" si="1"/>
        <v>0.8979999999999109</v>
      </c>
      <c r="H23" s="462">
        <f t="shared" si="0"/>
        <v>100.60240963855422</v>
      </c>
      <c r="I23" s="433">
        <f>'Nedaňové příjmy'!C25+'Nedaňové příjmy'!G25+'Nedaňové příjmy'!K25+'Nedaňové příjmy'!O25+'Nedaňové příjmy'!S25+'Nedaňové příjmy'!W25</f>
        <v>1771</v>
      </c>
      <c r="J23" s="433">
        <f>'Nedaňové příjmy'!D25+'Nedaňové příjmy'!H25+'Nedaňové příjmy'!L25+'Nedaňové příjmy'!P25+'Nedaňové příjmy'!T25+'Nedaňové příjmy'!X25</f>
        <v>1806</v>
      </c>
      <c r="K23" s="433">
        <f>'Nedaňové příjmy'!E25+'Nedaňové příjmy'!I25+'Nedaňové příjmy'!M25+'Nedaňové příjmy'!Q25+'Nedaňové příjmy'!U25+'Nedaňové příjmy'!Y25</f>
        <v>1690</v>
      </c>
      <c r="L23" s="462">
        <f t="shared" si="2"/>
        <v>93.57696566998892</v>
      </c>
      <c r="M23" s="433">
        <f>'Kapitálové příjmy'!C23+'Kapitálové příjmy'!G23</f>
        <v>0</v>
      </c>
      <c r="N23" s="461">
        <f>'Kapitálové příjmy'!D23+'Kapitálové příjmy'!H23</f>
        <v>2030</v>
      </c>
      <c r="O23" s="461">
        <f>'Kapitálové příjmy'!E23+'Kapitálové příjmy'!I23</f>
        <v>2030</v>
      </c>
      <c r="P23" s="462">
        <f>SUM(O23/N23*100)</f>
        <v>100</v>
      </c>
      <c r="Q23" s="433">
        <f>'Transfery neinvestiční 2.5'!C24+'Transfery neinvestiční 2.5'!G24+'Transfery neinvestiční 2.5'!K24+'Transfery neinvestiční 2.5'!O24+'Transfery nein.2.5a'!C25+'Transfery nein.2.5a'!O25+'Transfery nein.2.5a'!S25+'Transfery nein.2.5a'!W25+'Transfery investiční'!C24+'Transfery investiční'!G24+'Transfery investiční'!K24+'Transfery investiční'!O24+'Transfery investiční'!S24+'Transfery investiční'!W24+'Transfery investiční'!AA24+'Transfery nein.2.5a'!AA25</f>
        <v>11685</v>
      </c>
      <c r="R23" s="433">
        <f>'Transfery neinvestiční 2.5'!D24+'Transfery neinvestiční 2.5'!H24+'Transfery neinvestiční 2.5'!L24+'Transfery neinvestiční 2.5'!P24+'Transfery nein.2.5a'!D25+'Transfery nein.2.5a'!P25+'Transfery nein.2.5a'!T25+'Transfery nein.2.5a'!X25+'Transfery investiční'!D24+'Transfery investiční'!H24+'Transfery investiční'!L24+'Transfery investiční'!P24+'Transfery investiční'!T24+'Transfery investiční'!X24+'Transfery investiční'!AB24+'Transfery nein.2.5a'!AB25</f>
        <v>20071</v>
      </c>
      <c r="S23" s="433">
        <f>'Transfery neinvestiční 2.5'!E24+'Transfery neinvestiční 2.5'!I24+'Transfery neinvestiční 2.5'!M24+'Transfery neinvestiční 2.5'!Q24+'Transfery nein.2.5a'!E25+'Transfery nein.2.5a'!Q25+'Transfery nein.2.5a'!U25+'Transfery nein.2.5a'!Y25+'Transfery investiční'!E24+'Transfery investiční'!I24+'Transfery investiční'!M24+'Transfery investiční'!Q24+'Transfery investiční'!U24+'Transfery investiční'!Y24+'Transfery investiční'!AC24+'Transfery nein.2.5a'!AC25</f>
        <v>18403</v>
      </c>
      <c r="T23" s="462">
        <f t="shared" si="3"/>
        <v>91.68950226695232</v>
      </c>
    </row>
    <row r="24" spans="1:20" s="6" customFormat="1" ht="16.5" customHeight="1">
      <c r="A24" s="745" t="s">
        <v>254</v>
      </c>
      <c r="B24" s="333"/>
      <c r="C24" s="374">
        <f>'Daňové příjmy'!C24+'Daňové příjmy'!G24++'Daňové příjmy'!K24+'Daňové příjmy'!O24+'Ost.daně=Místní popl.'!C25</f>
        <v>1010</v>
      </c>
      <c r="D24" s="433">
        <f>'Daňové příjmy'!D24+'Daňové příjmy'!H24++'Daňové příjmy'!L24+'Daňové příjmy'!P24+'Ost.daně=Místní popl.'!D25</f>
        <v>1147</v>
      </c>
      <c r="E24" s="433">
        <f>'Daňové příjmy'!E24+'Daňové příjmy'!I24+'Daňové příjmy'!M24+'Daňové příjmy'!Q24+'Ost.daně=Místní popl.'!E25</f>
        <v>1059</v>
      </c>
      <c r="F24" s="455">
        <v>-1060315.8</v>
      </c>
      <c r="G24" s="539">
        <f t="shared" si="1"/>
        <v>1.3158000000000811</v>
      </c>
      <c r="H24" s="462">
        <f t="shared" si="0"/>
        <v>92.32781168265039</v>
      </c>
      <c r="I24" s="433">
        <f>'Nedaňové příjmy'!C26+'Nedaňové příjmy'!G26+'Nedaňové příjmy'!K26+'Nedaňové příjmy'!O26+'Nedaňové příjmy'!S26+'Nedaňové příjmy'!W26</f>
        <v>330</v>
      </c>
      <c r="J24" s="433">
        <f>'Nedaňové příjmy'!D26+'Nedaňové příjmy'!H26+'Nedaňové příjmy'!L26+'Nedaňové příjmy'!P26+'Nedaňové příjmy'!T26+'Nedaňové příjmy'!X26</f>
        <v>1133</v>
      </c>
      <c r="K24" s="433">
        <f>'Nedaňové příjmy'!E26+'Nedaňové příjmy'!I26+'Nedaňové příjmy'!M26+'Nedaňové příjmy'!Q26+'Nedaňové příjmy'!U26+'Nedaňové příjmy'!Y26</f>
        <v>1165</v>
      </c>
      <c r="L24" s="462">
        <f t="shared" si="2"/>
        <v>102.82436010591351</v>
      </c>
      <c r="M24" s="433">
        <f>'Kapitálové příjmy'!C24+'Kapitálové příjmy'!G24</f>
        <v>0</v>
      </c>
      <c r="N24" s="461">
        <f>'Kapitálové příjmy'!D24+'Kapitálové příjmy'!H24</f>
        <v>120</v>
      </c>
      <c r="O24" s="461">
        <f>'Kapitálové příjmy'!E24+'Kapitálové příjmy'!I24</f>
        <v>0</v>
      </c>
      <c r="P24" s="462">
        <f>SUM(O24/N24*100)</f>
        <v>0</v>
      </c>
      <c r="Q24" s="433">
        <f>'Transfery neinvestiční 2.5'!C25+'Transfery neinvestiční 2.5'!G25+'Transfery neinvestiční 2.5'!K25+'Transfery neinvestiční 2.5'!O25+'Transfery nein.2.5a'!C26+'Transfery nein.2.5a'!O26+'Transfery nein.2.5a'!S26+'Transfery nein.2.5a'!W26+'Transfery investiční'!C25+'Transfery investiční'!G25+'Transfery investiční'!K25+'Transfery investiční'!O25+'Transfery investiční'!S25+'Transfery investiční'!W25+'Transfery investiční'!AA25+'Transfery nein.2.5a'!AA26</f>
        <v>15340</v>
      </c>
      <c r="R24" s="433">
        <f>'Transfery neinvestiční 2.5'!D25+'Transfery neinvestiční 2.5'!H25+'Transfery neinvestiční 2.5'!L25+'Transfery neinvestiční 2.5'!P25+'Transfery nein.2.5a'!D26+'Transfery nein.2.5a'!P26+'Transfery nein.2.5a'!T26+'Transfery nein.2.5a'!X26+'Transfery investiční'!D25+'Transfery investiční'!H25+'Transfery investiční'!L25+'Transfery investiční'!P25+'Transfery investiční'!T25+'Transfery investiční'!X25+'Transfery investiční'!AB25+'Transfery nein.2.5a'!AB26</f>
        <v>33390</v>
      </c>
      <c r="S24" s="433">
        <f>'Transfery neinvestiční 2.5'!E25+'Transfery neinvestiční 2.5'!I25+'Transfery neinvestiční 2.5'!M25+'Transfery neinvestiční 2.5'!Q25+'Transfery nein.2.5a'!E26+'Transfery nein.2.5a'!Q26+'Transfery nein.2.5a'!U26+'Transfery nein.2.5a'!Y26+'Transfery investiční'!E25+'Transfery investiční'!I25+'Transfery investiční'!M25+'Transfery investiční'!Q25+'Transfery investiční'!U25+'Transfery investiční'!Y25+'Transfery investiční'!AC25+'Transfery nein.2.5a'!AC26</f>
        <v>33379</v>
      </c>
      <c r="T24" s="462">
        <f t="shared" si="3"/>
        <v>99.96705600479186</v>
      </c>
    </row>
    <row r="25" spans="1:20" s="6" customFormat="1" ht="16.5" customHeight="1">
      <c r="A25" s="746" t="s">
        <v>255</v>
      </c>
      <c r="B25" s="333"/>
      <c r="C25" s="374">
        <f>'Daňové příjmy'!C25+'Daňové příjmy'!G25++'Daňové příjmy'!K25+'Daňové příjmy'!O25+'Ost.daně=Místní popl.'!C26</f>
        <v>10299</v>
      </c>
      <c r="D25" s="433">
        <f>'Daňové příjmy'!D25+'Daňové příjmy'!H25++'Daňové příjmy'!L25+'Daňové příjmy'!P25+'Ost.daně=Místní popl.'!D26</f>
        <v>14047</v>
      </c>
      <c r="E25" s="433">
        <f>'Daňové příjmy'!E25+'Daňové příjmy'!I25+'Daňové příjmy'!M25+'Daňové příjmy'!Q25+'Ost.daně=Místní popl.'!E26</f>
        <v>12396</v>
      </c>
      <c r="F25" s="455">
        <v>-12395865.94</v>
      </c>
      <c r="G25" s="539">
        <f t="shared" si="1"/>
        <v>-0.1340600000003178</v>
      </c>
      <c r="H25" s="462">
        <f t="shared" si="0"/>
        <v>88.24660069765787</v>
      </c>
      <c r="I25" s="433">
        <f>'Nedaňové příjmy'!C27+'Nedaňové příjmy'!G27+'Nedaňové příjmy'!K27+'Nedaňové příjmy'!O27+'Nedaňové příjmy'!S27+'Nedaňové příjmy'!W27</f>
        <v>12340</v>
      </c>
      <c r="J25" s="433">
        <f>'Nedaňové příjmy'!D27+'Nedaňové příjmy'!H27+'Nedaňové příjmy'!L27+'Nedaňové příjmy'!P27+'Nedaňové příjmy'!T27+'Nedaňové příjmy'!X27</f>
        <v>17461</v>
      </c>
      <c r="K25" s="433">
        <f>'Nedaňové příjmy'!E27+'Nedaňové příjmy'!I27+'Nedaňové příjmy'!M27+'Nedaňové příjmy'!Q27+'Nedaňové příjmy'!U27+'Nedaňové příjmy'!Y27</f>
        <v>19150</v>
      </c>
      <c r="L25" s="462">
        <f t="shared" si="2"/>
        <v>109.6729855105664</v>
      </c>
      <c r="M25" s="433">
        <f>'Kapitálové příjmy'!C25+'Kapitálové příjmy'!G25</f>
        <v>0</v>
      </c>
      <c r="N25" s="461">
        <f>'Kapitálové příjmy'!D25+'Kapitálové příjmy'!H25</f>
        <v>0</v>
      </c>
      <c r="O25" s="461">
        <f>'Kapitálové příjmy'!E25+'Kapitálové příjmy'!I25</f>
        <v>68</v>
      </c>
      <c r="P25" s="462"/>
      <c r="Q25" s="433">
        <f>'Transfery neinvestiční 2.5'!C26+'Transfery neinvestiční 2.5'!G26+'Transfery neinvestiční 2.5'!K26+'Transfery neinvestiční 2.5'!O26+'Transfery nein.2.5a'!C27+'Transfery nein.2.5a'!O27+'Transfery nein.2.5a'!S27+'Transfery nein.2.5a'!W27+'Transfery investiční'!C26+'Transfery investiční'!G26+'Transfery investiční'!K26+'Transfery investiční'!O26+'Transfery investiční'!S26+'Transfery investiční'!W26+'Transfery investiční'!AA26+'Transfery nein.2.5a'!AA27</f>
        <v>187756</v>
      </c>
      <c r="R25" s="433">
        <f>'Transfery neinvestiční 2.5'!D26+'Transfery neinvestiční 2.5'!H26+'Transfery neinvestiční 2.5'!L26+'Transfery neinvestiční 2.5'!P26+'Transfery nein.2.5a'!D27+'Transfery nein.2.5a'!P27+'Transfery nein.2.5a'!T27+'Transfery nein.2.5a'!X27+'Transfery investiční'!D26+'Transfery investiční'!H26+'Transfery investiční'!L26+'Transfery investiční'!P26+'Transfery investiční'!T26+'Transfery investiční'!X26+'Transfery investiční'!AB26+'Transfery nein.2.5a'!AB27</f>
        <v>270146</v>
      </c>
      <c r="S25" s="433">
        <f>'Transfery neinvestiční 2.5'!E26+'Transfery neinvestiční 2.5'!I26+'Transfery neinvestiční 2.5'!M26+'Transfery neinvestiční 2.5'!Q26+'Transfery nein.2.5a'!E27+'Transfery nein.2.5a'!Q27+'Transfery nein.2.5a'!U27+'Transfery nein.2.5a'!Y27+'Transfery investiční'!E26+'Transfery investiční'!I26+'Transfery investiční'!M26+'Transfery investiční'!Q26+'Transfery investiční'!U26+'Transfery investiční'!Y26+'Transfery investiční'!AC26+'Transfery nein.2.5a'!AC27</f>
        <v>267524</v>
      </c>
      <c r="T25" s="462">
        <f t="shared" si="3"/>
        <v>99.0294137244305</v>
      </c>
    </row>
    <row r="26" spans="1:20" s="6" customFormat="1" ht="16.5" customHeight="1">
      <c r="A26" s="745" t="s">
        <v>256</v>
      </c>
      <c r="B26" s="333"/>
      <c r="C26" s="374">
        <f>'Daňové příjmy'!C26+'Daňové příjmy'!G26++'Daňové příjmy'!K26+'Daňové příjmy'!O26+'Ost.daně=Místní popl.'!C27</f>
        <v>1049</v>
      </c>
      <c r="D26" s="433">
        <f>'Daňové příjmy'!D26+'Daňové příjmy'!H26++'Daňové příjmy'!L26+'Daňové příjmy'!P26+'Ost.daně=Místní popl.'!D27</f>
        <v>1400</v>
      </c>
      <c r="E26" s="433">
        <f>'Daňové příjmy'!E26+'Daňové příjmy'!I26+'Daňové příjmy'!M26+'Daňové příjmy'!Q26+'Ost.daně=Místní popl.'!E27</f>
        <v>1253</v>
      </c>
      <c r="F26" s="455">
        <v>-1252383.4</v>
      </c>
      <c r="G26" s="539">
        <f t="shared" si="1"/>
        <v>-0.6166000000000622</v>
      </c>
      <c r="H26" s="462">
        <f t="shared" si="0"/>
        <v>89.5</v>
      </c>
      <c r="I26" s="433">
        <f>'Nedaňové příjmy'!C28+'Nedaňové příjmy'!G28+'Nedaňové příjmy'!K28+'Nedaňové příjmy'!O28+'Nedaňové příjmy'!S28+'Nedaňové příjmy'!W28</f>
        <v>494</v>
      </c>
      <c r="J26" s="433">
        <f>'Nedaňové příjmy'!D28+'Nedaňové příjmy'!H28+'Nedaňové příjmy'!L28+'Nedaňové příjmy'!P28+'Nedaňové příjmy'!T28+'Nedaňové příjmy'!X28</f>
        <v>1048</v>
      </c>
      <c r="K26" s="433">
        <f>'Nedaňové příjmy'!E28+'Nedaňové příjmy'!I28+'Nedaňové příjmy'!M28+'Nedaňové příjmy'!Q28+'Nedaňové příjmy'!U28+'Nedaňové příjmy'!Y28</f>
        <v>1274</v>
      </c>
      <c r="L26" s="462">
        <f t="shared" si="2"/>
        <v>121.56488549618321</v>
      </c>
      <c r="M26" s="433">
        <f>'Kapitálové příjmy'!C26+'Kapitálové příjmy'!G26</f>
        <v>0</v>
      </c>
      <c r="N26" s="461">
        <f>'Kapitálové příjmy'!D26+'Kapitálové příjmy'!H26</f>
        <v>0</v>
      </c>
      <c r="O26" s="461">
        <f>'Kapitálové příjmy'!E26+'Kapitálové příjmy'!I26</f>
        <v>0</v>
      </c>
      <c r="P26" s="462"/>
      <c r="Q26" s="433">
        <f>'Transfery neinvestiční 2.5'!C27+'Transfery neinvestiční 2.5'!G27+'Transfery neinvestiční 2.5'!K27+'Transfery neinvestiční 2.5'!O27+'Transfery nein.2.5a'!C28+'Transfery nein.2.5a'!O28+'Transfery nein.2.5a'!S28+'Transfery nein.2.5a'!W28+'Transfery investiční'!C27+'Transfery investiční'!G27+'Transfery investiční'!K27+'Transfery investiční'!O27+'Transfery investiční'!S27+'Transfery investiční'!W27+'Transfery investiční'!AA27+'Transfery nein.2.5a'!AA28</f>
        <v>23199</v>
      </c>
      <c r="R26" s="433">
        <f>'Transfery neinvestiční 2.5'!D27+'Transfery neinvestiční 2.5'!H27+'Transfery neinvestiční 2.5'!L27+'Transfery neinvestiční 2.5'!P27+'Transfery nein.2.5a'!D28+'Transfery nein.2.5a'!P28+'Transfery nein.2.5a'!T28+'Transfery nein.2.5a'!X28+'Transfery investiční'!D27+'Transfery investiční'!H27+'Transfery investiční'!L27+'Transfery investiční'!P27+'Transfery investiční'!T27+'Transfery investiční'!X27+'Transfery investiční'!AB27+'Transfery nein.2.5a'!AB28</f>
        <v>26329</v>
      </c>
      <c r="S26" s="433">
        <f>'Transfery neinvestiční 2.5'!E27+'Transfery neinvestiční 2.5'!I27+'Transfery neinvestiční 2.5'!M27+'Transfery neinvestiční 2.5'!Q27+'Transfery nein.2.5a'!E28+'Transfery nein.2.5a'!Q28+'Transfery nein.2.5a'!U28+'Transfery nein.2.5a'!Y28+'Transfery investiční'!E27+'Transfery investiční'!I27+'Transfery investiční'!M27+'Transfery investiční'!Q27+'Transfery investiční'!U27+'Transfery investiční'!Y27+'Transfery investiční'!AC27+'Transfery nein.2.5a'!AC28</f>
        <v>26299</v>
      </c>
      <c r="T26" s="462">
        <f t="shared" si="3"/>
        <v>99.88605719928596</v>
      </c>
    </row>
    <row r="27" spans="1:20" s="6" customFormat="1" ht="16.5" customHeight="1">
      <c r="A27" s="745" t="s">
        <v>257</v>
      </c>
      <c r="B27" s="333"/>
      <c r="C27" s="374">
        <f>'Daňové příjmy'!C27+'Daňové příjmy'!G27++'Daňové příjmy'!K27+'Daňové příjmy'!O27+'Ost.daně=Místní popl.'!C28</f>
        <v>19278</v>
      </c>
      <c r="D27" s="433">
        <f>'Daňové příjmy'!D27+'Daňové příjmy'!H27++'Daňové příjmy'!L27+'Daňové příjmy'!P27+'Ost.daně=Místní popl.'!D28</f>
        <v>19054</v>
      </c>
      <c r="E27" s="433">
        <f>'Daňové příjmy'!E27+'Daňové příjmy'!I27+'Daňové příjmy'!M27+'Daňové příjmy'!Q27+'Ost.daně=Místní popl.'!E28</f>
        <v>18265</v>
      </c>
      <c r="F27" s="455">
        <v>-18265461.43</v>
      </c>
      <c r="G27" s="539">
        <f t="shared" si="1"/>
        <v>0.46142999999938183</v>
      </c>
      <c r="H27" s="462">
        <f t="shared" si="0"/>
        <v>95.85913718904168</v>
      </c>
      <c r="I27" s="433">
        <f>'Nedaňové příjmy'!C29+'Nedaňové příjmy'!G29+'Nedaňové příjmy'!K29+'Nedaňové příjmy'!O29+'Nedaňové příjmy'!S29+'Nedaňové příjmy'!W29</f>
        <v>7257</v>
      </c>
      <c r="J27" s="433">
        <f>'Nedaňové příjmy'!D29+'Nedaňové příjmy'!H29+'Nedaňové příjmy'!L29+'Nedaňové příjmy'!P29+'Nedaňové příjmy'!T29+'Nedaňové příjmy'!X29</f>
        <v>10293</v>
      </c>
      <c r="K27" s="433">
        <f>'Nedaňové příjmy'!E29+'Nedaňové příjmy'!I29+'Nedaňové příjmy'!M29+'Nedaňové příjmy'!Q29+'Nedaňové příjmy'!U29+'Nedaňové příjmy'!Y29</f>
        <v>11045</v>
      </c>
      <c r="L27" s="462">
        <f t="shared" si="2"/>
        <v>107.30593607305936</v>
      </c>
      <c r="M27" s="433">
        <f>'Kapitálové příjmy'!C27+'Kapitálové příjmy'!G27</f>
        <v>0</v>
      </c>
      <c r="N27" s="461">
        <f>'Kapitálové příjmy'!D27+'Kapitálové příjmy'!H27</f>
        <v>94</v>
      </c>
      <c r="O27" s="461">
        <f>'Kapitálové příjmy'!E27+'Kapitálové příjmy'!I27</f>
        <v>94</v>
      </c>
      <c r="P27" s="462">
        <f>SUM(O27/N27*100)</f>
        <v>100</v>
      </c>
      <c r="Q27" s="433">
        <f>'Transfery neinvestiční 2.5'!C28+'Transfery neinvestiční 2.5'!G28+'Transfery neinvestiční 2.5'!K28+'Transfery neinvestiční 2.5'!O28+'Transfery nein.2.5a'!C29+'Transfery nein.2.5a'!O29+'Transfery nein.2.5a'!S29+'Transfery nein.2.5a'!W29+'Transfery investiční'!C28+'Transfery investiční'!G28+'Transfery investiční'!K28+'Transfery investiční'!O28+'Transfery investiční'!S28+'Transfery investiční'!W28+'Transfery investiční'!AA28+'Transfery nein.2.5a'!AA29</f>
        <v>134815</v>
      </c>
      <c r="R27" s="433">
        <f>'Transfery neinvestiční 2.5'!D28+'Transfery neinvestiční 2.5'!H28+'Transfery neinvestiční 2.5'!L28+'Transfery neinvestiční 2.5'!P28+'Transfery nein.2.5a'!D29+'Transfery nein.2.5a'!P29+'Transfery nein.2.5a'!T29+'Transfery nein.2.5a'!X29+'Transfery investiční'!D28+'Transfery investiční'!H28+'Transfery investiční'!L28+'Transfery investiční'!P28+'Transfery investiční'!T28+'Transfery investiční'!X28+'Transfery investiční'!AB28+'Transfery nein.2.5a'!AB29</f>
        <v>155618</v>
      </c>
      <c r="S27" s="433">
        <f>'Transfery neinvestiční 2.5'!E28+'Transfery neinvestiční 2.5'!I28+'Transfery neinvestiční 2.5'!M28+'Transfery neinvestiční 2.5'!Q28+'Transfery nein.2.5a'!E29+'Transfery nein.2.5a'!Q29+'Transfery nein.2.5a'!U29+'Transfery nein.2.5a'!Y29+'Transfery investiční'!E28+'Transfery investiční'!I28+'Transfery investiční'!M28+'Transfery investiční'!Q28+'Transfery investiční'!U28+'Transfery investiční'!Y28+'Transfery investiční'!AC28+'Transfery nein.2.5a'!AC29</f>
        <v>155618</v>
      </c>
      <c r="T27" s="462">
        <f t="shared" si="3"/>
        <v>100</v>
      </c>
    </row>
    <row r="28" spans="1:20" s="6" customFormat="1" ht="16.5" customHeight="1">
      <c r="A28" s="745" t="s">
        <v>258</v>
      </c>
      <c r="B28" s="333"/>
      <c r="C28" s="374">
        <f>'Daňové příjmy'!C28+'Daňové příjmy'!G28++'Daňové příjmy'!K28+'Daňové příjmy'!O28+'Ost.daně=Místní popl.'!C29</f>
        <v>2220</v>
      </c>
      <c r="D28" s="433">
        <f>'Daňové příjmy'!D28+'Daňové příjmy'!H28++'Daňové příjmy'!L28+'Daňové příjmy'!P28+'Ost.daně=Místní popl.'!D29</f>
        <v>7978</v>
      </c>
      <c r="E28" s="433">
        <f>'Daňové příjmy'!E28+'Daňové příjmy'!I28+'Daňové příjmy'!M28+'Daňové příjmy'!Q28+'Ost.daně=Místní popl.'!E29</f>
        <v>7785</v>
      </c>
      <c r="F28" s="455">
        <v>-7784245.16</v>
      </c>
      <c r="G28" s="539">
        <f t="shared" si="1"/>
        <v>-0.7548399999996036</v>
      </c>
      <c r="H28" s="462">
        <f t="shared" si="0"/>
        <v>97.58084733015794</v>
      </c>
      <c r="I28" s="433">
        <f>'Nedaňové příjmy'!C30+'Nedaňové příjmy'!G30+'Nedaňové příjmy'!K30+'Nedaňové příjmy'!O30+'Nedaňové příjmy'!S30+'Nedaňové příjmy'!W30</f>
        <v>5396</v>
      </c>
      <c r="J28" s="433">
        <f>'Nedaňové příjmy'!D30+'Nedaňové příjmy'!H30+'Nedaňové příjmy'!L30+'Nedaňové příjmy'!P30+'Nedaňové příjmy'!T30+'Nedaňové příjmy'!X30</f>
        <v>9286</v>
      </c>
      <c r="K28" s="433">
        <f>'Nedaňové příjmy'!E30+'Nedaňové příjmy'!I30+'Nedaňové příjmy'!M30+'Nedaňové příjmy'!Q30+'Nedaňové příjmy'!U30+'Nedaňové příjmy'!Y30</f>
        <v>9469</v>
      </c>
      <c r="L28" s="462">
        <f t="shared" si="2"/>
        <v>101.97070859358173</v>
      </c>
      <c r="M28" s="433">
        <f>'Kapitálové příjmy'!C28+'Kapitálové příjmy'!G28</f>
        <v>0</v>
      </c>
      <c r="N28" s="461">
        <f>'Kapitálové příjmy'!D28+'Kapitálové příjmy'!H28</f>
        <v>0</v>
      </c>
      <c r="O28" s="461">
        <f>'Kapitálové příjmy'!E28+'Kapitálové příjmy'!I28</f>
        <v>20</v>
      </c>
      <c r="P28" s="462"/>
      <c r="Q28" s="433">
        <f>'Transfery neinvestiční 2.5'!C29+'Transfery neinvestiční 2.5'!G29+'Transfery neinvestiční 2.5'!K29+'Transfery neinvestiční 2.5'!O29+'Transfery nein.2.5a'!C30+'Transfery nein.2.5a'!O30+'Transfery nein.2.5a'!S30+'Transfery nein.2.5a'!W30+'Transfery investiční'!C29+'Transfery investiční'!G29+'Transfery investiční'!K29+'Transfery investiční'!O29+'Transfery investiční'!S29+'Transfery investiční'!W29+'Transfery investiční'!AA29+'Transfery nein.2.5a'!AA30</f>
        <v>41374</v>
      </c>
      <c r="R28" s="433">
        <f>'Transfery neinvestiční 2.5'!D29+'Transfery neinvestiční 2.5'!H29+'Transfery neinvestiční 2.5'!L29+'Transfery neinvestiční 2.5'!P29+'Transfery nein.2.5a'!D30+'Transfery nein.2.5a'!P30+'Transfery nein.2.5a'!T30+'Transfery nein.2.5a'!X30+'Transfery investiční'!D29+'Transfery investiční'!H29+'Transfery investiční'!L29+'Transfery investiční'!P29+'Transfery investiční'!T29+'Transfery investiční'!X29+'Transfery investiční'!AB29+'Transfery nein.2.5a'!AB30</f>
        <v>57223</v>
      </c>
      <c r="S28" s="433">
        <f>'Transfery neinvestiční 2.5'!E29+'Transfery neinvestiční 2.5'!I29+'Transfery neinvestiční 2.5'!M29+'Transfery neinvestiční 2.5'!Q29+'Transfery nein.2.5a'!E30+'Transfery nein.2.5a'!Q30+'Transfery nein.2.5a'!U30+'Transfery nein.2.5a'!Y30+'Transfery investiční'!E29+'Transfery investiční'!I29+'Transfery investiční'!M29+'Transfery investiční'!Q29+'Transfery investiční'!U29+'Transfery investiční'!Y29+'Transfery investiční'!AC29+'Transfery nein.2.5a'!AC30</f>
        <v>56824</v>
      </c>
      <c r="T28" s="462">
        <f t="shared" si="3"/>
        <v>99.30272792408647</v>
      </c>
    </row>
    <row r="29" spans="1:20" s="6" customFormat="1" ht="16.5" customHeight="1">
      <c r="A29" s="746" t="s">
        <v>259</v>
      </c>
      <c r="B29" s="333"/>
      <c r="C29" s="374">
        <f>'Daňové příjmy'!C29+'Daňové příjmy'!G29++'Daňové příjmy'!K29+'Daňové příjmy'!O29+'Ost.daně=Místní popl.'!C30</f>
        <v>5030</v>
      </c>
      <c r="D29" s="433">
        <f>'Daňové příjmy'!D29+'Daňové příjmy'!H29++'Daňové příjmy'!L29+'Daňové příjmy'!P29+'Ost.daně=Místní popl.'!D30</f>
        <v>7889</v>
      </c>
      <c r="E29" s="433">
        <f>'Daňové příjmy'!E29+'Daňové příjmy'!I29+'Daňové příjmy'!M29+'Daňové příjmy'!Q29+'Ost.daně=Místní popl.'!E30</f>
        <v>6679</v>
      </c>
      <c r="F29" s="455">
        <v>-6678131.87</v>
      </c>
      <c r="G29" s="539">
        <f t="shared" si="1"/>
        <v>-0.8681299999998373</v>
      </c>
      <c r="H29" s="462">
        <f t="shared" si="0"/>
        <v>84.66218785650906</v>
      </c>
      <c r="I29" s="433">
        <f>'Nedaňové příjmy'!C31+'Nedaňové příjmy'!G31+'Nedaňové příjmy'!K31+'Nedaňové příjmy'!O31+'Nedaňové příjmy'!S31+'Nedaňové příjmy'!W31</f>
        <v>6448</v>
      </c>
      <c r="J29" s="433">
        <f>'Nedaňové příjmy'!D31+'Nedaňové příjmy'!H31+'Nedaňové příjmy'!L31+'Nedaňové příjmy'!P31+'Nedaňové příjmy'!T31+'Nedaňové příjmy'!X31</f>
        <v>10682</v>
      </c>
      <c r="K29" s="433">
        <f>'Nedaňové příjmy'!E31+'Nedaňové příjmy'!I31+'Nedaňové příjmy'!M31+'Nedaňové příjmy'!Q31+'Nedaňové příjmy'!U31+'Nedaňové příjmy'!Y31</f>
        <v>12386</v>
      </c>
      <c r="L29" s="462">
        <f t="shared" si="2"/>
        <v>115.95206890095488</v>
      </c>
      <c r="M29" s="433">
        <f>'Kapitálové příjmy'!C29+'Kapitálové příjmy'!G29</f>
        <v>0</v>
      </c>
      <c r="N29" s="461">
        <f>'Kapitálové příjmy'!D29+'Kapitálové příjmy'!H29</f>
        <v>0</v>
      </c>
      <c r="O29" s="461">
        <f>'Kapitálové příjmy'!E29+'Kapitálové příjmy'!I29</f>
        <v>0</v>
      </c>
      <c r="P29" s="462"/>
      <c r="Q29" s="433">
        <f>'Transfery neinvestiční 2.5'!C30+'Transfery neinvestiční 2.5'!G30+'Transfery neinvestiční 2.5'!K30+'Transfery neinvestiční 2.5'!O30+'Transfery nein.2.5a'!C31+'Transfery nein.2.5a'!O31+'Transfery nein.2.5a'!S31+'Transfery nein.2.5a'!W31+'Transfery investiční'!C30+'Transfery investiční'!G30+'Transfery investiční'!K30+'Transfery investiční'!O30+'Transfery investiční'!S30+'Transfery investiční'!W30+'Transfery investiční'!AA30+'Transfery nein.2.5a'!AA31</f>
        <v>50260</v>
      </c>
      <c r="R29" s="433">
        <f>'Transfery neinvestiční 2.5'!D30+'Transfery neinvestiční 2.5'!H30+'Transfery neinvestiční 2.5'!L30+'Transfery neinvestiční 2.5'!P30+'Transfery nein.2.5a'!D31+'Transfery nein.2.5a'!P31+'Transfery nein.2.5a'!T31+'Transfery nein.2.5a'!X31+'Transfery investiční'!D30+'Transfery investiční'!H30+'Transfery investiční'!L30+'Transfery investiční'!P30+'Transfery investiční'!T30+'Transfery investiční'!X30+'Transfery investiční'!AB30+'Transfery nein.2.5a'!AB31</f>
        <v>56782</v>
      </c>
      <c r="S29" s="433">
        <f>'Transfery neinvestiční 2.5'!E30+'Transfery neinvestiční 2.5'!I30+'Transfery neinvestiční 2.5'!M30+'Transfery neinvestiční 2.5'!Q30+'Transfery nein.2.5a'!E31+'Transfery nein.2.5a'!Q31+'Transfery nein.2.5a'!U31+'Transfery nein.2.5a'!Y31+'Transfery investiční'!E30+'Transfery investiční'!I30+'Transfery investiční'!M30+'Transfery investiční'!Q30+'Transfery investiční'!U30+'Transfery investiční'!Y30+'Transfery investiční'!AC30+'Transfery nein.2.5a'!AC31</f>
        <v>56236</v>
      </c>
      <c r="T29" s="462">
        <f t="shared" si="3"/>
        <v>99.03842767074073</v>
      </c>
    </row>
    <row r="30" spans="1:20" s="6" customFormat="1" ht="16.5" customHeight="1">
      <c r="A30" s="745" t="s">
        <v>260</v>
      </c>
      <c r="B30" s="333"/>
      <c r="C30" s="374">
        <f>'Daňové příjmy'!C30+'Daňové příjmy'!G30++'Daňové příjmy'!K30+'Daňové příjmy'!O30+'Ost.daně=Místní popl.'!C31</f>
        <v>5215</v>
      </c>
      <c r="D30" s="433">
        <f>'Daňové příjmy'!D30+'Daňové příjmy'!H30++'Daňové příjmy'!L30+'Daňové příjmy'!P30+'Ost.daně=Místní popl.'!D31</f>
        <v>7968</v>
      </c>
      <c r="E30" s="433">
        <f>'Daňové příjmy'!E30+'Daňové příjmy'!I30+'Daňové příjmy'!M30+'Daňové příjmy'!Q30+'Ost.daně=Místní popl.'!E31</f>
        <v>8544</v>
      </c>
      <c r="F30" s="455">
        <v>-8545227.5</v>
      </c>
      <c r="G30" s="539">
        <f t="shared" si="1"/>
        <v>1.2275000000008731</v>
      </c>
      <c r="H30" s="462">
        <f t="shared" si="0"/>
        <v>107.2289156626506</v>
      </c>
      <c r="I30" s="433">
        <f>'Nedaňové příjmy'!C32+'Nedaňové příjmy'!G32+'Nedaňové příjmy'!K32+'Nedaňové příjmy'!O32+'Nedaňové příjmy'!S32+'Nedaňové příjmy'!W32</f>
        <v>6783</v>
      </c>
      <c r="J30" s="433">
        <f>'Nedaňové příjmy'!D32+'Nedaňové příjmy'!H32+'Nedaňové příjmy'!L32+'Nedaňové příjmy'!P32+'Nedaňové příjmy'!T32+'Nedaňové příjmy'!X32</f>
        <v>17130</v>
      </c>
      <c r="K30" s="433">
        <f>'Nedaňové příjmy'!E32+'Nedaňové příjmy'!I32+'Nedaňové příjmy'!M32+'Nedaňové příjmy'!Q32+'Nedaňové příjmy'!U32+'Nedaňové příjmy'!Y32</f>
        <v>16852</v>
      </c>
      <c r="L30" s="462">
        <f t="shared" si="2"/>
        <v>98.37711617046118</v>
      </c>
      <c r="M30" s="433">
        <f>'Kapitálové příjmy'!C30+'Kapitálové příjmy'!G30</f>
        <v>0</v>
      </c>
      <c r="N30" s="461">
        <f>'Kapitálové příjmy'!D30+'Kapitálové příjmy'!H30</f>
        <v>7</v>
      </c>
      <c r="O30" s="461">
        <f>'Kapitálové příjmy'!E30+'Kapitálové příjmy'!I30</f>
        <v>14</v>
      </c>
      <c r="P30" s="462">
        <f>SUM(O30/N30*100)</f>
        <v>200</v>
      </c>
      <c r="Q30" s="433">
        <f>'Transfery neinvestiční 2.5'!C31+'Transfery neinvestiční 2.5'!G31+'Transfery neinvestiční 2.5'!K31+'Transfery neinvestiční 2.5'!O31+'Transfery nein.2.5a'!C32+'Transfery nein.2.5a'!O32+'Transfery nein.2.5a'!S32+'Transfery nein.2.5a'!W32+'Transfery investiční'!C31+'Transfery investiční'!G31+'Transfery investiční'!K31+'Transfery investiční'!O31+'Transfery investiční'!S31+'Transfery investiční'!W31+'Transfery investiční'!AA31+'Transfery nein.2.5a'!AA32</f>
        <v>50260</v>
      </c>
      <c r="R30" s="433">
        <f>'Transfery neinvestiční 2.5'!D31+'Transfery neinvestiční 2.5'!H31+'Transfery neinvestiční 2.5'!L31+'Transfery neinvestiční 2.5'!P31+'Transfery nein.2.5a'!D32+'Transfery nein.2.5a'!P32+'Transfery nein.2.5a'!T32+'Transfery nein.2.5a'!X32+'Transfery investiční'!D31+'Transfery investiční'!H31+'Transfery investiční'!L31+'Transfery investiční'!P31+'Transfery investiční'!T31+'Transfery investiční'!X31+'Transfery investiční'!AB31+'Transfery nein.2.5a'!AB32</f>
        <v>70881</v>
      </c>
      <c r="S30" s="433">
        <f>'Transfery neinvestiční 2.5'!E31+'Transfery neinvestiční 2.5'!I31+'Transfery neinvestiční 2.5'!M31+'Transfery neinvestiční 2.5'!Q31+'Transfery nein.2.5a'!E32+'Transfery nein.2.5a'!Q32+'Transfery nein.2.5a'!U32+'Transfery nein.2.5a'!Y32+'Transfery investiční'!E31+'Transfery investiční'!I31+'Transfery investiční'!M31+'Transfery investiční'!Q31+'Transfery investiční'!U31+'Transfery investiční'!Y31+'Transfery investiční'!AC31+'Transfery nein.2.5a'!AC32</f>
        <v>71038</v>
      </c>
      <c r="T30" s="462">
        <f t="shared" si="3"/>
        <v>100.22149800369633</v>
      </c>
    </row>
    <row r="31" spans="1:20" s="6" customFormat="1" ht="16.5" customHeight="1">
      <c r="A31" s="746" t="s">
        <v>261</v>
      </c>
      <c r="B31" s="333"/>
      <c r="C31" s="374">
        <f>'Daňové příjmy'!C31+'Daňové příjmy'!G31++'Daňové příjmy'!K31+'Daňové příjmy'!O31+'Ost.daně=Místní popl.'!C32</f>
        <v>13304</v>
      </c>
      <c r="D31" s="433">
        <f>'Daňové příjmy'!D31+'Daňové příjmy'!H31++'Daňové příjmy'!L31+'Daňové příjmy'!P31+'Ost.daně=Místní popl.'!D32</f>
        <v>15996</v>
      </c>
      <c r="E31" s="433">
        <f>'Daňové příjmy'!E31+'Daňové příjmy'!I31+'Daňové příjmy'!M31+'Daňové příjmy'!Q31+'Ost.daně=Místní popl.'!E32</f>
        <v>14112</v>
      </c>
      <c r="F31" s="455">
        <v>-14112277.6</v>
      </c>
      <c r="G31" s="539">
        <f t="shared" si="1"/>
        <v>0.2775999999994383</v>
      </c>
      <c r="H31" s="462">
        <f t="shared" si="0"/>
        <v>88.22205551387847</v>
      </c>
      <c r="I31" s="433">
        <f>'Nedaňové příjmy'!C33+'Nedaňové příjmy'!G33+'Nedaňové příjmy'!K33+'Nedaňové příjmy'!O33+'Nedaňové příjmy'!S33+'Nedaňové příjmy'!W33</f>
        <v>12073</v>
      </c>
      <c r="J31" s="433">
        <f>'Nedaňové příjmy'!D33+'Nedaňové příjmy'!H33+'Nedaňové příjmy'!L33+'Nedaňové příjmy'!P33+'Nedaňové příjmy'!T33+'Nedaňové příjmy'!X33</f>
        <v>24154</v>
      </c>
      <c r="K31" s="433">
        <f>'Nedaňové příjmy'!E33+'Nedaňové příjmy'!I33+'Nedaňové příjmy'!M33+'Nedaňové příjmy'!Q33+'Nedaňové příjmy'!U33+'Nedaňové příjmy'!Y33</f>
        <v>21993</v>
      </c>
      <c r="L31" s="462">
        <f t="shared" si="2"/>
        <v>91.05324169909746</v>
      </c>
      <c r="M31" s="433">
        <f>'Kapitálové příjmy'!C31+'Kapitálové příjmy'!G31</f>
        <v>0</v>
      </c>
      <c r="N31" s="461">
        <f>'Kapitálové příjmy'!D31+'Kapitálové příjmy'!H31</f>
        <v>0</v>
      </c>
      <c r="O31" s="461">
        <f>'Kapitálové příjmy'!E31+'Kapitálové příjmy'!I31</f>
        <v>0</v>
      </c>
      <c r="P31" s="462"/>
      <c r="Q31" s="433">
        <f>'Transfery neinvestiční 2.5'!C32+'Transfery neinvestiční 2.5'!G32+'Transfery neinvestiční 2.5'!K32+'Transfery neinvestiční 2.5'!O32+'Transfery nein.2.5a'!C33+'Transfery nein.2.5a'!O33+'Transfery nein.2.5a'!S33+'Transfery nein.2.5a'!W33+'Transfery investiční'!C32+'Transfery investiční'!G32+'Transfery investiční'!K32+'Transfery investiční'!O32+'Transfery investiční'!S32+'Transfery investiční'!W32+'Transfery investiční'!AA32+'Transfery nein.2.5a'!AA33</f>
        <v>119186</v>
      </c>
      <c r="R31" s="433">
        <f>'Transfery neinvestiční 2.5'!D32+'Transfery neinvestiční 2.5'!H32+'Transfery neinvestiční 2.5'!L32+'Transfery neinvestiční 2.5'!P32+'Transfery nein.2.5a'!D33+'Transfery nein.2.5a'!P33+'Transfery nein.2.5a'!T33+'Transfery nein.2.5a'!X33+'Transfery investiční'!D32+'Transfery investiční'!H32+'Transfery investiční'!L32+'Transfery investiční'!P32+'Transfery investiční'!T32+'Transfery investiční'!X32+'Transfery investiční'!AB32+'Transfery nein.2.5a'!AB33</f>
        <v>134381</v>
      </c>
      <c r="S31" s="433">
        <f>'Transfery neinvestiční 2.5'!E32+'Transfery neinvestiční 2.5'!I32+'Transfery neinvestiční 2.5'!M32+'Transfery neinvestiční 2.5'!Q32+'Transfery nein.2.5a'!E33+'Transfery nein.2.5a'!Q33+'Transfery nein.2.5a'!U33+'Transfery nein.2.5a'!Y33+'Transfery investiční'!E32+'Transfery investiční'!I32+'Transfery investiční'!M32+'Transfery investiční'!Q32+'Transfery investiční'!U32+'Transfery investiční'!Y32+'Transfery investiční'!AC32+'Transfery nein.2.5a'!AC33</f>
        <v>134374</v>
      </c>
      <c r="T31" s="462">
        <f t="shared" si="3"/>
        <v>99.99479093026544</v>
      </c>
    </row>
    <row r="32" spans="1:20" s="6" customFormat="1" ht="16.5" customHeight="1">
      <c r="A32" s="746" t="s">
        <v>262</v>
      </c>
      <c r="B32" s="333"/>
      <c r="C32" s="374">
        <f>'Daňové příjmy'!C32+'Daňové příjmy'!G32++'Daňové příjmy'!K32+'Daňové příjmy'!O32+'Ost.daně=Místní popl.'!C33</f>
        <v>3350</v>
      </c>
      <c r="D32" s="433">
        <f>'Daňové příjmy'!D32+'Daňové příjmy'!H32++'Daňové příjmy'!L32+'Daňové příjmy'!P32+'Ost.daně=Místní popl.'!D33</f>
        <v>5295</v>
      </c>
      <c r="E32" s="433">
        <f>'Daňové příjmy'!E32+'Daňové příjmy'!I32+'Daňové příjmy'!M32+'Daňové příjmy'!Q32+'Ost.daně=Místní popl.'!E33</f>
        <v>5304</v>
      </c>
      <c r="F32" s="455">
        <v>-5303691.51</v>
      </c>
      <c r="G32" s="539">
        <f t="shared" si="1"/>
        <v>-0.3084900000003472</v>
      </c>
      <c r="H32" s="462">
        <f t="shared" si="0"/>
        <v>100.1699716713881</v>
      </c>
      <c r="I32" s="433">
        <f>'Nedaňové příjmy'!C34+'Nedaňové příjmy'!G34+'Nedaňové příjmy'!K34+'Nedaňové příjmy'!O34+'Nedaňové příjmy'!S34+'Nedaňové příjmy'!W34</f>
        <v>2751</v>
      </c>
      <c r="J32" s="433">
        <f>'Nedaňové příjmy'!D34+'Nedaňové příjmy'!H34+'Nedaňové příjmy'!L34+'Nedaňové příjmy'!P34+'Nedaňové příjmy'!T34+'Nedaňové příjmy'!X34</f>
        <v>5999</v>
      </c>
      <c r="K32" s="433">
        <f>'Nedaňové příjmy'!E34+'Nedaňové příjmy'!I34+'Nedaňové příjmy'!M34+'Nedaňové příjmy'!Q34+'Nedaňové příjmy'!U34+'Nedaňové příjmy'!Y34</f>
        <v>6128</v>
      </c>
      <c r="L32" s="462">
        <f t="shared" si="2"/>
        <v>102.15035839306552</v>
      </c>
      <c r="M32" s="433">
        <f>'Kapitálové příjmy'!C32+'Kapitálové příjmy'!G32</f>
        <v>0</v>
      </c>
      <c r="N32" s="461">
        <f>'Kapitálové příjmy'!D32+'Kapitálové příjmy'!H32</f>
        <v>0</v>
      </c>
      <c r="O32" s="461">
        <f>'Kapitálové příjmy'!E32+'Kapitálové příjmy'!I32</f>
        <v>0</v>
      </c>
      <c r="P32" s="462"/>
      <c r="Q32" s="433">
        <f>'Transfery neinvestiční 2.5'!C33+'Transfery neinvestiční 2.5'!G33+'Transfery neinvestiční 2.5'!K33+'Transfery neinvestiční 2.5'!O33+'Transfery nein.2.5a'!C34+'Transfery nein.2.5a'!O34+'Transfery nein.2.5a'!S34+'Transfery nein.2.5a'!W34+'Transfery investiční'!C33+'Transfery investiční'!G33+'Transfery investiční'!K33+'Transfery investiční'!O33+'Transfery investiční'!S33+'Transfery investiční'!W33+'Transfery investiční'!AA33+'Transfery nein.2.5a'!AA34</f>
        <v>49436</v>
      </c>
      <c r="R32" s="433">
        <f>'Transfery neinvestiční 2.5'!D33+'Transfery neinvestiční 2.5'!H33+'Transfery neinvestiční 2.5'!L33+'Transfery neinvestiční 2.5'!P33+'Transfery nein.2.5a'!D34+'Transfery nein.2.5a'!P34+'Transfery nein.2.5a'!T34+'Transfery nein.2.5a'!X34+'Transfery investiční'!D33+'Transfery investiční'!H33+'Transfery investiční'!L33+'Transfery investiční'!P33+'Transfery investiční'!T33+'Transfery investiční'!X33+'Transfery investiční'!AB33+'Transfery nein.2.5a'!AB34</f>
        <v>78964</v>
      </c>
      <c r="S32" s="433">
        <f>'Transfery neinvestiční 2.5'!E33+'Transfery neinvestiční 2.5'!I33+'Transfery neinvestiční 2.5'!M33+'Transfery neinvestiční 2.5'!Q33+'Transfery nein.2.5a'!E34+'Transfery nein.2.5a'!Q34+'Transfery nein.2.5a'!U34+'Transfery nein.2.5a'!Y34+'Transfery investiční'!E33+'Transfery investiční'!I33+'Transfery investiční'!M33+'Transfery investiční'!Q33+'Transfery investiční'!U33+'Transfery investiční'!Y33+'Transfery investiční'!AC33+'Transfery nein.2.5a'!AC34</f>
        <v>79573</v>
      </c>
      <c r="T32" s="462">
        <f t="shared" si="3"/>
        <v>100.7712375259612</v>
      </c>
    </row>
    <row r="33" spans="1:20" s="6" customFormat="1" ht="16.5" customHeight="1">
      <c r="A33" s="745" t="s">
        <v>263</v>
      </c>
      <c r="B33" s="333"/>
      <c r="C33" s="374">
        <f>'Daňové příjmy'!C33+'Daňové příjmy'!G33++'Daňové příjmy'!K33+'Daňové příjmy'!O33+'Ost.daně=Místní popl.'!C34</f>
        <v>933</v>
      </c>
      <c r="D33" s="433">
        <f>'Daňové příjmy'!D33+'Daňové příjmy'!H33++'Daňové příjmy'!L33+'Daňové příjmy'!P33+'Ost.daně=Místní popl.'!D34</f>
        <v>1209</v>
      </c>
      <c r="E33" s="433">
        <f>'Daňové příjmy'!E33+'Daňové příjmy'!I33+'Daňové příjmy'!M33+'Daňové příjmy'!Q33+'Ost.daně=Místní popl.'!E34</f>
        <v>1290</v>
      </c>
      <c r="F33" s="455">
        <v>-1289579.5</v>
      </c>
      <c r="G33" s="539">
        <f t="shared" si="1"/>
        <v>-0.42049999999994725</v>
      </c>
      <c r="H33" s="462">
        <f t="shared" si="0"/>
        <v>106.69975186104219</v>
      </c>
      <c r="I33" s="433">
        <f>'Nedaňové příjmy'!C35+'Nedaňové příjmy'!G35+'Nedaňové příjmy'!K35+'Nedaňové příjmy'!O35+'Nedaňové příjmy'!S35+'Nedaňové příjmy'!W35</f>
        <v>2300</v>
      </c>
      <c r="J33" s="433">
        <f>'Nedaňové příjmy'!D35+'Nedaňové příjmy'!H35+'Nedaňové příjmy'!L35+'Nedaňové příjmy'!P35+'Nedaňové příjmy'!T35+'Nedaňové příjmy'!X35</f>
        <v>3941</v>
      </c>
      <c r="K33" s="433">
        <f>'Nedaňové příjmy'!E35+'Nedaňové příjmy'!I35+'Nedaňové příjmy'!M35+'Nedaňové příjmy'!Q35+'Nedaňové příjmy'!U35+'Nedaňové příjmy'!Y35</f>
        <v>3875</v>
      </c>
      <c r="L33" s="462">
        <f t="shared" si="2"/>
        <v>98.32529814767825</v>
      </c>
      <c r="M33" s="433">
        <f>'Kapitálové příjmy'!C33+'Kapitálové příjmy'!G33</f>
        <v>0</v>
      </c>
      <c r="N33" s="461">
        <f>'Kapitálové příjmy'!D33+'Kapitálové příjmy'!H33</f>
        <v>0</v>
      </c>
      <c r="O33" s="461">
        <f>'Kapitálové příjmy'!E33+'Kapitálové příjmy'!I33</f>
        <v>0</v>
      </c>
      <c r="P33" s="462"/>
      <c r="Q33" s="433">
        <f>'Transfery neinvestiční 2.5'!C34+'Transfery neinvestiční 2.5'!G34+'Transfery neinvestiční 2.5'!K34+'Transfery neinvestiční 2.5'!O34+'Transfery nein.2.5a'!C35+'Transfery nein.2.5a'!O35+'Transfery nein.2.5a'!S35+'Transfery nein.2.5a'!W35+'Transfery investiční'!C34+'Transfery investiční'!G34+'Transfery investiční'!K34+'Transfery investiční'!O34+'Transfery investiční'!S34+'Transfery investiční'!W34+'Transfery investiční'!AA34+'Transfery nein.2.5a'!AA35</f>
        <v>27387</v>
      </c>
      <c r="R33" s="433">
        <f>'Transfery neinvestiční 2.5'!D34+'Transfery neinvestiční 2.5'!H34+'Transfery neinvestiční 2.5'!L34+'Transfery neinvestiční 2.5'!P34+'Transfery nein.2.5a'!D35+'Transfery nein.2.5a'!P35+'Transfery nein.2.5a'!T35+'Transfery nein.2.5a'!X35+'Transfery investiční'!D34+'Transfery investiční'!H34+'Transfery investiční'!L34+'Transfery investiční'!P34+'Transfery investiční'!T34+'Transfery investiční'!X34+'Transfery investiční'!AB34+'Transfery nein.2.5a'!AB35</f>
        <v>35624</v>
      </c>
      <c r="S33" s="433">
        <f>'Transfery neinvestiční 2.5'!E34+'Transfery neinvestiční 2.5'!I34+'Transfery neinvestiční 2.5'!M34+'Transfery neinvestiční 2.5'!Q34+'Transfery nein.2.5a'!E35+'Transfery nein.2.5a'!Q35+'Transfery nein.2.5a'!U35+'Transfery nein.2.5a'!Y35+'Transfery investiční'!E34+'Transfery investiční'!I34+'Transfery investiční'!M34+'Transfery investiční'!Q34+'Transfery investiční'!U34+'Transfery investiční'!Y34+'Transfery investiční'!AC34+'Transfery nein.2.5a'!AC35</f>
        <v>35625</v>
      </c>
      <c r="T33" s="462">
        <f t="shared" si="3"/>
        <v>100.00280709633955</v>
      </c>
    </row>
    <row r="34" spans="1:20" s="6" customFormat="1" ht="16.5" customHeight="1">
      <c r="A34" s="746" t="s">
        <v>264</v>
      </c>
      <c r="B34" s="333"/>
      <c r="C34" s="374">
        <f>'Daňové příjmy'!C34+'Daňové příjmy'!G34++'Daňové příjmy'!K34+'Daňové příjmy'!O34+'Ost.daně=Místní popl.'!C35</f>
        <v>1053</v>
      </c>
      <c r="D34" s="433">
        <f>'Daňové příjmy'!D34+'Daňové příjmy'!H34++'Daňové příjmy'!L34+'Daňové příjmy'!P34+'Ost.daně=Místní popl.'!D35</f>
        <v>1229</v>
      </c>
      <c r="E34" s="433">
        <f>'Daňové příjmy'!E34+'Daňové příjmy'!I34+'Daňové příjmy'!M34+'Daňové příjmy'!Q34+'Ost.daně=Místní popl.'!E35</f>
        <v>937</v>
      </c>
      <c r="F34" s="455">
        <v>-936716</v>
      </c>
      <c r="G34" s="539">
        <f t="shared" si="1"/>
        <v>-0.2839999999999918</v>
      </c>
      <c r="H34" s="462">
        <f t="shared" si="0"/>
        <v>76.24084621643613</v>
      </c>
      <c r="I34" s="433">
        <f>'Nedaňové příjmy'!C36+'Nedaňové příjmy'!G36+'Nedaňové příjmy'!K36+'Nedaňové příjmy'!O36+'Nedaňové příjmy'!S36+'Nedaňové příjmy'!W36</f>
        <v>805</v>
      </c>
      <c r="J34" s="433">
        <f>'Nedaňové příjmy'!D36+'Nedaňové příjmy'!H36+'Nedaňové příjmy'!L36+'Nedaňové příjmy'!P36+'Nedaňové příjmy'!T36+'Nedaňové příjmy'!X36</f>
        <v>1650</v>
      </c>
      <c r="K34" s="433">
        <f>'Nedaňové příjmy'!E36+'Nedaňové příjmy'!I36+'Nedaňové příjmy'!M36+'Nedaňové příjmy'!Q36+'Nedaňové příjmy'!U36+'Nedaňové příjmy'!Y36</f>
        <v>1768</v>
      </c>
      <c r="L34" s="462">
        <f t="shared" si="2"/>
        <v>107.15151515151516</v>
      </c>
      <c r="M34" s="433">
        <f>'Kapitálové příjmy'!C34+'Kapitálové příjmy'!G34</f>
        <v>0</v>
      </c>
      <c r="N34" s="461">
        <f>'Kapitálové příjmy'!D34+'Kapitálové příjmy'!H34</f>
        <v>50</v>
      </c>
      <c r="O34" s="461">
        <f>'Kapitálové příjmy'!E34+'Kapitálové příjmy'!I34</f>
        <v>50</v>
      </c>
      <c r="P34" s="462">
        <f>SUM(O34/N34*100)</f>
        <v>100</v>
      </c>
      <c r="Q34" s="433">
        <f>'Transfery neinvestiční 2.5'!C35+'Transfery neinvestiční 2.5'!G35+'Transfery neinvestiční 2.5'!K35+'Transfery neinvestiční 2.5'!O35+'Transfery nein.2.5a'!C36+'Transfery nein.2.5a'!O36+'Transfery nein.2.5a'!S36+'Transfery nein.2.5a'!W36+'Transfery investiční'!C35+'Transfery investiční'!G35+'Transfery investiční'!K35+'Transfery investiční'!O35+'Transfery investiční'!S35+'Transfery investiční'!W35+'Transfery investiční'!AA35+'Transfery nein.2.5a'!AA36</f>
        <v>15307</v>
      </c>
      <c r="R34" s="433">
        <f>'Transfery neinvestiční 2.5'!D35+'Transfery neinvestiční 2.5'!H35+'Transfery neinvestiční 2.5'!L35+'Transfery neinvestiční 2.5'!P35+'Transfery nein.2.5a'!D36+'Transfery nein.2.5a'!P36+'Transfery nein.2.5a'!T36+'Transfery nein.2.5a'!X36+'Transfery investiční'!D35+'Transfery investiční'!H35+'Transfery investiční'!L35+'Transfery investiční'!P35+'Transfery investiční'!T35+'Transfery investiční'!X35+'Transfery investiční'!AB35+'Transfery nein.2.5a'!AB36</f>
        <v>18354</v>
      </c>
      <c r="S34" s="433">
        <f>'Transfery neinvestiční 2.5'!E35+'Transfery neinvestiční 2.5'!I35+'Transfery neinvestiční 2.5'!M35+'Transfery neinvestiční 2.5'!Q35+'Transfery nein.2.5a'!E36+'Transfery nein.2.5a'!Q36+'Transfery nein.2.5a'!U36+'Transfery nein.2.5a'!Y36+'Transfery investiční'!E35+'Transfery investiční'!I35+'Transfery investiční'!M35+'Transfery investiční'!Q35+'Transfery investiční'!U35+'Transfery investiční'!Y35+'Transfery investiční'!AC35+'Transfery nein.2.5a'!AC36</f>
        <v>18354</v>
      </c>
      <c r="T34" s="462">
        <f t="shared" si="3"/>
        <v>100</v>
      </c>
    </row>
    <row r="35" spans="1:20" s="6" customFormat="1" ht="16.5" customHeight="1">
      <c r="A35" s="745" t="s">
        <v>265</v>
      </c>
      <c r="B35" s="333"/>
      <c r="C35" s="374">
        <f>'Daňové příjmy'!C35+'Daňové příjmy'!G35++'Daňové příjmy'!K35+'Daňové příjmy'!O35+'Ost.daně=Místní popl.'!C36</f>
        <v>15846</v>
      </c>
      <c r="D35" s="433">
        <f>'Daňové příjmy'!D35+'Daňové příjmy'!H35++'Daňové příjmy'!L35+'Daňové příjmy'!P35+'Ost.daně=Místní popl.'!D36</f>
        <v>25071</v>
      </c>
      <c r="E35" s="433">
        <f>'Daňové příjmy'!E35+'Daňové příjmy'!I35+'Daňové příjmy'!M35+'Daňové příjmy'!Q35+'Ost.daně=Místní popl.'!E36</f>
        <v>25627</v>
      </c>
      <c r="F35" s="455">
        <v>-25626998.17</v>
      </c>
      <c r="G35" s="539">
        <f t="shared" si="1"/>
        <v>-0.0018299999974260572</v>
      </c>
      <c r="H35" s="462">
        <f t="shared" si="0"/>
        <v>102.21770172709506</v>
      </c>
      <c r="I35" s="433">
        <f>'Nedaňové příjmy'!C37+'Nedaňové příjmy'!G37+'Nedaňové příjmy'!K37+'Nedaňové příjmy'!O37+'Nedaňové příjmy'!S37+'Nedaňové příjmy'!W37</f>
        <v>12179</v>
      </c>
      <c r="J35" s="433">
        <f>'Nedaňové příjmy'!D37+'Nedaňové příjmy'!H37+'Nedaňové příjmy'!L37+'Nedaňové příjmy'!P37+'Nedaňové příjmy'!T37+'Nedaňové příjmy'!X37</f>
        <v>37709</v>
      </c>
      <c r="K35" s="433">
        <f>'Nedaňové příjmy'!E37+'Nedaňové příjmy'!I37+'Nedaňové příjmy'!M37+'Nedaňové příjmy'!Q37+'Nedaňové příjmy'!U37+'Nedaňové příjmy'!Y37</f>
        <v>37966</v>
      </c>
      <c r="L35" s="462">
        <f t="shared" si="2"/>
        <v>100.68153491208996</v>
      </c>
      <c r="M35" s="433">
        <f>'Kapitálové příjmy'!C35+'Kapitálové příjmy'!G35</f>
        <v>0</v>
      </c>
      <c r="N35" s="461">
        <f>'Kapitálové příjmy'!D35+'Kapitálové příjmy'!H35</f>
        <v>518</v>
      </c>
      <c r="O35" s="461">
        <f>'Kapitálové příjmy'!E35+'Kapitálové příjmy'!I35</f>
        <v>503</v>
      </c>
      <c r="P35" s="462">
        <f>SUM(O35/N35*100)</f>
        <v>97.1042471042471</v>
      </c>
      <c r="Q35" s="433">
        <f>'Transfery neinvestiční 2.5'!C36+'Transfery neinvestiční 2.5'!G36+'Transfery neinvestiční 2.5'!K36+'Transfery neinvestiční 2.5'!O36+'Transfery nein.2.5a'!C37+'Transfery nein.2.5a'!O37+'Transfery nein.2.5a'!S37+'Transfery nein.2.5a'!W37+'Transfery investiční'!C36+'Transfery investiční'!G36+'Transfery investiční'!K36+'Transfery investiční'!O36+'Transfery investiční'!S36+'Transfery investiční'!W36+'Transfery investiční'!AA36+'Transfery nein.2.5a'!AA37</f>
        <v>134888</v>
      </c>
      <c r="R35" s="433">
        <f>'Transfery neinvestiční 2.5'!D36+'Transfery neinvestiční 2.5'!H36+'Transfery neinvestiční 2.5'!L36+'Transfery neinvestiční 2.5'!P36+'Transfery nein.2.5a'!D37+'Transfery nein.2.5a'!P37+'Transfery nein.2.5a'!T37+'Transfery nein.2.5a'!X37+'Transfery investiční'!D36+'Transfery investiční'!H36+'Transfery investiční'!L36+'Transfery investiční'!P36+'Transfery investiční'!T36+'Transfery investiční'!X36+'Transfery investiční'!AB36+'Transfery nein.2.5a'!AB37</f>
        <v>189320</v>
      </c>
      <c r="S35" s="433">
        <f>'Transfery neinvestiční 2.5'!E36+'Transfery neinvestiční 2.5'!I36+'Transfery neinvestiční 2.5'!M36+'Transfery neinvestiční 2.5'!Q36+'Transfery nein.2.5a'!E37+'Transfery nein.2.5a'!Q37+'Transfery nein.2.5a'!U37+'Transfery nein.2.5a'!Y37+'Transfery investiční'!E36+'Transfery investiční'!I36+'Transfery investiční'!M36+'Transfery investiční'!Q36+'Transfery investiční'!U36+'Transfery investiční'!Y36+'Transfery investiční'!AC36+'Transfery nein.2.5a'!AC37</f>
        <v>189321</v>
      </c>
      <c r="T35" s="462">
        <f t="shared" si="3"/>
        <v>100.0005282062117</v>
      </c>
    </row>
    <row r="36" spans="1:20" s="6" customFormat="1" ht="16.5" customHeight="1">
      <c r="A36" s="745" t="s">
        <v>266</v>
      </c>
      <c r="B36" s="333"/>
      <c r="C36" s="374">
        <f>'Daňové příjmy'!C36+'Daňové příjmy'!G36++'Daňové příjmy'!K36+'Daňové příjmy'!O36+'Ost.daně=Místní popl.'!C37</f>
        <v>1235</v>
      </c>
      <c r="D36" s="433">
        <f>'Daňové příjmy'!D36+'Daňové příjmy'!H36++'Daňové příjmy'!L36+'Daňové příjmy'!P36+'Ost.daně=Místní popl.'!D37</f>
        <v>1935</v>
      </c>
      <c r="E36" s="433">
        <f>'Daňové příjmy'!E36+'Daňové příjmy'!I36+'Daňové příjmy'!M36+'Daňové příjmy'!Q36+'Ost.daně=Místní popl.'!E37</f>
        <v>2109</v>
      </c>
      <c r="F36" s="455">
        <v>-2107846</v>
      </c>
      <c r="G36" s="539">
        <f t="shared" si="1"/>
        <v>-1.1539999999999964</v>
      </c>
      <c r="H36" s="462">
        <f t="shared" si="0"/>
        <v>108.9922480620155</v>
      </c>
      <c r="I36" s="433">
        <f>'Nedaňové příjmy'!C38+'Nedaňové příjmy'!G38+'Nedaňové příjmy'!K38+'Nedaňové příjmy'!O38+'Nedaňové příjmy'!S38+'Nedaňové příjmy'!W38</f>
        <v>780</v>
      </c>
      <c r="J36" s="433">
        <f>'Nedaňové příjmy'!D38+'Nedaňové příjmy'!H38+'Nedaňové příjmy'!L38+'Nedaňové příjmy'!P38+'Nedaňové příjmy'!T38+'Nedaňové příjmy'!X38</f>
        <v>1723</v>
      </c>
      <c r="K36" s="433">
        <f>'Nedaňové příjmy'!E38+'Nedaňové příjmy'!I38+'Nedaňové příjmy'!M38+'Nedaňové příjmy'!Q38+'Nedaňové příjmy'!U38+'Nedaňové příjmy'!Y38</f>
        <v>1907</v>
      </c>
      <c r="L36" s="462">
        <f t="shared" si="2"/>
        <v>110.6790481717934</v>
      </c>
      <c r="M36" s="433">
        <f>'Kapitálové příjmy'!C36+'Kapitálové příjmy'!G36</f>
        <v>0</v>
      </c>
      <c r="N36" s="461">
        <f>'Kapitálové příjmy'!D36+'Kapitálové příjmy'!H36</f>
        <v>0</v>
      </c>
      <c r="O36" s="461">
        <f>'Kapitálové příjmy'!E36+'Kapitálové příjmy'!I36</f>
        <v>0</v>
      </c>
      <c r="P36" s="462"/>
      <c r="Q36" s="433">
        <f>'Transfery neinvestiční 2.5'!C37+'Transfery neinvestiční 2.5'!G37+'Transfery neinvestiční 2.5'!K37+'Transfery neinvestiční 2.5'!O37+'Transfery nein.2.5a'!C38+'Transfery nein.2.5a'!O38+'Transfery nein.2.5a'!S38+'Transfery nein.2.5a'!W38+'Transfery investiční'!C37+'Transfery investiční'!G37+'Transfery investiční'!K37+'Transfery investiční'!O37+'Transfery investiční'!S37+'Transfery investiční'!W37+'Transfery investiční'!AA37+'Transfery nein.2.5a'!AA38</f>
        <v>15183</v>
      </c>
      <c r="R36" s="433">
        <f>'Transfery neinvestiční 2.5'!D37+'Transfery neinvestiční 2.5'!H37+'Transfery neinvestiční 2.5'!L37+'Transfery neinvestiční 2.5'!P37+'Transfery nein.2.5a'!D38+'Transfery nein.2.5a'!P38+'Transfery nein.2.5a'!T38+'Transfery nein.2.5a'!X38+'Transfery investiční'!D37+'Transfery investiční'!H37+'Transfery investiční'!L37+'Transfery investiční'!P37+'Transfery investiční'!T37+'Transfery investiční'!X37+'Transfery investiční'!AB37+'Transfery nein.2.5a'!AB38</f>
        <v>18428</v>
      </c>
      <c r="S36" s="433">
        <f>'Transfery neinvestiční 2.5'!E37+'Transfery neinvestiční 2.5'!I37+'Transfery neinvestiční 2.5'!M37+'Transfery neinvestiční 2.5'!Q37+'Transfery nein.2.5a'!E38+'Transfery nein.2.5a'!Q38+'Transfery nein.2.5a'!U38+'Transfery nein.2.5a'!Y38+'Transfery investiční'!E37+'Transfery investiční'!I37+'Transfery investiční'!M37+'Transfery investiční'!Q37+'Transfery investiční'!U37+'Transfery investiční'!Y37+'Transfery investiční'!AC37+'Transfery nein.2.5a'!AC38</f>
        <v>18453</v>
      </c>
      <c r="T36" s="462">
        <f t="shared" si="3"/>
        <v>100.1356631213371</v>
      </c>
    </row>
    <row r="37" spans="1:20" s="6" customFormat="1" ht="16.5" customHeight="1">
      <c r="A37" s="745" t="s">
        <v>267</v>
      </c>
      <c r="B37" s="333"/>
      <c r="C37" s="374">
        <f>'Daňové příjmy'!C37+'Daňové příjmy'!G37++'Daňové příjmy'!K37+'Daňové příjmy'!O37+'Ost.daně=Místní popl.'!C38</f>
        <v>5615</v>
      </c>
      <c r="D37" s="433">
        <f>'Daňové příjmy'!D37+'Daňové příjmy'!H37++'Daňové příjmy'!L37+'Daňové příjmy'!P37+'Ost.daně=Místní popl.'!D38</f>
        <v>7245</v>
      </c>
      <c r="E37" s="433">
        <f>'Daňové příjmy'!E37+'Daňové příjmy'!I37+'Daňové příjmy'!M37+'Daňové příjmy'!Q37+'Ost.daně=Místní popl.'!E38</f>
        <v>6662</v>
      </c>
      <c r="F37" s="455">
        <v>-6661431</v>
      </c>
      <c r="G37" s="539">
        <f t="shared" si="1"/>
        <v>-0.5690000000004147</v>
      </c>
      <c r="H37" s="462">
        <f t="shared" si="0"/>
        <v>91.95307108350586</v>
      </c>
      <c r="I37" s="433">
        <f>'Nedaňové příjmy'!C39+'Nedaňové příjmy'!G39+'Nedaňové příjmy'!K39+'Nedaňové příjmy'!O39+'Nedaňové příjmy'!S39+'Nedaňové příjmy'!W39</f>
        <v>5890</v>
      </c>
      <c r="J37" s="433">
        <f>'Nedaňové příjmy'!D39+'Nedaňové příjmy'!H39+'Nedaňové příjmy'!L39+'Nedaňové příjmy'!P39+'Nedaňové příjmy'!T39+'Nedaňové příjmy'!X39</f>
        <v>8288</v>
      </c>
      <c r="K37" s="433">
        <f>'Nedaňové příjmy'!E39+'Nedaňové příjmy'!I39+'Nedaňové příjmy'!M39+'Nedaňové příjmy'!Q39+'Nedaňové příjmy'!U39+'Nedaňové příjmy'!Y39</f>
        <v>9061</v>
      </c>
      <c r="L37" s="462">
        <f t="shared" si="2"/>
        <v>109.32673745173744</v>
      </c>
      <c r="M37" s="433">
        <f>'Kapitálové příjmy'!C37+'Kapitálové příjmy'!G37</f>
        <v>0</v>
      </c>
      <c r="N37" s="461">
        <f>'Kapitálové příjmy'!D37+'Kapitálové příjmy'!H37</f>
        <v>11</v>
      </c>
      <c r="O37" s="461">
        <f>'Kapitálové příjmy'!E37+'Kapitálové příjmy'!I37</f>
        <v>13</v>
      </c>
      <c r="P37" s="462">
        <f>SUM(O37/N37*100)</f>
        <v>118.18181818181819</v>
      </c>
      <c r="Q37" s="433">
        <f>'Transfery neinvestiční 2.5'!C38+'Transfery neinvestiční 2.5'!G38+'Transfery neinvestiční 2.5'!K38+'Transfery neinvestiční 2.5'!O38+'Transfery nein.2.5a'!C39+'Transfery nein.2.5a'!O39+'Transfery nein.2.5a'!S39+'Transfery nein.2.5a'!W39+'Transfery investiční'!C38+'Transfery investiční'!G38+'Transfery investiční'!K38+'Transfery investiční'!O38+'Transfery investiční'!S38+'Transfery investiční'!W38+'Transfery investiční'!AA38+'Transfery nein.2.5a'!AA39</f>
        <v>55911</v>
      </c>
      <c r="R37" s="433">
        <f>'Transfery neinvestiční 2.5'!D38+'Transfery neinvestiční 2.5'!H38+'Transfery neinvestiční 2.5'!L38+'Transfery neinvestiční 2.5'!P38+'Transfery nein.2.5a'!D39+'Transfery nein.2.5a'!P39+'Transfery nein.2.5a'!T39+'Transfery nein.2.5a'!X39+'Transfery investiční'!D38+'Transfery investiční'!H38+'Transfery investiční'!L38+'Transfery investiční'!P38+'Transfery investiční'!T38+'Transfery investiční'!X38+'Transfery investiční'!AB38+'Transfery nein.2.5a'!AB39</f>
        <v>78551</v>
      </c>
      <c r="S37" s="433">
        <f>'Transfery neinvestiční 2.5'!E38+'Transfery neinvestiční 2.5'!I38+'Transfery neinvestiční 2.5'!M38+'Transfery neinvestiční 2.5'!Q38+'Transfery nein.2.5a'!E39+'Transfery nein.2.5a'!Q39+'Transfery nein.2.5a'!U39+'Transfery nein.2.5a'!Y39+'Transfery investiční'!E38+'Transfery investiční'!I38+'Transfery investiční'!M38+'Transfery investiční'!Q38+'Transfery investiční'!U38+'Transfery investiční'!Y38+'Transfery investiční'!AC38+'Transfery nein.2.5a'!AC39</f>
        <v>78551</v>
      </c>
      <c r="T37" s="462">
        <f t="shared" si="3"/>
        <v>100</v>
      </c>
    </row>
    <row r="38" spans="1:20" s="6" customFormat="1" ht="16.5" customHeight="1">
      <c r="A38" s="745" t="s">
        <v>268</v>
      </c>
      <c r="B38" s="333"/>
      <c r="C38" s="374">
        <f>'Daňové příjmy'!C38+'Daňové příjmy'!G38++'Daňové příjmy'!K38+'Daňové příjmy'!O38+'Ost.daně=Místní popl.'!C39</f>
        <v>174</v>
      </c>
      <c r="D38" s="433">
        <f>'Daňové příjmy'!D38+'Daňové příjmy'!H38++'Daňové příjmy'!L38+'Daňové příjmy'!P38+'Ost.daně=Místní popl.'!D39</f>
        <v>263</v>
      </c>
      <c r="E38" s="433">
        <f>'Daňové příjmy'!E38+'Daňové příjmy'!I38+'Daňové příjmy'!M38+'Daňové příjmy'!Q38+'Ost.daně=Místní popl.'!E39</f>
        <v>217</v>
      </c>
      <c r="F38" s="455">
        <v>-216515</v>
      </c>
      <c r="G38" s="539">
        <f t="shared" si="1"/>
        <v>-0.48500000000001364</v>
      </c>
      <c r="H38" s="462">
        <f t="shared" si="0"/>
        <v>82.50950570342205</v>
      </c>
      <c r="I38" s="433">
        <f>'Nedaňové příjmy'!C40+'Nedaňové příjmy'!G40+'Nedaňové příjmy'!K40+'Nedaňové příjmy'!O40+'Nedaňové příjmy'!S40+'Nedaňové příjmy'!W40</f>
        <v>355</v>
      </c>
      <c r="J38" s="433">
        <f>'Nedaňové příjmy'!D40+'Nedaňové příjmy'!H40+'Nedaňové příjmy'!L40+'Nedaňové příjmy'!P40+'Nedaňové příjmy'!T40+'Nedaňové příjmy'!X40</f>
        <v>509</v>
      </c>
      <c r="K38" s="433">
        <f>'Nedaňové příjmy'!E40+'Nedaňové příjmy'!I40+'Nedaňové příjmy'!M40+'Nedaňové příjmy'!Q40+'Nedaňové příjmy'!U40+'Nedaňové příjmy'!Y40</f>
        <v>441</v>
      </c>
      <c r="L38" s="462">
        <f t="shared" si="2"/>
        <v>86.64047151277013</v>
      </c>
      <c r="M38" s="433">
        <f>'Kapitálové příjmy'!C38+'Kapitálové příjmy'!G38</f>
        <v>0</v>
      </c>
      <c r="N38" s="433">
        <f>'Kapitálové příjmy'!D38+'Kapitálové příjmy'!H38</f>
        <v>0</v>
      </c>
      <c r="O38" s="463">
        <f>'Kapitálové příjmy'!E38+'Kapitálové příjmy'!I38</f>
        <v>0</v>
      </c>
      <c r="P38" s="462"/>
      <c r="Q38" s="433">
        <f>'Transfery neinvestiční 2.5'!C39+'Transfery neinvestiční 2.5'!G39+'Transfery neinvestiční 2.5'!K39+'Transfery neinvestiční 2.5'!O39+'Transfery nein.2.5a'!C40+'Transfery nein.2.5a'!O40+'Transfery nein.2.5a'!S40+'Transfery nein.2.5a'!W40+'Transfery investiční'!C39+'Transfery investiční'!G39+'Transfery investiční'!K39+'Transfery investiční'!O39+'Transfery investiční'!S39+'Transfery investiční'!W39+'Transfery investiční'!AA39+'Transfery nein.2.5a'!AA40</f>
        <v>4717</v>
      </c>
      <c r="R38" s="433">
        <f>'Transfery neinvestiční 2.5'!D39+'Transfery neinvestiční 2.5'!H39+'Transfery neinvestiční 2.5'!L39+'Transfery neinvestiční 2.5'!P39+'Transfery nein.2.5a'!D40+'Transfery nein.2.5a'!P40+'Transfery nein.2.5a'!T40+'Transfery nein.2.5a'!X40+'Transfery investiční'!D39+'Transfery investiční'!H39+'Transfery investiční'!L39+'Transfery investiční'!P39+'Transfery investiční'!T39+'Transfery investiční'!X39+'Transfery investiční'!AB39+'Transfery nein.2.5a'!AB40</f>
        <v>5480</v>
      </c>
      <c r="S38" s="433">
        <f>'Transfery neinvestiční 2.5'!E39+'Transfery neinvestiční 2.5'!I39+'Transfery neinvestiční 2.5'!M39+'Transfery neinvestiční 2.5'!Q39+'Transfery nein.2.5a'!E40+'Transfery nein.2.5a'!Q40+'Transfery nein.2.5a'!U40+'Transfery nein.2.5a'!Y40+'Transfery investiční'!E39+'Transfery investiční'!I39+'Transfery investiční'!M39+'Transfery investiční'!Q39+'Transfery investiční'!U39+'Transfery investiční'!Y39+'Transfery investiční'!AC39+'Transfery nein.2.5a'!AC40</f>
        <v>5469</v>
      </c>
      <c r="T38" s="462">
        <f t="shared" si="3"/>
        <v>99.7992700729927</v>
      </c>
    </row>
    <row r="39" spans="1:20" s="6" customFormat="1" ht="16.5" customHeight="1">
      <c r="A39" s="745" t="s">
        <v>269</v>
      </c>
      <c r="B39" s="333"/>
      <c r="C39" s="374">
        <f>'Daňové příjmy'!C39+'Daňové příjmy'!G39++'Daňové příjmy'!K39+'Daňové příjmy'!O39+'Ost.daně=Místní popl.'!C40</f>
        <v>25</v>
      </c>
      <c r="D39" s="433">
        <f>'Daňové příjmy'!D39+'Daňové příjmy'!H39++'Daňové příjmy'!L39+'Daňové příjmy'!P39+'Ost.daně=Místní popl.'!D40</f>
        <v>111</v>
      </c>
      <c r="E39" s="433">
        <f>'Daňové příjmy'!E39+'Daňové příjmy'!I39+'Daňové příjmy'!M39+'Daňové příjmy'!Q39+'Ost.daně=Místní popl.'!E40</f>
        <v>105</v>
      </c>
      <c r="F39" s="455">
        <v>-106123</v>
      </c>
      <c r="G39" s="539">
        <f t="shared" si="1"/>
        <v>1.1230000000000047</v>
      </c>
      <c r="H39" s="462">
        <f t="shared" si="0"/>
        <v>94.5945945945946</v>
      </c>
      <c r="I39" s="433">
        <f>'Nedaňové příjmy'!C41+'Nedaňové příjmy'!G41+'Nedaňové příjmy'!K41+'Nedaňové příjmy'!O41+'Nedaňové příjmy'!S41+'Nedaňové příjmy'!W41</f>
        <v>275</v>
      </c>
      <c r="J39" s="433">
        <f>'Nedaňové příjmy'!D41+'Nedaňové příjmy'!H41+'Nedaňové příjmy'!L41+'Nedaňové příjmy'!P41+'Nedaňové příjmy'!T41+'Nedaňové příjmy'!X41</f>
        <v>565</v>
      </c>
      <c r="K39" s="433">
        <f>'Nedaňové příjmy'!E41+'Nedaňové příjmy'!I41+'Nedaňové příjmy'!M41+'Nedaňové příjmy'!Q41+'Nedaňové příjmy'!U41+'Nedaňové příjmy'!Y41</f>
        <v>526</v>
      </c>
      <c r="L39" s="462">
        <f t="shared" si="2"/>
        <v>93.09734513274336</v>
      </c>
      <c r="M39" s="433">
        <f>'Kapitálové příjmy'!C39+'Kapitálové příjmy'!G39</f>
        <v>0</v>
      </c>
      <c r="N39" s="433">
        <f>'Kapitálové příjmy'!D39+'Kapitálové příjmy'!H39</f>
        <v>0</v>
      </c>
      <c r="O39" s="463">
        <f>'Kapitálové příjmy'!E39+'Kapitálové příjmy'!I39</f>
        <v>0</v>
      </c>
      <c r="P39" s="462"/>
      <c r="Q39" s="433">
        <f>'Transfery neinvestiční 2.5'!C40+'Transfery neinvestiční 2.5'!G40+'Transfery neinvestiční 2.5'!K40+'Transfery neinvestiční 2.5'!O40+'Transfery nein.2.5a'!C41+'Transfery nein.2.5a'!O41+'Transfery nein.2.5a'!S41+'Transfery nein.2.5a'!W41+'Transfery investiční'!C40+'Transfery investiční'!G40+'Transfery investiční'!K40+'Transfery investiční'!O40+'Transfery investiční'!S40+'Transfery investiční'!W40+'Transfery investiční'!AA40+'Transfery nein.2.5a'!AA41</f>
        <v>6000</v>
      </c>
      <c r="R39" s="433">
        <f>'Transfery neinvestiční 2.5'!D40+'Transfery neinvestiční 2.5'!H40+'Transfery neinvestiční 2.5'!L40+'Transfery neinvestiční 2.5'!P40+'Transfery nein.2.5a'!D41+'Transfery nein.2.5a'!P41+'Transfery nein.2.5a'!T41+'Transfery nein.2.5a'!X41+'Transfery investiční'!D40+'Transfery investiční'!H40+'Transfery investiční'!L40+'Transfery investiční'!P40+'Transfery investiční'!T40+'Transfery investiční'!X40+'Transfery investiční'!AB40+'Transfery nein.2.5a'!AB41</f>
        <v>6696</v>
      </c>
      <c r="S39" s="433">
        <f>'Transfery neinvestiční 2.5'!E40+'Transfery neinvestiční 2.5'!I40+'Transfery neinvestiční 2.5'!M40+'Transfery neinvestiční 2.5'!Q40+'Transfery nein.2.5a'!E41+'Transfery nein.2.5a'!Q41+'Transfery nein.2.5a'!U41+'Transfery nein.2.5a'!Y41+'Transfery investiční'!E40+'Transfery investiční'!I40+'Transfery investiční'!M40+'Transfery investiční'!Q40+'Transfery investiční'!U40+'Transfery investiční'!Y40+'Transfery investiční'!AC40+'Transfery nein.2.5a'!AC41</f>
        <v>6696</v>
      </c>
      <c r="T39" s="462">
        <f t="shared" si="3"/>
        <v>100</v>
      </c>
    </row>
    <row r="40" spans="1:20" s="6" customFormat="1" ht="16.5" customHeight="1">
      <c r="A40" s="746" t="s">
        <v>270</v>
      </c>
      <c r="B40" s="333"/>
      <c r="C40" s="374">
        <f>'Daňové příjmy'!C40+'Daňové příjmy'!G40++'Daňové příjmy'!K40+'Daňové příjmy'!O40+'Ost.daně=Místní popl.'!C41</f>
        <v>32</v>
      </c>
      <c r="D40" s="433">
        <f>'Daňové příjmy'!D40+'Daňové příjmy'!H40++'Daňové příjmy'!L40+'Daňové příjmy'!P40+'Ost.daně=Místní popl.'!D41</f>
        <v>51</v>
      </c>
      <c r="E40" s="433">
        <f>'Daňové příjmy'!E40+'Daňové příjmy'!I40+'Daňové příjmy'!M40+'Daňové příjmy'!Q40+'Ost.daně=Místní popl.'!E41</f>
        <v>38</v>
      </c>
      <c r="F40" s="455">
        <v>-38127</v>
      </c>
      <c r="G40" s="539">
        <f t="shared" si="1"/>
        <v>0.12700000000000244</v>
      </c>
      <c r="H40" s="462">
        <f t="shared" si="0"/>
        <v>74.50980392156863</v>
      </c>
      <c r="I40" s="433">
        <f>'Nedaňové příjmy'!C42+'Nedaňové příjmy'!G42+'Nedaňové příjmy'!K42+'Nedaňové příjmy'!O42+'Nedaňové příjmy'!S42+'Nedaňové příjmy'!W42</f>
        <v>95</v>
      </c>
      <c r="J40" s="433">
        <f>'Nedaňové příjmy'!D42+'Nedaňové příjmy'!H42+'Nedaňové příjmy'!L42+'Nedaňové příjmy'!P42+'Nedaňové příjmy'!T42+'Nedaňové příjmy'!X42</f>
        <v>199</v>
      </c>
      <c r="K40" s="433">
        <f>'Nedaňové příjmy'!E42+'Nedaňové příjmy'!I42+'Nedaňové příjmy'!M42+'Nedaňové příjmy'!Q42+'Nedaňové příjmy'!U42+'Nedaňové příjmy'!Y42</f>
        <v>210</v>
      </c>
      <c r="L40" s="462">
        <f t="shared" si="2"/>
        <v>105.52763819095476</v>
      </c>
      <c r="M40" s="433">
        <f>'Kapitálové příjmy'!C40+'Kapitálové příjmy'!G40</f>
        <v>0</v>
      </c>
      <c r="N40" s="433">
        <f>'Kapitálové příjmy'!D40+'Kapitálové příjmy'!H40</f>
        <v>0</v>
      </c>
      <c r="O40" s="463">
        <f>'Kapitálové příjmy'!E40+'Kapitálové příjmy'!I40</f>
        <v>0</v>
      </c>
      <c r="P40" s="462"/>
      <c r="Q40" s="433">
        <f>'Transfery neinvestiční 2.5'!C41+'Transfery neinvestiční 2.5'!G41+'Transfery neinvestiční 2.5'!K41+'Transfery neinvestiční 2.5'!O41+'Transfery nein.2.5a'!C42+'Transfery nein.2.5a'!O42+'Transfery nein.2.5a'!S42+'Transfery nein.2.5a'!W42+'Transfery investiční'!C41+'Transfery investiční'!G41+'Transfery investiční'!K41+'Transfery investiční'!O41+'Transfery investiční'!S41+'Transfery investiční'!W41+'Transfery investiční'!AA41+'Transfery nein.2.5a'!AA42</f>
        <v>3079</v>
      </c>
      <c r="R40" s="433">
        <f>'Transfery neinvestiční 2.5'!D41+'Transfery neinvestiční 2.5'!H41+'Transfery neinvestiční 2.5'!L41+'Transfery neinvestiční 2.5'!P41+'Transfery nein.2.5a'!D42+'Transfery nein.2.5a'!P42+'Transfery nein.2.5a'!T42+'Transfery nein.2.5a'!X42+'Transfery investiční'!D41+'Transfery investiční'!H41+'Transfery investiční'!L41+'Transfery investiční'!P41+'Transfery investiční'!T41+'Transfery investiční'!X41+'Transfery investiční'!AB41+'Transfery nein.2.5a'!AB42</f>
        <v>3732</v>
      </c>
      <c r="S40" s="433">
        <f>'Transfery neinvestiční 2.5'!E41+'Transfery neinvestiční 2.5'!I41+'Transfery neinvestiční 2.5'!M41+'Transfery neinvestiční 2.5'!Q41+'Transfery nein.2.5a'!E42+'Transfery nein.2.5a'!Q42+'Transfery nein.2.5a'!U42+'Transfery nein.2.5a'!Y42+'Transfery investiční'!E41+'Transfery investiční'!I41+'Transfery investiční'!M41+'Transfery investiční'!Q41+'Transfery investiční'!U41+'Transfery investiční'!Y41+'Transfery investiční'!AC41+'Transfery nein.2.5a'!AC42</f>
        <v>3729</v>
      </c>
      <c r="T40" s="462">
        <f t="shared" si="3"/>
        <v>99.91961414790997</v>
      </c>
    </row>
    <row r="41" spans="1:20" s="6" customFormat="1" ht="16.5" customHeight="1">
      <c r="A41" s="745" t="s">
        <v>271</v>
      </c>
      <c r="B41" s="333"/>
      <c r="C41" s="374">
        <f>'Daňové příjmy'!C41+'Daňové příjmy'!G41++'Daňové příjmy'!K41+'Daňové příjmy'!O41+'Ost.daně=Místní popl.'!C42</f>
        <v>46</v>
      </c>
      <c r="D41" s="433">
        <f>'Daňové příjmy'!D41+'Daňové příjmy'!H41++'Daňové příjmy'!L41+'Daňové příjmy'!P41+'Ost.daně=Místní popl.'!D42</f>
        <v>101</v>
      </c>
      <c r="E41" s="433">
        <f>'Daňové příjmy'!E41+'Daňové příjmy'!I41+'Daňové příjmy'!M41+'Daňové příjmy'!Q41+'Ost.daně=Místní popl.'!E42</f>
        <v>100</v>
      </c>
      <c r="F41" s="455">
        <v>-100710</v>
      </c>
      <c r="G41" s="539">
        <f t="shared" si="1"/>
        <v>0.7099999999999937</v>
      </c>
      <c r="H41" s="462">
        <f t="shared" si="0"/>
        <v>99.00990099009901</v>
      </c>
      <c r="I41" s="433">
        <f>'Nedaňové příjmy'!C43+'Nedaňové příjmy'!G43+'Nedaňové příjmy'!K43+'Nedaňové příjmy'!O43+'Nedaňové příjmy'!S43+'Nedaňové příjmy'!W43</f>
        <v>135</v>
      </c>
      <c r="J41" s="433">
        <f>'Nedaňové příjmy'!D43+'Nedaňové příjmy'!H43+'Nedaňové příjmy'!L43+'Nedaňové příjmy'!P43+'Nedaňové příjmy'!T43+'Nedaňové příjmy'!X43</f>
        <v>205</v>
      </c>
      <c r="K41" s="433">
        <f>'Nedaňové příjmy'!E43+'Nedaňové příjmy'!I43+'Nedaňové příjmy'!M43+'Nedaňové příjmy'!Q43+'Nedaňové příjmy'!U43+'Nedaňové příjmy'!Y43</f>
        <v>205</v>
      </c>
      <c r="L41" s="462">
        <f t="shared" si="2"/>
        <v>100</v>
      </c>
      <c r="M41" s="433">
        <f>'Kapitálové příjmy'!C41+'Kapitálové příjmy'!G41</f>
        <v>0</v>
      </c>
      <c r="N41" s="433">
        <f>'Kapitálové příjmy'!D41+'Kapitálové příjmy'!H41</f>
        <v>0</v>
      </c>
      <c r="O41" s="463">
        <f>'Kapitálové příjmy'!E41+'Kapitálové příjmy'!I41</f>
        <v>0</v>
      </c>
      <c r="P41" s="462"/>
      <c r="Q41" s="433">
        <f>'Transfery neinvestiční 2.5'!C42+'Transfery neinvestiční 2.5'!G42+'Transfery neinvestiční 2.5'!K42+'Transfery neinvestiční 2.5'!O42+'Transfery nein.2.5a'!C43+'Transfery nein.2.5a'!O43+'Transfery nein.2.5a'!S43+'Transfery nein.2.5a'!W43+'Transfery investiční'!C42+'Transfery investiční'!G42+'Transfery investiční'!K42+'Transfery investiční'!O42+'Transfery investiční'!S42+'Transfery investiční'!W42+'Transfery investiční'!AA42+'Transfery nein.2.5a'!AA43</f>
        <v>2367</v>
      </c>
      <c r="R41" s="433">
        <f>'Transfery neinvestiční 2.5'!D42+'Transfery neinvestiční 2.5'!H42+'Transfery neinvestiční 2.5'!L42+'Transfery neinvestiční 2.5'!P42+'Transfery nein.2.5a'!D43+'Transfery nein.2.5a'!P43+'Transfery nein.2.5a'!T43+'Transfery nein.2.5a'!X43+'Transfery investiční'!D42+'Transfery investiční'!H42+'Transfery investiční'!L42+'Transfery investiční'!P42+'Transfery investiční'!T42+'Transfery investiční'!X42+'Transfery investiční'!AB42+'Transfery nein.2.5a'!AB43</f>
        <v>2492</v>
      </c>
      <c r="S41" s="433">
        <f>'Transfery neinvestiční 2.5'!E42+'Transfery neinvestiční 2.5'!I42+'Transfery neinvestiční 2.5'!M42+'Transfery neinvestiční 2.5'!Q42+'Transfery nein.2.5a'!E43+'Transfery nein.2.5a'!Q43+'Transfery nein.2.5a'!U43+'Transfery nein.2.5a'!Y43+'Transfery investiční'!E42+'Transfery investiční'!I42+'Transfery investiční'!M42+'Transfery investiční'!Q42+'Transfery investiční'!U42+'Transfery investiční'!Y42+'Transfery investiční'!AC42+'Transfery nein.2.5a'!AC43</f>
        <v>2512</v>
      </c>
      <c r="T41" s="462">
        <f t="shared" si="3"/>
        <v>100.80256821829856</v>
      </c>
    </row>
    <row r="42" spans="1:20" s="6" customFormat="1" ht="15" customHeight="1" thickBot="1">
      <c r="A42" s="29"/>
      <c r="B42" s="414"/>
      <c r="C42" s="523"/>
      <c r="D42" s="524"/>
      <c r="E42" s="524"/>
      <c r="F42" s="563"/>
      <c r="G42" s="563"/>
      <c r="H42" s="509"/>
      <c r="I42" s="440"/>
      <c r="J42" s="464"/>
      <c r="K42" s="464"/>
      <c r="L42" s="509"/>
      <c r="M42" s="440"/>
      <c r="N42" s="464"/>
      <c r="O42" s="464"/>
      <c r="P42" s="465"/>
      <c r="Q42" s="440"/>
      <c r="R42" s="464"/>
      <c r="S42" s="464"/>
      <c r="T42" s="465"/>
    </row>
    <row r="43" spans="3:20" s="6" customFormat="1" ht="15" customHeight="1">
      <c r="C43" s="525"/>
      <c r="D43" s="525"/>
      <c r="E43" s="525"/>
      <c r="F43" s="525"/>
      <c r="G43" s="525"/>
      <c r="I43" s="466"/>
      <c r="J43" s="466"/>
      <c r="K43" s="466"/>
      <c r="L43" s="36"/>
      <c r="M43" s="466"/>
      <c r="N43" s="466"/>
      <c r="O43" s="466"/>
      <c r="P43" s="36"/>
      <c r="Q43" s="466"/>
      <c r="R43" s="466"/>
      <c r="S43" s="466"/>
      <c r="T43" s="36"/>
    </row>
    <row r="44" spans="3:20" s="6" customFormat="1" ht="15" customHeight="1" thickBot="1">
      <c r="C44" s="525"/>
      <c r="D44" s="525"/>
      <c r="E44" s="525"/>
      <c r="F44" s="525"/>
      <c r="G44" s="525"/>
      <c r="I44" s="466"/>
      <c r="J44" s="466"/>
      <c r="K44" s="466"/>
      <c r="L44" s="36"/>
      <c r="M44" s="466"/>
      <c r="N44" s="466"/>
      <c r="O44" s="466"/>
      <c r="P44" s="36"/>
      <c r="Q44" s="466"/>
      <c r="R44" s="466"/>
      <c r="S44" s="466"/>
      <c r="T44" s="36"/>
    </row>
    <row r="45" spans="1:20" s="6" customFormat="1" ht="20.25" customHeight="1" thickBot="1">
      <c r="A45" s="37" t="s">
        <v>6</v>
      </c>
      <c r="C45" s="467">
        <f>SUM(C13:C41)</f>
        <v>227489</v>
      </c>
      <c r="D45" s="468">
        <f>SUM(D13:D41)</f>
        <v>238851</v>
      </c>
      <c r="E45" s="468">
        <f>SUM(E13:E41)</f>
        <v>244729</v>
      </c>
      <c r="F45" s="468">
        <f>SUM(F13:F41)</f>
        <v>-244729332.74</v>
      </c>
      <c r="G45" s="564"/>
      <c r="H45" s="316">
        <f>SUM(E45/D45*100)</f>
        <v>102.4609484574065</v>
      </c>
      <c r="I45" s="467">
        <f>SUM(I13:I41)</f>
        <v>138476</v>
      </c>
      <c r="J45" s="468">
        <f>SUM(J13:J41)</f>
        <v>281174</v>
      </c>
      <c r="K45" s="468">
        <f>SUM(K13:K41)</f>
        <v>282604</v>
      </c>
      <c r="L45" s="316">
        <f>SUM(K45/J45*100)</f>
        <v>100.50858187456878</v>
      </c>
      <c r="M45" s="467">
        <f>SUM(M13:M41)</f>
        <v>0</v>
      </c>
      <c r="N45" s="468">
        <f>SUM(N13:N41)</f>
        <v>3580</v>
      </c>
      <c r="O45" s="468">
        <f>SUM(O13:O41)</f>
        <v>3093</v>
      </c>
      <c r="P45" s="316">
        <f>SUM(O45/N45*100)</f>
        <v>86.39664804469274</v>
      </c>
      <c r="Q45" s="467">
        <f>SUM(Q13:Q41)</f>
        <v>1676489</v>
      </c>
      <c r="R45" s="468">
        <f>SUM(R13:R41)</f>
        <v>2199015</v>
      </c>
      <c r="S45" s="468">
        <f>SUM(S13:S41)</f>
        <v>2163233</v>
      </c>
      <c r="T45" s="316">
        <f>SUM(S45/R45*100)</f>
        <v>98.37281692030295</v>
      </c>
    </row>
    <row r="46" spans="3:20" s="6" customFormat="1" ht="15.75">
      <c r="C46" s="313"/>
      <c r="D46" s="313"/>
      <c r="E46" s="313"/>
      <c r="F46" s="313"/>
      <c r="G46" s="313"/>
      <c r="H46" s="38"/>
      <c r="I46" s="313"/>
      <c r="J46" s="313"/>
      <c r="K46" s="510"/>
      <c r="O46" s="313"/>
      <c r="P46" s="8"/>
      <c r="Q46" s="313"/>
      <c r="R46" s="313"/>
      <c r="S46" s="313"/>
      <c r="T46" s="8"/>
    </row>
    <row r="47" spans="16:20" s="343" customFormat="1" ht="12.75">
      <c r="P47" s="469"/>
      <c r="T47" s="469"/>
    </row>
    <row r="48" spans="8:20" s="6" customFormat="1" ht="15.75">
      <c r="H48" s="38"/>
      <c r="P48" s="8"/>
      <c r="T48" s="8"/>
    </row>
    <row r="49" spans="1:20" ht="15.75" customHeight="1">
      <c r="A49" s="260"/>
      <c r="B49" s="321" t="s">
        <v>179</v>
      </c>
      <c r="C49" s="322">
        <v>227489</v>
      </c>
      <c r="D49" s="322">
        <v>238851</v>
      </c>
      <c r="E49" s="479">
        <v>244729</v>
      </c>
      <c r="F49" s="321"/>
      <c r="G49" s="321"/>
      <c r="H49" s="322"/>
      <c r="I49" s="322">
        <v>138476</v>
      </c>
      <c r="J49" s="322">
        <v>281174</v>
      </c>
      <c r="K49" s="322">
        <v>282604</v>
      </c>
      <c r="L49" s="322"/>
      <c r="M49" s="322"/>
      <c r="N49" s="322">
        <v>3580</v>
      </c>
      <c r="O49" s="322">
        <v>3093</v>
      </c>
      <c r="P49" s="259"/>
      <c r="Q49" s="322">
        <v>1676489</v>
      </c>
      <c r="R49" s="322">
        <v>2199015</v>
      </c>
      <c r="S49" s="322">
        <v>2163233</v>
      </c>
      <c r="T49" s="263"/>
    </row>
    <row r="50" spans="8:19" ht="18.75">
      <c r="H50" s="257"/>
      <c r="S50" s="273"/>
    </row>
    <row r="51" spans="1:20" s="6" customFormat="1" ht="15.75" customHeight="1">
      <c r="A51" s="37">
        <v>2009</v>
      </c>
      <c r="B51" s="6" t="s">
        <v>179</v>
      </c>
      <c r="C51" s="39">
        <v>247392</v>
      </c>
      <c r="D51" s="39">
        <v>288541</v>
      </c>
      <c r="E51" s="489">
        <v>269454</v>
      </c>
      <c r="H51" s="39"/>
      <c r="I51" s="39">
        <v>138541</v>
      </c>
      <c r="J51" s="39">
        <v>288127</v>
      </c>
      <c r="K51" s="39">
        <v>292851</v>
      </c>
      <c r="L51" s="39"/>
      <c r="M51" s="39"/>
      <c r="N51" s="39">
        <v>700</v>
      </c>
      <c r="O51" s="39">
        <v>1769</v>
      </c>
      <c r="P51" s="39"/>
      <c r="Q51" s="39">
        <v>1526903</v>
      </c>
      <c r="R51" s="39">
        <v>2021895</v>
      </c>
      <c r="S51" s="39">
        <v>1965571</v>
      </c>
      <c r="T51" s="565"/>
    </row>
    <row r="52" spans="9:19" ht="15.75">
      <c r="I52" s="253"/>
      <c r="S52" s="259"/>
    </row>
    <row r="53" spans="3:19" ht="15.75">
      <c r="C53" s="6">
        <f>(-C51+C49)/C49*100</f>
        <v>-8.748994456874838</v>
      </c>
      <c r="D53" s="6">
        <f>(-D51+D49)/D49*100</f>
        <v>-20.80376469012062</v>
      </c>
      <c r="E53" s="6">
        <f>(-E51+E49)/E49*100</f>
        <v>-10.103011902962052</v>
      </c>
      <c r="F53" s="6"/>
      <c r="G53" s="6"/>
      <c r="H53" s="6"/>
      <c r="I53" s="6">
        <f aca="true" t="shared" si="4" ref="I53:S53">(-I51+I49)/I49*100</f>
        <v>-0.04693954187007135</v>
      </c>
      <c r="J53" s="6">
        <f t="shared" si="4"/>
        <v>-2.4728459957179543</v>
      </c>
      <c r="K53" s="6">
        <f t="shared" si="4"/>
        <v>-3.6259217845465743</v>
      </c>
      <c r="L53" s="6"/>
      <c r="M53" s="6"/>
      <c r="N53" s="6">
        <f t="shared" si="4"/>
        <v>80.44692737430168</v>
      </c>
      <c r="O53" s="6">
        <f t="shared" si="4"/>
        <v>42.80633688975105</v>
      </c>
      <c r="P53" s="6"/>
      <c r="Q53" s="6">
        <f t="shared" si="4"/>
        <v>8.922575692414325</v>
      </c>
      <c r="R53" s="6">
        <f t="shared" si="4"/>
        <v>8.05451531708515</v>
      </c>
      <c r="S53" s="6">
        <f t="shared" si="4"/>
        <v>9.13734211709973</v>
      </c>
    </row>
    <row r="54" ht="15.75" customHeight="1"/>
    <row r="55" spans="3:19" ht="15.75" customHeight="1" thickBot="1">
      <c r="C55" s="39">
        <f>C51-C49</f>
        <v>19903</v>
      </c>
      <c r="D55" s="39">
        <f>D51-D49</f>
        <v>49690</v>
      </c>
      <c r="E55" s="39">
        <f>-E51+E49</f>
        <v>-24725</v>
      </c>
      <c r="F55" s="39">
        <f aca="true" t="shared" si="5" ref="F55:S55">-F51+F49</f>
        <v>0</v>
      </c>
      <c r="G55" s="39">
        <f t="shared" si="5"/>
        <v>0</v>
      </c>
      <c r="H55" s="39">
        <f t="shared" si="5"/>
        <v>0</v>
      </c>
      <c r="I55" s="39">
        <f t="shared" si="5"/>
        <v>-65</v>
      </c>
      <c r="J55" s="39">
        <f t="shared" si="5"/>
        <v>-6953</v>
      </c>
      <c r="K55" s="39">
        <f t="shared" si="5"/>
        <v>-10247</v>
      </c>
      <c r="L55" s="39">
        <f t="shared" si="5"/>
        <v>0</v>
      </c>
      <c r="M55" s="39">
        <f t="shared" si="5"/>
        <v>0</v>
      </c>
      <c r="N55" s="39">
        <f t="shared" si="5"/>
        <v>2880</v>
      </c>
      <c r="O55" s="39">
        <f t="shared" si="5"/>
        <v>1324</v>
      </c>
      <c r="P55" s="39">
        <f t="shared" si="5"/>
        <v>0</v>
      </c>
      <c r="Q55" s="39">
        <f t="shared" si="5"/>
        <v>149586</v>
      </c>
      <c r="R55" s="39">
        <f t="shared" si="5"/>
        <v>177120</v>
      </c>
      <c r="S55" s="39">
        <f t="shared" si="5"/>
        <v>197662</v>
      </c>
    </row>
    <row r="56" spans="1:20" ht="15.75" customHeight="1" thickBot="1">
      <c r="A56" s="252" t="s">
        <v>278</v>
      </c>
      <c r="B56" s="315">
        <v>2693659</v>
      </c>
      <c r="E56" s="252">
        <f>E45/$B$56*100</f>
        <v>9.085374206608929</v>
      </c>
      <c r="F56" s="252">
        <f aca="true" t="shared" si="6" ref="F56:T56">F45/$B$56*100</f>
        <v>-9085.386559323211</v>
      </c>
      <c r="G56" s="252">
        <f t="shared" si="6"/>
        <v>0</v>
      </c>
      <c r="H56" s="252">
        <f t="shared" si="6"/>
        <v>0.0038037831981481878</v>
      </c>
      <c r="I56" s="252">
        <f t="shared" si="6"/>
        <v>5.140814037708559</v>
      </c>
      <c r="J56" s="252">
        <f t="shared" si="6"/>
        <v>10.438366548995251</v>
      </c>
      <c r="K56" s="252">
        <f t="shared" si="6"/>
        <v>10.491454189264491</v>
      </c>
      <c r="L56" s="252">
        <f t="shared" si="6"/>
        <v>0.003731303103866108</v>
      </c>
      <c r="M56" s="252">
        <f t="shared" si="6"/>
        <v>0</v>
      </c>
      <c r="N56" s="252">
        <f t="shared" si="6"/>
        <v>0.13290472179292181</v>
      </c>
      <c r="O56" s="252">
        <f t="shared" si="6"/>
        <v>0.11482522472220871</v>
      </c>
      <c r="P56" s="252">
        <f t="shared" si="6"/>
        <v>0.0032074085117935395</v>
      </c>
      <c r="Q56" s="252">
        <f t="shared" si="6"/>
        <v>62.23835311002618</v>
      </c>
      <c r="R56" s="252">
        <f t="shared" si="6"/>
        <v>81.63672536130223</v>
      </c>
      <c r="S56" s="252">
        <f t="shared" si="6"/>
        <v>80.30834637940437</v>
      </c>
      <c r="T56" s="252">
        <f t="shared" si="6"/>
        <v>0.003652014487368407</v>
      </c>
    </row>
    <row r="57" spans="5:19" ht="15.75" customHeight="1">
      <c r="E57" s="252">
        <v>9.1</v>
      </c>
      <c r="K57" s="252">
        <v>10.5</v>
      </c>
      <c r="O57" s="252">
        <v>0.1</v>
      </c>
      <c r="S57" s="252">
        <v>80.3</v>
      </c>
    </row>
    <row r="58" ht="15.75" customHeight="1"/>
    <row r="59" spans="5:19" ht="18" customHeight="1">
      <c r="E59" s="252">
        <v>244.7</v>
      </c>
      <c r="K59" s="252">
        <v>282.6</v>
      </c>
      <c r="O59" s="252">
        <v>3.1</v>
      </c>
      <c r="S59" s="252">
        <v>2163.3</v>
      </c>
    </row>
    <row r="60" ht="18" customHeight="1"/>
    <row r="61" spans="5:19" ht="13.5" customHeight="1">
      <c r="E61" s="252">
        <f>E49/E51*100</f>
        <v>90.8240367558099</v>
      </c>
      <c r="F61" s="252" t="e">
        <f aca="true" t="shared" si="7" ref="F61:S61">F49/F51*100</f>
        <v>#DIV/0!</v>
      </c>
      <c r="G61" s="252" t="e">
        <f t="shared" si="7"/>
        <v>#DIV/0!</v>
      </c>
      <c r="H61" s="252" t="e">
        <f t="shared" si="7"/>
        <v>#DIV/0!</v>
      </c>
      <c r="I61" s="252">
        <f t="shared" si="7"/>
        <v>99.9530824809984</v>
      </c>
      <c r="J61" s="252">
        <f t="shared" si="7"/>
        <v>97.58682803069479</v>
      </c>
      <c r="K61" s="252">
        <f t="shared" si="7"/>
        <v>96.50095099555746</v>
      </c>
      <c r="L61" s="252" t="e">
        <f t="shared" si="7"/>
        <v>#DIV/0!</v>
      </c>
      <c r="M61" s="252" t="e">
        <f t="shared" si="7"/>
        <v>#DIV/0!</v>
      </c>
      <c r="N61" s="252">
        <f t="shared" si="7"/>
        <v>511.4285714285714</v>
      </c>
      <c r="O61" s="252">
        <f t="shared" si="7"/>
        <v>174.84454494064443</v>
      </c>
      <c r="P61" s="252" t="e">
        <f t="shared" si="7"/>
        <v>#DIV/0!</v>
      </c>
      <c r="Q61" s="252">
        <f t="shared" si="7"/>
        <v>109.79669304467934</v>
      </c>
      <c r="R61" s="252">
        <f t="shared" si="7"/>
        <v>108.76009881818788</v>
      </c>
      <c r="S61" s="252">
        <f t="shared" si="7"/>
        <v>110.0562126730604</v>
      </c>
    </row>
    <row r="63" spans="4:5" ht="18" customHeight="1">
      <c r="D63" s="6">
        <v>2009</v>
      </c>
      <c r="E63" s="252">
        <v>564074</v>
      </c>
    </row>
    <row r="64" spans="4:7" ht="13.5" customHeight="1">
      <c r="D64" s="6">
        <v>2010</v>
      </c>
      <c r="E64" s="262">
        <f>E45+K45+O45</f>
        <v>530426</v>
      </c>
      <c r="F64" s="262">
        <f>-E64+E63</f>
        <v>33648</v>
      </c>
      <c r="G64" s="252">
        <f>F64/E63*100</f>
        <v>5.965174782032145</v>
      </c>
    </row>
    <row r="65" ht="13.5" customHeight="1"/>
    <row r="66" ht="13.5" customHeight="1">
      <c r="E66" s="252">
        <f>(E45+K45+O45)/B56*100</f>
        <v>19.691653620595627</v>
      </c>
    </row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spans="6:22" ht="15.75">
      <c r="F112" s="258"/>
      <c r="G112" s="258"/>
      <c r="Q112" s="253"/>
      <c r="R112" s="258"/>
      <c r="S112" s="258"/>
      <c r="T112" s="258"/>
      <c r="V112" s="258"/>
    </row>
  </sheetData>
  <mergeCells count="2">
    <mergeCell ref="A2:U2"/>
    <mergeCell ref="A8:B8"/>
  </mergeCells>
  <printOptions horizontalCentered="1" verticalCentered="1"/>
  <pageMargins left="0.3937007874015748" right="0.3937007874015748" top="0.7480314960629921" bottom="0.7480314960629921" header="0.5118110236220472" footer="0.5118110236220472"/>
  <pageSetup horizontalDpi="180" verticalDpi="18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A52"/>
  <sheetViews>
    <sheetView showZeros="0" view="pageBreakPreview" zoomScale="60" zoomScaleNormal="75" workbookViewId="0" topLeftCell="A4">
      <pane xSplit="2" ySplit="8" topLeftCell="C1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796875" defaultRowHeight="15"/>
  <cols>
    <col min="1" max="1" width="9.796875" style="252" customWidth="1"/>
    <col min="2" max="2" width="15.69921875" style="252" customWidth="1"/>
    <col min="3" max="9" width="10.69921875" style="6" customWidth="1"/>
    <col min="10" max="10" width="10.796875" style="6" customWidth="1"/>
    <col min="11" max="12" width="9.796875" style="6" customWidth="1"/>
    <col min="13" max="18" width="9.796875" style="252" customWidth="1"/>
    <col min="19" max="20" width="9.296875" style="252" customWidth="1"/>
    <col min="21" max="21" width="11.296875" style="252" bestFit="1" customWidth="1"/>
    <col min="22" max="23" width="9.796875" style="252" customWidth="1"/>
    <col min="24" max="24" width="1" style="252" customWidth="1"/>
    <col min="25" max="25" width="11.296875" style="252" bestFit="1" customWidth="1"/>
    <col min="26" max="26" width="11.296875" style="252" customWidth="1"/>
    <col min="27" max="27" width="9.796875" style="252" customWidth="1"/>
    <col min="28" max="28" width="6.59765625" style="252" customWidth="1"/>
    <col min="29" max="32" width="7.796875" style="252" customWidth="1"/>
    <col min="33" max="35" width="8.796875" style="252" customWidth="1"/>
    <col min="36" max="39" width="7.796875" style="252" customWidth="1"/>
    <col min="40" max="40" width="6.796875" style="252" customWidth="1"/>
    <col min="41" max="43" width="8.796875" style="252" customWidth="1"/>
    <col min="44" max="47" width="7.796875" style="252" customWidth="1"/>
    <col min="48" max="48" width="6.796875" style="252" customWidth="1"/>
    <col min="49" max="53" width="7.796875" style="252" customWidth="1"/>
    <col min="54" max="54" width="5.796875" style="252" customWidth="1"/>
    <col min="55" max="55" width="9.796875" style="252" customWidth="1"/>
    <col min="56" max="56" width="6.796875" style="252" customWidth="1"/>
    <col min="57" max="59" width="9.796875" style="252" customWidth="1"/>
    <col min="60" max="60" width="4.796875" style="252" customWidth="1"/>
    <col min="61" max="61" width="0" style="252" hidden="1" customWidth="1"/>
    <col min="62" max="16384" width="9.796875" style="252" customWidth="1"/>
  </cols>
  <sheetData>
    <row r="1" s="6" customFormat="1" ht="17.25" customHeight="1">
      <c r="A1" s="5"/>
    </row>
    <row r="2" spans="1:18" s="6" customFormat="1" ht="24" customHeight="1">
      <c r="A2" s="752" t="s">
        <v>231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</row>
    <row r="3" s="6" customFormat="1" ht="15" customHeight="1"/>
    <row r="4" spans="1:18" s="6" customFormat="1" ht="21" customHeight="1">
      <c r="A4" s="761" t="s">
        <v>34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</row>
    <row r="5" spans="13:25" s="6" customFormat="1" ht="22.5" customHeight="1">
      <c r="M5" s="40"/>
      <c r="O5" s="37"/>
      <c r="P5" s="37"/>
      <c r="Q5" s="37"/>
      <c r="R5" s="36" t="s">
        <v>35</v>
      </c>
      <c r="S5" s="24"/>
      <c r="T5" s="24"/>
      <c r="U5" s="24"/>
      <c r="V5" s="24"/>
      <c r="W5" s="24"/>
      <c r="X5" s="24"/>
      <c r="Y5" s="24"/>
    </row>
    <row r="6" spans="3:25" s="6" customFormat="1" ht="22.5" customHeight="1" thickBot="1">
      <c r="C6" s="42"/>
      <c r="D6" s="43"/>
      <c r="E6" s="42"/>
      <c r="F6" s="42"/>
      <c r="G6" s="42"/>
      <c r="H6" s="43"/>
      <c r="I6" s="12"/>
      <c r="K6" s="42"/>
      <c r="L6" s="43"/>
      <c r="M6" s="12"/>
      <c r="O6" s="12"/>
      <c r="P6" s="12"/>
      <c r="Q6" s="12"/>
      <c r="R6" s="14" t="s">
        <v>3</v>
      </c>
      <c r="S6" s="44"/>
      <c r="T6" s="44"/>
      <c r="U6" s="45"/>
      <c r="V6" s="45"/>
      <c r="W6" s="45"/>
      <c r="X6" s="45"/>
      <c r="Y6" s="46"/>
    </row>
    <row r="7" spans="1:25" s="6" customFormat="1" ht="22.5" customHeight="1">
      <c r="A7" s="47"/>
      <c r="B7" s="48"/>
      <c r="C7" s="18" t="s">
        <v>36</v>
      </c>
      <c r="D7" s="19"/>
      <c r="E7" s="19"/>
      <c r="F7" s="20"/>
      <c r="G7" s="758" t="s">
        <v>37</v>
      </c>
      <c r="H7" s="758"/>
      <c r="I7" s="758"/>
      <c r="J7" s="758"/>
      <c r="K7" s="18" t="s">
        <v>38</v>
      </c>
      <c r="L7" s="50"/>
      <c r="M7" s="19"/>
      <c r="N7" s="20"/>
      <c r="O7" s="759" t="s">
        <v>39</v>
      </c>
      <c r="P7" s="758"/>
      <c r="Q7" s="758"/>
      <c r="R7" s="760"/>
      <c r="S7" s="24"/>
      <c r="T7" s="24"/>
      <c r="U7" s="24"/>
      <c r="V7" s="24"/>
      <c r="W7" s="24"/>
      <c r="X7" s="24"/>
      <c r="Y7" s="24"/>
    </row>
    <row r="8" spans="1:25" s="6" customFormat="1" ht="18" customHeight="1">
      <c r="A8" s="756" t="s">
        <v>285</v>
      </c>
      <c r="B8" s="757"/>
      <c r="C8" s="51" t="s">
        <v>40</v>
      </c>
      <c r="D8" s="52"/>
      <c r="E8" s="26" t="s">
        <v>5</v>
      </c>
      <c r="F8" s="27" t="s">
        <v>2</v>
      </c>
      <c r="G8" s="51" t="s">
        <v>40</v>
      </c>
      <c r="H8" s="52"/>
      <c r="I8" s="26" t="s">
        <v>5</v>
      </c>
      <c r="J8" s="27" t="s">
        <v>2</v>
      </c>
      <c r="K8" s="53" t="s">
        <v>40</v>
      </c>
      <c r="L8" s="54"/>
      <c r="M8" s="26" t="s">
        <v>5</v>
      </c>
      <c r="N8" s="27" t="s">
        <v>2</v>
      </c>
      <c r="O8" s="53" t="s">
        <v>40</v>
      </c>
      <c r="P8" s="54"/>
      <c r="Q8" s="26" t="s">
        <v>5</v>
      </c>
      <c r="R8" s="27" t="s">
        <v>2</v>
      </c>
      <c r="S8" s="24"/>
      <c r="T8" s="24"/>
      <c r="U8" s="3"/>
      <c r="V8" s="24"/>
      <c r="W8" s="3"/>
      <c r="X8" s="3"/>
      <c r="Y8" s="24"/>
    </row>
    <row r="9" spans="1:25" s="6" customFormat="1" ht="18" customHeight="1" thickBot="1">
      <c r="A9" s="29"/>
      <c r="B9" s="30"/>
      <c r="C9" s="31" t="s">
        <v>42</v>
      </c>
      <c r="D9" s="32" t="s">
        <v>43</v>
      </c>
      <c r="E9" s="33" t="s">
        <v>237</v>
      </c>
      <c r="F9" s="34" t="s">
        <v>19</v>
      </c>
      <c r="G9" s="31" t="s">
        <v>42</v>
      </c>
      <c r="H9" s="32" t="s">
        <v>43</v>
      </c>
      <c r="I9" s="33" t="s">
        <v>237</v>
      </c>
      <c r="J9" s="34" t="s">
        <v>19</v>
      </c>
      <c r="K9" s="55" t="s">
        <v>42</v>
      </c>
      <c r="L9" s="33" t="s">
        <v>43</v>
      </c>
      <c r="M9" s="33" t="s">
        <v>237</v>
      </c>
      <c r="N9" s="34" t="s">
        <v>19</v>
      </c>
      <c r="O9" s="55" t="s">
        <v>42</v>
      </c>
      <c r="P9" s="33" t="s">
        <v>43</v>
      </c>
      <c r="Q9" s="33" t="s">
        <v>237</v>
      </c>
      <c r="R9" s="56" t="s">
        <v>19</v>
      </c>
      <c r="S9" s="24"/>
      <c r="T9" s="24"/>
      <c r="U9" s="3"/>
      <c r="V9" s="24"/>
      <c r="W9" s="3"/>
      <c r="X9" s="3"/>
      <c r="Y9" s="24"/>
    </row>
    <row r="10" spans="3:25" s="6" customFormat="1" ht="15.75" customHeight="1">
      <c r="C10" s="766" t="s">
        <v>44</v>
      </c>
      <c r="D10" s="766"/>
      <c r="E10" s="766"/>
      <c r="F10" s="766"/>
      <c r="G10" s="766" t="s">
        <v>45</v>
      </c>
      <c r="H10" s="766"/>
      <c r="I10" s="766"/>
      <c r="J10" s="766"/>
      <c r="K10" s="766" t="s">
        <v>46</v>
      </c>
      <c r="L10" s="766"/>
      <c r="M10" s="766"/>
      <c r="N10" s="766"/>
      <c r="O10" s="766" t="s">
        <v>47</v>
      </c>
      <c r="P10" s="766"/>
      <c r="Q10" s="766"/>
      <c r="R10" s="743"/>
      <c r="S10" s="24"/>
      <c r="T10" s="24"/>
      <c r="U10" s="24"/>
      <c r="V10" s="24"/>
      <c r="W10" s="24"/>
      <c r="X10" s="24"/>
      <c r="Y10" s="24"/>
    </row>
    <row r="11" spans="18:27" s="6" customFormat="1" ht="15.75" customHeight="1" thickBot="1">
      <c r="R11" s="324"/>
      <c r="S11" s="24"/>
      <c r="T11" s="24"/>
      <c r="U11" s="762" t="s">
        <v>191</v>
      </c>
      <c r="V11" s="762"/>
      <c r="W11" s="762"/>
      <c r="X11" s="24"/>
      <c r="Y11" s="763" t="s">
        <v>192</v>
      </c>
      <c r="Z11" s="764"/>
      <c r="AA11" s="765"/>
    </row>
    <row r="12" spans="1:27" s="6" customFormat="1" ht="16.5" customHeight="1">
      <c r="A12" s="357"/>
      <c r="B12" s="344"/>
      <c r="C12" s="305"/>
      <c r="D12" s="58"/>
      <c r="E12" s="58"/>
      <c r="F12" s="306"/>
      <c r="G12" s="305"/>
      <c r="H12" s="58"/>
      <c r="I12" s="58"/>
      <c r="J12" s="306"/>
      <c r="K12" s="305"/>
      <c r="L12" s="58"/>
      <c r="M12" s="58"/>
      <c r="N12" s="306"/>
      <c r="O12" s="305"/>
      <c r="P12" s="58"/>
      <c r="Q12" s="58"/>
      <c r="R12" s="358"/>
      <c r="S12" s="24"/>
      <c r="T12" s="24"/>
      <c r="U12" s="57" t="s">
        <v>20</v>
      </c>
      <c r="V12" s="57" t="s">
        <v>21</v>
      </c>
      <c r="W12" s="57" t="s">
        <v>163</v>
      </c>
      <c r="X12" s="24"/>
      <c r="Y12" s="57" t="s">
        <v>20</v>
      </c>
      <c r="Z12" s="57" t="s">
        <v>21</v>
      </c>
      <c r="AA12" s="57" t="s">
        <v>163</v>
      </c>
    </row>
    <row r="13" spans="1:27" s="6" customFormat="1" ht="15.75" customHeight="1">
      <c r="A13" s="744" t="s">
        <v>243</v>
      </c>
      <c r="B13" s="333"/>
      <c r="C13" s="303">
        <v>14000</v>
      </c>
      <c r="D13" s="304">
        <v>5916</v>
      </c>
      <c r="E13" s="304">
        <v>5916</v>
      </c>
      <c r="F13" s="308">
        <f aca="true" t="shared" si="0" ref="F13:F41">SUM(E13/D13*100)</f>
        <v>100</v>
      </c>
      <c r="G13" s="307">
        <v>10</v>
      </c>
      <c r="H13" s="307">
        <v>16</v>
      </c>
      <c r="I13" s="307">
        <v>16</v>
      </c>
      <c r="J13" s="308">
        <f>SUM(I13/H13*100)</f>
        <v>100</v>
      </c>
      <c r="K13" s="309">
        <v>10700</v>
      </c>
      <c r="L13" s="309">
        <v>6000</v>
      </c>
      <c r="M13" s="309">
        <f>6071+1</f>
        <v>6072</v>
      </c>
      <c r="N13" s="308">
        <f aca="true" t="shared" si="1" ref="N13:N20">SUM(M13/L13*100)</f>
        <v>101.2</v>
      </c>
      <c r="O13" s="309">
        <v>20000</v>
      </c>
      <c r="P13" s="309">
        <v>2300</v>
      </c>
      <c r="Q13" s="309">
        <v>2474</v>
      </c>
      <c r="R13" s="526">
        <f aca="true" t="shared" si="2" ref="R13:R21">SUM(Q13/P13*100)</f>
        <v>107.56521739130436</v>
      </c>
      <c r="S13" s="532"/>
      <c r="T13" s="532"/>
      <c r="U13" s="488">
        <v>2000</v>
      </c>
      <c r="V13" s="394">
        <v>1384</v>
      </c>
      <c r="W13" s="533">
        <v>1384</v>
      </c>
      <c r="X13" s="489"/>
      <c r="Y13" s="534">
        <f>C13-U13</f>
        <v>12000</v>
      </c>
      <c r="Z13" s="534">
        <f aca="true" t="shared" si="3" ref="Z13:AA28">D13-V13</f>
        <v>4532</v>
      </c>
      <c r="AA13" s="534">
        <f t="shared" si="3"/>
        <v>4532</v>
      </c>
    </row>
    <row r="14" spans="1:27" s="6" customFormat="1" ht="16.5" customHeight="1">
      <c r="A14" s="745" t="s">
        <v>244</v>
      </c>
      <c r="B14" s="333"/>
      <c r="C14" s="303">
        <v>1075</v>
      </c>
      <c r="D14" s="304">
        <v>1064</v>
      </c>
      <c r="E14" s="304">
        <v>1064</v>
      </c>
      <c r="F14" s="308">
        <f t="shared" si="0"/>
        <v>100</v>
      </c>
      <c r="G14" s="303"/>
      <c r="H14" s="304"/>
      <c r="I14" s="304"/>
      <c r="J14" s="308"/>
      <c r="K14" s="309">
        <v>950</v>
      </c>
      <c r="L14" s="307">
        <v>768</v>
      </c>
      <c r="M14" s="307">
        <v>769</v>
      </c>
      <c r="N14" s="308">
        <f t="shared" si="1"/>
        <v>100.13020833333333</v>
      </c>
      <c r="O14" s="309">
        <v>1420</v>
      </c>
      <c r="P14" s="309">
        <v>1420</v>
      </c>
      <c r="Q14" s="309">
        <v>1088</v>
      </c>
      <c r="R14" s="526">
        <f t="shared" si="2"/>
        <v>76.61971830985915</v>
      </c>
      <c r="S14" s="532"/>
      <c r="T14" s="532"/>
      <c r="U14" s="488">
        <v>1000</v>
      </c>
      <c r="V14" s="394">
        <v>1075</v>
      </c>
      <c r="W14" s="533">
        <v>1075</v>
      </c>
      <c r="X14" s="489"/>
      <c r="Y14" s="534">
        <f aca="true" t="shared" si="4" ref="Y14:AA44">C14-U14</f>
        <v>75</v>
      </c>
      <c r="Z14" s="534">
        <f t="shared" si="3"/>
        <v>-11</v>
      </c>
      <c r="AA14" s="534">
        <f t="shared" si="3"/>
        <v>-11</v>
      </c>
    </row>
    <row r="15" spans="1:27" s="6" customFormat="1" ht="16.5" customHeight="1">
      <c r="A15" s="745" t="s">
        <v>245</v>
      </c>
      <c r="B15" s="333"/>
      <c r="C15" s="303">
        <v>4000</v>
      </c>
      <c r="D15" s="304">
        <v>6571</v>
      </c>
      <c r="E15" s="304">
        <v>6571</v>
      </c>
      <c r="F15" s="308">
        <f t="shared" si="0"/>
        <v>100</v>
      </c>
      <c r="G15" s="303"/>
      <c r="H15" s="304"/>
      <c r="I15" s="304"/>
      <c r="J15" s="308"/>
      <c r="K15" s="307">
        <v>350</v>
      </c>
      <c r="L15" s="307">
        <v>350</v>
      </c>
      <c r="M15" s="307">
        <f>296</f>
        <v>296</v>
      </c>
      <c r="N15" s="308">
        <f t="shared" si="1"/>
        <v>84.57142857142857</v>
      </c>
      <c r="O15" s="307">
        <v>650</v>
      </c>
      <c r="P15" s="307">
        <v>650</v>
      </c>
      <c r="Q15" s="307">
        <v>398</v>
      </c>
      <c r="R15" s="526">
        <f t="shared" si="2"/>
        <v>61.23076923076923</v>
      </c>
      <c r="S15" s="532"/>
      <c r="T15" s="532"/>
      <c r="U15" s="488">
        <v>1000</v>
      </c>
      <c r="V15" s="394">
        <v>561</v>
      </c>
      <c r="W15" s="533">
        <v>561</v>
      </c>
      <c r="X15" s="489"/>
      <c r="Y15" s="534">
        <f t="shared" si="4"/>
        <v>3000</v>
      </c>
      <c r="Z15" s="534">
        <f t="shared" si="3"/>
        <v>6010</v>
      </c>
      <c r="AA15" s="534">
        <f t="shared" si="3"/>
        <v>6010</v>
      </c>
    </row>
    <row r="16" spans="1:27" s="6" customFormat="1" ht="16.5" customHeight="1">
      <c r="A16" s="745" t="s">
        <v>246</v>
      </c>
      <c r="B16" s="333"/>
      <c r="C16" s="303">
        <v>0</v>
      </c>
      <c r="D16" s="304">
        <v>4438</v>
      </c>
      <c r="E16" s="304">
        <v>4438</v>
      </c>
      <c r="F16" s="308">
        <f t="shared" si="0"/>
        <v>100</v>
      </c>
      <c r="G16" s="303"/>
      <c r="H16" s="304"/>
      <c r="I16" s="304"/>
      <c r="J16" s="308"/>
      <c r="K16" s="307"/>
      <c r="L16" s="307"/>
      <c r="M16" s="307"/>
      <c r="N16" s="308"/>
      <c r="O16" s="307">
        <v>115</v>
      </c>
      <c r="P16" s="307">
        <v>115</v>
      </c>
      <c r="Q16" s="307">
        <f>96+1</f>
        <v>97</v>
      </c>
      <c r="R16" s="526">
        <f t="shared" si="2"/>
        <v>84.34782608695653</v>
      </c>
      <c r="S16" s="532"/>
      <c r="T16" s="532"/>
      <c r="U16" s="488"/>
      <c r="V16" s="394">
        <v>842</v>
      </c>
      <c r="W16" s="533">
        <v>842</v>
      </c>
      <c r="X16" s="489"/>
      <c r="Y16" s="534">
        <f t="shared" si="4"/>
        <v>0</v>
      </c>
      <c r="Z16" s="534">
        <f t="shared" si="3"/>
        <v>3596</v>
      </c>
      <c r="AA16" s="534">
        <f t="shared" si="3"/>
        <v>3596</v>
      </c>
    </row>
    <row r="17" spans="1:27" s="6" customFormat="1" ht="16.5" customHeight="1">
      <c r="A17" s="745" t="s">
        <v>247</v>
      </c>
      <c r="B17" s="333"/>
      <c r="C17" s="303">
        <v>0</v>
      </c>
      <c r="D17" s="304">
        <v>1577</v>
      </c>
      <c r="E17" s="304">
        <v>1577</v>
      </c>
      <c r="F17" s="308">
        <f t="shared" si="0"/>
        <v>100</v>
      </c>
      <c r="G17" s="303"/>
      <c r="H17" s="304"/>
      <c r="I17" s="304"/>
      <c r="J17" s="308"/>
      <c r="K17" s="307">
        <v>500</v>
      </c>
      <c r="L17" s="307">
        <v>313</v>
      </c>
      <c r="M17" s="307">
        <v>313</v>
      </c>
      <c r="N17" s="308">
        <f t="shared" si="1"/>
        <v>100</v>
      </c>
      <c r="O17" s="307">
        <v>780</v>
      </c>
      <c r="P17" s="307">
        <v>280</v>
      </c>
      <c r="Q17" s="307">
        <v>283</v>
      </c>
      <c r="R17" s="526">
        <f t="shared" si="2"/>
        <v>101.07142857142857</v>
      </c>
      <c r="S17" s="532"/>
      <c r="T17" s="532"/>
      <c r="U17" s="488"/>
      <c r="V17" s="394">
        <v>802</v>
      </c>
      <c r="W17" s="533">
        <v>802</v>
      </c>
      <c r="X17" s="489"/>
      <c r="Y17" s="534">
        <f t="shared" si="4"/>
        <v>0</v>
      </c>
      <c r="Z17" s="534">
        <f t="shared" si="3"/>
        <v>775</v>
      </c>
      <c r="AA17" s="534">
        <f t="shared" si="3"/>
        <v>775</v>
      </c>
    </row>
    <row r="18" spans="1:27" s="6" customFormat="1" ht="16.5" customHeight="1">
      <c r="A18" s="745" t="s">
        <v>248</v>
      </c>
      <c r="B18" s="333"/>
      <c r="C18" s="303">
        <v>625</v>
      </c>
      <c r="D18" s="304">
        <v>580</v>
      </c>
      <c r="E18" s="304">
        <v>580</v>
      </c>
      <c r="F18" s="308">
        <f t="shared" si="0"/>
        <v>100</v>
      </c>
      <c r="G18" s="303"/>
      <c r="H18" s="304"/>
      <c r="I18" s="304"/>
      <c r="J18" s="308"/>
      <c r="K18" s="307">
        <v>35</v>
      </c>
      <c r="L18" s="307">
        <v>47</v>
      </c>
      <c r="M18" s="307">
        <v>47</v>
      </c>
      <c r="N18" s="308">
        <f t="shared" si="1"/>
        <v>100</v>
      </c>
      <c r="O18" s="307">
        <v>220</v>
      </c>
      <c r="P18" s="307">
        <v>220</v>
      </c>
      <c r="Q18" s="307">
        <v>164</v>
      </c>
      <c r="R18" s="526">
        <f t="shared" si="2"/>
        <v>74.54545454545455</v>
      </c>
      <c r="S18" s="532"/>
      <c r="T18" s="532"/>
      <c r="U18" s="488">
        <v>700</v>
      </c>
      <c r="V18" s="394">
        <v>623</v>
      </c>
      <c r="W18" s="533">
        <v>623</v>
      </c>
      <c r="X18" s="489"/>
      <c r="Y18" s="534">
        <f t="shared" si="4"/>
        <v>-75</v>
      </c>
      <c r="Z18" s="534">
        <f t="shared" si="3"/>
        <v>-43</v>
      </c>
      <c r="AA18" s="534">
        <f t="shared" si="3"/>
        <v>-43</v>
      </c>
    </row>
    <row r="19" spans="1:27" s="6" customFormat="1" ht="16.5" customHeight="1">
      <c r="A19" s="745" t="s">
        <v>249</v>
      </c>
      <c r="B19" s="333"/>
      <c r="C19" s="303">
        <v>3400</v>
      </c>
      <c r="D19" s="304">
        <v>2538</v>
      </c>
      <c r="E19" s="304">
        <v>2538</v>
      </c>
      <c r="F19" s="308">
        <f t="shared" si="0"/>
        <v>100</v>
      </c>
      <c r="G19" s="303"/>
      <c r="H19" s="304"/>
      <c r="I19" s="304"/>
      <c r="J19" s="308"/>
      <c r="K19" s="309">
        <v>1000</v>
      </c>
      <c r="L19" s="309">
        <v>1000</v>
      </c>
      <c r="M19" s="307">
        <f>582+1</f>
        <v>583</v>
      </c>
      <c r="N19" s="308">
        <f t="shared" si="1"/>
        <v>58.3</v>
      </c>
      <c r="O19" s="309">
        <v>1500</v>
      </c>
      <c r="P19" s="309">
        <v>1500</v>
      </c>
      <c r="Q19" s="309">
        <v>466</v>
      </c>
      <c r="R19" s="526">
        <f t="shared" si="2"/>
        <v>31.066666666666663</v>
      </c>
      <c r="S19" s="532"/>
      <c r="T19" s="532"/>
      <c r="U19" s="488">
        <v>80</v>
      </c>
      <c r="V19" s="394">
        <v>204</v>
      </c>
      <c r="W19" s="533">
        <f>204-1</f>
        <v>203</v>
      </c>
      <c r="X19" s="489"/>
      <c r="Y19" s="534">
        <f t="shared" si="4"/>
        <v>3320</v>
      </c>
      <c r="Z19" s="534">
        <f t="shared" si="3"/>
        <v>2334</v>
      </c>
      <c r="AA19" s="534">
        <f t="shared" si="3"/>
        <v>2335</v>
      </c>
    </row>
    <row r="20" spans="1:27" s="6" customFormat="1" ht="16.5" customHeight="1">
      <c r="A20" s="746" t="s">
        <v>250</v>
      </c>
      <c r="B20" s="333"/>
      <c r="C20" s="303">
        <v>0</v>
      </c>
      <c r="D20" s="304">
        <v>5508</v>
      </c>
      <c r="E20" s="304">
        <v>5508</v>
      </c>
      <c r="F20" s="308">
        <f t="shared" si="0"/>
        <v>100</v>
      </c>
      <c r="G20" s="303"/>
      <c r="H20" s="304"/>
      <c r="I20" s="304"/>
      <c r="J20" s="308"/>
      <c r="K20" s="307">
        <v>300</v>
      </c>
      <c r="L20" s="307">
        <v>340</v>
      </c>
      <c r="M20" s="307">
        <v>344</v>
      </c>
      <c r="N20" s="308">
        <f t="shared" si="1"/>
        <v>101.17647058823529</v>
      </c>
      <c r="O20" s="307">
        <v>800</v>
      </c>
      <c r="P20" s="307">
        <v>800</v>
      </c>
      <c r="Q20" s="307">
        <v>736</v>
      </c>
      <c r="R20" s="526">
        <f t="shared" si="2"/>
        <v>92</v>
      </c>
      <c r="S20" s="532"/>
      <c r="T20" s="532"/>
      <c r="U20" s="488"/>
      <c r="V20" s="394">
        <v>379</v>
      </c>
      <c r="W20" s="533">
        <v>379</v>
      </c>
      <c r="X20" s="489"/>
      <c r="Y20" s="534">
        <f t="shared" si="4"/>
        <v>0</v>
      </c>
      <c r="Z20" s="534">
        <f t="shared" si="3"/>
        <v>5129</v>
      </c>
      <c r="AA20" s="534">
        <f t="shared" si="3"/>
        <v>5129</v>
      </c>
    </row>
    <row r="21" spans="1:27" s="6" customFormat="1" ht="16.5" customHeight="1">
      <c r="A21" s="745" t="s">
        <v>251</v>
      </c>
      <c r="B21" s="333"/>
      <c r="C21" s="303">
        <v>0</v>
      </c>
      <c r="D21" s="304">
        <v>94</v>
      </c>
      <c r="E21" s="304">
        <v>94</v>
      </c>
      <c r="F21" s="308">
        <f t="shared" si="0"/>
        <v>100</v>
      </c>
      <c r="G21" s="303"/>
      <c r="H21" s="304"/>
      <c r="I21" s="304"/>
      <c r="J21" s="308"/>
      <c r="K21" s="303"/>
      <c r="L21" s="304"/>
      <c r="M21" s="304"/>
      <c r="N21" s="308"/>
      <c r="O21" s="307">
        <v>10</v>
      </c>
      <c r="P21" s="307">
        <v>10</v>
      </c>
      <c r="Q21" s="307">
        <v>6</v>
      </c>
      <c r="R21" s="526">
        <f t="shared" si="2"/>
        <v>60</v>
      </c>
      <c r="S21" s="532"/>
      <c r="T21" s="532"/>
      <c r="U21" s="488"/>
      <c r="V21" s="394">
        <v>45</v>
      </c>
      <c r="W21" s="533">
        <f>46</f>
        <v>46</v>
      </c>
      <c r="X21" s="489"/>
      <c r="Y21" s="534">
        <f t="shared" si="4"/>
        <v>0</v>
      </c>
      <c r="Z21" s="534">
        <f t="shared" si="3"/>
        <v>49</v>
      </c>
      <c r="AA21" s="534">
        <f t="shared" si="3"/>
        <v>48</v>
      </c>
    </row>
    <row r="22" spans="1:27" s="6" customFormat="1" ht="16.5" customHeight="1">
      <c r="A22" s="746" t="s">
        <v>252</v>
      </c>
      <c r="B22" s="333"/>
      <c r="C22" s="303">
        <v>400</v>
      </c>
      <c r="D22" s="304">
        <v>782</v>
      </c>
      <c r="E22" s="304">
        <v>782</v>
      </c>
      <c r="F22" s="308">
        <f t="shared" si="0"/>
        <v>100</v>
      </c>
      <c r="G22" s="307">
        <v>1</v>
      </c>
      <c r="H22" s="307">
        <v>1</v>
      </c>
      <c r="I22" s="307">
        <v>0</v>
      </c>
      <c r="J22" s="308">
        <f>SUM(I22/H22*100)</f>
        <v>0</v>
      </c>
      <c r="K22" s="307">
        <v>200</v>
      </c>
      <c r="L22" s="307">
        <v>200</v>
      </c>
      <c r="M22" s="307">
        <v>116</v>
      </c>
      <c r="N22" s="308">
        <f aca="true" t="shared" si="5" ref="N22:N34">SUM(M22/L22*100)</f>
        <v>57.99999999999999</v>
      </c>
      <c r="O22" s="307">
        <v>350</v>
      </c>
      <c r="P22" s="307">
        <v>350</v>
      </c>
      <c r="Q22" s="307">
        <v>198</v>
      </c>
      <c r="R22" s="526">
        <f aca="true" t="shared" si="6" ref="R22:R38">SUM(Q22/P22*100)</f>
        <v>56.57142857142857</v>
      </c>
      <c r="S22" s="532"/>
      <c r="T22" s="532"/>
      <c r="U22" s="488">
        <v>400</v>
      </c>
      <c r="V22" s="394">
        <v>411</v>
      </c>
      <c r="W22" s="533">
        <v>411</v>
      </c>
      <c r="X22" s="489"/>
      <c r="Y22" s="534">
        <f t="shared" si="4"/>
        <v>0</v>
      </c>
      <c r="Z22" s="534">
        <f t="shared" si="3"/>
        <v>371</v>
      </c>
      <c r="AA22" s="534">
        <f t="shared" si="3"/>
        <v>371</v>
      </c>
    </row>
    <row r="23" spans="1:27" s="6" customFormat="1" ht="16.5" customHeight="1">
      <c r="A23" s="745" t="s">
        <v>253</v>
      </c>
      <c r="B23" s="333"/>
      <c r="C23" s="303">
        <v>1140</v>
      </c>
      <c r="D23" s="304">
        <v>1459</v>
      </c>
      <c r="E23" s="304">
        <v>1459</v>
      </c>
      <c r="F23" s="308">
        <f t="shared" si="0"/>
        <v>100</v>
      </c>
      <c r="G23" s="303"/>
      <c r="H23" s="304"/>
      <c r="I23" s="304"/>
      <c r="J23" s="308"/>
      <c r="K23" s="307">
        <v>60</v>
      </c>
      <c r="L23" s="307">
        <v>40</v>
      </c>
      <c r="M23" s="307">
        <v>39</v>
      </c>
      <c r="N23" s="308">
        <f t="shared" si="5"/>
        <v>97.5</v>
      </c>
      <c r="O23" s="307">
        <v>180</v>
      </c>
      <c r="P23" s="307">
        <v>100</v>
      </c>
      <c r="Q23" s="307">
        <v>95</v>
      </c>
      <c r="R23" s="526">
        <f t="shared" si="6"/>
        <v>95</v>
      </c>
      <c r="S23" s="532"/>
      <c r="T23" s="532"/>
      <c r="U23" s="488">
        <v>300</v>
      </c>
      <c r="V23" s="394">
        <v>368</v>
      </c>
      <c r="W23" s="533">
        <f>368-1</f>
        <v>367</v>
      </c>
      <c r="X23" s="489"/>
      <c r="Y23" s="534">
        <f t="shared" si="4"/>
        <v>840</v>
      </c>
      <c r="Z23" s="534">
        <f t="shared" si="3"/>
        <v>1091</v>
      </c>
      <c r="AA23" s="534">
        <f t="shared" si="3"/>
        <v>1092</v>
      </c>
    </row>
    <row r="24" spans="1:27" s="6" customFormat="1" ht="16.5" customHeight="1">
      <c r="A24" s="745" t="s">
        <v>254</v>
      </c>
      <c r="B24" s="333"/>
      <c r="C24" s="303">
        <v>0</v>
      </c>
      <c r="D24" s="304">
        <v>211</v>
      </c>
      <c r="E24" s="304">
        <v>211</v>
      </c>
      <c r="F24" s="308">
        <f t="shared" si="0"/>
        <v>100</v>
      </c>
      <c r="G24" s="303"/>
      <c r="H24" s="304"/>
      <c r="I24" s="304"/>
      <c r="J24" s="308"/>
      <c r="K24" s="307">
        <v>80</v>
      </c>
      <c r="L24" s="307">
        <v>80</v>
      </c>
      <c r="M24" s="307">
        <v>69</v>
      </c>
      <c r="N24" s="308">
        <f t="shared" si="5"/>
        <v>86.25</v>
      </c>
      <c r="O24" s="307">
        <v>130</v>
      </c>
      <c r="P24" s="307">
        <v>86</v>
      </c>
      <c r="Q24" s="307">
        <v>95</v>
      </c>
      <c r="R24" s="526">
        <f t="shared" si="6"/>
        <v>110.46511627906976</v>
      </c>
      <c r="S24" s="532"/>
      <c r="T24" s="532"/>
      <c r="U24" s="488"/>
      <c r="V24" s="394">
        <v>204</v>
      </c>
      <c r="W24" s="533">
        <v>204</v>
      </c>
      <c r="X24" s="489"/>
      <c r="Y24" s="534">
        <f t="shared" si="4"/>
        <v>0</v>
      </c>
      <c r="Z24" s="534">
        <f t="shared" si="3"/>
        <v>7</v>
      </c>
      <c r="AA24" s="534">
        <f t="shared" si="3"/>
        <v>7</v>
      </c>
    </row>
    <row r="25" spans="1:27" s="6" customFormat="1" ht="16.5" customHeight="1">
      <c r="A25" s="746" t="s">
        <v>255</v>
      </c>
      <c r="B25" s="333"/>
      <c r="C25" s="303">
        <v>0</v>
      </c>
      <c r="D25" s="304">
        <v>3663</v>
      </c>
      <c r="E25" s="304">
        <v>3663</v>
      </c>
      <c r="F25" s="308">
        <f t="shared" si="0"/>
        <v>100</v>
      </c>
      <c r="G25" s="307"/>
      <c r="H25" s="307">
        <v>10</v>
      </c>
      <c r="I25" s="307">
        <v>10</v>
      </c>
      <c r="J25" s="308">
        <f>SUM(I25/H25*100)</f>
        <v>100</v>
      </c>
      <c r="K25" s="309">
        <v>1500</v>
      </c>
      <c r="L25" s="309">
        <v>1531</v>
      </c>
      <c r="M25" s="309">
        <v>1551</v>
      </c>
      <c r="N25" s="308">
        <f t="shared" si="5"/>
        <v>101.30633572828216</v>
      </c>
      <c r="O25" s="309">
        <v>2700</v>
      </c>
      <c r="P25" s="309">
        <v>2700</v>
      </c>
      <c r="Q25" s="309">
        <v>956</v>
      </c>
      <c r="R25" s="526">
        <f t="shared" si="6"/>
        <v>35.40740740740741</v>
      </c>
      <c r="S25" s="532"/>
      <c r="T25" s="532"/>
      <c r="U25" s="488"/>
      <c r="V25" s="394">
        <v>790</v>
      </c>
      <c r="W25" s="533">
        <f>791-1</f>
        <v>790</v>
      </c>
      <c r="X25" s="489"/>
      <c r="Y25" s="534">
        <f t="shared" si="4"/>
        <v>0</v>
      </c>
      <c r="Z25" s="534">
        <f t="shared" si="3"/>
        <v>2873</v>
      </c>
      <c r="AA25" s="534">
        <f t="shared" si="3"/>
        <v>2873</v>
      </c>
    </row>
    <row r="26" spans="1:27" s="6" customFormat="1" ht="16.5" customHeight="1">
      <c r="A26" s="745" t="s">
        <v>256</v>
      </c>
      <c r="B26" s="333"/>
      <c r="C26" s="303">
        <v>205</v>
      </c>
      <c r="D26" s="304">
        <v>556</v>
      </c>
      <c r="E26" s="304">
        <v>556</v>
      </c>
      <c r="F26" s="308">
        <f t="shared" si="0"/>
        <v>100</v>
      </c>
      <c r="G26" s="307">
        <v>4</v>
      </c>
      <c r="H26" s="307">
        <v>4</v>
      </c>
      <c r="I26" s="307">
        <v>4</v>
      </c>
      <c r="J26" s="308">
        <f>SUM(I26/H26*100)</f>
        <v>100</v>
      </c>
      <c r="K26" s="307">
        <v>45</v>
      </c>
      <c r="L26" s="307">
        <v>45</v>
      </c>
      <c r="M26" s="307">
        <v>74</v>
      </c>
      <c r="N26" s="308">
        <f t="shared" si="5"/>
        <v>164.44444444444443</v>
      </c>
      <c r="O26" s="307">
        <v>245</v>
      </c>
      <c r="P26" s="307">
        <v>245</v>
      </c>
      <c r="Q26" s="307">
        <v>180</v>
      </c>
      <c r="R26" s="526">
        <f t="shared" si="6"/>
        <v>73.46938775510205</v>
      </c>
      <c r="S26" s="532"/>
      <c r="T26" s="532"/>
      <c r="U26" s="488">
        <v>123</v>
      </c>
      <c r="V26" s="394">
        <v>132</v>
      </c>
      <c r="W26" s="533">
        <v>132</v>
      </c>
      <c r="X26" s="489"/>
      <c r="Y26" s="534">
        <f t="shared" si="4"/>
        <v>82</v>
      </c>
      <c r="Z26" s="534">
        <f t="shared" si="3"/>
        <v>424</v>
      </c>
      <c r="AA26" s="534">
        <f t="shared" si="3"/>
        <v>424</v>
      </c>
    </row>
    <row r="27" spans="1:27" s="6" customFormat="1" ht="16.5" customHeight="1">
      <c r="A27" s="745" t="s">
        <v>257</v>
      </c>
      <c r="B27" s="333"/>
      <c r="C27" s="303">
        <v>10702</v>
      </c>
      <c r="D27" s="304">
        <v>11668</v>
      </c>
      <c r="E27" s="304">
        <v>11668</v>
      </c>
      <c r="F27" s="308">
        <f t="shared" si="0"/>
        <v>100</v>
      </c>
      <c r="G27" s="307">
        <v>5</v>
      </c>
      <c r="H27" s="307">
        <v>5</v>
      </c>
      <c r="I27" s="307">
        <v>2</v>
      </c>
      <c r="J27" s="308">
        <f>SUM(I27/H27*100)</f>
        <v>40</v>
      </c>
      <c r="K27" s="309">
        <v>2100</v>
      </c>
      <c r="L27" s="309">
        <v>1200</v>
      </c>
      <c r="M27" s="309">
        <v>994</v>
      </c>
      <c r="N27" s="308">
        <f t="shared" si="5"/>
        <v>82.83333333333334</v>
      </c>
      <c r="O27" s="309">
        <v>2580</v>
      </c>
      <c r="P27" s="309">
        <v>2080</v>
      </c>
      <c r="Q27" s="309">
        <v>1540</v>
      </c>
      <c r="R27" s="526">
        <f t="shared" si="6"/>
        <v>74.03846153846155</v>
      </c>
      <c r="S27" s="535"/>
      <c r="T27" s="535"/>
      <c r="U27" s="488">
        <v>720</v>
      </c>
      <c r="V27" s="394">
        <v>846</v>
      </c>
      <c r="W27" s="533">
        <v>846</v>
      </c>
      <c r="X27" s="489"/>
      <c r="Y27" s="534">
        <f t="shared" si="4"/>
        <v>9982</v>
      </c>
      <c r="Z27" s="534">
        <f t="shared" si="3"/>
        <v>10822</v>
      </c>
      <c r="AA27" s="534">
        <f t="shared" si="3"/>
        <v>10822</v>
      </c>
    </row>
    <row r="28" spans="1:27" s="6" customFormat="1" ht="16.5" customHeight="1">
      <c r="A28" s="745" t="s">
        <v>258</v>
      </c>
      <c r="B28" s="333"/>
      <c r="C28" s="303">
        <v>0</v>
      </c>
      <c r="D28" s="304">
        <v>5339</v>
      </c>
      <c r="E28" s="304">
        <v>5339</v>
      </c>
      <c r="F28" s="308">
        <f t="shared" si="0"/>
        <v>100</v>
      </c>
      <c r="G28" s="307">
        <v>15</v>
      </c>
      <c r="H28" s="307">
        <v>15</v>
      </c>
      <c r="I28" s="307">
        <v>9</v>
      </c>
      <c r="J28" s="308">
        <f>SUM(I28/H28*100)</f>
        <v>60</v>
      </c>
      <c r="K28" s="307">
        <v>130</v>
      </c>
      <c r="L28" s="307">
        <v>299</v>
      </c>
      <c r="M28" s="307">
        <v>169</v>
      </c>
      <c r="N28" s="308">
        <f t="shared" si="5"/>
        <v>56.52173913043478</v>
      </c>
      <c r="O28" s="307">
        <v>500</v>
      </c>
      <c r="P28" s="307">
        <v>500</v>
      </c>
      <c r="Q28" s="307">
        <v>416</v>
      </c>
      <c r="R28" s="526">
        <f t="shared" si="6"/>
        <v>83.2</v>
      </c>
      <c r="S28" s="535"/>
      <c r="T28" s="535"/>
      <c r="U28" s="488"/>
      <c r="V28" s="394">
        <v>1305</v>
      </c>
      <c r="W28" s="533">
        <v>1305</v>
      </c>
      <c r="X28" s="489"/>
      <c r="Y28" s="534">
        <f t="shared" si="4"/>
        <v>0</v>
      </c>
      <c r="Z28" s="534">
        <f t="shared" si="3"/>
        <v>4034</v>
      </c>
      <c r="AA28" s="534">
        <f t="shared" si="3"/>
        <v>4034</v>
      </c>
    </row>
    <row r="29" spans="1:27" s="6" customFormat="1" ht="16.5" customHeight="1">
      <c r="A29" s="746" t="s">
        <v>259</v>
      </c>
      <c r="B29" s="333"/>
      <c r="C29" s="303">
        <v>0</v>
      </c>
      <c r="D29" s="304">
        <v>2854</v>
      </c>
      <c r="E29" s="304">
        <v>2854</v>
      </c>
      <c r="F29" s="308">
        <f t="shared" si="0"/>
        <v>100</v>
      </c>
      <c r="G29" s="303"/>
      <c r="H29" s="304">
        <v>5</v>
      </c>
      <c r="I29" s="304">
        <v>9</v>
      </c>
      <c r="J29" s="308">
        <f>SUM(I29/H29*100)</f>
        <v>180</v>
      </c>
      <c r="K29" s="309">
        <v>1100</v>
      </c>
      <c r="L29" s="309">
        <v>1100</v>
      </c>
      <c r="M29" s="309">
        <v>685</v>
      </c>
      <c r="N29" s="308">
        <f t="shared" si="5"/>
        <v>62.272727272727266</v>
      </c>
      <c r="O29" s="309">
        <v>1200</v>
      </c>
      <c r="P29" s="309">
        <v>1200</v>
      </c>
      <c r="Q29" s="309">
        <v>615</v>
      </c>
      <c r="R29" s="526">
        <f t="shared" si="6"/>
        <v>51.24999999999999</v>
      </c>
      <c r="S29" s="535"/>
      <c r="T29" s="535"/>
      <c r="U29" s="488"/>
      <c r="V29" s="394">
        <v>1786</v>
      </c>
      <c r="W29" s="533">
        <v>1786</v>
      </c>
      <c r="X29" s="489"/>
      <c r="Y29" s="534">
        <f t="shared" si="4"/>
        <v>0</v>
      </c>
      <c r="Z29" s="534">
        <f t="shared" si="4"/>
        <v>1068</v>
      </c>
      <c r="AA29" s="534">
        <f t="shared" si="4"/>
        <v>1068</v>
      </c>
    </row>
    <row r="30" spans="1:27" s="6" customFormat="1" ht="16.5" customHeight="1">
      <c r="A30" s="745" t="s">
        <v>260</v>
      </c>
      <c r="B30" s="333"/>
      <c r="C30" s="303">
        <v>0</v>
      </c>
      <c r="D30" s="304">
        <v>3620</v>
      </c>
      <c r="E30" s="304">
        <v>3620</v>
      </c>
      <c r="F30" s="308">
        <f t="shared" si="0"/>
        <v>100</v>
      </c>
      <c r="G30" s="303"/>
      <c r="H30" s="304"/>
      <c r="I30" s="304"/>
      <c r="J30" s="308"/>
      <c r="K30" s="309">
        <v>1200</v>
      </c>
      <c r="L30" s="309">
        <v>852</v>
      </c>
      <c r="M30" s="309">
        <v>844</v>
      </c>
      <c r="N30" s="308">
        <f t="shared" si="5"/>
        <v>99.06103286384976</v>
      </c>
      <c r="O30" s="309">
        <v>1650</v>
      </c>
      <c r="P30" s="309">
        <v>1131</v>
      </c>
      <c r="Q30" s="309">
        <v>558</v>
      </c>
      <c r="R30" s="526">
        <f t="shared" si="6"/>
        <v>49.3368700265252</v>
      </c>
      <c r="S30" s="535"/>
      <c r="T30" s="535"/>
      <c r="U30" s="488"/>
      <c r="V30" s="394">
        <v>1104</v>
      </c>
      <c r="W30" s="533">
        <v>1104</v>
      </c>
      <c r="X30" s="489"/>
      <c r="Y30" s="534">
        <f t="shared" si="4"/>
        <v>0</v>
      </c>
      <c r="Z30" s="534">
        <f t="shared" si="4"/>
        <v>2516</v>
      </c>
      <c r="AA30" s="534">
        <f t="shared" si="4"/>
        <v>2516</v>
      </c>
    </row>
    <row r="31" spans="1:27" s="6" customFormat="1" ht="16.5" customHeight="1">
      <c r="A31" s="746" t="s">
        <v>261</v>
      </c>
      <c r="B31" s="333"/>
      <c r="C31" s="303">
        <v>4900</v>
      </c>
      <c r="D31" s="304">
        <v>7880</v>
      </c>
      <c r="E31" s="304">
        <v>7880</v>
      </c>
      <c r="F31" s="308">
        <f t="shared" si="0"/>
        <v>100</v>
      </c>
      <c r="G31" s="307">
        <v>4</v>
      </c>
      <c r="H31" s="307">
        <v>4</v>
      </c>
      <c r="I31" s="307">
        <v>2</v>
      </c>
      <c r="J31" s="308">
        <f>SUM(I31/H31*100)</f>
        <v>50</v>
      </c>
      <c r="K31" s="309">
        <v>1300</v>
      </c>
      <c r="L31" s="309">
        <v>974</v>
      </c>
      <c r="M31" s="309">
        <v>974</v>
      </c>
      <c r="N31" s="308">
        <f t="shared" si="5"/>
        <v>100</v>
      </c>
      <c r="O31" s="309">
        <v>2900</v>
      </c>
      <c r="P31" s="309">
        <v>2900</v>
      </c>
      <c r="Q31" s="309">
        <f>1479-1</f>
        <v>1478</v>
      </c>
      <c r="R31" s="526">
        <f t="shared" si="6"/>
        <v>50.96551724137931</v>
      </c>
      <c r="S31" s="535"/>
      <c r="T31" s="535"/>
      <c r="U31" s="488">
        <v>1300</v>
      </c>
      <c r="V31" s="394">
        <v>1383</v>
      </c>
      <c r="W31" s="533">
        <v>1383</v>
      </c>
      <c r="X31" s="489"/>
      <c r="Y31" s="534">
        <f t="shared" si="4"/>
        <v>3600</v>
      </c>
      <c r="Z31" s="534">
        <f t="shared" si="4"/>
        <v>6497</v>
      </c>
      <c r="AA31" s="534">
        <f t="shared" si="4"/>
        <v>6497</v>
      </c>
    </row>
    <row r="32" spans="1:27" s="6" customFormat="1" ht="16.5" customHeight="1">
      <c r="A32" s="746" t="s">
        <v>262</v>
      </c>
      <c r="B32" s="333"/>
      <c r="C32" s="303">
        <v>466</v>
      </c>
      <c r="D32" s="304">
        <v>3325</v>
      </c>
      <c r="E32" s="304">
        <v>3325</v>
      </c>
      <c r="F32" s="308">
        <f t="shared" si="0"/>
        <v>100</v>
      </c>
      <c r="G32" s="307">
        <v>8</v>
      </c>
      <c r="H32" s="307">
        <v>8</v>
      </c>
      <c r="I32" s="307">
        <v>11</v>
      </c>
      <c r="J32" s="308">
        <f>SUM(I32/H32*100)</f>
        <v>137.5</v>
      </c>
      <c r="K32" s="307">
        <v>600</v>
      </c>
      <c r="L32" s="307">
        <v>445</v>
      </c>
      <c r="M32" s="307">
        <v>445</v>
      </c>
      <c r="N32" s="308">
        <f t="shared" si="5"/>
        <v>100</v>
      </c>
      <c r="O32" s="307">
        <v>726</v>
      </c>
      <c r="P32" s="307">
        <v>276</v>
      </c>
      <c r="Q32" s="307">
        <v>288</v>
      </c>
      <c r="R32" s="526">
        <f t="shared" si="6"/>
        <v>104.34782608695652</v>
      </c>
      <c r="S32" s="535"/>
      <c r="T32" s="535"/>
      <c r="U32" s="488">
        <v>534</v>
      </c>
      <c r="V32" s="394">
        <v>466</v>
      </c>
      <c r="W32" s="533">
        <v>466</v>
      </c>
      <c r="X32" s="489"/>
      <c r="Y32" s="534">
        <f t="shared" si="4"/>
        <v>-68</v>
      </c>
      <c r="Z32" s="534">
        <f t="shared" si="4"/>
        <v>2859</v>
      </c>
      <c r="AA32" s="534">
        <f t="shared" si="4"/>
        <v>2859</v>
      </c>
    </row>
    <row r="33" spans="1:27" s="6" customFormat="1" ht="16.5" customHeight="1">
      <c r="A33" s="745" t="s">
        <v>263</v>
      </c>
      <c r="B33" s="333"/>
      <c r="C33" s="303">
        <v>0</v>
      </c>
      <c r="D33" s="304">
        <v>107</v>
      </c>
      <c r="E33" s="304">
        <v>107</v>
      </c>
      <c r="F33" s="308">
        <f t="shared" si="0"/>
        <v>100</v>
      </c>
      <c r="G33" s="307">
        <v>0</v>
      </c>
      <c r="H33" s="307">
        <v>79</v>
      </c>
      <c r="I33" s="307">
        <v>79</v>
      </c>
      <c r="J33" s="308">
        <f>SUM(I33/H33*100)</f>
        <v>100</v>
      </c>
      <c r="K33" s="307">
        <v>0</v>
      </c>
      <c r="L33" s="307">
        <v>114</v>
      </c>
      <c r="M33" s="307">
        <f>114-1</f>
        <v>113</v>
      </c>
      <c r="N33" s="308">
        <f t="shared" si="5"/>
        <v>99.12280701754386</v>
      </c>
      <c r="O33" s="307">
        <v>500</v>
      </c>
      <c r="P33" s="307">
        <v>400</v>
      </c>
      <c r="Q33" s="307">
        <v>423</v>
      </c>
      <c r="R33" s="526">
        <f t="shared" si="6"/>
        <v>105.75000000000001</v>
      </c>
      <c r="S33" s="532"/>
      <c r="T33" s="532"/>
      <c r="U33" s="488"/>
      <c r="V33" s="394">
        <v>342</v>
      </c>
      <c r="W33" s="533">
        <v>342</v>
      </c>
      <c r="X33" s="489"/>
      <c r="Y33" s="534">
        <f t="shared" si="4"/>
        <v>0</v>
      </c>
      <c r="Z33" s="534">
        <f t="shared" si="4"/>
        <v>-235</v>
      </c>
      <c r="AA33" s="534">
        <f t="shared" si="4"/>
        <v>-235</v>
      </c>
    </row>
    <row r="34" spans="1:27" s="6" customFormat="1" ht="16.5" customHeight="1">
      <c r="A34" s="746" t="s">
        <v>264</v>
      </c>
      <c r="B34" s="333"/>
      <c r="C34" s="303">
        <v>0</v>
      </c>
      <c r="D34" s="304">
        <v>161</v>
      </c>
      <c r="E34" s="304">
        <v>161</v>
      </c>
      <c r="F34" s="308">
        <f t="shared" si="0"/>
        <v>100</v>
      </c>
      <c r="G34" s="303"/>
      <c r="H34" s="304"/>
      <c r="I34" s="304"/>
      <c r="J34" s="308"/>
      <c r="K34" s="307">
        <v>200</v>
      </c>
      <c r="L34" s="307">
        <v>200</v>
      </c>
      <c r="M34" s="307">
        <v>122</v>
      </c>
      <c r="N34" s="308">
        <f t="shared" si="5"/>
        <v>61</v>
      </c>
      <c r="O34" s="307">
        <v>440</v>
      </c>
      <c r="P34" s="307">
        <v>440</v>
      </c>
      <c r="Q34" s="307">
        <v>307</v>
      </c>
      <c r="R34" s="526">
        <f t="shared" si="6"/>
        <v>69.77272727272728</v>
      </c>
      <c r="S34" s="532"/>
      <c r="T34" s="532"/>
      <c r="U34" s="488"/>
      <c r="V34" s="394">
        <v>172</v>
      </c>
      <c r="W34" s="533">
        <v>172</v>
      </c>
      <c r="X34" s="489"/>
      <c r="Y34" s="534">
        <f t="shared" si="4"/>
        <v>0</v>
      </c>
      <c r="Z34" s="534">
        <f t="shared" si="4"/>
        <v>-11</v>
      </c>
      <c r="AA34" s="534">
        <f t="shared" si="4"/>
        <v>-11</v>
      </c>
    </row>
    <row r="35" spans="1:27" s="6" customFormat="1" ht="16.5" customHeight="1">
      <c r="A35" s="745" t="s">
        <v>265</v>
      </c>
      <c r="B35" s="333"/>
      <c r="C35" s="303">
        <v>7700</v>
      </c>
      <c r="D35" s="304">
        <v>16405</v>
      </c>
      <c r="E35" s="304">
        <v>16405</v>
      </c>
      <c r="F35" s="308">
        <f t="shared" si="0"/>
        <v>100</v>
      </c>
      <c r="G35" s="303"/>
      <c r="H35" s="304"/>
      <c r="I35" s="304"/>
      <c r="J35" s="308"/>
      <c r="K35" s="309">
        <v>2000</v>
      </c>
      <c r="L35" s="309">
        <v>1325</v>
      </c>
      <c r="M35" s="309">
        <v>1324</v>
      </c>
      <c r="N35" s="308">
        <f>SUM(M35/L35*100)</f>
        <v>99.9245283018868</v>
      </c>
      <c r="O35" s="309">
        <v>1676</v>
      </c>
      <c r="P35" s="309">
        <v>1076</v>
      </c>
      <c r="Q35" s="309">
        <v>821</v>
      </c>
      <c r="R35" s="526">
        <f t="shared" si="6"/>
        <v>76.30111524163569</v>
      </c>
      <c r="S35" s="532"/>
      <c r="T35" s="532"/>
      <c r="U35" s="488">
        <v>2200</v>
      </c>
      <c r="V35" s="394">
        <v>1187</v>
      </c>
      <c r="W35" s="533">
        <v>1187</v>
      </c>
      <c r="X35" s="489"/>
      <c r="Y35" s="534">
        <f t="shared" si="4"/>
        <v>5500</v>
      </c>
      <c r="Z35" s="534">
        <f t="shared" si="4"/>
        <v>15218</v>
      </c>
      <c r="AA35" s="534">
        <f t="shared" si="4"/>
        <v>15218</v>
      </c>
    </row>
    <row r="36" spans="1:27" s="6" customFormat="1" ht="16.5" customHeight="1">
      <c r="A36" s="745" t="s">
        <v>266</v>
      </c>
      <c r="B36" s="333"/>
      <c r="C36" s="303">
        <v>490</v>
      </c>
      <c r="D36" s="304">
        <v>1185</v>
      </c>
      <c r="E36" s="304">
        <v>1185</v>
      </c>
      <c r="F36" s="308">
        <f t="shared" si="0"/>
        <v>100</v>
      </c>
      <c r="G36" s="303"/>
      <c r="H36" s="304"/>
      <c r="I36" s="304"/>
      <c r="J36" s="308"/>
      <c r="K36" s="307">
        <v>90</v>
      </c>
      <c r="L36" s="307">
        <v>95</v>
      </c>
      <c r="M36" s="307">
        <v>95</v>
      </c>
      <c r="N36" s="308">
        <f>SUM(M36/L36*100)</f>
        <v>100</v>
      </c>
      <c r="O36" s="307">
        <v>260</v>
      </c>
      <c r="P36" s="307">
        <v>200</v>
      </c>
      <c r="Q36" s="307">
        <v>348</v>
      </c>
      <c r="R36" s="526">
        <f t="shared" si="6"/>
        <v>174</v>
      </c>
      <c r="S36" s="532"/>
      <c r="T36" s="532"/>
      <c r="U36" s="488">
        <v>420</v>
      </c>
      <c r="V36" s="394">
        <v>193</v>
      </c>
      <c r="W36" s="533">
        <v>193</v>
      </c>
      <c r="X36" s="489"/>
      <c r="Y36" s="534">
        <f t="shared" si="4"/>
        <v>70</v>
      </c>
      <c r="Z36" s="534">
        <f t="shared" si="4"/>
        <v>992</v>
      </c>
      <c r="AA36" s="534">
        <f t="shared" si="4"/>
        <v>992</v>
      </c>
    </row>
    <row r="37" spans="1:27" s="6" customFormat="1" ht="16.5" customHeight="1">
      <c r="A37" s="745" t="s">
        <v>267</v>
      </c>
      <c r="B37" s="333"/>
      <c r="C37" s="303">
        <v>2700</v>
      </c>
      <c r="D37" s="304">
        <v>4330</v>
      </c>
      <c r="E37" s="304">
        <v>4330</v>
      </c>
      <c r="F37" s="308">
        <f t="shared" si="0"/>
        <v>100</v>
      </c>
      <c r="G37" s="303"/>
      <c r="H37" s="304"/>
      <c r="I37" s="304"/>
      <c r="J37" s="308"/>
      <c r="K37" s="307">
        <v>600</v>
      </c>
      <c r="L37" s="307">
        <v>600</v>
      </c>
      <c r="M37" s="307">
        <v>226</v>
      </c>
      <c r="N37" s="308">
        <f>SUM(M37/L37*100)</f>
        <v>37.666666666666664</v>
      </c>
      <c r="O37" s="307">
        <v>700</v>
      </c>
      <c r="P37" s="307">
        <v>700</v>
      </c>
      <c r="Q37" s="307">
        <v>468</v>
      </c>
      <c r="R37" s="526">
        <f t="shared" si="6"/>
        <v>66.85714285714286</v>
      </c>
      <c r="S37" s="532"/>
      <c r="T37" s="532"/>
      <c r="U37" s="488">
        <v>800</v>
      </c>
      <c r="V37" s="394">
        <v>678</v>
      </c>
      <c r="W37" s="533">
        <v>678</v>
      </c>
      <c r="X37" s="489"/>
      <c r="Y37" s="534">
        <f t="shared" si="4"/>
        <v>1900</v>
      </c>
      <c r="Z37" s="534">
        <f t="shared" si="4"/>
        <v>3652</v>
      </c>
      <c r="AA37" s="534">
        <f t="shared" si="4"/>
        <v>3652</v>
      </c>
    </row>
    <row r="38" spans="1:27" s="6" customFormat="1" ht="16.5" customHeight="1">
      <c r="A38" s="745" t="s">
        <v>268</v>
      </c>
      <c r="B38" s="333"/>
      <c r="C38" s="303">
        <v>0</v>
      </c>
      <c r="D38" s="304">
        <v>93</v>
      </c>
      <c r="E38" s="304">
        <v>93</v>
      </c>
      <c r="F38" s="308">
        <f t="shared" si="0"/>
        <v>100</v>
      </c>
      <c r="G38" s="303"/>
      <c r="H38" s="304"/>
      <c r="I38" s="304"/>
      <c r="J38" s="308"/>
      <c r="K38" s="303"/>
      <c r="L38" s="304"/>
      <c r="M38" s="304"/>
      <c r="N38" s="308"/>
      <c r="O38" s="307">
        <v>90</v>
      </c>
      <c r="P38" s="307">
        <v>86</v>
      </c>
      <c r="Q38" s="307">
        <v>56</v>
      </c>
      <c r="R38" s="526">
        <f t="shared" si="6"/>
        <v>65.11627906976744</v>
      </c>
      <c r="U38" s="59"/>
      <c r="V38" s="394">
        <v>103</v>
      </c>
      <c r="W38" s="533">
        <v>103</v>
      </c>
      <c r="X38" s="489"/>
      <c r="Y38" s="534">
        <f t="shared" si="4"/>
        <v>0</v>
      </c>
      <c r="Z38" s="534">
        <f t="shared" si="4"/>
        <v>-10</v>
      </c>
      <c r="AA38" s="534">
        <f t="shared" si="4"/>
        <v>-10</v>
      </c>
    </row>
    <row r="39" spans="1:27" s="6" customFormat="1" ht="16.5" customHeight="1">
      <c r="A39" s="746" t="s">
        <v>269</v>
      </c>
      <c r="B39" s="333"/>
      <c r="C39" s="303">
        <v>0</v>
      </c>
      <c r="D39" s="304">
        <v>74</v>
      </c>
      <c r="E39" s="304">
        <v>74</v>
      </c>
      <c r="F39" s="308">
        <f t="shared" si="0"/>
        <v>100</v>
      </c>
      <c r="G39" s="303"/>
      <c r="H39" s="304"/>
      <c r="I39" s="304"/>
      <c r="J39" s="308"/>
      <c r="K39" s="303"/>
      <c r="L39" s="304"/>
      <c r="M39" s="304"/>
      <c r="N39" s="308"/>
      <c r="O39" s="303"/>
      <c r="P39" s="304"/>
      <c r="Q39" s="320"/>
      <c r="R39" s="527"/>
      <c r="S39" s="532"/>
      <c r="T39" s="532"/>
      <c r="U39" s="488"/>
      <c r="V39" s="394">
        <v>108</v>
      </c>
      <c r="W39" s="533">
        <f>109</f>
        <v>109</v>
      </c>
      <c r="X39" s="489"/>
      <c r="Y39" s="534">
        <f t="shared" si="4"/>
        <v>0</v>
      </c>
      <c r="Z39" s="534">
        <f t="shared" si="4"/>
        <v>-34</v>
      </c>
      <c r="AA39" s="534">
        <f>E39-W39</f>
        <v>-35</v>
      </c>
    </row>
    <row r="40" spans="1:27" s="6" customFormat="1" ht="16.5" customHeight="1">
      <c r="A40" s="746" t="s">
        <v>270</v>
      </c>
      <c r="B40" s="333"/>
      <c r="C40" s="303">
        <v>0</v>
      </c>
      <c r="D40" s="304">
        <v>17</v>
      </c>
      <c r="E40" s="304">
        <v>17</v>
      </c>
      <c r="F40" s="308">
        <f t="shared" si="0"/>
        <v>100</v>
      </c>
      <c r="G40" s="303"/>
      <c r="H40" s="304"/>
      <c r="I40" s="304"/>
      <c r="J40" s="308"/>
      <c r="K40" s="303"/>
      <c r="L40" s="304"/>
      <c r="M40" s="304"/>
      <c r="N40" s="308"/>
      <c r="O40" s="307">
        <v>9</v>
      </c>
      <c r="P40" s="307">
        <v>9</v>
      </c>
      <c r="Q40" s="307"/>
      <c r="R40" s="526">
        <f>SUM(Q40/P40*100)</f>
        <v>0</v>
      </c>
      <c r="S40" s="532"/>
      <c r="T40" s="532"/>
      <c r="U40" s="488"/>
      <c r="V40" s="394">
        <v>71</v>
      </c>
      <c r="W40" s="533">
        <v>71</v>
      </c>
      <c r="X40" s="536"/>
      <c r="Y40" s="534">
        <f t="shared" si="4"/>
        <v>0</v>
      </c>
      <c r="Z40" s="534">
        <f t="shared" si="4"/>
        <v>-54</v>
      </c>
      <c r="AA40" s="534">
        <f t="shared" si="4"/>
        <v>-54</v>
      </c>
    </row>
    <row r="41" spans="1:27" s="6" customFormat="1" ht="16.5" customHeight="1">
      <c r="A41" s="745" t="s">
        <v>271</v>
      </c>
      <c r="B41" s="333"/>
      <c r="C41" s="303"/>
      <c r="D41" s="304">
        <v>26</v>
      </c>
      <c r="E41" s="304">
        <v>26</v>
      </c>
      <c r="F41" s="308">
        <f t="shared" si="0"/>
        <v>100</v>
      </c>
      <c r="G41" s="303"/>
      <c r="H41" s="304"/>
      <c r="I41" s="304"/>
      <c r="J41" s="308"/>
      <c r="K41" s="303"/>
      <c r="L41" s="304"/>
      <c r="M41" s="304"/>
      <c r="N41" s="308"/>
      <c r="O41" s="307">
        <v>10</v>
      </c>
      <c r="P41" s="307">
        <v>12</v>
      </c>
      <c r="Q41" s="307">
        <v>12</v>
      </c>
      <c r="R41" s="526">
        <f>SUM(Q41/P41*100)</f>
        <v>100</v>
      </c>
      <c r="S41" s="532"/>
      <c r="T41" s="532"/>
      <c r="U41" s="488"/>
      <c r="V41" s="394">
        <v>39</v>
      </c>
      <c r="W41" s="533">
        <v>39</v>
      </c>
      <c r="X41" s="489"/>
      <c r="Y41" s="534">
        <f t="shared" si="4"/>
        <v>0</v>
      </c>
      <c r="Z41" s="534">
        <f t="shared" si="4"/>
        <v>-13</v>
      </c>
      <c r="AA41" s="534">
        <f t="shared" si="4"/>
        <v>-13</v>
      </c>
    </row>
    <row r="42" spans="1:27" s="6" customFormat="1" ht="15" customHeight="1" thickBot="1">
      <c r="A42" s="361"/>
      <c r="B42" s="345"/>
      <c r="C42" s="310"/>
      <c r="D42" s="311"/>
      <c r="E42" s="311"/>
      <c r="F42" s="312"/>
      <c r="G42" s="310"/>
      <c r="H42" s="311"/>
      <c r="I42" s="311"/>
      <c r="J42" s="312"/>
      <c r="K42" s="310"/>
      <c r="L42" s="311"/>
      <c r="M42" s="311"/>
      <c r="N42" s="312"/>
      <c r="O42" s="310"/>
      <c r="P42" s="311"/>
      <c r="Q42" s="528"/>
      <c r="R42" s="529"/>
      <c r="S42" s="532"/>
      <c r="T42" s="532"/>
      <c r="U42" s="488">
        <f aca="true" t="shared" si="7" ref="U42:AA42">SUM(U13:U41)</f>
        <v>11577</v>
      </c>
      <c r="V42" s="488">
        <f t="shared" si="7"/>
        <v>17603</v>
      </c>
      <c r="W42" s="488">
        <f t="shared" si="7"/>
        <v>17603</v>
      </c>
      <c r="X42" s="488">
        <f t="shared" si="7"/>
        <v>0</v>
      </c>
      <c r="Y42" s="488">
        <f t="shared" si="7"/>
        <v>40226</v>
      </c>
      <c r="Z42" s="488">
        <f t="shared" si="7"/>
        <v>74438</v>
      </c>
      <c r="AA42" s="488">
        <f t="shared" si="7"/>
        <v>74438</v>
      </c>
    </row>
    <row r="43" spans="2:27" s="6" customFormat="1" ht="15" customHeight="1">
      <c r="B43" s="24"/>
      <c r="E43" s="313"/>
      <c r="F43" s="8"/>
      <c r="G43" s="313"/>
      <c r="H43" s="313"/>
      <c r="I43" s="313"/>
      <c r="J43" s="8"/>
      <c r="K43" s="313"/>
      <c r="L43" s="313"/>
      <c r="M43" s="313"/>
      <c r="N43" s="8"/>
      <c r="O43" s="313"/>
      <c r="P43" s="313"/>
      <c r="Q43" s="530"/>
      <c r="R43" s="8"/>
      <c r="S43" s="532"/>
      <c r="T43" s="532"/>
      <c r="U43" s="59"/>
      <c r="V43" s="533"/>
      <c r="W43" s="533"/>
      <c r="X43" s="537"/>
      <c r="Y43" s="534">
        <f t="shared" si="4"/>
        <v>0</v>
      </c>
      <c r="Z43" s="534">
        <f t="shared" si="4"/>
        <v>0</v>
      </c>
      <c r="AA43" s="534">
        <f t="shared" si="4"/>
        <v>0</v>
      </c>
    </row>
    <row r="44" spans="2:27" s="6" customFormat="1" ht="15" customHeight="1" thickBot="1">
      <c r="B44" s="24"/>
      <c r="F44" s="8"/>
      <c r="J44" s="8"/>
      <c r="N44" s="8"/>
      <c r="Q44" s="530"/>
      <c r="R44" s="8"/>
      <c r="S44" s="532"/>
      <c r="T44" s="532"/>
      <c r="U44" s="59"/>
      <c r="V44" s="533"/>
      <c r="W44" s="533"/>
      <c r="X44" s="537"/>
      <c r="Y44" s="534">
        <f t="shared" si="4"/>
        <v>0</v>
      </c>
      <c r="Z44" s="534">
        <f t="shared" si="4"/>
        <v>0</v>
      </c>
      <c r="AA44" s="534">
        <f t="shared" si="4"/>
        <v>0</v>
      </c>
    </row>
    <row r="45" spans="1:27" s="6" customFormat="1" ht="16.5" customHeight="1" thickBot="1">
      <c r="A45" s="37" t="s">
        <v>48</v>
      </c>
      <c r="C45" s="314">
        <f>SUM(C13:C41)</f>
        <v>51803</v>
      </c>
      <c r="D45" s="315">
        <f>SUM(D13:D41)</f>
        <v>92041</v>
      </c>
      <c r="E45" s="315">
        <f>SUM(E13:E41)</f>
        <v>92041</v>
      </c>
      <c r="F45" s="316">
        <f>SUM(E45/D45*100)</f>
        <v>100</v>
      </c>
      <c r="G45" s="314">
        <f>SUM(G13:G41)</f>
        <v>47</v>
      </c>
      <c r="H45" s="315">
        <f>SUM(H13:H41)</f>
        <v>147</v>
      </c>
      <c r="I45" s="315">
        <f>SUM(I13:I41)</f>
        <v>142</v>
      </c>
      <c r="J45" s="316">
        <f>SUM(I45/H45*100)</f>
        <v>96.5986394557823</v>
      </c>
      <c r="K45" s="314">
        <f>SUM(K13:K41)</f>
        <v>25040</v>
      </c>
      <c r="L45" s="315">
        <f>SUM(L13:L41)</f>
        <v>17918</v>
      </c>
      <c r="M45" s="315">
        <f>SUM(M13:M41)</f>
        <v>16264</v>
      </c>
      <c r="N45" s="316">
        <f>SUM(M45/L45*100)</f>
        <v>90.7690590467686</v>
      </c>
      <c r="O45" s="314">
        <f>SUM(O13:O41)</f>
        <v>42341</v>
      </c>
      <c r="P45" s="315">
        <f>SUM(P13:P41)</f>
        <v>21786</v>
      </c>
      <c r="Q45" s="531">
        <f>SUM(Q13:Q41)</f>
        <v>14566</v>
      </c>
      <c r="R45" s="428">
        <f>SUM(Q45/P45*100)</f>
        <v>66.85945102359312</v>
      </c>
      <c r="S45" s="60"/>
      <c r="T45" s="60"/>
      <c r="U45" s="394"/>
      <c r="V45" s="394"/>
      <c r="W45" s="394"/>
      <c r="X45" s="60"/>
      <c r="Y45" s="534"/>
      <c r="Z45" s="59"/>
      <c r="AA45" s="59"/>
    </row>
    <row r="46" spans="6:25" s="6" customFormat="1" ht="15.75">
      <c r="F46" s="8"/>
      <c r="G46" s="313"/>
      <c r="H46" s="313"/>
      <c r="I46" s="313"/>
      <c r="M46" s="15"/>
      <c r="S46" s="24"/>
      <c r="T46" s="24"/>
      <c r="U46" s="24"/>
      <c r="V46" s="24"/>
      <c r="W46" s="24"/>
      <c r="X46" s="24"/>
      <c r="Y46" s="24"/>
    </row>
    <row r="47" spans="6:27" s="317" customFormat="1" ht="15">
      <c r="F47" s="318"/>
      <c r="G47" s="319"/>
      <c r="H47" s="319"/>
      <c r="I47" s="319"/>
      <c r="S47" s="538"/>
      <c r="T47" s="538"/>
      <c r="U47" s="61"/>
      <c r="V47" s="61"/>
      <c r="W47" s="61"/>
      <c r="X47" s="61"/>
      <c r="Y47" s="61"/>
      <c r="Z47" s="39"/>
      <c r="AA47" s="39"/>
    </row>
    <row r="48" spans="19:25" s="6" customFormat="1" ht="15">
      <c r="S48" s="24"/>
      <c r="T48" s="24"/>
      <c r="U48" s="24"/>
      <c r="V48" s="24"/>
      <c r="W48" s="24"/>
      <c r="X48" s="24"/>
      <c r="Y48" s="24"/>
    </row>
    <row r="49" spans="1:27" ht="15">
      <c r="A49" s="321"/>
      <c r="B49" s="321" t="s">
        <v>179</v>
      </c>
      <c r="C49" s="322">
        <v>51803</v>
      </c>
      <c r="D49" s="322">
        <v>92041</v>
      </c>
      <c r="E49" s="322">
        <v>92041</v>
      </c>
      <c r="F49" s="322"/>
      <c r="G49" s="322">
        <v>47</v>
      </c>
      <c r="H49" s="322">
        <v>147</v>
      </c>
      <c r="I49" s="322">
        <v>142</v>
      </c>
      <c r="J49" s="322"/>
      <c r="K49" s="322">
        <v>25040</v>
      </c>
      <c r="L49" s="322">
        <v>17918</v>
      </c>
      <c r="M49" s="322">
        <v>16264</v>
      </c>
      <c r="N49" s="322"/>
      <c r="O49" s="322">
        <v>42341</v>
      </c>
      <c r="P49" s="322">
        <v>21786</v>
      </c>
      <c r="Q49" s="322">
        <v>14566</v>
      </c>
      <c r="R49" s="322"/>
      <c r="S49" s="254"/>
      <c r="T49" s="254"/>
      <c r="U49" s="254">
        <v>11577</v>
      </c>
      <c r="V49" s="254">
        <v>17603</v>
      </c>
      <c r="W49" s="254">
        <v>17603</v>
      </c>
      <c r="X49" s="254"/>
      <c r="Y49" s="254">
        <v>35980</v>
      </c>
      <c r="Z49" s="252">
        <v>75952</v>
      </c>
      <c r="AA49" s="252">
        <v>75952</v>
      </c>
    </row>
    <row r="50" spans="2:25" ht="15.75" customHeight="1">
      <c r="B50" s="6"/>
      <c r="S50" s="254"/>
      <c r="T50" s="254"/>
      <c r="U50" s="254"/>
      <c r="V50" s="254"/>
      <c r="W50" s="254"/>
      <c r="X50" s="254"/>
      <c r="Y50" s="254"/>
    </row>
    <row r="51" spans="2:5" ht="15.75" customHeight="1">
      <c r="B51" s="323" t="s">
        <v>240</v>
      </c>
      <c r="C51" s="322">
        <v>42077</v>
      </c>
      <c r="D51" s="322">
        <v>68633</v>
      </c>
      <c r="E51" s="322">
        <v>68633</v>
      </c>
    </row>
    <row r="52" spans="2:5" ht="15.75" customHeight="1">
      <c r="B52" s="323" t="s">
        <v>239</v>
      </c>
      <c r="C52" s="322">
        <v>9726</v>
      </c>
      <c r="D52" s="322">
        <v>23408</v>
      </c>
      <c r="E52" s="322">
        <v>23408</v>
      </c>
    </row>
    <row r="53" ht="15.75" customHeight="1"/>
    <row r="54" ht="15.75" customHeight="1"/>
    <row r="55" ht="18" customHeight="1"/>
    <row r="56" ht="18" customHeight="1"/>
    <row r="58" ht="18" customHeight="1"/>
    <row r="59" ht="13.5" customHeight="1"/>
    <row r="60" ht="15.75" customHeight="1"/>
    <row r="62" ht="13.5" customHeight="1"/>
    <row r="63" ht="12" customHeight="1"/>
    <row r="64" ht="15.75" customHeight="1"/>
    <row r="65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</sheetData>
  <mergeCells count="11">
    <mergeCell ref="U11:W11"/>
    <mergeCell ref="Y11:AA11"/>
    <mergeCell ref="C10:F10"/>
    <mergeCell ref="G10:J10"/>
    <mergeCell ref="K10:N10"/>
    <mergeCell ref="O10:R10"/>
    <mergeCell ref="A8:B8"/>
    <mergeCell ref="A2:R2"/>
    <mergeCell ref="G7:J7"/>
    <mergeCell ref="O7:R7"/>
    <mergeCell ref="A4:R4"/>
  </mergeCells>
  <printOptions horizontalCentered="1" verticalCentered="1"/>
  <pageMargins left="0.3937007874015748" right="0.3937007874015748" top="0.7480314960629921" bottom="0.7480314960629921" header="0.5118110236220472" footer="0.5118110236220472"/>
  <pageSetup horizontalDpi="180" verticalDpi="18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V102"/>
  <sheetViews>
    <sheetView showZeros="0" view="pageBreakPreview" zoomScale="60" zoomScaleNormal="70" workbookViewId="0" topLeftCell="A1">
      <selection activeCell="M14" sqref="M14"/>
    </sheetView>
  </sheetViews>
  <sheetFormatPr defaultColWidth="12.69921875" defaultRowHeight="15"/>
  <cols>
    <col min="1" max="2" width="13" style="252" customWidth="1"/>
    <col min="3" max="5" width="11.796875" style="252" customWidth="1"/>
    <col min="6" max="6" width="7.59765625" style="252" customWidth="1"/>
    <col min="7" max="9" width="11.3984375" style="252" customWidth="1"/>
    <col min="10" max="10" width="6.3984375" style="252" customWidth="1"/>
    <col min="11" max="13" width="12" style="252" customWidth="1"/>
    <col min="14" max="14" width="6.59765625" style="252" customWidth="1"/>
    <col min="15" max="17" width="11.69921875" style="252" customWidth="1"/>
    <col min="18" max="18" width="6.796875" style="252" customWidth="1"/>
    <col min="19" max="19" width="7.19921875" style="252" customWidth="1"/>
    <col min="20" max="20" width="5.796875" style="252" customWidth="1"/>
    <col min="21" max="23" width="6.796875" style="252" customWidth="1"/>
    <col min="24" max="28" width="5.796875" style="252" customWidth="1"/>
    <col min="29" max="31" width="12.69921875" style="252" customWidth="1"/>
    <col min="32" max="32" width="6.796875" style="252" customWidth="1"/>
    <col min="33" max="35" width="7.796875" style="252" customWidth="1"/>
    <col min="36" max="36" width="5.796875" style="252" customWidth="1"/>
    <col min="37" max="39" width="7.796875" style="252" customWidth="1"/>
    <col min="40" max="40" width="5.796875" style="252" customWidth="1"/>
    <col min="41" max="43" width="7.796875" style="252" customWidth="1"/>
    <col min="44" max="44" width="5.796875" style="252" customWidth="1"/>
    <col min="45" max="45" width="7.796875" style="252" customWidth="1"/>
    <col min="46" max="46" width="6.796875" style="252" customWidth="1"/>
    <col min="47" max="47" width="7.796875" style="252" customWidth="1"/>
    <col min="48" max="48" width="5.796875" style="252" customWidth="1"/>
    <col min="49" max="49" width="7.796875" style="252" customWidth="1"/>
    <col min="50" max="50" width="6.796875" style="252" customWidth="1"/>
    <col min="51" max="51" width="7.796875" style="252" customWidth="1"/>
    <col min="52" max="52" width="5.796875" style="252" customWidth="1"/>
    <col min="53" max="53" width="7.796875" style="252" customWidth="1"/>
    <col min="54" max="54" width="6.796875" style="252" customWidth="1"/>
    <col min="55" max="55" width="7.796875" style="252" customWidth="1"/>
    <col min="56" max="56" width="5.796875" style="252" customWidth="1"/>
    <col min="57" max="60" width="7.796875" style="252" customWidth="1"/>
    <col min="61" max="16384" width="12.69921875" style="252" customWidth="1"/>
  </cols>
  <sheetData>
    <row r="1" spans="1:19" s="6" customFormat="1" ht="17.25" customHeight="1">
      <c r="A1" s="6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6" customFormat="1" ht="24" customHeight="1">
      <c r="A2" s="752" t="s">
        <v>231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</row>
    <row r="3" spans="1:19" s="6" customFormat="1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s="6" customFormat="1" ht="21" customHeight="1">
      <c r="A4" s="9" t="s">
        <v>49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8" s="6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R5" s="14" t="s">
        <v>202</v>
      </c>
    </row>
    <row r="6" spans="1:18" s="6" customFormat="1" ht="22.5" customHeight="1" thickBot="1">
      <c r="A6" s="11"/>
      <c r="B6" s="11"/>
      <c r="C6" s="11"/>
      <c r="D6" s="13"/>
      <c r="E6" s="11"/>
      <c r="F6" s="11"/>
      <c r="G6" s="11"/>
      <c r="R6" s="14" t="s">
        <v>3</v>
      </c>
    </row>
    <row r="7" spans="1:18" s="6" customFormat="1" ht="18" customHeight="1" thickBot="1">
      <c r="A7" s="16"/>
      <c r="B7" s="17"/>
      <c r="C7" s="18" t="s">
        <v>50</v>
      </c>
      <c r="D7" s="19"/>
      <c r="E7" s="19"/>
      <c r="F7" s="19"/>
      <c r="G7" s="63" t="s">
        <v>51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64"/>
    </row>
    <row r="8" spans="1:18" s="6" customFormat="1" ht="18" customHeight="1" thickBot="1">
      <c r="A8" s="756"/>
      <c r="B8" s="757"/>
      <c r="C8" s="65" t="s">
        <v>52</v>
      </c>
      <c r="D8" s="66"/>
      <c r="E8" s="66"/>
      <c r="F8" s="67"/>
      <c r="G8" s="68" t="s">
        <v>53</v>
      </c>
      <c r="H8" s="69"/>
      <c r="I8" s="69"/>
      <c r="J8" s="70"/>
      <c r="K8" s="71" t="s">
        <v>54</v>
      </c>
      <c r="L8" s="72"/>
      <c r="M8" s="72"/>
      <c r="N8" s="73"/>
      <c r="O8" s="68" t="s">
        <v>55</v>
      </c>
      <c r="P8" s="69"/>
      <c r="Q8" s="69"/>
      <c r="R8" s="70"/>
    </row>
    <row r="9" spans="1:18" s="6" customFormat="1" ht="18" customHeight="1">
      <c r="A9" s="756" t="s">
        <v>285</v>
      </c>
      <c r="B9" s="757"/>
      <c r="C9" s="76" t="s">
        <v>0</v>
      </c>
      <c r="D9" s="77" t="s">
        <v>4</v>
      </c>
      <c r="E9" s="77" t="s">
        <v>5</v>
      </c>
      <c r="F9" s="78" t="s">
        <v>2</v>
      </c>
      <c r="G9" s="76" t="s">
        <v>0</v>
      </c>
      <c r="H9" s="77" t="s">
        <v>4</v>
      </c>
      <c r="I9" s="77" t="s">
        <v>5</v>
      </c>
      <c r="J9" s="78" t="s">
        <v>2</v>
      </c>
      <c r="K9" s="76" t="s">
        <v>0</v>
      </c>
      <c r="L9" s="77" t="s">
        <v>4</v>
      </c>
      <c r="M9" s="77" t="s">
        <v>5</v>
      </c>
      <c r="N9" s="78" t="s">
        <v>2</v>
      </c>
      <c r="O9" s="76" t="s">
        <v>0</v>
      </c>
      <c r="P9" s="77" t="s">
        <v>4</v>
      </c>
      <c r="Q9" s="77" t="s">
        <v>5</v>
      </c>
      <c r="R9" s="78" t="s">
        <v>2</v>
      </c>
    </row>
    <row r="10" spans="1:18" s="6" customFormat="1" ht="18" customHeight="1" thickBot="1">
      <c r="A10" s="29"/>
      <c r="B10" s="30"/>
      <c r="C10" s="31" t="s">
        <v>1</v>
      </c>
      <c r="D10" s="32" t="s">
        <v>1</v>
      </c>
      <c r="E10" s="33" t="s">
        <v>237</v>
      </c>
      <c r="F10" s="34" t="s">
        <v>19</v>
      </c>
      <c r="G10" s="31" t="s">
        <v>1</v>
      </c>
      <c r="H10" s="32" t="s">
        <v>1</v>
      </c>
      <c r="I10" s="33" t="s">
        <v>237</v>
      </c>
      <c r="J10" s="34" t="s">
        <v>19</v>
      </c>
      <c r="K10" s="31" t="s">
        <v>1</v>
      </c>
      <c r="L10" s="32" t="s">
        <v>1</v>
      </c>
      <c r="M10" s="33" t="s">
        <v>237</v>
      </c>
      <c r="N10" s="34" t="s">
        <v>19</v>
      </c>
      <c r="O10" s="31" t="s">
        <v>1</v>
      </c>
      <c r="P10" s="32" t="s">
        <v>1</v>
      </c>
      <c r="Q10" s="33" t="s">
        <v>237</v>
      </c>
      <c r="R10" s="34" t="s">
        <v>19</v>
      </c>
    </row>
    <row r="11" spans="4:18" s="6" customFormat="1" ht="16.5" customHeight="1">
      <c r="D11" s="79" t="s">
        <v>286</v>
      </c>
      <c r="F11" s="38"/>
      <c r="H11" s="79" t="s">
        <v>56</v>
      </c>
      <c r="I11" s="79"/>
      <c r="J11" s="80"/>
      <c r="K11" s="79"/>
      <c r="L11" s="79" t="s">
        <v>57</v>
      </c>
      <c r="M11" s="79"/>
      <c r="N11" s="80"/>
      <c r="O11" s="79"/>
      <c r="P11" s="79" t="s">
        <v>58</v>
      </c>
      <c r="Q11" s="79"/>
      <c r="R11" s="80"/>
    </row>
    <row r="12" s="6" customFormat="1" ht="16.5" customHeight="1" thickBot="1"/>
    <row r="13" spans="1:18" s="6" customFormat="1" ht="16.5" customHeight="1">
      <c r="A13" s="611"/>
      <c r="B13" s="613"/>
      <c r="C13" s="617"/>
      <c r="D13" s="615"/>
      <c r="E13" s="615"/>
      <c r="F13" s="620"/>
      <c r="G13" s="617"/>
      <c r="H13" s="615"/>
      <c r="I13" s="615"/>
      <c r="J13" s="637"/>
      <c r="K13" s="617"/>
      <c r="L13" s="615"/>
      <c r="M13" s="615"/>
      <c r="N13" s="637"/>
      <c r="O13" s="617"/>
      <c r="P13" s="615"/>
      <c r="Q13" s="615"/>
      <c r="R13" s="638"/>
    </row>
    <row r="14" spans="1:18" s="6" customFormat="1" ht="16.5" customHeight="1">
      <c r="A14" s="744" t="s">
        <v>243</v>
      </c>
      <c r="B14" s="333"/>
      <c r="C14" s="303">
        <f aca="true" t="shared" si="0" ref="C14:C42">SUM(G14+K14+O14+C62+G62+K62+O62)</f>
        <v>60820</v>
      </c>
      <c r="D14" s="304">
        <f aca="true" t="shared" si="1" ref="D14:D42">SUM(H14+L14+P14+D62+H62+L62+P62)</f>
        <v>57170</v>
      </c>
      <c r="E14" s="304">
        <f aca="true" t="shared" si="2" ref="E14:E42">SUM(I14+M14+Q14+E62+I62+M62+Q62)</f>
        <v>70811</v>
      </c>
      <c r="F14" s="308">
        <f aca="true" t="shared" si="3" ref="F14:F42">SUM(E14/D14*100)</f>
        <v>123.86041630225644</v>
      </c>
      <c r="G14" s="309">
        <v>1600</v>
      </c>
      <c r="H14" s="309">
        <v>1600</v>
      </c>
      <c r="I14" s="309">
        <v>1574</v>
      </c>
      <c r="J14" s="308">
        <f aca="true" t="shared" si="4" ref="J14:J42">SUM(I14/H14*100)</f>
        <v>98.375</v>
      </c>
      <c r="K14" s="307">
        <v>500</v>
      </c>
      <c r="L14" s="307">
        <v>800</v>
      </c>
      <c r="M14" s="309">
        <v>1092</v>
      </c>
      <c r="N14" s="308">
        <f>SUM(M14/L14*100)</f>
        <v>136.5</v>
      </c>
      <c r="O14" s="309">
        <v>26000</v>
      </c>
      <c r="P14" s="309">
        <v>29750</v>
      </c>
      <c r="Q14" s="309">
        <v>32739</v>
      </c>
      <c r="R14" s="356">
        <f aca="true" t="shared" si="5" ref="R14:R42">SUM(Q14/P14*100)</f>
        <v>110.04705882352941</v>
      </c>
    </row>
    <row r="15" spans="1:18" s="6" customFormat="1" ht="16.5" customHeight="1">
      <c r="A15" s="746" t="s">
        <v>244</v>
      </c>
      <c r="B15" s="333"/>
      <c r="C15" s="303">
        <f t="shared" si="0"/>
        <v>2995</v>
      </c>
      <c r="D15" s="304">
        <f t="shared" si="1"/>
        <v>3136</v>
      </c>
      <c r="E15" s="304">
        <f t="shared" si="2"/>
        <v>3063</v>
      </c>
      <c r="F15" s="308">
        <f t="shared" si="3"/>
        <v>97.67219387755102</v>
      </c>
      <c r="G15" s="307">
        <v>715</v>
      </c>
      <c r="H15" s="307">
        <v>715</v>
      </c>
      <c r="I15" s="307">
        <v>672</v>
      </c>
      <c r="J15" s="308">
        <f t="shared" si="4"/>
        <v>93.98601398601399</v>
      </c>
      <c r="K15" s="307"/>
      <c r="L15" s="307">
        <v>1</v>
      </c>
      <c r="M15" s="307">
        <v>1</v>
      </c>
      <c r="N15" s="308">
        <f>SUM(M15/L15*100)</f>
        <v>100</v>
      </c>
      <c r="O15" s="307">
        <v>850</v>
      </c>
      <c r="P15" s="307">
        <v>850</v>
      </c>
      <c r="Q15" s="307">
        <v>886</v>
      </c>
      <c r="R15" s="356">
        <f t="shared" si="5"/>
        <v>104.23529411764704</v>
      </c>
    </row>
    <row r="16" spans="1:18" s="6" customFormat="1" ht="16.5" customHeight="1">
      <c r="A16" s="745" t="s">
        <v>245</v>
      </c>
      <c r="B16" s="333"/>
      <c r="C16" s="303">
        <f t="shared" si="0"/>
        <v>2158</v>
      </c>
      <c r="D16" s="304">
        <f t="shared" si="1"/>
        <v>2158</v>
      </c>
      <c r="E16" s="304">
        <f t="shared" si="2"/>
        <v>1859</v>
      </c>
      <c r="F16" s="308">
        <f t="shared" si="3"/>
        <v>86.14457831325302</v>
      </c>
      <c r="G16" s="307">
        <v>450</v>
      </c>
      <c r="H16" s="307">
        <v>450</v>
      </c>
      <c r="I16" s="307">
        <v>433</v>
      </c>
      <c r="J16" s="308">
        <f t="shared" si="4"/>
        <v>96.22222222222221</v>
      </c>
      <c r="K16" s="307">
        <v>7</v>
      </c>
      <c r="L16" s="307">
        <v>7</v>
      </c>
      <c r="M16" s="307">
        <v>7</v>
      </c>
      <c r="N16" s="308">
        <f>SUM(M16/L16*100)</f>
        <v>100</v>
      </c>
      <c r="O16" s="309">
        <v>1200</v>
      </c>
      <c r="P16" s="309">
        <v>1200</v>
      </c>
      <c r="Q16" s="309">
        <v>844</v>
      </c>
      <c r="R16" s="356">
        <f t="shared" si="5"/>
        <v>70.33333333333334</v>
      </c>
    </row>
    <row r="17" spans="1:18" s="6" customFormat="1" ht="16.5" customHeight="1">
      <c r="A17" s="745" t="s">
        <v>246</v>
      </c>
      <c r="B17" s="333"/>
      <c r="C17" s="303">
        <f t="shared" si="0"/>
        <v>830</v>
      </c>
      <c r="D17" s="304">
        <f t="shared" si="1"/>
        <v>830</v>
      </c>
      <c r="E17" s="304">
        <f t="shared" si="2"/>
        <v>1093</v>
      </c>
      <c r="F17" s="308">
        <f t="shared" si="3"/>
        <v>131.6867469879518</v>
      </c>
      <c r="G17" s="307">
        <v>370</v>
      </c>
      <c r="H17" s="307">
        <v>370</v>
      </c>
      <c r="I17" s="307">
        <v>331</v>
      </c>
      <c r="J17" s="308">
        <f t="shared" si="4"/>
        <v>89.45945945945945</v>
      </c>
      <c r="K17" s="303"/>
      <c r="L17" s="304"/>
      <c r="M17" s="304"/>
      <c r="N17" s="308"/>
      <c r="O17" s="307">
        <v>460</v>
      </c>
      <c r="P17" s="307">
        <v>460</v>
      </c>
      <c r="Q17" s="307">
        <v>461</v>
      </c>
      <c r="R17" s="356">
        <f t="shared" si="5"/>
        <v>100.21739130434784</v>
      </c>
    </row>
    <row r="18" spans="1:18" s="6" customFormat="1" ht="16.5" customHeight="1">
      <c r="A18" s="745" t="s">
        <v>247</v>
      </c>
      <c r="B18" s="333"/>
      <c r="C18" s="303">
        <f t="shared" si="0"/>
        <v>1953</v>
      </c>
      <c r="D18" s="304">
        <f t="shared" si="1"/>
        <v>1453</v>
      </c>
      <c r="E18" s="304">
        <f t="shared" si="2"/>
        <v>1430</v>
      </c>
      <c r="F18" s="308">
        <f t="shared" si="3"/>
        <v>98.41706813489333</v>
      </c>
      <c r="G18" s="307">
        <v>400</v>
      </c>
      <c r="H18" s="307">
        <v>400</v>
      </c>
      <c r="I18" s="307">
        <v>367</v>
      </c>
      <c r="J18" s="308">
        <f t="shared" si="4"/>
        <v>91.75</v>
      </c>
      <c r="K18" s="307">
        <v>13</v>
      </c>
      <c r="L18" s="307">
        <v>13</v>
      </c>
      <c r="M18" s="307">
        <v>10</v>
      </c>
      <c r="N18" s="308">
        <f>SUM(M18/L18*100)</f>
        <v>76.92307692307693</v>
      </c>
      <c r="O18" s="307">
        <v>600</v>
      </c>
      <c r="P18" s="307">
        <v>600</v>
      </c>
      <c r="Q18" s="307">
        <f>606-1</f>
        <v>605</v>
      </c>
      <c r="R18" s="356">
        <f t="shared" si="5"/>
        <v>100.83333333333333</v>
      </c>
    </row>
    <row r="19" spans="1:18" s="6" customFormat="1" ht="16.5" customHeight="1">
      <c r="A19" s="746" t="s">
        <v>248</v>
      </c>
      <c r="B19" s="333"/>
      <c r="C19" s="303">
        <f t="shared" si="0"/>
        <v>282</v>
      </c>
      <c r="D19" s="304">
        <f t="shared" si="1"/>
        <v>293</v>
      </c>
      <c r="E19" s="304">
        <f t="shared" si="2"/>
        <v>289</v>
      </c>
      <c r="F19" s="308">
        <f t="shared" si="3"/>
        <v>98.63481228668942</v>
      </c>
      <c r="G19" s="307">
        <v>80</v>
      </c>
      <c r="H19" s="307">
        <v>83</v>
      </c>
      <c r="I19" s="307">
        <v>84</v>
      </c>
      <c r="J19" s="308">
        <f t="shared" si="4"/>
        <v>101.20481927710843</v>
      </c>
      <c r="K19" s="307">
        <v>1</v>
      </c>
      <c r="L19" s="307">
        <v>1</v>
      </c>
      <c r="M19" s="307">
        <v>0</v>
      </c>
      <c r="N19" s="308">
        <f>SUM(M19/L19*100)</f>
        <v>0</v>
      </c>
      <c r="O19" s="307">
        <v>20</v>
      </c>
      <c r="P19" s="307">
        <v>28</v>
      </c>
      <c r="Q19" s="307">
        <v>31</v>
      </c>
      <c r="R19" s="356">
        <f t="shared" si="5"/>
        <v>110.71428571428572</v>
      </c>
    </row>
    <row r="20" spans="1:18" s="6" customFormat="1" ht="16.5" customHeight="1">
      <c r="A20" s="745" t="s">
        <v>249</v>
      </c>
      <c r="B20" s="333"/>
      <c r="C20" s="303">
        <f t="shared" si="0"/>
        <v>3820</v>
      </c>
      <c r="D20" s="304">
        <f t="shared" si="1"/>
        <v>3820</v>
      </c>
      <c r="E20" s="304">
        <f t="shared" si="2"/>
        <v>3092</v>
      </c>
      <c r="F20" s="308">
        <f t="shared" si="3"/>
        <v>80.94240837696334</v>
      </c>
      <c r="G20" s="307">
        <v>780</v>
      </c>
      <c r="H20" s="307">
        <v>780</v>
      </c>
      <c r="I20" s="307">
        <v>618</v>
      </c>
      <c r="J20" s="308">
        <f t="shared" si="4"/>
        <v>79.23076923076923</v>
      </c>
      <c r="K20" s="303"/>
      <c r="L20" s="304"/>
      <c r="M20" s="304"/>
      <c r="N20" s="308"/>
      <c r="O20" s="309">
        <v>1400</v>
      </c>
      <c r="P20" s="309">
        <v>1400</v>
      </c>
      <c r="Q20" s="309">
        <v>1178</v>
      </c>
      <c r="R20" s="356">
        <f t="shared" si="5"/>
        <v>84.14285714285714</v>
      </c>
    </row>
    <row r="21" spans="1:18" s="6" customFormat="1" ht="16.5" customHeight="1">
      <c r="A21" s="746" t="s">
        <v>250</v>
      </c>
      <c r="B21" s="333"/>
      <c r="C21" s="303">
        <f t="shared" si="0"/>
        <v>2860</v>
      </c>
      <c r="D21" s="304">
        <f t="shared" si="1"/>
        <v>3360</v>
      </c>
      <c r="E21" s="304">
        <f t="shared" si="2"/>
        <v>4236</v>
      </c>
      <c r="F21" s="308">
        <f t="shared" si="3"/>
        <v>126.07142857142857</v>
      </c>
      <c r="G21" s="309">
        <v>1000</v>
      </c>
      <c r="H21" s="309">
        <v>1000</v>
      </c>
      <c r="I21" s="307">
        <v>1060</v>
      </c>
      <c r="J21" s="308">
        <f t="shared" si="4"/>
        <v>106</v>
      </c>
      <c r="K21" s="307">
        <v>60</v>
      </c>
      <c r="L21" s="307">
        <v>60</v>
      </c>
      <c r="M21" s="307">
        <f>16</f>
        <v>16</v>
      </c>
      <c r="N21" s="308">
        <f>SUM(M21/L21*100)</f>
        <v>26.666666666666668</v>
      </c>
      <c r="O21" s="309">
        <v>1200</v>
      </c>
      <c r="P21" s="309">
        <v>1700</v>
      </c>
      <c r="Q21" s="309">
        <v>2219</v>
      </c>
      <c r="R21" s="356">
        <f t="shared" si="5"/>
        <v>130.52941176470588</v>
      </c>
    </row>
    <row r="22" spans="1:18" s="6" customFormat="1" ht="16.5" customHeight="1">
      <c r="A22" s="746" t="s">
        <v>251</v>
      </c>
      <c r="B22" s="333"/>
      <c r="C22" s="303">
        <f t="shared" si="0"/>
        <v>110</v>
      </c>
      <c r="D22" s="304">
        <f t="shared" si="1"/>
        <v>112</v>
      </c>
      <c r="E22" s="304">
        <f t="shared" si="2"/>
        <v>90</v>
      </c>
      <c r="F22" s="308">
        <f t="shared" si="3"/>
        <v>80.35714285714286</v>
      </c>
      <c r="G22" s="307">
        <v>35</v>
      </c>
      <c r="H22" s="307">
        <v>37</v>
      </c>
      <c r="I22" s="307">
        <v>36</v>
      </c>
      <c r="J22" s="308">
        <f t="shared" si="4"/>
        <v>97.2972972972973</v>
      </c>
      <c r="K22" s="307">
        <v>50</v>
      </c>
      <c r="L22" s="307">
        <v>50</v>
      </c>
      <c r="M22" s="307">
        <f>37-1</f>
        <v>36</v>
      </c>
      <c r="N22" s="308">
        <f>SUM(M22/L22*100)</f>
        <v>72</v>
      </c>
      <c r="O22" s="307">
        <v>5</v>
      </c>
      <c r="P22" s="307">
        <v>5</v>
      </c>
      <c r="Q22" s="307">
        <f>1</f>
        <v>1</v>
      </c>
      <c r="R22" s="356">
        <f t="shared" si="5"/>
        <v>20</v>
      </c>
    </row>
    <row r="23" spans="1:18" s="6" customFormat="1" ht="15" customHeight="1">
      <c r="A23" s="746" t="s">
        <v>252</v>
      </c>
      <c r="B23" s="333"/>
      <c r="C23" s="303">
        <f t="shared" si="0"/>
        <v>790</v>
      </c>
      <c r="D23" s="304">
        <f t="shared" si="1"/>
        <v>790</v>
      </c>
      <c r="E23" s="304">
        <f t="shared" si="2"/>
        <v>746</v>
      </c>
      <c r="F23" s="308">
        <f t="shared" si="3"/>
        <v>94.43037974683544</v>
      </c>
      <c r="G23" s="307">
        <v>230</v>
      </c>
      <c r="H23" s="307">
        <v>230</v>
      </c>
      <c r="I23" s="307">
        <v>204</v>
      </c>
      <c r="J23" s="308">
        <f t="shared" si="4"/>
        <v>88.69565217391305</v>
      </c>
      <c r="K23" s="303"/>
      <c r="L23" s="304"/>
      <c r="M23" s="304"/>
      <c r="N23" s="308"/>
      <c r="O23" s="307">
        <v>350</v>
      </c>
      <c r="P23" s="307">
        <v>350</v>
      </c>
      <c r="Q23" s="307">
        <v>361</v>
      </c>
      <c r="R23" s="356">
        <f t="shared" si="5"/>
        <v>103.14285714285714</v>
      </c>
    </row>
    <row r="24" spans="1:18" s="6" customFormat="1" ht="16.5" customHeight="1">
      <c r="A24" s="746" t="s">
        <v>253</v>
      </c>
      <c r="B24" s="333"/>
      <c r="C24" s="303">
        <f t="shared" si="0"/>
        <v>386</v>
      </c>
      <c r="D24" s="304">
        <f t="shared" si="1"/>
        <v>393</v>
      </c>
      <c r="E24" s="304">
        <f t="shared" si="2"/>
        <v>411</v>
      </c>
      <c r="F24" s="308">
        <f t="shared" si="3"/>
        <v>104.58015267175573</v>
      </c>
      <c r="G24" s="307">
        <v>180</v>
      </c>
      <c r="H24" s="307">
        <v>160</v>
      </c>
      <c r="I24" s="307">
        <v>156</v>
      </c>
      <c r="J24" s="308">
        <f t="shared" si="4"/>
        <v>97.5</v>
      </c>
      <c r="K24" s="307">
        <v>1</v>
      </c>
      <c r="L24" s="307">
        <v>2</v>
      </c>
      <c r="M24" s="307">
        <v>2</v>
      </c>
      <c r="N24" s="308">
        <f>SUM(M24/L24*100)</f>
        <v>100</v>
      </c>
      <c r="O24" s="307">
        <v>100</v>
      </c>
      <c r="P24" s="307">
        <v>120</v>
      </c>
      <c r="Q24" s="307">
        <v>110</v>
      </c>
      <c r="R24" s="356">
        <f t="shared" si="5"/>
        <v>91.66666666666666</v>
      </c>
    </row>
    <row r="25" spans="1:18" s="6" customFormat="1" ht="16.5" customHeight="1">
      <c r="A25" s="746" t="s">
        <v>254</v>
      </c>
      <c r="B25" s="333"/>
      <c r="C25" s="303">
        <f t="shared" si="0"/>
        <v>800</v>
      </c>
      <c r="D25" s="304">
        <f t="shared" si="1"/>
        <v>770</v>
      </c>
      <c r="E25" s="304">
        <f t="shared" si="2"/>
        <v>684</v>
      </c>
      <c r="F25" s="308">
        <f t="shared" si="3"/>
        <v>88.83116883116882</v>
      </c>
      <c r="G25" s="307">
        <v>156</v>
      </c>
      <c r="H25" s="307">
        <v>165</v>
      </c>
      <c r="I25" s="307">
        <f>166-1</f>
        <v>165</v>
      </c>
      <c r="J25" s="308">
        <f t="shared" si="4"/>
        <v>100</v>
      </c>
      <c r="K25" s="307">
        <v>2</v>
      </c>
      <c r="L25" s="307">
        <v>2</v>
      </c>
      <c r="M25" s="307">
        <v>2</v>
      </c>
      <c r="N25" s="308">
        <f>SUM(M25/L25*100)</f>
        <v>100</v>
      </c>
      <c r="O25" s="307">
        <v>50</v>
      </c>
      <c r="P25" s="307">
        <v>112</v>
      </c>
      <c r="Q25" s="307">
        <v>72</v>
      </c>
      <c r="R25" s="356">
        <f t="shared" si="5"/>
        <v>64.28571428571429</v>
      </c>
    </row>
    <row r="26" spans="1:18" s="6" customFormat="1" ht="16.5" customHeight="1">
      <c r="A26" s="746" t="s">
        <v>255</v>
      </c>
      <c r="B26" s="333"/>
      <c r="C26" s="303">
        <f t="shared" si="0"/>
        <v>6099</v>
      </c>
      <c r="D26" s="304">
        <f t="shared" si="1"/>
        <v>6143</v>
      </c>
      <c r="E26" s="304">
        <f t="shared" si="2"/>
        <v>6216</v>
      </c>
      <c r="F26" s="308">
        <f t="shared" si="3"/>
        <v>101.18834445710564</v>
      </c>
      <c r="G26" s="309">
        <v>1017</v>
      </c>
      <c r="H26" s="309">
        <v>1017</v>
      </c>
      <c r="I26" s="309">
        <v>1092</v>
      </c>
      <c r="J26" s="308">
        <f t="shared" si="4"/>
        <v>107.37463126843659</v>
      </c>
      <c r="K26" s="303"/>
      <c r="L26" s="304"/>
      <c r="M26" s="304"/>
      <c r="N26" s="308"/>
      <c r="O26" s="309">
        <v>2000</v>
      </c>
      <c r="P26" s="309">
        <v>2000</v>
      </c>
      <c r="Q26" s="309">
        <v>2332</v>
      </c>
      <c r="R26" s="356">
        <f t="shared" si="5"/>
        <v>116.6</v>
      </c>
    </row>
    <row r="27" spans="1:18" s="6" customFormat="1" ht="16.5" customHeight="1">
      <c r="A27" s="745" t="s">
        <v>256</v>
      </c>
      <c r="B27" s="333"/>
      <c r="C27" s="303">
        <f t="shared" si="0"/>
        <v>550</v>
      </c>
      <c r="D27" s="304">
        <f t="shared" si="1"/>
        <v>550</v>
      </c>
      <c r="E27" s="304">
        <f t="shared" si="2"/>
        <v>439</v>
      </c>
      <c r="F27" s="308">
        <f t="shared" si="3"/>
        <v>79.81818181818183</v>
      </c>
      <c r="G27" s="307">
        <v>240</v>
      </c>
      <c r="H27" s="307">
        <v>240</v>
      </c>
      <c r="I27" s="307">
        <v>156</v>
      </c>
      <c r="J27" s="308">
        <f t="shared" si="4"/>
        <v>65</v>
      </c>
      <c r="K27" s="303"/>
      <c r="L27" s="304"/>
      <c r="M27" s="304"/>
      <c r="N27" s="308"/>
      <c r="O27" s="307">
        <v>100</v>
      </c>
      <c r="P27" s="307">
        <v>100</v>
      </c>
      <c r="Q27" s="307">
        <v>178</v>
      </c>
      <c r="R27" s="356">
        <f t="shared" si="5"/>
        <v>178</v>
      </c>
    </row>
    <row r="28" spans="1:18" s="6" customFormat="1" ht="16.5" customHeight="1">
      <c r="A28" s="746" t="s">
        <v>257</v>
      </c>
      <c r="B28" s="333"/>
      <c r="C28" s="303">
        <f t="shared" si="0"/>
        <v>3891</v>
      </c>
      <c r="D28" s="304">
        <f t="shared" si="1"/>
        <v>4101</v>
      </c>
      <c r="E28" s="304">
        <f t="shared" si="2"/>
        <v>4061</v>
      </c>
      <c r="F28" s="308">
        <f t="shared" si="3"/>
        <v>99.02462813947818</v>
      </c>
      <c r="G28" s="307">
        <v>720</v>
      </c>
      <c r="H28" s="307">
        <v>720</v>
      </c>
      <c r="I28" s="307">
        <v>708</v>
      </c>
      <c r="J28" s="308">
        <f t="shared" si="4"/>
        <v>98.33333333333333</v>
      </c>
      <c r="K28" s="307">
        <v>1</v>
      </c>
      <c r="L28" s="307">
        <v>1</v>
      </c>
      <c r="M28" s="307">
        <v>1</v>
      </c>
      <c r="N28" s="308">
        <f>SUM(M28/L28*100)</f>
        <v>100</v>
      </c>
      <c r="O28" s="309">
        <v>1100</v>
      </c>
      <c r="P28" s="309">
        <v>1310</v>
      </c>
      <c r="Q28" s="309">
        <v>1643</v>
      </c>
      <c r="R28" s="356">
        <f t="shared" si="5"/>
        <v>125.41984732824427</v>
      </c>
    </row>
    <row r="29" spans="1:18" s="6" customFormat="1" ht="16.5" customHeight="1">
      <c r="A29" s="746" t="s">
        <v>258</v>
      </c>
      <c r="B29" s="333"/>
      <c r="C29" s="303">
        <f t="shared" si="0"/>
        <v>1575</v>
      </c>
      <c r="D29" s="304">
        <f t="shared" si="1"/>
        <v>1825</v>
      </c>
      <c r="E29" s="304">
        <f t="shared" si="2"/>
        <v>1852</v>
      </c>
      <c r="F29" s="308">
        <f t="shared" si="3"/>
        <v>101.47945205479452</v>
      </c>
      <c r="G29" s="307">
        <v>260</v>
      </c>
      <c r="H29" s="307">
        <v>260</v>
      </c>
      <c r="I29" s="307">
        <v>265</v>
      </c>
      <c r="J29" s="308">
        <f t="shared" si="4"/>
        <v>101.92307692307692</v>
      </c>
      <c r="K29" s="303"/>
      <c r="L29" s="304"/>
      <c r="M29" s="304"/>
      <c r="N29" s="308"/>
      <c r="O29" s="307">
        <v>900</v>
      </c>
      <c r="P29" s="309">
        <v>1150</v>
      </c>
      <c r="Q29" s="309">
        <f>942+1</f>
        <v>943</v>
      </c>
      <c r="R29" s="356">
        <f t="shared" si="5"/>
        <v>82</v>
      </c>
    </row>
    <row r="30" spans="1:18" s="6" customFormat="1" ht="16.5" customHeight="1">
      <c r="A30" s="746" t="s">
        <v>259</v>
      </c>
      <c r="B30" s="333"/>
      <c r="C30" s="303">
        <f t="shared" si="0"/>
        <v>2730</v>
      </c>
      <c r="D30" s="304">
        <f t="shared" si="1"/>
        <v>2730</v>
      </c>
      <c r="E30" s="304">
        <f t="shared" si="2"/>
        <v>2516</v>
      </c>
      <c r="F30" s="308">
        <f t="shared" si="3"/>
        <v>92.16117216117216</v>
      </c>
      <c r="G30" s="307">
        <v>270</v>
      </c>
      <c r="H30" s="307">
        <v>270</v>
      </c>
      <c r="I30" s="307">
        <v>267</v>
      </c>
      <c r="J30" s="308">
        <f t="shared" si="4"/>
        <v>98.88888888888889</v>
      </c>
      <c r="K30" s="303"/>
      <c r="L30" s="304"/>
      <c r="M30" s="304"/>
      <c r="N30" s="308"/>
      <c r="O30" s="309">
        <v>1000</v>
      </c>
      <c r="P30" s="309">
        <v>1000</v>
      </c>
      <c r="Q30" s="309">
        <v>1110</v>
      </c>
      <c r="R30" s="356">
        <f t="shared" si="5"/>
        <v>111.00000000000001</v>
      </c>
    </row>
    <row r="31" spans="1:18" s="6" customFormat="1" ht="16.5" customHeight="1">
      <c r="A31" s="746" t="s">
        <v>260</v>
      </c>
      <c r="B31" s="333"/>
      <c r="C31" s="303">
        <f t="shared" si="0"/>
        <v>2365</v>
      </c>
      <c r="D31" s="304">
        <f t="shared" si="1"/>
        <v>2365</v>
      </c>
      <c r="E31" s="304">
        <f t="shared" si="2"/>
        <v>3522</v>
      </c>
      <c r="F31" s="308">
        <f t="shared" si="3"/>
        <v>148.92177589852008</v>
      </c>
      <c r="G31" s="307">
        <v>600</v>
      </c>
      <c r="H31" s="307">
        <v>600</v>
      </c>
      <c r="I31" s="307">
        <v>487</v>
      </c>
      <c r="J31" s="308">
        <f t="shared" si="4"/>
        <v>81.16666666666667</v>
      </c>
      <c r="K31" s="307">
        <v>3</v>
      </c>
      <c r="L31" s="307">
        <v>3</v>
      </c>
      <c r="M31" s="307">
        <v>1</v>
      </c>
      <c r="N31" s="308">
        <f>SUM(M31/L31*100)</f>
        <v>33.33333333333333</v>
      </c>
      <c r="O31" s="307">
        <v>450</v>
      </c>
      <c r="P31" s="307">
        <v>450</v>
      </c>
      <c r="Q31" s="307">
        <v>400</v>
      </c>
      <c r="R31" s="356">
        <f t="shared" si="5"/>
        <v>88.88888888888889</v>
      </c>
    </row>
    <row r="32" spans="1:18" s="6" customFormat="1" ht="16.5" customHeight="1">
      <c r="A32" s="746" t="s">
        <v>261</v>
      </c>
      <c r="B32" s="333"/>
      <c r="C32" s="303">
        <f t="shared" si="0"/>
        <v>4200</v>
      </c>
      <c r="D32" s="304">
        <f t="shared" si="1"/>
        <v>4238</v>
      </c>
      <c r="E32" s="304">
        <f t="shared" si="2"/>
        <v>3778</v>
      </c>
      <c r="F32" s="308">
        <f t="shared" si="3"/>
        <v>89.14582350165172</v>
      </c>
      <c r="G32" s="307">
        <v>750</v>
      </c>
      <c r="H32" s="307">
        <v>750</v>
      </c>
      <c r="I32" s="307">
        <v>737</v>
      </c>
      <c r="J32" s="308">
        <f t="shared" si="4"/>
        <v>98.26666666666667</v>
      </c>
      <c r="K32" s="303"/>
      <c r="L32" s="304"/>
      <c r="M32" s="304"/>
      <c r="N32" s="308"/>
      <c r="O32" s="307">
        <v>800</v>
      </c>
      <c r="P32" s="307">
        <v>838</v>
      </c>
      <c r="Q32" s="307">
        <v>947</v>
      </c>
      <c r="R32" s="356">
        <f t="shared" si="5"/>
        <v>113.0071599045346</v>
      </c>
    </row>
    <row r="33" spans="1:18" s="6" customFormat="1" ht="16.5" customHeight="1">
      <c r="A33" s="746" t="s">
        <v>262</v>
      </c>
      <c r="B33" s="333"/>
      <c r="C33" s="303">
        <f t="shared" si="0"/>
        <v>1550</v>
      </c>
      <c r="D33" s="304">
        <f t="shared" si="1"/>
        <v>1241</v>
      </c>
      <c r="E33" s="304">
        <f t="shared" si="2"/>
        <v>1235</v>
      </c>
      <c r="F33" s="308">
        <f t="shared" si="3"/>
        <v>99.51651893634165</v>
      </c>
      <c r="G33" s="307">
        <v>250</v>
      </c>
      <c r="H33" s="307">
        <v>250</v>
      </c>
      <c r="I33" s="307">
        <v>243</v>
      </c>
      <c r="J33" s="308">
        <f t="shared" si="4"/>
        <v>97.2</v>
      </c>
      <c r="K33" s="303"/>
      <c r="L33" s="304"/>
      <c r="M33" s="304"/>
      <c r="N33" s="308"/>
      <c r="O33" s="307">
        <v>650</v>
      </c>
      <c r="P33" s="307">
        <v>450</v>
      </c>
      <c r="Q33" s="307">
        <v>448</v>
      </c>
      <c r="R33" s="356">
        <f t="shared" si="5"/>
        <v>99.55555555555556</v>
      </c>
    </row>
    <row r="34" spans="1:18" s="6" customFormat="1" ht="16.5" customHeight="1">
      <c r="A34" s="746" t="s">
        <v>263</v>
      </c>
      <c r="B34" s="333"/>
      <c r="C34" s="303">
        <f t="shared" si="0"/>
        <v>433</v>
      </c>
      <c r="D34" s="304">
        <f t="shared" si="1"/>
        <v>509</v>
      </c>
      <c r="E34" s="304">
        <f t="shared" si="2"/>
        <v>568</v>
      </c>
      <c r="F34" s="308">
        <f t="shared" si="3"/>
        <v>111.59135559921414</v>
      </c>
      <c r="G34" s="307">
        <v>130</v>
      </c>
      <c r="H34" s="307">
        <v>130</v>
      </c>
      <c r="I34" s="307">
        <v>131</v>
      </c>
      <c r="J34" s="308">
        <f t="shared" si="4"/>
        <v>100.76923076923077</v>
      </c>
      <c r="K34" s="303"/>
      <c r="L34" s="304"/>
      <c r="M34" s="304"/>
      <c r="N34" s="308"/>
      <c r="O34" s="307">
        <v>100</v>
      </c>
      <c r="P34" s="307">
        <v>71</v>
      </c>
      <c r="Q34" s="307">
        <v>78</v>
      </c>
      <c r="R34" s="356">
        <f t="shared" si="5"/>
        <v>109.85915492957747</v>
      </c>
    </row>
    <row r="35" spans="1:18" s="6" customFormat="1" ht="16.5" customHeight="1">
      <c r="A35" s="746" t="s">
        <v>264</v>
      </c>
      <c r="B35" s="333"/>
      <c r="C35" s="303">
        <f t="shared" si="0"/>
        <v>413</v>
      </c>
      <c r="D35" s="304">
        <f t="shared" si="1"/>
        <v>428</v>
      </c>
      <c r="E35" s="304">
        <f t="shared" si="2"/>
        <v>347</v>
      </c>
      <c r="F35" s="308">
        <f t="shared" si="3"/>
        <v>81.07476635514018</v>
      </c>
      <c r="G35" s="307">
        <v>100</v>
      </c>
      <c r="H35" s="307">
        <v>100</v>
      </c>
      <c r="I35" s="307">
        <v>92</v>
      </c>
      <c r="J35" s="308">
        <f t="shared" si="4"/>
        <v>92</v>
      </c>
      <c r="K35" s="303"/>
      <c r="L35" s="304"/>
      <c r="M35" s="304"/>
      <c r="N35" s="308"/>
      <c r="O35" s="307">
        <v>70</v>
      </c>
      <c r="P35" s="307">
        <v>70</v>
      </c>
      <c r="Q35" s="307">
        <f>47+1</f>
        <v>48</v>
      </c>
      <c r="R35" s="356">
        <f t="shared" si="5"/>
        <v>68.57142857142857</v>
      </c>
    </row>
    <row r="36" spans="1:18" s="6" customFormat="1" ht="16.5" customHeight="1">
      <c r="A36" s="745" t="s">
        <v>265</v>
      </c>
      <c r="B36" s="333"/>
      <c r="C36" s="303">
        <f t="shared" si="0"/>
        <v>4470</v>
      </c>
      <c r="D36" s="304">
        <f t="shared" si="1"/>
        <v>6265</v>
      </c>
      <c r="E36" s="304">
        <f t="shared" si="2"/>
        <v>7077</v>
      </c>
      <c r="F36" s="308">
        <f t="shared" si="3"/>
        <v>112.9608938547486</v>
      </c>
      <c r="G36" s="309">
        <v>1000</v>
      </c>
      <c r="H36" s="307">
        <v>1000</v>
      </c>
      <c r="I36" s="307">
        <v>864</v>
      </c>
      <c r="J36" s="308">
        <f t="shared" si="4"/>
        <v>86.4</v>
      </c>
      <c r="K36" s="307">
        <v>60</v>
      </c>
      <c r="L36" s="307">
        <v>93</v>
      </c>
      <c r="M36" s="307">
        <v>88</v>
      </c>
      <c r="N36" s="308">
        <f>SUM(M36/L36*100)</f>
        <v>94.6236559139785</v>
      </c>
      <c r="O36" s="309">
        <v>2060</v>
      </c>
      <c r="P36" s="309">
        <v>2810</v>
      </c>
      <c r="Q36" s="309">
        <v>3080</v>
      </c>
      <c r="R36" s="356">
        <f t="shared" si="5"/>
        <v>109.60854092526691</v>
      </c>
    </row>
    <row r="37" spans="1:18" s="6" customFormat="1" ht="16.5" customHeight="1">
      <c r="A37" s="746" t="s">
        <v>266</v>
      </c>
      <c r="B37" s="333"/>
      <c r="C37" s="303">
        <f t="shared" si="0"/>
        <v>395</v>
      </c>
      <c r="D37" s="304">
        <f t="shared" si="1"/>
        <v>455</v>
      </c>
      <c r="E37" s="304">
        <f t="shared" si="2"/>
        <v>481</v>
      </c>
      <c r="F37" s="308">
        <f t="shared" si="3"/>
        <v>105.71428571428572</v>
      </c>
      <c r="G37" s="307">
        <v>150</v>
      </c>
      <c r="H37" s="307">
        <v>150</v>
      </c>
      <c r="I37" s="307">
        <v>172</v>
      </c>
      <c r="J37" s="308">
        <f t="shared" si="4"/>
        <v>114.66666666666667</v>
      </c>
      <c r="K37" s="303"/>
      <c r="L37" s="304">
        <v>7</v>
      </c>
      <c r="M37" s="304">
        <v>7</v>
      </c>
      <c r="N37" s="308">
        <f>SUM(M37/L37*100)</f>
        <v>100</v>
      </c>
      <c r="O37" s="307">
        <v>50</v>
      </c>
      <c r="P37" s="307">
        <v>73</v>
      </c>
      <c r="Q37" s="307">
        <v>82</v>
      </c>
      <c r="R37" s="356">
        <f t="shared" si="5"/>
        <v>112.32876712328768</v>
      </c>
    </row>
    <row r="38" spans="1:18" s="6" customFormat="1" ht="16.5" customHeight="1">
      <c r="A38" s="745" t="s">
        <v>267</v>
      </c>
      <c r="B38" s="333"/>
      <c r="C38" s="303">
        <f t="shared" si="0"/>
        <v>1615</v>
      </c>
      <c r="D38" s="304">
        <f t="shared" si="1"/>
        <v>1615</v>
      </c>
      <c r="E38" s="304">
        <f t="shared" si="2"/>
        <v>1638</v>
      </c>
      <c r="F38" s="308">
        <f t="shared" si="3"/>
        <v>101.42414860681114</v>
      </c>
      <c r="G38" s="307">
        <v>560</v>
      </c>
      <c r="H38" s="307">
        <v>560</v>
      </c>
      <c r="I38" s="307">
        <v>531</v>
      </c>
      <c r="J38" s="308">
        <f t="shared" si="4"/>
        <v>94.82142857142857</v>
      </c>
      <c r="K38" s="303"/>
      <c r="L38" s="304"/>
      <c r="M38" s="304"/>
      <c r="N38" s="308"/>
      <c r="O38" s="307">
        <v>470</v>
      </c>
      <c r="P38" s="307">
        <v>470</v>
      </c>
      <c r="Q38" s="307">
        <v>568</v>
      </c>
      <c r="R38" s="356">
        <f t="shared" si="5"/>
        <v>120.85106382978724</v>
      </c>
    </row>
    <row r="39" spans="1:18" s="6" customFormat="1" ht="16.5" customHeight="1">
      <c r="A39" s="746" t="s">
        <v>268</v>
      </c>
      <c r="B39" s="333"/>
      <c r="C39" s="303">
        <f t="shared" si="0"/>
        <v>84</v>
      </c>
      <c r="D39" s="304">
        <f t="shared" si="1"/>
        <v>84</v>
      </c>
      <c r="E39" s="304">
        <f t="shared" si="2"/>
        <v>68</v>
      </c>
      <c r="F39" s="308">
        <f t="shared" si="3"/>
        <v>80.95238095238095</v>
      </c>
      <c r="G39" s="307">
        <v>50</v>
      </c>
      <c r="H39" s="307">
        <v>50</v>
      </c>
      <c r="I39" s="307">
        <v>46</v>
      </c>
      <c r="J39" s="308">
        <f t="shared" si="4"/>
        <v>92</v>
      </c>
      <c r="K39" s="303"/>
      <c r="L39" s="304"/>
      <c r="M39" s="304"/>
      <c r="N39" s="308"/>
      <c r="O39" s="307">
        <v>30</v>
      </c>
      <c r="P39" s="307">
        <v>30</v>
      </c>
      <c r="Q39" s="307">
        <v>20</v>
      </c>
      <c r="R39" s="356">
        <f t="shared" si="5"/>
        <v>66.66666666666666</v>
      </c>
    </row>
    <row r="40" spans="1:18" s="6" customFormat="1" ht="16.5" customHeight="1">
      <c r="A40" s="746" t="s">
        <v>269</v>
      </c>
      <c r="B40" s="333"/>
      <c r="C40" s="303">
        <f t="shared" si="0"/>
        <v>25</v>
      </c>
      <c r="D40" s="304">
        <f t="shared" si="1"/>
        <v>37</v>
      </c>
      <c r="E40" s="304">
        <f t="shared" si="2"/>
        <v>31</v>
      </c>
      <c r="F40" s="308">
        <f t="shared" si="3"/>
        <v>83.78378378378379</v>
      </c>
      <c r="G40" s="307">
        <v>25</v>
      </c>
      <c r="H40" s="307">
        <v>25</v>
      </c>
      <c r="I40" s="307">
        <v>20</v>
      </c>
      <c r="J40" s="308">
        <f t="shared" si="4"/>
        <v>80</v>
      </c>
      <c r="K40" s="303"/>
      <c r="L40" s="304"/>
      <c r="M40" s="304"/>
      <c r="N40" s="308"/>
      <c r="O40" s="307"/>
      <c r="P40" s="307">
        <v>12</v>
      </c>
      <c r="Q40" s="307">
        <v>11</v>
      </c>
      <c r="R40" s="356">
        <f t="shared" si="5"/>
        <v>91.66666666666666</v>
      </c>
    </row>
    <row r="41" spans="1:18" s="6" customFormat="1" ht="16.5" customHeight="1">
      <c r="A41" s="746" t="s">
        <v>270</v>
      </c>
      <c r="B41" s="333"/>
      <c r="C41" s="303">
        <f t="shared" si="0"/>
        <v>23</v>
      </c>
      <c r="D41" s="304">
        <f t="shared" si="1"/>
        <v>25</v>
      </c>
      <c r="E41" s="304">
        <f t="shared" si="2"/>
        <v>21</v>
      </c>
      <c r="F41" s="308">
        <f t="shared" si="3"/>
        <v>84</v>
      </c>
      <c r="G41" s="307">
        <v>22</v>
      </c>
      <c r="H41" s="307">
        <v>22</v>
      </c>
      <c r="I41" s="307">
        <v>19</v>
      </c>
      <c r="J41" s="308">
        <f t="shared" si="4"/>
        <v>86.36363636363636</v>
      </c>
      <c r="K41" s="303"/>
      <c r="L41" s="304"/>
      <c r="M41" s="304"/>
      <c r="N41" s="308"/>
      <c r="O41" s="307">
        <v>1</v>
      </c>
      <c r="P41" s="307">
        <v>2</v>
      </c>
      <c r="Q41" s="307">
        <v>1</v>
      </c>
      <c r="R41" s="356">
        <f t="shared" si="5"/>
        <v>50</v>
      </c>
    </row>
    <row r="42" spans="1:18" s="6" customFormat="1" ht="15" customHeight="1">
      <c r="A42" s="747" t="s">
        <v>271</v>
      </c>
      <c r="B42" s="333"/>
      <c r="C42" s="303">
        <f t="shared" si="0"/>
        <v>36</v>
      </c>
      <c r="D42" s="304">
        <f t="shared" si="1"/>
        <v>63</v>
      </c>
      <c r="E42" s="304">
        <f t="shared" si="2"/>
        <v>62</v>
      </c>
      <c r="F42" s="308">
        <f t="shared" si="3"/>
        <v>98.4126984126984</v>
      </c>
      <c r="G42" s="307">
        <v>31</v>
      </c>
      <c r="H42" s="307">
        <v>27</v>
      </c>
      <c r="I42" s="307">
        <v>26</v>
      </c>
      <c r="J42" s="308">
        <f t="shared" si="4"/>
        <v>96.29629629629629</v>
      </c>
      <c r="K42" s="303"/>
      <c r="L42" s="304"/>
      <c r="M42" s="304"/>
      <c r="N42" s="308"/>
      <c r="O42" s="307">
        <v>5</v>
      </c>
      <c r="P42" s="307">
        <v>36</v>
      </c>
      <c r="Q42" s="307">
        <v>36</v>
      </c>
      <c r="R42" s="356">
        <f t="shared" si="5"/>
        <v>100</v>
      </c>
    </row>
    <row r="43" spans="1:18" s="6" customFormat="1" ht="15" customHeight="1" thickBot="1">
      <c r="A43" s="622"/>
      <c r="B43" s="630"/>
      <c r="C43" s="639"/>
      <c r="D43" s="626"/>
      <c r="E43" s="640"/>
      <c r="F43" s="635"/>
      <c r="G43" s="639"/>
      <c r="H43" s="626"/>
      <c r="I43" s="626"/>
      <c r="J43" s="635"/>
      <c r="K43" s="639"/>
      <c r="L43" s="626"/>
      <c r="M43" s="626"/>
      <c r="N43" s="635"/>
      <c r="O43" s="639"/>
      <c r="P43" s="626"/>
      <c r="Q43" s="626"/>
      <c r="R43" s="641"/>
    </row>
    <row r="44" spans="3:18" s="6" customFormat="1" ht="15" customHeight="1">
      <c r="C44" s="313"/>
      <c r="D44" s="313"/>
      <c r="E44" s="60"/>
      <c r="F44" s="8"/>
      <c r="G44" s="313"/>
      <c r="H44" s="313"/>
      <c r="I44" s="313"/>
      <c r="J44" s="38"/>
      <c r="K44" s="313"/>
      <c r="L44" s="313"/>
      <c r="M44" s="313"/>
      <c r="N44" s="342"/>
      <c r="Q44" s="313"/>
      <c r="R44" s="8"/>
    </row>
    <row r="45" spans="5:18" s="6" customFormat="1" ht="16.5" customHeight="1" thickBot="1">
      <c r="E45" s="60"/>
      <c r="F45" s="8"/>
      <c r="J45" s="38"/>
      <c r="N45" s="342"/>
      <c r="R45" s="8"/>
    </row>
    <row r="46" spans="1:19" s="6" customFormat="1" ht="18" customHeight="1" thickBot="1">
      <c r="A46" s="37" t="s">
        <v>6</v>
      </c>
      <c r="C46" s="314">
        <f>SUM(C14:C42)</f>
        <v>108258</v>
      </c>
      <c r="D46" s="315">
        <f>SUM(D14:D45)</f>
        <v>106959</v>
      </c>
      <c r="E46" s="315">
        <f>SUM(E14:E42)</f>
        <v>121716</v>
      </c>
      <c r="F46" s="316">
        <f>SUM(E46/D46*100)</f>
        <v>113.79687543825203</v>
      </c>
      <c r="G46" s="314">
        <f>SUM(G14:G42)</f>
        <v>12171</v>
      </c>
      <c r="H46" s="315">
        <f>SUM(H14:H42)</f>
        <v>12161</v>
      </c>
      <c r="I46" s="315">
        <f>SUM(I14:I42)</f>
        <v>11556</v>
      </c>
      <c r="J46" s="316">
        <f>SUM(I46/H46*100)</f>
        <v>95.02508017432777</v>
      </c>
      <c r="K46" s="314">
        <f>SUM(K14:K42)</f>
        <v>698</v>
      </c>
      <c r="L46" s="315">
        <f>SUM(L14:L42)</f>
        <v>1040</v>
      </c>
      <c r="M46" s="315">
        <f>SUM(M14:M42)</f>
        <v>1263</v>
      </c>
      <c r="N46" s="316">
        <f>SUM(M46/L46*100)</f>
        <v>121.44230769230768</v>
      </c>
      <c r="O46" s="314">
        <f>SUM(O14:O42)</f>
        <v>42021</v>
      </c>
      <c r="P46" s="315">
        <f>SUM(P14:P42)</f>
        <v>47447</v>
      </c>
      <c r="Q46" s="315">
        <f>SUM(Q14:Q42)</f>
        <v>51432</v>
      </c>
      <c r="R46" s="316">
        <f>SUM(Q46/P46*100)</f>
        <v>108.39884502708286</v>
      </c>
      <c r="S46" s="6" t="s">
        <v>59</v>
      </c>
    </row>
    <row r="47" spans="1:18" s="6" customFormat="1" ht="16.5" customHeight="1">
      <c r="A47" s="62" t="s">
        <v>8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9" s="322" customFormat="1" ht="16.5" customHeight="1" hidden="1" thickBot="1">
      <c r="A48" s="337"/>
      <c r="B48" s="338"/>
      <c r="C48" s="338">
        <v>108258</v>
      </c>
      <c r="D48" s="338">
        <v>106959</v>
      </c>
      <c r="E48" s="339">
        <v>121716</v>
      </c>
      <c r="F48" s="339"/>
      <c r="G48" s="338">
        <v>12171</v>
      </c>
      <c r="H48" s="338">
        <v>12161</v>
      </c>
      <c r="I48" s="338">
        <v>11556</v>
      </c>
      <c r="J48" s="340"/>
      <c r="K48" s="338">
        <v>698</v>
      </c>
      <c r="L48" s="338">
        <v>1040</v>
      </c>
      <c r="M48" s="338">
        <v>1263</v>
      </c>
      <c r="N48" s="340"/>
      <c r="O48" s="338">
        <v>42021</v>
      </c>
      <c r="P48" s="338">
        <v>47447</v>
      </c>
      <c r="Q48" s="338">
        <v>51432</v>
      </c>
      <c r="R48" s="340"/>
      <c r="S48" s="338"/>
    </row>
    <row r="49" spans="1:18" ht="16.5" hidden="1" thickBot="1">
      <c r="A49" s="252" t="s">
        <v>279</v>
      </c>
      <c r="C49" s="314">
        <v>120789</v>
      </c>
      <c r="D49" s="315">
        <v>117486</v>
      </c>
      <c r="E49" s="315">
        <v>108950</v>
      </c>
      <c r="F49" s="316">
        <v>92.73445346679604</v>
      </c>
      <c r="G49" s="314">
        <v>12349</v>
      </c>
      <c r="H49" s="315">
        <v>12279</v>
      </c>
      <c r="I49" s="315">
        <v>11959</v>
      </c>
      <c r="J49" s="316">
        <v>97.39392458669272</v>
      </c>
      <c r="K49" s="314">
        <v>747</v>
      </c>
      <c r="L49" s="315">
        <v>757</v>
      </c>
      <c r="M49" s="315">
        <v>806</v>
      </c>
      <c r="N49" s="316">
        <v>106.47291941875825</v>
      </c>
      <c r="O49" s="314">
        <v>41898</v>
      </c>
      <c r="P49" s="315">
        <v>43394</v>
      </c>
      <c r="Q49" s="315">
        <v>47581</v>
      </c>
      <c r="R49" s="316">
        <v>109.64879937318524</v>
      </c>
    </row>
    <row r="50" spans="7:17" s="6" customFormat="1" ht="16.5" customHeight="1">
      <c r="G50" s="548"/>
      <c r="J50" s="549"/>
      <c r="M50" s="81"/>
      <c r="Q50" s="81"/>
    </row>
    <row r="51" spans="1:18" s="6" customFormat="1" ht="24.75" customHeight="1">
      <c r="A51" s="9" t="s">
        <v>49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550"/>
      <c r="R51" s="10"/>
    </row>
    <row r="52" spans="1:18" s="6" customFormat="1" ht="16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R52" s="14" t="s">
        <v>203</v>
      </c>
    </row>
    <row r="53" spans="1:22" s="6" customFormat="1" ht="16.5" customHeight="1" thickBot="1">
      <c r="A53" s="11"/>
      <c r="B53" s="11"/>
      <c r="C53" s="11"/>
      <c r="R53" s="14" t="s">
        <v>3</v>
      </c>
      <c r="S53" s="13"/>
      <c r="T53" s="11"/>
      <c r="U53" s="11"/>
      <c r="V53" s="13"/>
    </row>
    <row r="54" spans="1:18" s="6" customFormat="1" ht="16.5" customHeight="1" thickBot="1">
      <c r="A54" s="16"/>
      <c r="B54" s="17"/>
      <c r="C54" s="63" t="s">
        <v>51</v>
      </c>
      <c r="D54" s="17" t="s">
        <v>60</v>
      </c>
      <c r="E54" s="17"/>
      <c r="F54" s="17"/>
      <c r="G54" s="63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64"/>
    </row>
    <row r="55" spans="1:18" s="6" customFormat="1" ht="16.5" customHeight="1" thickBot="1">
      <c r="A55" s="23"/>
      <c r="B55" s="24"/>
      <c r="C55" s="18" t="s">
        <v>195</v>
      </c>
      <c r="D55" s="19"/>
      <c r="E55" s="19"/>
      <c r="F55" s="20"/>
      <c r="G55" s="18" t="s">
        <v>61</v>
      </c>
      <c r="H55" s="19"/>
      <c r="I55" s="19"/>
      <c r="J55" s="20"/>
      <c r="K55" s="82" t="s">
        <v>196</v>
      </c>
      <c r="L55" s="83"/>
      <c r="M55" s="84"/>
      <c r="N55" s="85"/>
      <c r="O55" s="68" t="s">
        <v>62</v>
      </c>
      <c r="P55" s="69"/>
      <c r="Q55" s="69"/>
      <c r="R55" s="70"/>
    </row>
    <row r="56" spans="1:18" s="6" customFormat="1" ht="16.5" customHeight="1">
      <c r="A56" s="756" t="s">
        <v>285</v>
      </c>
      <c r="B56" s="757"/>
      <c r="C56" s="76" t="s">
        <v>0</v>
      </c>
      <c r="D56" s="77" t="s">
        <v>4</v>
      </c>
      <c r="E56" s="77" t="s">
        <v>5</v>
      </c>
      <c r="F56" s="78" t="s">
        <v>2</v>
      </c>
      <c r="G56" s="76" t="s">
        <v>0</v>
      </c>
      <c r="H56" s="77" t="s">
        <v>4</v>
      </c>
      <c r="I56" s="77" t="s">
        <v>5</v>
      </c>
      <c r="J56" s="78" t="s">
        <v>2</v>
      </c>
      <c r="K56" s="76" t="s">
        <v>0</v>
      </c>
      <c r="L56" s="77" t="s">
        <v>4</v>
      </c>
      <c r="M56" s="77" t="s">
        <v>5</v>
      </c>
      <c r="N56" s="78" t="s">
        <v>2</v>
      </c>
      <c r="O56" s="76" t="s">
        <v>0</v>
      </c>
      <c r="P56" s="77" t="s">
        <v>4</v>
      </c>
      <c r="Q56" s="77" t="s">
        <v>5</v>
      </c>
      <c r="R56" s="78" t="s">
        <v>2</v>
      </c>
    </row>
    <row r="57" spans="1:18" s="6" customFormat="1" ht="16.5" customHeight="1" thickBot="1">
      <c r="A57" s="29"/>
      <c r="B57" s="30"/>
      <c r="C57" s="31" t="s">
        <v>1</v>
      </c>
      <c r="D57" s="32" t="s">
        <v>1</v>
      </c>
      <c r="E57" s="33" t="s">
        <v>237</v>
      </c>
      <c r="F57" s="34" t="s">
        <v>19</v>
      </c>
      <c r="G57" s="31" t="s">
        <v>1</v>
      </c>
      <c r="H57" s="32" t="s">
        <v>1</v>
      </c>
      <c r="I57" s="33" t="s">
        <v>237</v>
      </c>
      <c r="J57" s="34" t="s">
        <v>19</v>
      </c>
      <c r="K57" s="31" t="s">
        <v>1</v>
      </c>
      <c r="L57" s="32" t="s">
        <v>1</v>
      </c>
      <c r="M57" s="33" t="s">
        <v>237</v>
      </c>
      <c r="N57" s="34" t="s">
        <v>19</v>
      </c>
      <c r="O57" s="31" t="s">
        <v>1</v>
      </c>
      <c r="P57" s="32" t="s">
        <v>1</v>
      </c>
      <c r="Q57" s="33" t="s">
        <v>237</v>
      </c>
      <c r="R57" s="34" t="s">
        <v>19</v>
      </c>
    </row>
    <row r="58" spans="3:18" s="6" customFormat="1" ht="16.5" customHeight="1">
      <c r="C58" s="79"/>
      <c r="D58" s="79" t="s">
        <v>63</v>
      </c>
      <c r="E58" s="79"/>
      <c r="F58" s="80"/>
      <c r="G58" s="79"/>
      <c r="H58" s="79" t="s">
        <v>64</v>
      </c>
      <c r="I58" s="79"/>
      <c r="J58" s="80"/>
      <c r="K58" s="79"/>
      <c r="L58" s="79" t="s">
        <v>65</v>
      </c>
      <c r="M58" s="79"/>
      <c r="N58" s="80"/>
      <c r="O58" s="79"/>
      <c r="P58" s="79" t="s">
        <v>66</v>
      </c>
      <c r="Q58" s="79"/>
      <c r="R58" s="80"/>
    </row>
    <row r="59" spans="3:18" s="6" customFormat="1" ht="16.5" customHeight="1">
      <c r="C59" s="79"/>
      <c r="G59" s="79"/>
      <c r="H59" s="79"/>
      <c r="I59" s="79"/>
      <c r="K59" s="79"/>
      <c r="O59" s="79"/>
      <c r="R59" s="38"/>
    </row>
    <row r="60" s="6" customFormat="1" ht="16.5" customHeight="1" thickBot="1"/>
    <row r="61" spans="1:18" s="6" customFormat="1" ht="16.5" customHeight="1">
      <c r="A61" s="611"/>
      <c r="B61" s="613"/>
      <c r="C61" s="617"/>
      <c r="D61" s="615"/>
      <c r="E61" s="615"/>
      <c r="F61" s="637"/>
      <c r="G61" s="617"/>
      <c r="H61" s="615"/>
      <c r="I61" s="615"/>
      <c r="J61" s="637"/>
      <c r="K61" s="617"/>
      <c r="L61" s="615"/>
      <c r="M61" s="615"/>
      <c r="N61" s="637"/>
      <c r="O61" s="617"/>
      <c r="P61" s="615"/>
      <c r="Q61" s="615"/>
      <c r="R61" s="638"/>
    </row>
    <row r="62" spans="1:18" s="6" customFormat="1" ht="16.5" customHeight="1">
      <c r="A62" s="746" t="s">
        <v>243</v>
      </c>
      <c r="B62" s="333"/>
      <c r="C62" s="331">
        <v>8000</v>
      </c>
      <c r="D62" s="309">
        <v>4400</v>
      </c>
      <c r="E62" s="309">
        <v>4314</v>
      </c>
      <c r="F62" s="308">
        <f>SUM(E62/D62*100)</f>
        <v>98.04545454545455</v>
      </c>
      <c r="G62" s="309">
        <v>1700</v>
      </c>
      <c r="H62" s="309">
        <v>1300</v>
      </c>
      <c r="I62" s="309">
        <v>1463</v>
      </c>
      <c r="J62" s="308">
        <f>SUM(I62/H62*100)</f>
        <v>112.53846153846155</v>
      </c>
      <c r="K62" s="309">
        <v>23000</v>
      </c>
      <c r="L62" s="309">
        <v>19300</v>
      </c>
      <c r="M62" s="309">
        <v>29629</v>
      </c>
      <c r="N62" s="308">
        <f aca="true" t="shared" si="6" ref="N62:N69">SUM(M62/L62*100)</f>
        <v>153.51813471502592</v>
      </c>
      <c r="O62" s="332">
        <v>20</v>
      </c>
      <c r="P62" s="304">
        <v>20</v>
      </c>
      <c r="Q62" s="304"/>
      <c r="R62" s="356">
        <f>SUM(Q62/P62*100)</f>
        <v>0</v>
      </c>
    </row>
    <row r="63" spans="1:18" s="6" customFormat="1" ht="16.5" customHeight="1">
      <c r="A63" s="745" t="s">
        <v>244</v>
      </c>
      <c r="B63" s="333"/>
      <c r="C63" s="334"/>
      <c r="D63" s="304"/>
      <c r="E63" s="304"/>
      <c r="F63" s="308"/>
      <c r="G63" s="307">
        <v>80</v>
      </c>
      <c r="H63" s="307">
        <v>220</v>
      </c>
      <c r="I63" s="307">
        <v>228</v>
      </c>
      <c r="J63" s="308">
        <f>SUM(I63/H63*100)</f>
        <v>103.63636363636364</v>
      </c>
      <c r="K63" s="309">
        <v>1350</v>
      </c>
      <c r="L63" s="309">
        <v>1350</v>
      </c>
      <c r="M63" s="309">
        <v>1276</v>
      </c>
      <c r="N63" s="308">
        <f t="shared" si="6"/>
        <v>94.51851851851852</v>
      </c>
      <c r="O63" s="303"/>
      <c r="P63" s="304"/>
      <c r="Q63" s="304"/>
      <c r="R63" s="356"/>
    </row>
    <row r="64" spans="1:18" s="6" customFormat="1" ht="16.5" customHeight="1">
      <c r="A64" s="745" t="s">
        <v>245</v>
      </c>
      <c r="B64" s="333"/>
      <c r="C64" s="334"/>
      <c r="D64" s="304"/>
      <c r="E64" s="304"/>
      <c r="F64" s="308"/>
      <c r="G64" s="307">
        <v>1</v>
      </c>
      <c r="H64" s="307">
        <v>1</v>
      </c>
      <c r="I64" s="307">
        <v>1</v>
      </c>
      <c r="J64" s="308">
        <f>SUM(I64/H64*100)</f>
        <v>100</v>
      </c>
      <c r="K64" s="307">
        <v>500</v>
      </c>
      <c r="L64" s="307">
        <v>500</v>
      </c>
      <c r="M64" s="307">
        <v>574</v>
      </c>
      <c r="N64" s="308">
        <f t="shared" si="6"/>
        <v>114.8</v>
      </c>
      <c r="O64" s="303"/>
      <c r="P64" s="304"/>
      <c r="Q64" s="304"/>
      <c r="R64" s="356"/>
    </row>
    <row r="65" spans="1:18" s="6" customFormat="1" ht="16.5" customHeight="1">
      <c r="A65" s="745" t="s">
        <v>246</v>
      </c>
      <c r="B65" s="333"/>
      <c r="C65" s="334"/>
      <c r="D65" s="304"/>
      <c r="E65" s="304"/>
      <c r="F65" s="308"/>
      <c r="G65" s="303"/>
      <c r="H65" s="304"/>
      <c r="I65" s="304"/>
      <c r="J65" s="308"/>
      <c r="K65" s="303"/>
      <c r="L65" s="304"/>
      <c r="M65" s="304">
        <v>301</v>
      </c>
      <c r="N65" s="308"/>
      <c r="O65" s="303"/>
      <c r="P65" s="304"/>
      <c r="Q65" s="304"/>
      <c r="R65" s="356"/>
    </row>
    <row r="66" spans="1:18" s="6" customFormat="1" ht="16.5" customHeight="1">
      <c r="A66" s="745" t="s">
        <v>247</v>
      </c>
      <c r="B66" s="333"/>
      <c r="C66" s="334"/>
      <c r="D66" s="304"/>
      <c r="E66" s="304"/>
      <c r="F66" s="308"/>
      <c r="G66" s="307">
        <v>40</v>
      </c>
      <c r="H66" s="307">
        <v>40</v>
      </c>
      <c r="I66" s="307">
        <v>35</v>
      </c>
      <c r="J66" s="308">
        <f aca="true" t="shared" si="7" ref="J66:J87">SUM(I66/H66*100)</f>
        <v>87.5</v>
      </c>
      <c r="K66" s="309">
        <v>900</v>
      </c>
      <c r="L66" s="309">
        <v>400</v>
      </c>
      <c r="M66" s="307">
        <v>413</v>
      </c>
      <c r="N66" s="308">
        <f t="shared" si="6"/>
        <v>103.25</v>
      </c>
      <c r="O66" s="303"/>
      <c r="P66" s="304"/>
      <c r="Q66" s="304"/>
      <c r="R66" s="356"/>
    </row>
    <row r="67" spans="1:18" s="6" customFormat="1" ht="16.5" customHeight="1">
      <c r="A67" s="745" t="s">
        <v>248</v>
      </c>
      <c r="B67" s="333"/>
      <c r="C67" s="334"/>
      <c r="D67" s="304"/>
      <c r="E67" s="304"/>
      <c r="F67" s="308"/>
      <c r="G67" s="307">
        <v>1</v>
      </c>
      <c r="H67" s="307">
        <v>1</v>
      </c>
      <c r="I67" s="307"/>
      <c r="J67" s="308">
        <f t="shared" si="7"/>
        <v>0</v>
      </c>
      <c r="K67" s="307">
        <v>180</v>
      </c>
      <c r="L67" s="307">
        <v>180</v>
      </c>
      <c r="M67" s="307">
        <v>174</v>
      </c>
      <c r="N67" s="308">
        <f t="shared" si="6"/>
        <v>96.66666666666667</v>
      </c>
      <c r="O67" s="303"/>
      <c r="P67" s="304"/>
      <c r="Q67" s="304"/>
      <c r="R67" s="356"/>
    </row>
    <row r="68" spans="1:18" s="6" customFormat="1" ht="16.5" customHeight="1">
      <c r="A68" s="745" t="s">
        <v>249</v>
      </c>
      <c r="B68" s="333"/>
      <c r="C68" s="334"/>
      <c r="D68" s="304"/>
      <c r="E68" s="304"/>
      <c r="F68" s="308"/>
      <c r="G68" s="307">
        <v>40</v>
      </c>
      <c r="H68" s="307">
        <v>40</v>
      </c>
      <c r="I68" s="307">
        <v>20</v>
      </c>
      <c r="J68" s="308">
        <f t="shared" si="7"/>
        <v>50</v>
      </c>
      <c r="K68" s="309">
        <v>1600</v>
      </c>
      <c r="L68" s="309">
        <v>1600</v>
      </c>
      <c r="M68" s="309">
        <v>1276</v>
      </c>
      <c r="N68" s="308">
        <f t="shared" si="6"/>
        <v>79.75</v>
      </c>
      <c r="O68" s="303"/>
      <c r="P68" s="304"/>
      <c r="Q68" s="304"/>
      <c r="R68" s="356"/>
    </row>
    <row r="69" spans="1:18" s="6" customFormat="1" ht="16.5" customHeight="1">
      <c r="A69" s="746" t="s">
        <v>250</v>
      </c>
      <c r="B69" s="333"/>
      <c r="C69" s="335"/>
      <c r="D69" s="307"/>
      <c r="E69" s="307">
        <v>0</v>
      </c>
      <c r="F69" s="308"/>
      <c r="G69" s="307">
        <v>100</v>
      </c>
      <c r="H69" s="307">
        <v>100</v>
      </c>
      <c r="I69" s="307">
        <v>123</v>
      </c>
      <c r="J69" s="308">
        <f t="shared" si="7"/>
        <v>123</v>
      </c>
      <c r="K69" s="307">
        <v>500</v>
      </c>
      <c r="L69" s="307">
        <v>500</v>
      </c>
      <c r="M69" s="307">
        <v>818</v>
      </c>
      <c r="N69" s="308">
        <f t="shared" si="6"/>
        <v>163.6</v>
      </c>
      <c r="O69" s="303"/>
      <c r="P69" s="304"/>
      <c r="Q69" s="304"/>
      <c r="R69" s="356"/>
    </row>
    <row r="70" spans="1:18" s="6" customFormat="1" ht="16.5" customHeight="1">
      <c r="A70" s="746" t="s">
        <v>251</v>
      </c>
      <c r="B70" s="333"/>
      <c r="C70" s="334"/>
      <c r="D70" s="304"/>
      <c r="E70" s="304"/>
      <c r="F70" s="308"/>
      <c r="G70" s="307">
        <v>20</v>
      </c>
      <c r="H70" s="307">
        <v>20</v>
      </c>
      <c r="I70" s="307">
        <v>17</v>
      </c>
      <c r="J70" s="308">
        <f t="shared" si="7"/>
        <v>85</v>
      </c>
      <c r="K70" s="303"/>
      <c r="L70" s="304"/>
      <c r="M70" s="336"/>
      <c r="N70" s="308"/>
      <c r="O70" s="303"/>
      <c r="P70" s="304"/>
      <c r="Q70" s="304"/>
      <c r="R70" s="356"/>
    </row>
    <row r="71" spans="1:18" s="6" customFormat="1" ht="16.5" customHeight="1">
      <c r="A71" s="746" t="s">
        <v>252</v>
      </c>
      <c r="B71" s="333"/>
      <c r="C71" s="334"/>
      <c r="D71" s="304"/>
      <c r="E71" s="304"/>
      <c r="F71" s="308"/>
      <c r="G71" s="307">
        <v>10</v>
      </c>
      <c r="H71" s="307">
        <v>10</v>
      </c>
      <c r="I71" s="307">
        <v>56</v>
      </c>
      <c r="J71" s="308">
        <f t="shared" si="7"/>
        <v>560</v>
      </c>
      <c r="K71" s="307">
        <v>200</v>
      </c>
      <c r="L71" s="307">
        <v>200</v>
      </c>
      <c r="M71" s="307">
        <v>125</v>
      </c>
      <c r="N71" s="308">
        <f aca="true" t="shared" si="8" ref="N71:N86">SUM(M71/L71*100)</f>
        <v>62.5</v>
      </c>
      <c r="O71" s="303"/>
      <c r="P71" s="304"/>
      <c r="Q71" s="304"/>
      <c r="R71" s="356"/>
    </row>
    <row r="72" spans="1:18" s="6" customFormat="1" ht="16.5" customHeight="1">
      <c r="A72" s="746" t="s">
        <v>253</v>
      </c>
      <c r="B72" s="333"/>
      <c r="C72" s="334"/>
      <c r="D72" s="304"/>
      <c r="E72" s="304"/>
      <c r="F72" s="308"/>
      <c r="G72" s="307">
        <v>15</v>
      </c>
      <c r="H72" s="307">
        <v>17</v>
      </c>
      <c r="I72" s="307">
        <v>16</v>
      </c>
      <c r="J72" s="308">
        <f t="shared" si="7"/>
        <v>94.11764705882352</v>
      </c>
      <c r="K72" s="307">
        <v>90</v>
      </c>
      <c r="L72" s="307">
        <v>94</v>
      </c>
      <c r="M72" s="307">
        <v>127</v>
      </c>
      <c r="N72" s="308">
        <f t="shared" si="8"/>
        <v>135.1063829787234</v>
      </c>
      <c r="O72" s="303"/>
      <c r="P72" s="304"/>
      <c r="Q72" s="304"/>
      <c r="R72" s="356"/>
    </row>
    <row r="73" spans="1:18" s="6" customFormat="1" ht="16.5" customHeight="1">
      <c r="A73" s="746" t="s">
        <v>254</v>
      </c>
      <c r="B73" s="333"/>
      <c r="C73" s="335">
        <v>500</v>
      </c>
      <c r="D73" s="307">
        <v>399</v>
      </c>
      <c r="E73" s="307">
        <v>350</v>
      </c>
      <c r="F73" s="308">
        <f>SUM(E73/D73*100)</f>
        <v>87.71929824561403</v>
      </c>
      <c r="G73" s="307">
        <v>12</v>
      </c>
      <c r="H73" s="307">
        <v>12</v>
      </c>
      <c r="I73" s="307">
        <v>6</v>
      </c>
      <c r="J73" s="308">
        <f t="shared" si="7"/>
        <v>50</v>
      </c>
      <c r="K73" s="307">
        <v>80</v>
      </c>
      <c r="L73" s="307">
        <v>80</v>
      </c>
      <c r="M73" s="307">
        <v>89</v>
      </c>
      <c r="N73" s="308">
        <f t="shared" si="8"/>
        <v>111.25</v>
      </c>
      <c r="O73" s="303"/>
      <c r="P73" s="304"/>
      <c r="Q73" s="304"/>
      <c r="R73" s="356"/>
    </row>
    <row r="74" spans="1:18" s="6" customFormat="1" ht="16.5" customHeight="1">
      <c r="A74" s="746" t="s">
        <v>255</v>
      </c>
      <c r="B74" s="333"/>
      <c r="C74" s="334"/>
      <c r="D74" s="304"/>
      <c r="E74" s="304"/>
      <c r="F74" s="308"/>
      <c r="G74" s="307">
        <v>82</v>
      </c>
      <c r="H74" s="307">
        <v>126</v>
      </c>
      <c r="I74" s="307">
        <v>126</v>
      </c>
      <c r="J74" s="308">
        <f t="shared" si="7"/>
        <v>100</v>
      </c>
      <c r="K74" s="309">
        <v>3000</v>
      </c>
      <c r="L74" s="309">
        <v>3000</v>
      </c>
      <c r="M74" s="309">
        <v>2666</v>
      </c>
      <c r="N74" s="308">
        <f t="shared" si="8"/>
        <v>88.86666666666667</v>
      </c>
      <c r="O74" s="303"/>
      <c r="P74" s="304"/>
      <c r="Q74" s="304"/>
      <c r="R74" s="356"/>
    </row>
    <row r="75" spans="1:18" s="6" customFormat="1" ht="16.5" customHeight="1">
      <c r="A75" s="745" t="s">
        <v>256</v>
      </c>
      <c r="B75" s="333"/>
      <c r="C75" s="334"/>
      <c r="D75" s="304"/>
      <c r="E75" s="304"/>
      <c r="F75" s="308"/>
      <c r="G75" s="307">
        <v>120</v>
      </c>
      <c r="H75" s="307">
        <v>120</v>
      </c>
      <c r="I75" s="307">
        <v>40</v>
      </c>
      <c r="J75" s="308">
        <f t="shared" si="7"/>
        <v>33.33333333333333</v>
      </c>
      <c r="K75" s="307">
        <v>90</v>
      </c>
      <c r="L75" s="307">
        <v>90</v>
      </c>
      <c r="M75" s="307">
        <v>65</v>
      </c>
      <c r="N75" s="308">
        <f t="shared" si="8"/>
        <v>72.22222222222221</v>
      </c>
      <c r="O75" s="303"/>
      <c r="P75" s="304"/>
      <c r="Q75" s="304"/>
      <c r="R75" s="356"/>
    </row>
    <row r="76" spans="1:18" s="6" customFormat="1" ht="16.5" customHeight="1">
      <c r="A76" s="746" t="s">
        <v>257</v>
      </c>
      <c r="B76" s="333"/>
      <c r="C76" s="334"/>
      <c r="D76" s="304"/>
      <c r="E76" s="304"/>
      <c r="F76" s="308"/>
      <c r="G76" s="307">
        <v>70</v>
      </c>
      <c r="H76" s="307">
        <v>70</v>
      </c>
      <c r="I76" s="307">
        <v>49</v>
      </c>
      <c r="J76" s="308">
        <f t="shared" si="7"/>
        <v>70</v>
      </c>
      <c r="K76" s="309">
        <v>2000</v>
      </c>
      <c r="L76" s="309">
        <v>2000</v>
      </c>
      <c r="M76" s="309">
        <v>1660</v>
      </c>
      <c r="N76" s="308">
        <f t="shared" si="8"/>
        <v>83</v>
      </c>
      <c r="O76" s="303"/>
      <c r="P76" s="304"/>
      <c r="Q76" s="304"/>
      <c r="R76" s="356"/>
    </row>
    <row r="77" spans="1:18" s="6" customFormat="1" ht="16.5" customHeight="1">
      <c r="A77" s="745" t="s">
        <v>258</v>
      </c>
      <c r="B77" s="333"/>
      <c r="C77" s="334"/>
      <c r="D77" s="304"/>
      <c r="E77" s="304"/>
      <c r="F77" s="308"/>
      <c r="G77" s="307">
        <v>15</v>
      </c>
      <c r="H77" s="307">
        <v>15</v>
      </c>
      <c r="I77" s="307">
        <v>10</v>
      </c>
      <c r="J77" s="308">
        <f t="shared" si="7"/>
        <v>66.66666666666666</v>
      </c>
      <c r="K77" s="307">
        <v>400</v>
      </c>
      <c r="L77" s="307">
        <v>400</v>
      </c>
      <c r="M77" s="307">
        <v>634</v>
      </c>
      <c r="N77" s="308">
        <f t="shared" si="8"/>
        <v>158.5</v>
      </c>
      <c r="O77" s="303"/>
      <c r="P77" s="304"/>
      <c r="Q77" s="304"/>
      <c r="R77" s="356"/>
    </row>
    <row r="78" spans="1:18" s="6" customFormat="1" ht="16.5" customHeight="1">
      <c r="A78" s="746" t="s">
        <v>259</v>
      </c>
      <c r="B78" s="333"/>
      <c r="C78" s="335">
        <v>10</v>
      </c>
      <c r="D78" s="307">
        <v>10</v>
      </c>
      <c r="E78" s="307">
        <v>2</v>
      </c>
      <c r="F78" s="308">
        <f>SUM(E78/D78*100)</f>
        <v>20</v>
      </c>
      <c r="G78" s="307">
        <v>250</v>
      </c>
      <c r="H78" s="307">
        <v>250</v>
      </c>
      <c r="I78" s="307">
        <v>170</v>
      </c>
      <c r="J78" s="308">
        <f t="shared" si="7"/>
        <v>68</v>
      </c>
      <c r="K78" s="309">
        <v>1200</v>
      </c>
      <c r="L78" s="309">
        <v>1200</v>
      </c>
      <c r="M78" s="309">
        <v>967</v>
      </c>
      <c r="N78" s="308">
        <f t="shared" si="8"/>
        <v>80.58333333333333</v>
      </c>
      <c r="O78" s="303"/>
      <c r="P78" s="304"/>
      <c r="Q78" s="304"/>
      <c r="R78" s="356"/>
    </row>
    <row r="79" spans="1:18" s="6" customFormat="1" ht="16.5" customHeight="1">
      <c r="A79" s="745" t="s">
        <v>260</v>
      </c>
      <c r="B79" s="333"/>
      <c r="C79" s="334"/>
      <c r="D79" s="304"/>
      <c r="E79" s="304"/>
      <c r="F79" s="308"/>
      <c r="G79" s="307">
        <v>12</v>
      </c>
      <c r="H79" s="307">
        <v>12</v>
      </c>
      <c r="I79" s="307">
        <v>6</v>
      </c>
      <c r="J79" s="308">
        <f t="shared" si="7"/>
        <v>50</v>
      </c>
      <c r="K79" s="309">
        <v>1300</v>
      </c>
      <c r="L79" s="309">
        <v>1300</v>
      </c>
      <c r="M79" s="309">
        <v>2628</v>
      </c>
      <c r="N79" s="308">
        <f t="shared" si="8"/>
        <v>202.15384615384616</v>
      </c>
      <c r="O79" s="303"/>
      <c r="P79" s="304"/>
      <c r="Q79" s="304"/>
      <c r="R79" s="356"/>
    </row>
    <row r="80" spans="1:18" s="6" customFormat="1" ht="16.5" customHeight="1">
      <c r="A80" s="746" t="s">
        <v>261</v>
      </c>
      <c r="B80" s="333"/>
      <c r="C80" s="334"/>
      <c r="D80" s="304"/>
      <c r="E80" s="304"/>
      <c r="F80" s="308"/>
      <c r="G80" s="307">
        <v>650</v>
      </c>
      <c r="H80" s="307">
        <v>650</v>
      </c>
      <c r="I80" s="307">
        <v>549</v>
      </c>
      <c r="J80" s="308">
        <f t="shared" si="7"/>
        <v>84.46153846153847</v>
      </c>
      <c r="K80" s="309">
        <v>2000</v>
      </c>
      <c r="L80" s="309">
        <v>2000</v>
      </c>
      <c r="M80" s="309">
        <v>1545</v>
      </c>
      <c r="N80" s="308">
        <f t="shared" si="8"/>
        <v>77.25</v>
      </c>
      <c r="O80" s="303"/>
      <c r="P80" s="304"/>
      <c r="Q80" s="304"/>
      <c r="R80" s="356"/>
    </row>
    <row r="81" spans="1:18" s="6" customFormat="1" ht="16.5" customHeight="1">
      <c r="A81" s="746" t="s">
        <v>262</v>
      </c>
      <c r="B81" s="333"/>
      <c r="C81" s="334"/>
      <c r="D81" s="304"/>
      <c r="E81" s="304"/>
      <c r="F81" s="308"/>
      <c r="G81" s="307">
        <v>70</v>
      </c>
      <c r="H81" s="307">
        <v>70</v>
      </c>
      <c r="I81" s="307">
        <v>68</v>
      </c>
      <c r="J81" s="308">
        <f t="shared" si="7"/>
        <v>97.14285714285714</v>
      </c>
      <c r="K81" s="307">
        <v>580</v>
      </c>
      <c r="L81" s="307">
        <v>471</v>
      </c>
      <c r="M81" s="307">
        <v>476</v>
      </c>
      <c r="N81" s="308">
        <f t="shared" si="8"/>
        <v>101.06157112526539</v>
      </c>
      <c r="O81" s="303"/>
      <c r="P81" s="304"/>
      <c r="Q81" s="304"/>
      <c r="R81" s="356"/>
    </row>
    <row r="82" spans="1:18" s="6" customFormat="1" ht="16.5" customHeight="1">
      <c r="A82" s="746" t="s">
        <v>263</v>
      </c>
      <c r="B82" s="333"/>
      <c r="C82" s="334"/>
      <c r="D82" s="304">
        <v>1</v>
      </c>
      <c r="E82" s="304"/>
      <c r="F82" s="308"/>
      <c r="G82" s="307">
        <v>3</v>
      </c>
      <c r="H82" s="307">
        <v>7</v>
      </c>
      <c r="I82" s="307">
        <v>6</v>
      </c>
      <c r="J82" s="308">
        <f t="shared" si="7"/>
        <v>85.71428571428571</v>
      </c>
      <c r="K82" s="307">
        <v>200</v>
      </c>
      <c r="L82" s="307">
        <v>300</v>
      </c>
      <c r="M82" s="307">
        <v>353</v>
      </c>
      <c r="N82" s="308">
        <f t="shared" si="8"/>
        <v>117.66666666666667</v>
      </c>
      <c r="O82" s="303"/>
      <c r="P82" s="304"/>
      <c r="Q82" s="304"/>
      <c r="R82" s="356"/>
    </row>
    <row r="83" spans="1:18" s="6" customFormat="1" ht="16.5" customHeight="1">
      <c r="A83" s="746" t="s">
        <v>264</v>
      </c>
      <c r="B83" s="333"/>
      <c r="C83" s="335">
        <v>0</v>
      </c>
      <c r="D83" s="307">
        <v>15</v>
      </c>
      <c r="E83" s="307">
        <f>15-1</f>
        <v>14</v>
      </c>
      <c r="F83" s="308">
        <f>SUM(E83/D83*100)</f>
        <v>93.33333333333333</v>
      </c>
      <c r="G83" s="307">
        <v>3</v>
      </c>
      <c r="H83" s="307">
        <v>3</v>
      </c>
      <c r="I83" s="307">
        <v>3</v>
      </c>
      <c r="J83" s="308">
        <f t="shared" si="7"/>
        <v>100</v>
      </c>
      <c r="K83" s="307">
        <v>240</v>
      </c>
      <c r="L83" s="307">
        <v>240</v>
      </c>
      <c r="M83" s="307">
        <v>190</v>
      </c>
      <c r="N83" s="308">
        <f t="shared" si="8"/>
        <v>79.16666666666666</v>
      </c>
      <c r="O83" s="303"/>
      <c r="P83" s="304"/>
      <c r="Q83" s="304"/>
      <c r="R83" s="356"/>
    </row>
    <row r="84" spans="1:18" s="6" customFormat="1" ht="16.5" customHeight="1">
      <c r="A84" s="745" t="s">
        <v>265</v>
      </c>
      <c r="B84" s="333"/>
      <c r="C84" s="335">
        <v>0</v>
      </c>
      <c r="D84" s="307"/>
      <c r="E84" s="307">
        <v>2</v>
      </c>
      <c r="F84" s="308"/>
      <c r="G84" s="307">
        <v>350</v>
      </c>
      <c r="H84" s="307">
        <v>350</v>
      </c>
      <c r="I84" s="307">
        <v>349</v>
      </c>
      <c r="J84" s="308">
        <f t="shared" si="7"/>
        <v>99.71428571428571</v>
      </c>
      <c r="K84" s="309">
        <v>1000</v>
      </c>
      <c r="L84" s="309">
        <v>2000</v>
      </c>
      <c r="M84" s="309">
        <v>2682</v>
      </c>
      <c r="N84" s="308">
        <f t="shared" si="8"/>
        <v>134.1</v>
      </c>
      <c r="O84" s="303"/>
      <c r="P84" s="304">
        <v>12</v>
      </c>
      <c r="Q84" s="304">
        <v>12</v>
      </c>
      <c r="R84" s="356">
        <f>SUM(Q84/P84*100)</f>
        <v>100</v>
      </c>
    </row>
    <row r="85" spans="1:18" s="6" customFormat="1" ht="16.5" customHeight="1">
      <c r="A85" s="745" t="s">
        <v>266</v>
      </c>
      <c r="B85" s="333"/>
      <c r="C85" s="334"/>
      <c r="D85" s="304"/>
      <c r="E85" s="304"/>
      <c r="F85" s="308"/>
      <c r="G85" s="307">
        <v>65</v>
      </c>
      <c r="H85" s="307">
        <v>65</v>
      </c>
      <c r="I85" s="307">
        <v>61</v>
      </c>
      <c r="J85" s="308">
        <f t="shared" si="7"/>
        <v>93.84615384615384</v>
      </c>
      <c r="K85" s="307">
        <v>130</v>
      </c>
      <c r="L85" s="307">
        <v>160</v>
      </c>
      <c r="M85" s="307">
        <v>159</v>
      </c>
      <c r="N85" s="308">
        <f t="shared" si="8"/>
        <v>99.375</v>
      </c>
      <c r="O85" s="303"/>
      <c r="P85" s="304"/>
      <c r="Q85" s="304"/>
      <c r="R85" s="356"/>
    </row>
    <row r="86" spans="1:18" s="6" customFormat="1" ht="16.5" customHeight="1">
      <c r="A86" s="745" t="s">
        <v>267</v>
      </c>
      <c r="B86" s="333"/>
      <c r="C86" s="334"/>
      <c r="D86" s="304"/>
      <c r="E86" s="304"/>
      <c r="F86" s="308"/>
      <c r="G86" s="307">
        <v>30</v>
      </c>
      <c r="H86" s="307">
        <v>30</v>
      </c>
      <c r="I86" s="307">
        <v>15</v>
      </c>
      <c r="J86" s="308">
        <f t="shared" si="7"/>
        <v>50</v>
      </c>
      <c r="K86" s="307">
        <v>555</v>
      </c>
      <c r="L86" s="307">
        <v>555</v>
      </c>
      <c r="M86" s="307">
        <v>524</v>
      </c>
      <c r="N86" s="308">
        <f t="shared" si="8"/>
        <v>94.41441441441441</v>
      </c>
      <c r="O86" s="303"/>
      <c r="P86" s="304"/>
      <c r="Q86" s="304"/>
      <c r="R86" s="356"/>
    </row>
    <row r="87" spans="1:18" s="6" customFormat="1" ht="16.5" customHeight="1">
      <c r="A87" s="746" t="s">
        <v>268</v>
      </c>
      <c r="B87" s="333"/>
      <c r="C87" s="334"/>
      <c r="D87" s="304"/>
      <c r="E87" s="304"/>
      <c r="F87" s="308"/>
      <c r="G87" s="307">
        <v>4</v>
      </c>
      <c r="H87" s="307">
        <v>4</v>
      </c>
      <c r="I87" s="307">
        <v>2</v>
      </c>
      <c r="J87" s="308">
        <f t="shared" si="7"/>
        <v>50</v>
      </c>
      <c r="K87" s="303"/>
      <c r="L87" s="304"/>
      <c r="M87" s="304"/>
      <c r="N87" s="308"/>
      <c r="O87" s="303"/>
      <c r="P87" s="304"/>
      <c r="Q87" s="304"/>
      <c r="R87" s="356"/>
    </row>
    <row r="88" spans="1:18" s="6" customFormat="1" ht="16.5" customHeight="1">
      <c r="A88" s="746" t="s">
        <v>269</v>
      </c>
      <c r="B88" s="333"/>
      <c r="C88" s="303"/>
      <c r="D88" s="304"/>
      <c r="E88" s="304"/>
      <c r="F88" s="308"/>
      <c r="G88" s="303"/>
      <c r="H88" s="304"/>
      <c r="I88" s="304"/>
      <c r="J88" s="308"/>
      <c r="K88" s="303"/>
      <c r="L88" s="304"/>
      <c r="M88" s="304"/>
      <c r="N88" s="308"/>
      <c r="O88" s="303"/>
      <c r="P88" s="304"/>
      <c r="Q88" s="304"/>
      <c r="R88" s="356"/>
    </row>
    <row r="89" spans="1:18" s="6" customFormat="1" ht="16.5" customHeight="1">
      <c r="A89" s="746" t="s">
        <v>270</v>
      </c>
      <c r="B89" s="333"/>
      <c r="C89" s="303"/>
      <c r="D89" s="304">
        <v>1</v>
      </c>
      <c r="E89" s="304">
        <v>1</v>
      </c>
      <c r="F89" s="308">
        <f>SUM(E89/D89*100)</f>
        <v>100</v>
      </c>
      <c r="G89" s="303"/>
      <c r="H89" s="304"/>
      <c r="I89" s="304"/>
      <c r="J89" s="308"/>
      <c r="K89" s="303"/>
      <c r="L89" s="304"/>
      <c r="M89" s="304"/>
      <c r="N89" s="308"/>
      <c r="O89" s="303"/>
      <c r="P89" s="304"/>
      <c r="Q89" s="304"/>
      <c r="R89" s="356"/>
    </row>
    <row r="90" spans="1:18" s="6" customFormat="1" ht="16.5" customHeight="1">
      <c r="A90" s="746" t="s">
        <v>271</v>
      </c>
      <c r="B90" s="333"/>
      <c r="C90" s="303"/>
      <c r="D90" s="304"/>
      <c r="E90" s="304"/>
      <c r="F90" s="308"/>
      <c r="G90" s="303"/>
      <c r="H90" s="304"/>
      <c r="I90" s="304"/>
      <c r="J90" s="308"/>
      <c r="K90" s="303"/>
      <c r="L90" s="304"/>
      <c r="M90" s="304"/>
      <c r="N90" s="308"/>
      <c r="O90" s="303"/>
      <c r="P90" s="304"/>
      <c r="Q90" s="304"/>
      <c r="R90" s="356"/>
    </row>
    <row r="91" spans="1:18" s="6" customFormat="1" ht="16.5" customHeight="1" thickBot="1">
      <c r="A91" s="622"/>
      <c r="B91" s="630"/>
      <c r="C91" s="639"/>
      <c r="D91" s="626"/>
      <c r="E91" s="626"/>
      <c r="F91" s="635"/>
      <c r="G91" s="639"/>
      <c r="H91" s="626"/>
      <c r="I91" s="626"/>
      <c r="J91" s="635"/>
      <c r="K91" s="639"/>
      <c r="L91" s="626"/>
      <c r="M91" s="626"/>
      <c r="N91" s="635"/>
      <c r="O91" s="639"/>
      <c r="P91" s="626"/>
      <c r="Q91" s="626"/>
      <c r="R91" s="641"/>
    </row>
    <row r="92" spans="3:18" s="6" customFormat="1" ht="15" customHeight="1">
      <c r="C92" s="313"/>
      <c r="D92" s="313"/>
      <c r="E92" s="313"/>
      <c r="F92" s="38"/>
      <c r="G92" s="313"/>
      <c r="H92" s="313"/>
      <c r="I92" s="313"/>
      <c r="J92" s="38"/>
      <c r="K92" s="313"/>
      <c r="L92" s="313"/>
      <c r="M92" s="313"/>
      <c r="N92" s="342"/>
      <c r="Q92" s="313"/>
      <c r="R92" s="8"/>
    </row>
    <row r="93" spans="3:18" s="6" customFormat="1" ht="16.5" customHeight="1" hidden="1">
      <c r="C93" s="313"/>
      <c r="D93" s="313"/>
      <c r="E93" s="313"/>
      <c r="F93" s="38"/>
      <c r="G93" s="313"/>
      <c r="H93" s="313"/>
      <c r="I93" s="313"/>
      <c r="J93" s="38"/>
      <c r="K93" s="313"/>
      <c r="L93" s="313"/>
      <c r="M93" s="313"/>
      <c r="N93" s="342"/>
      <c r="Q93" s="313"/>
      <c r="R93" s="8"/>
    </row>
    <row r="94" spans="6:18" s="6" customFormat="1" ht="16.5" customHeight="1" thickBot="1">
      <c r="F94" s="38"/>
      <c r="J94" s="38"/>
      <c r="N94" s="342"/>
      <c r="R94" s="8"/>
    </row>
    <row r="95" spans="1:18" s="6" customFormat="1" ht="18" customHeight="1" thickBot="1">
      <c r="A95" s="37" t="s">
        <v>6</v>
      </c>
      <c r="C95" s="314">
        <f>SUM(C62:C90)</f>
        <v>8510</v>
      </c>
      <c r="D95" s="315">
        <f>SUM(D62:D90)</f>
        <v>4826</v>
      </c>
      <c r="E95" s="315">
        <f>SUM(E62:E90)</f>
        <v>4683</v>
      </c>
      <c r="F95" s="316">
        <f>SUM(E95/D95*100)</f>
        <v>97.0368835474513</v>
      </c>
      <c r="G95" s="314">
        <f>SUM(G62:G90)</f>
        <v>3743</v>
      </c>
      <c r="H95" s="315">
        <f>SUM(H62:H90)</f>
        <v>3533</v>
      </c>
      <c r="I95" s="315">
        <f>SUM(I62:I90)</f>
        <v>3419</v>
      </c>
      <c r="J95" s="316">
        <f>SUM(I95/H95*100)</f>
        <v>96.7732804981602</v>
      </c>
      <c r="K95" s="314">
        <f>SUM(K62:K90)</f>
        <v>41095</v>
      </c>
      <c r="L95" s="315">
        <f>SUM(L62:L90)</f>
        <v>37920</v>
      </c>
      <c r="M95" s="315">
        <f>SUM(M62:M90)</f>
        <v>49351</v>
      </c>
      <c r="N95" s="316">
        <f>SUM(M95/L95*100)</f>
        <v>130.1450421940928</v>
      </c>
      <c r="O95" s="314">
        <f>SUM(O62:O90)</f>
        <v>20</v>
      </c>
      <c r="P95" s="315">
        <f>SUM(P62:P94)</f>
        <v>32</v>
      </c>
      <c r="Q95" s="315">
        <f>SUM(Q61:Q91)</f>
        <v>12</v>
      </c>
      <c r="R95" s="316">
        <f>SUM(Q95/P95*100)</f>
        <v>37.5</v>
      </c>
    </row>
    <row r="96" s="6" customFormat="1" ht="15.75" hidden="1">
      <c r="Q96" s="15"/>
    </row>
    <row r="97" spans="3:17" s="317" customFormat="1" ht="15" hidden="1">
      <c r="C97" s="317">
        <v>16323</v>
      </c>
      <c r="D97" s="317">
        <v>12708</v>
      </c>
      <c r="E97" s="317">
        <v>9371878</v>
      </c>
      <c r="G97" s="317">
        <v>3188</v>
      </c>
      <c r="H97" s="317">
        <v>3385</v>
      </c>
      <c r="I97" s="317">
        <v>3727599</v>
      </c>
      <c r="J97" s="343"/>
      <c r="K97" s="317">
        <v>42549</v>
      </c>
      <c r="L97" s="317">
        <v>49819</v>
      </c>
      <c r="M97" s="317">
        <v>51136393</v>
      </c>
      <c r="O97" s="317">
        <v>17</v>
      </c>
      <c r="P97" s="317">
        <v>205</v>
      </c>
      <c r="Q97" s="317">
        <v>204843</v>
      </c>
    </row>
    <row r="98" s="6" customFormat="1" ht="15.75" hidden="1"/>
    <row r="99" s="6" customFormat="1" ht="15.75" hidden="1"/>
    <row r="100" s="6" customFormat="1" ht="15.75"/>
    <row r="101" s="6" customFormat="1" ht="15.75"/>
    <row r="102" spans="3:17" s="322" customFormat="1" ht="15.75">
      <c r="C102" s="322">
        <v>8510</v>
      </c>
      <c r="D102" s="322">
        <v>4826</v>
      </c>
      <c r="E102" s="322">
        <v>4683</v>
      </c>
      <c r="G102" s="322">
        <v>3743</v>
      </c>
      <c r="H102" s="322">
        <v>3533</v>
      </c>
      <c r="I102" s="322">
        <v>3419</v>
      </c>
      <c r="K102" s="322">
        <v>41095</v>
      </c>
      <c r="L102" s="322">
        <v>37920</v>
      </c>
      <c r="M102" s="322">
        <v>49351</v>
      </c>
      <c r="O102" s="322">
        <v>20</v>
      </c>
      <c r="P102" s="322">
        <v>32</v>
      </c>
      <c r="Q102" s="322">
        <v>12</v>
      </c>
    </row>
  </sheetData>
  <mergeCells count="4">
    <mergeCell ref="A2:S2"/>
    <mergeCell ref="A8:B8"/>
    <mergeCell ref="A9:B9"/>
    <mergeCell ref="A56:B56"/>
  </mergeCells>
  <printOptions horizontalCentered="1" verticalCentered="1"/>
  <pageMargins left="0.1968503937007874" right="0.1968503937007874" top="0.7480314960629921" bottom="0.7480314960629921" header="0.5118110236220472" footer="0.5118110236220472"/>
  <pageSetup horizontalDpi="600" verticalDpi="600" orientation="landscape" paperSize="9" scale="55" r:id="rId3"/>
  <rowBreaks count="1" manualBreakCount="1">
    <brk id="47" max="1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I56"/>
  <sheetViews>
    <sheetView showZeros="0" view="pageBreakPreview" zoomScale="60" zoomScaleNormal="70" workbookViewId="0" topLeftCell="A1">
      <pane xSplit="2" ySplit="12" topLeftCell="C13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U17" sqref="U17"/>
    </sheetView>
  </sheetViews>
  <sheetFormatPr defaultColWidth="9.796875" defaultRowHeight="15"/>
  <cols>
    <col min="1" max="1" width="9.796875" style="252" customWidth="1"/>
    <col min="2" max="2" width="16" style="252" customWidth="1"/>
    <col min="3" max="9" width="7.796875" style="252" customWidth="1"/>
    <col min="10" max="10" width="9.69921875" style="252" customWidth="1"/>
    <col min="11" max="18" width="7.796875" style="252" customWidth="1"/>
    <col min="19" max="19" width="7.09765625" style="252" customWidth="1"/>
    <col min="20" max="26" width="7.796875" style="252" customWidth="1"/>
    <col min="27" max="27" width="5.19921875" style="252" customWidth="1"/>
    <col min="28" max="29" width="12.19921875" style="252" customWidth="1"/>
    <col min="30" max="30" width="13" style="252" customWidth="1"/>
    <col min="31" max="48" width="7.796875" style="252" customWidth="1"/>
    <col min="49" max="16384" width="9.796875" style="252" customWidth="1"/>
  </cols>
  <sheetData>
    <row r="1" s="6" customFormat="1" ht="17.25" customHeight="1">
      <c r="A1" s="5"/>
    </row>
    <row r="2" spans="1:26" s="6" customFormat="1" ht="24" customHeight="1">
      <c r="A2" s="752" t="s">
        <v>232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752"/>
      <c r="Y2" s="752"/>
      <c r="Z2" s="752"/>
    </row>
    <row r="3" spans="1:35" s="6" customFormat="1" ht="15" customHeight="1">
      <c r="A3" s="752"/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  <c r="R3" s="752"/>
      <c r="S3" s="752"/>
      <c r="T3" s="752"/>
      <c r="U3" s="752"/>
      <c r="V3" s="752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26" s="6" customFormat="1" ht="21" customHeight="1">
      <c r="A4" s="761" t="s">
        <v>67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</row>
    <row r="5" spans="8:10" s="6" customFormat="1" ht="22.5" customHeight="1">
      <c r="H5" s="40" t="s">
        <v>68</v>
      </c>
      <c r="J5" s="12"/>
    </row>
    <row r="6" spans="1:26" s="6" customFormat="1" ht="22.5" customHeight="1">
      <c r="A6" s="11"/>
      <c r="B6" s="11"/>
      <c r="D6" s="11"/>
      <c r="E6" s="11"/>
      <c r="F6" s="11"/>
      <c r="G6" s="11"/>
      <c r="H6" s="11"/>
      <c r="I6" s="12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40"/>
      <c r="V6" s="15"/>
      <c r="W6" s="11"/>
      <c r="X6" s="11"/>
      <c r="Y6" s="40" t="s">
        <v>69</v>
      </c>
      <c r="Z6" s="15"/>
    </row>
    <row r="7" spans="1:26" s="6" customFormat="1" ht="16.5" customHeight="1" thickBot="1">
      <c r="A7" s="11"/>
      <c r="B7" s="11"/>
      <c r="C7" s="86"/>
      <c r="D7" s="87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T7" s="11"/>
      <c r="V7" s="36"/>
      <c r="X7" s="11"/>
      <c r="Z7" s="36" t="s">
        <v>3</v>
      </c>
    </row>
    <row r="8" spans="1:30" s="6" customFormat="1" ht="18" customHeight="1">
      <c r="A8" s="16"/>
      <c r="B8" s="17"/>
      <c r="C8" s="88" t="s">
        <v>70</v>
      </c>
      <c r="D8" s="89"/>
      <c r="E8" s="89"/>
      <c r="F8" s="90"/>
      <c r="G8" s="88" t="s">
        <v>71</v>
      </c>
      <c r="H8" s="91"/>
      <c r="I8" s="89"/>
      <c r="J8" s="90"/>
      <c r="K8" s="92" t="s">
        <v>281</v>
      </c>
      <c r="L8" s="93"/>
      <c r="M8" s="93"/>
      <c r="N8" s="94"/>
      <c r="O8" s="92" t="s">
        <v>72</v>
      </c>
      <c r="P8" s="93"/>
      <c r="Q8" s="93"/>
      <c r="R8" s="94"/>
      <c r="S8" s="95" t="s">
        <v>241</v>
      </c>
      <c r="T8" s="58"/>
      <c r="U8" s="58"/>
      <c r="V8" s="96"/>
      <c r="W8" s="95" t="s">
        <v>208</v>
      </c>
      <c r="X8" s="58"/>
      <c r="Y8" s="58"/>
      <c r="Z8" s="96"/>
      <c r="AA8" s="3"/>
      <c r="AB8" s="24"/>
      <c r="AC8" s="24"/>
      <c r="AD8" s="24"/>
    </row>
    <row r="9" spans="1:30" s="6" customFormat="1" ht="18" customHeight="1">
      <c r="A9" s="756" t="s">
        <v>285</v>
      </c>
      <c r="B9" s="757"/>
      <c r="C9" s="97" t="s">
        <v>40</v>
      </c>
      <c r="D9" s="98"/>
      <c r="E9" s="99" t="s">
        <v>41</v>
      </c>
      <c r="F9" s="100" t="s">
        <v>2</v>
      </c>
      <c r="G9" s="101" t="s">
        <v>40</v>
      </c>
      <c r="H9" s="102"/>
      <c r="I9" s="103" t="s">
        <v>41</v>
      </c>
      <c r="J9" s="104" t="s">
        <v>2</v>
      </c>
      <c r="K9" s="105" t="s">
        <v>40</v>
      </c>
      <c r="L9" s="106"/>
      <c r="M9" s="99" t="s">
        <v>41</v>
      </c>
      <c r="N9" s="100" t="s">
        <v>2</v>
      </c>
      <c r="O9" s="105" t="s">
        <v>40</v>
      </c>
      <c r="P9" s="106"/>
      <c r="Q9" s="99" t="s">
        <v>41</v>
      </c>
      <c r="R9" s="100" t="s">
        <v>2</v>
      </c>
      <c r="S9" s="105" t="s">
        <v>40</v>
      </c>
      <c r="T9" s="106"/>
      <c r="U9" s="99" t="s">
        <v>41</v>
      </c>
      <c r="V9" s="100" t="s">
        <v>2</v>
      </c>
      <c r="W9" s="105" t="s">
        <v>40</v>
      </c>
      <c r="X9" s="106"/>
      <c r="Y9" s="99" t="s">
        <v>41</v>
      </c>
      <c r="Z9" s="100" t="s">
        <v>2</v>
      </c>
      <c r="AA9" s="3"/>
      <c r="AB9" s="763" t="s">
        <v>276</v>
      </c>
      <c r="AC9" s="764"/>
      <c r="AD9" s="765"/>
    </row>
    <row r="10" spans="1:30" s="6" customFormat="1" ht="18" customHeight="1" thickBot="1">
      <c r="A10" s="29"/>
      <c r="B10" s="30"/>
      <c r="C10" s="31" t="s">
        <v>73</v>
      </c>
      <c r="D10" s="33" t="s">
        <v>74</v>
      </c>
      <c r="E10" s="33" t="s">
        <v>200</v>
      </c>
      <c r="F10" s="34" t="s">
        <v>19</v>
      </c>
      <c r="G10" s="107" t="s">
        <v>73</v>
      </c>
      <c r="H10" s="108" t="s">
        <v>74</v>
      </c>
      <c r="I10" s="33" t="s">
        <v>200</v>
      </c>
      <c r="J10" s="109" t="s">
        <v>19</v>
      </c>
      <c r="K10" s="107" t="s">
        <v>73</v>
      </c>
      <c r="L10" s="108" t="s">
        <v>74</v>
      </c>
      <c r="M10" s="33" t="s">
        <v>200</v>
      </c>
      <c r="N10" s="109" t="s">
        <v>19</v>
      </c>
      <c r="O10" s="107" t="s">
        <v>73</v>
      </c>
      <c r="P10" s="108" t="s">
        <v>74</v>
      </c>
      <c r="Q10" s="33" t="s">
        <v>200</v>
      </c>
      <c r="R10" s="109" t="s">
        <v>19</v>
      </c>
      <c r="S10" s="107" t="s">
        <v>73</v>
      </c>
      <c r="T10" s="108" t="s">
        <v>74</v>
      </c>
      <c r="U10" s="33" t="s">
        <v>200</v>
      </c>
      <c r="V10" s="109" t="s">
        <v>19</v>
      </c>
      <c r="W10" s="107" t="s">
        <v>73</v>
      </c>
      <c r="X10" s="108" t="s">
        <v>74</v>
      </c>
      <c r="Y10" s="33" t="s">
        <v>200</v>
      </c>
      <c r="Z10" s="109" t="s">
        <v>19</v>
      </c>
      <c r="AA10" s="3"/>
      <c r="AB10" s="57" t="s">
        <v>20</v>
      </c>
      <c r="AC10" s="57" t="s">
        <v>21</v>
      </c>
      <c r="AD10" s="57" t="s">
        <v>275</v>
      </c>
    </row>
    <row r="11" spans="4:30" s="6" customFormat="1" ht="15.75" customHeight="1" hidden="1" thickBot="1" thickTop="1">
      <c r="D11" s="6" t="s">
        <v>75</v>
      </c>
      <c r="H11" s="6" t="s">
        <v>77</v>
      </c>
      <c r="L11" s="6" t="s">
        <v>78</v>
      </c>
      <c r="P11" s="6" t="s">
        <v>79</v>
      </c>
      <c r="S11" s="6" t="s">
        <v>40</v>
      </c>
      <c r="U11" s="6" t="s">
        <v>41</v>
      </c>
      <c r="V11" s="6" t="s">
        <v>2</v>
      </c>
      <c r="W11" s="6" t="s">
        <v>40</v>
      </c>
      <c r="Y11" s="6" t="s">
        <v>41</v>
      </c>
      <c r="Z11" s="6" t="s">
        <v>2</v>
      </c>
      <c r="AA11" s="24"/>
      <c r="AB11" s="59"/>
      <c r="AC11" s="59"/>
      <c r="AD11" s="59"/>
    </row>
    <row r="12" spans="3:30" s="6" customFormat="1" ht="15.75" customHeight="1">
      <c r="C12" s="736" t="s">
        <v>80</v>
      </c>
      <c r="D12" s="736"/>
      <c r="E12" s="736"/>
      <c r="F12" s="736"/>
      <c r="G12" s="736" t="s">
        <v>81</v>
      </c>
      <c r="H12" s="736"/>
      <c r="I12" s="736"/>
      <c r="J12" s="736"/>
      <c r="K12" s="736" t="s">
        <v>150</v>
      </c>
      <c r="L12" s="736"/>
      <c r="M12" s="736"/>
      <c r="N12" s="736"/>
      <c r="O12" s="736" t="s">
        <v>82</v>
      </c>
      <c r="P12" s="736"/>
      <c r="Q12" s="736"/>
      <c r="R12" s="736"/>
      <c r="S12" s="736" t="s">
        <v>164</v>
      </c>
      <c r="T12" s="736"/>
      <c r="U12" s="736"/>
      <c r="V12" s="736"/>
      <c r="W12" s="736" t="s">
        <v>218</v>
      </c>
      <c r="X12" s="736"/>
      <c r="Y12" s="736"/>
      <c r="Z12" s="736"/>
      <c r="AA12" s="24"/>
      <c r="AB12" s="763" t="s">
        <v>277</v>
      </c>
      <c r="AC12" s="764"/>
      <c r="AD12" s="765"/>
    </row>
    <row r="13" spans="3:30" s="6" customFormat="1" ht="15.75" customHeight="1" thickBot="1">
      <c r="C13" s="6" t="s">
        <v>83</v>
      </c>
      <c r="D13" s="39"/>
      <c r="AA13" s="24"/>
      <c r="AB13" s="59"/>
      <c r="AC13" s="59"/>
      <c r="AD13" s="59"/>
    </row>
    <row r="14" spans="1:30" s="6" customFormat="1" ht="16.5" customHeight="1">
      <c r="A14" s="357"/>
      <c r="B14" s="484"/>
      <c r="C14" s="348"/>
      <c r="D14" s="349"/>
      <c r="E14" s="349"/>
      <c r="F14" s="481"/>
      <c r="G14" s="448"/>
      <c r="H14" s="349"/>
      <c r="I14" s="349"/>
      <c r="J14" s="341"/>
      <c r="K14" s="348"/>
      <c r="L14" s="349"/>
      <c r="M14" s="349"/>
      <c r="N14" s="341"/>
      <c r="O14" s="348"/>
      <c r="P14" s="349"/>
      <c r="Q14" s="349"/>
      <c r="R14" s="341"/>
      <c r="S14" s="348"/>
      <c r="T14" s="349"/>
      <c r="U14" s="349"/>
      <c r="V14" s="341"/>
      <c r="W14" s="348"/>
      <c r="X14" s="349"/>
      <c r="Y14" s="349"/>
      <c r="Z14" s="341"/>
      <c r="AA14" s="24"/>
      <c r="AB14" s="59"/>
      <c r="AC14" s="59"/>
      <c r="AD14" s="59"/>
    </row>
    <row r="15" spans="1:30" s="6" customFormat="1" ht="16.5" customHeight="1">
      <c r="A15" s="748" t="s">
        <v>243</v>
      </c>
      <c r="B15" s="329"/>
      <c r="C15" s="346">
        <v>2570</v>
      </c>
      <c r="D15" s="309">
        <v>2980</v>
      </c>
      <c r="E15" s="309">
        <v>3049</v>
      </c>
      <c r="F15" s="308">
        <f aca="true" t="shared" si="0" ref="F15:F33">E15/D15*100</f>
        <v>102.31543624161074</v>
      </c>
      <c r="G15" s="309">
        <v>6245</v>
      </c>
      <c r="H15" s="309">
        <v>7905</v>
      </c>
      <c r="I15" s="309">
        <v>9706</v>
      </c>
      <c r="J15" s="308">
        <f aca="true" t="shared" si="1" ref="J15:J43">I15/H15*100</f>
        <v>122.7830487033523</v>
      </c>
      <c r="K15" s="309">
        <v>1600</v>
      </c>
      <c r="L15" s="309">
        <v>600</v>
      </c>
      <c r="M15" s="309">
        <v>573</v>
      </c>
      <c r="N15" s="308">
        <f>M15/L15*100</f>
        <v>95.5</v>
      </c>
      <c r="O15" s="309">
        <v>2900</v>
      </c>
      <c r="P15" s="309">
        <v>2900</v>
      </c>
      <c r="Q15" s="309">
        <v>2274</v>
      </c>
      <c r="R15" s="308">
        <f aca="true" t="shared" si="2" ref="R15:R23">Q15/P15*100</f>
        <v>78.41379310344827</v>
      </c>
      <c r="S15" s="303"/>
      <c r="T15" s="309">
        <v>34026</v>
      </c>
      <c r="U15" s="309">
        <v>34026</v>
      </c>
      <c r="V15" s="308">
        <f aca="true" t="shared" si="3" ref="V15:V43">U15/T15*100</f>
        <v>100</v>
      </c>
      <c r="W15" s="393">
        <f>ROUND(-AB15/1000,0)-C15-G15-K15-O15-S15</f>
        <v>2520</v>
      </c>
      <c r="X15" s="485">
        <f aca="true" t="shared" si="4" ref="X15:Y30">ROUND(-AC15/1000,0)-D15-H15-L15-P15-T15</f>
        <v>2769</v>
      </c>
      <c r="Y15" s="486">
        <f t="shared" si="4"/>
        <v>2129</v>
      </c>
      <c r="Z15" s="308">
        <f aca="true" t="shared" si="5" ref="Z15:Z43">Y15/X15*100</f>
        <v>76.88696280245576</v>
      </c>
      <c r="AA15" s="24"/>
      <c r="AB15" s="487">
        <v>-15835000</v>
      </c>
      <c r="AC15" s="487">
        <v>-51180000</v>
      </c>
      <c r="AD15" s="455">
        <v>-51757015.69</v>
      </c>
    </row>
    <row r="16" spans="1:30" s="6" customFormat="1" ht="16.5" customHeight="1">
      <c r="A16" s="749" t="s">
        <v>244</v>
      </c>
      <c r="B16" s="329"/>
      <c r="C16" s="347">
        <v>480</v>
      </c>
      <c r="D16" s="307">
        <v>590</v>
      </c>
      <c r="E16" s="307">
        <v>591</v>
      </c>
      <c r="F16" s="308">
        <f t="shared" si="0"/>
        <v>100.16949152542374</v>
      </c>
      <c r="G16" s="309">
        <v>2990</v>
      </c>
      <c r="H16" s="309">
        <v>3460</v>
      </c>
      <c r="I16" s="309">
        <v>3483</v>
      </c>
      <c r="J16" s="308">
        <f t="shared" si="1"/>
        <v>100.66473988439306</v>
      </c>
      <c r="K16" s="307">
        <v>80</v>
      </c>
      <c r="L16" s="307">
        <v>100</v>
      </c>
      <c r="M16" s="307">
        <v>105</v>
      </c>
      <c r="N16" s="308">
        <f>M16/L16*100</f>
        <v>105</v>
      </c>
      <c r="O16" s="307">
        <v>25</v>
      </c>
      <c r="P16" s="307">
        <v>25</v>
      </c>
      <c r="Q16" s="307">
        <v>12</v>
      </c>
      <c r="R16" s="308">
        <f t="shared" si="2"/>
        <v>48</v>
      </c>
      <c r="S16" s="303"/>
      <c r="T16" s="309">
        <v>890</v>
      </c>
      <c r="U16" s="309">
        <v>889</v>
      </c>
      <c r="V16" s="308">
        <f t="shared" si="3"/>
        <v>99.8876404494382</v>
      </c>
      <c r="W16" s="393">
        <f aca="true" t="shared" si="6" ref="W16:Y43">ROUND(-AB16/1000,0)-C16-G16-K16-O16-S16</f>
        <v>220</v>
      </c>
      <c r="X16" s="485">
        <f t="shared" si="4"/>
        <v>3641</v>
      </c>
      <c r="Y16" s="486">
        <f t="shared" si="4"/>
        <v>3640</v>
      </c>
      <c r="Z16" s="308">
        <f t="shared" si="5"/>
        <v>99.97253501785224</v>
      </c>
      <c r="AA16" s="24"/>
      <c r="AB16" s="487">
        <v>-3795000</v>
      </c>
      <c r="AC16" s="487">
        <v>-8706000</v>
      </c>
      <c r="AD16" s="455">
        <v>-8720346.12</v>
      </c>
    </row>
    <row r="17" spans="1:30" s="6" customFormat="1" ht="16.5" customHeight="1">
      <c r="A17" s="749" t="s">
        <v>245</v>
      </c>
      <c r="B17" s="329"/>
      <c r="C17" s="347">
        <v>6</v>
      </c>
      <c r="D17" s="307">
        <v>120</v>
      </c>
      <c r="E17" s="307">
        <v>170</v>
      </c>
      <c r="F17" s="308">
        <f t="shared" si="0"/>
        <v>141.66666666666669</v>
      </c>
      <c r="G17" s="309">
        <v>3134</v>
      </c>
      <c r="H17" s="309">
        <v>3132</v>
      </c>
      <c r="I17" s="309">
        <v>3378</v>
      </c>
      <c r="J17" s="308">
        <f t="shared" si="1"/>
        <v>107.8544061302682</v>
      </c>
      <c r="K17" s="307">
        <v>140</v>
      </c>
      <c r="L17" s="307">
        <v>140</v>
      </c>
      <c r="M17" s="307">
        <v>266</v>
      </c>
      <c r="N17" s="308">
        <f aca="true" t="shared" si="7" ref="N17:N43">M17/L17*100</f>
        <v>190</v>
      </c>
      <c r="O17" s="307">
        <v>4</v>
      </c>
      <c r="P17" s="307">
        <v>6</v>
      </c>
      <c r="Q17" s="307">
        <f>54-1</f>
        <v>53</v>
      </c>
      <c r="R17" s="308">
        <f t="shared" si="2"/>
        <v>883.3333333333334</v>
      </c>
      <c r="S17" s="303"/>
      <c r="T17" s="309">
        <v>3960</v>
      </c>
      <c r="U17" s="309">
        <v>3960</v>
      </c>
      <c r="V17" s="308">
        <f t="shared" si="3"/>
        <v>100</v>
      </c>
      <c r="W17" s="393">
        <f t="shared" si="6"/>
        <v>201</v>
      </c>
      <c r="X17" s="485">
        <f t="shared" si="4"/>
        <v>576</v>
      </c>
      <c r="Y17" s="486">
        <f t="shared" si="4"/>
        <v>378</v>
      </c>
      <c r="Z17" s="308">
        <f t="shared" si="5"/>
        <v>65.625</v>
      </c>
      <c r="AA17" s="24"/>
      <c r="AB17" s="487">
        <v>-3485000</v>
      </c>
      <c r="AC17" s="487">
        <v>-7934000</v>
      </c>
      <c r="AD17" s="455">
        <v>-8205413.99</v>
      </c>
    </row>
    <row r="18" spans="1:30" s="6" customFormat="1" ht="16.5" customHeight="1">
      <c r="A18" s="749" t="s">
        <v>246</v>
      </c>
      <c r="B18" s="329"/>
      <c r="C18" s="347">
        <v>237</v>
      </c>
      <c r="D18" s="309">
        <v>281</v>
      </c>
      <c r="E18" s="309">
        <v>331</v>
      </c>
      <c r="F18" s="308">
        <f t="shared" si="0"/>
        <v>117.79359430604983</v>
      </c>
      <c r="G18" s="309">
        <v>1126</v>
      </c>
      <c r="H18" s="309">
        <v>1126</v>
      </c>
      <c r="I18" s="309">
        <f>1590-1</f>
        <v>1589</v>
      </c>
      <c r="J18" s="308">
        <f t="shared" si="1"/>
        <v>141.1190053285968</v>
      </c>
      <c r="K18" s="307">
        <v>190</v>
      </c>
      <c r="L18" s="307">
        <v>190</v>
      </c>
      <c r="M18" s="307">
        <v>239</v>
      </c>
      <c r="N18" s="308">
        <f t="shared" si="7"/>
        <v>125.78947368421052</v>
      </c>
      <c r="O18" s="307">
        <v>0</v>
      </c>
      <c r="P18" s="307">
        <v>21</v>
      </c>
      <c r="Q18" s="307">
        <v>48</v>
      </c>
      <c r="R18" s="308">
        <f t="shared" si="2"/>
        <v>228.57142857142856</v>
      </c>
      <c r="S18" s="303"/>
      <c r="T18" s="309">
        <v>632</v>
      </c>
      <c r="U18" s="309">
        <v>632</v>
      </c>
      <c r="V18" s="308">
        <f t="shared" si="3"/>
        <v>100</v>
      </c>
      <c r="W18" s="393">
        <f t="shared" si="6"/>
        <v>0</v>
      </c>
      <c r="X18" s="485">
        <f t="shared" si="4"/>
        <v>15</v>
      </c>
      <c r="Y18" s="486">
        <f t="shared" si="4"/>
        <v>215</v>
      </c>
      <c r="Z18" s="308">
        <f t="shared" si="5"/>
        <v>1433.3333333333335</v>
      </c>
      <c r="AA18" s="24"/>
      <c r="AB18" s="487">
        <v>-1553000</v>
      </c>
      <c r="AC18" s="487">
        <v>-2265000</v>
      </c>
      <c r="AD18" s="455">
        <v>-3054013.67</v>
      </c>
    </row>
    <row r="19" spans="1:30" s="6" customFormat="1" ht="16.5" customHeight="1">
      <c r="A19" s="749" t="s">
        <v>247</v>
      </c>
      <c r="B19" s="329"/>
      <c r="C19" s="347">
        <v>185</v>
      </c>
      <c r="D19" s="307">
        <v>290</v>
      </c>
      <c r="E19" s="307">
        <v>304</v>
      </c>
      <c r="F19" s="308">
        <f t="shared" si="0"/>
        <v>104.82758620689656</v>
      </c>
      <c r="G19" s="309">
        <v>2851</v>
      </c>
      <c r="H19" s="309">
        <v>3703</v>
      </c>
      <c r="I19" s="309">
        <v>4050</v>
      </c>
      <c r="J19" s="308">
        <f t="shared" si="1"/>
        <v>109.37078044828516</v>
      </c>
      <c r="K19" s="307">
        <v>253</v>
      </c>
      <c r="L19" s="307">
        <v>705</v>
      </c>
      <c r="M19" s="307">
        <v>745</v>
      </c>
      <c r="N19" s="308">
        <f t="shared" si="7"/>
        <v>105.67375886524823</v>
      </c>
      <c r="O19" s="307"/>
      <c r="P19" s="307">
        <v>17</v>
      </c>
      <c r="Q19" s="307">
        <f>18-1</f>
        <v>17</v>
      </c>
      <c r="R19" s="308">
        <f t="shared" si="2"/>
        <v>100</v>
      </c>
      <c r="S19" s="303"/>
      <c r="T19" s="309">
        <v>786</v>
      </c>
      <c r="U19" s="309">
        <v>786</v>
      </c>
      <c r="V19" s="308">
        <f t="shared" si="3"/>
        <v>100</v>
      </c>
      <c r="W19" s="393">
        <f t="shared" si="6"/>
        <v>153</v>
      </c>
      <c r="X19" s="485">
        <f t="shared" si="4"/>
        <v>1322</v>
      </c>
      <c r="Y19" s="486">
        <f t="shared" si="4"/>
        <v>1318</v>
      </c>
      <c r="Z19" s="308">
        <f t="shared" si="5"/>
        <v>99.69742813918305</v>
      </c>
      <c r="AA19" s="24"/>
      <c r="AB19" s="487">
        <v>-3442000</v>
      </c>
      <c r="AC19" s="487">
        <v>-6823000</v>
      </c>
      <c r="AD19" s="455">
        <v>-7219507.36</v>
      </c>
    </row>
    <row r="20" spans="1:30" s="6" customFormat="1" ht="16.5" customHeight="1">
      <c r="A20" s="749" t="s">
        <v>248</v>
      </c>
      <c r="B20" s="329"/>
      <c r="C20" s="347">
        <v>61</v>
      </c>
      <c r="D20" s="307">
        <v>71</v>
      </c>
      <c r="E20" s="307">
        <f>87+1</f>
        <v>88</v>
      </c>
      <c r="F20" s="308">
        <f t="shared" si="0"/>
        <v>123.94366197183098</v>
      </c>
      <c r="G20" s="309">
        <v>2698</v>
      </c>
      <c r="H20" s="309">
        <v>2698</v>
      </c>
      <c r="I20" s="309">
        <v>2635</v>
      </c>
      <c r="J20" s="308">
        <f t="shared" si="1"/>
        <v>97.66493699036323</v>
      </c>
      <c r="K20" s="307">
        <v>40</v>
      </c>
      <c r="L20" s="307">
        <v>40</v>
      </c>
      <c r="M20" s="307">
        <v>39</v>
      </c>
      <c r="N20" s="308">
        <f t="shared" si="7"/>
        <v>97.5</v>
      </c>
      <c r="O20" s="307">
        <v>14</v>
      </c>
      <c r="P20" s="307">
        <v>18</v>
      </c>
      <c r="Q20" s="307">
        <v>38</v>
      </c>
      <c r="R20" s="308">
        <f t="shared" si="2"/>
        <v>211.11111111111111</v>
      </c>
      <c r="S20" s="303"/>
      <c r="T20" s="307">
        <v>251</v>
      </c>
      <c r="U20" s="307">
        <v>251</v>
      </c>
      <c r="V20" s="308">
        <f t="shared" si="3"/>
        <v>100</v>
      </c>
      <c r="W20" s="393">
        <f t="shared" si="6"/>
        <v>35</v>
      </c>
      <c r="X20" s="485">
        <f t="shared" si="4"/>
        <v>77</v>
      </c>
      <c r="Y20" s="486">
        <f t="shared" si="4"/>
        <v>87</v>
      </c>
      <c r="Z20" s="308">
        <f t="shared" si="5"/>
        <v>112.98701298701299</v>
      </c>
      <c r="AA20" s="24"/>
      <c r="AB20" s="487">
        <v>-2848000</v>
      </c>
      <c r="AC20" s="487">
        <v>-3155000</v>
      </c>
      <c r="AD20" s="455">
        <v>-3138345.85</v>
      </c>
    </row>
    <row r="21" spans="1:30" s="6" customFormat="1" ht="16.5" customHeight="1">
      <c r="A21" s="749" t="s">
        <v>249</v>
      </c>
      <c r="B21" s="329"/>
      <c r="C21" s="346">
        <v>5130</v>
      </c>
      <c r="D21" s="309">
        <v>5680</v>
      </c>
      <c r="E21" s="309">
        <v>6368</v>
      </c>
      <c r="F21" s="308">
        <f t="shared" si="0"/>
        <v>112.11267605633803</v>
      </c>
      <c r="G21" s="309">
        <v>5130</v>
      </c>
      <c r="H21" s="309">
        <v>5130</v>
      </c>
      <c r="I21" s="309">
        <v>4204</v>
      </c>
      <c r="J21" s="308">
        <f t="shared" si="1"/>
        <v>81.94931773879142</v>
      </c>
      <c r="K21" s="307">
        <v>300</v>
      </c>
      <c r="L21" s="307">
        <v>300</v>
      </c>
      <c r="M21" s="307">
        <v>145</v>
      </c>
      <c r="N21" s="308">
        <f t="shared" si="7"/>
        <v>48.333333333333336</v>
      </c>
      <c r="O21" s="307">
        <v>150</v>
      </c>
      <c r="P21" s="307">
        <v>150</v>
      </c>
      <c r="Q21" s="307">
        <v>89</v>
      </c>
      <c r="R21" s="308">
        <f t="shared" si="2"/>
        <v>59.333333333333336</v>
      </c>
      <c r="S21" s="303"/>
      <c r="T21" s="309">
        <v>4534</v>
      </c>
      <c r="U21" s="309">
        <v>4534</v>
      </c>
      <c r="V21" s="308">
        <f t="shared" si="3"/>
        <v>100</v>
      </c>
      <c r="W21" s="393">
        <f t="shared" si="6"/>
        <v>4920</v>
      </c>
      <c r="X21" s="485">
        <f t="shared" si="4"/>
        <v>1951</v>
      </c>
      <c r="Y21" s="486">
        <f t="shared" si="4"/>
        <v>494</v>
      </c>
      <c r="Z21" s="308">
        <f t="shared" si="5"/>
        <v>25.320348539210663</v>
      </c>
      <c r="AA21" s="24"/>
      <c r="AB21" s="487">
        <v>-15630000</v>
      </c>
      <c r="AC21" s="487">
        <v>-17745000</v>
      </c>
      <c r="AD21" s="455">
        <v>-15834275.38</v>
      </c>
    </row>
    <row r="22" spans="1:30" s="6" customFormat="1" ht="16.5" customHeight="1">
      <c r="A22" s="750" t="s">
        <v>250</v>
      </c>
      <c r="B22" s="329"/>
      <c r="C22" s="346">
        <v>6747</v>
      </c>
      <c r="D22" s="309">
        <v>6870</v>
      </c>
      <c r="E22" s="309">
        <v>6658</v>
      </c>
      <c r="F22" s="308">
        <f t="shared" si="0"/>
        <v>96.91411935953421</v>
      </c>
      <c r="G22" s="309">
        <v>1084</v>
      </c>
      <c r="H22" s="309">
        <v>1783</v>
      </c>
      <c r="I22" s="309">
        <v>1923</v>
      </c>
      <c r="J22" s="308">
        <f t="shared" si="1"/>
        <v>107.8519349411105</v>
      </c>
      <c r="K22" s="307">
        <v>450</v>
      </c>
      <c r="L22" s="307">
        <v>450</v>
      </c>
      <c r="M22" s="307">
        <v>453</v>
      </c>
      <c r="N22" s="308">
        <f t="shared" si="7"/>
        <v>100.66666666666666</v>
      </c>
      <c r="O22" s="307">
        <v>100</v>
      </c>
      <c r="P22" s="307">
        <v>2304</v>
      </c>
      <c r="Q22" s="307">
        <v>305</v>
      </c>
      <c r="R22" s="308">
        <f t="shared" si="2"/>
        <v>13.237847222222221</v>
      </c>
      <c r="S22" s="303"/>
      <c r="T22" s="309">
        <v>12644</v>
      </c>
      <c r="U22" s="309">
        <v>12644</v>
      </c>
      <c r="V22" s="308">
        <f t="shared" si="3"/>
        <v>100</v>
      </c>
      <c r="W22" s="393">
        <f t="shared" si="6"/>
        <v>2800</v>
      </c>
      <c r="X22" s="485">
        <f t="shared" si="4"/>
        <v>2027</v>
      </c>
      <c r="Y22" s="486">
        <f t="shared" si="4"/>
        <v>2325</v>
      </c>
      <c r="Z22" s="308">
        <f t="shared" si="5"/>
        <v>114.70152935372471</v>
      </c>
      <c r="AA22" s="24"/>
      <c r="AB22" s="487">
        <v>-11181000</v>
      </c>
      <c r="AC22" s="487">
        <v>-26078000</v>
      </c>
      <c r="AD22" s="455">
        <v>-24307637.25</v>
      </c>
    </row>
    <row r="23" spans="1:30" s="6" customFormat="1" ht="16.5" customHeight="1">
      <c r="A23" s="749" t="s">
        <v>251</v>
      </c>
      <c r="B23" s="329"/>
      <c r="C23" s="347">
        <v>1</v>
      </c>
      <c r="D23" s="307">
        <v>1</v>
      </c>
      <c r="E23" s="307">
        <v>0</v>
      </c>
      <c r="F23" s="308">
        <f t="shared" si="0"/>
        <v>0</v>
      </c>
      <c r="G23" s="307">
        <v>300</v>
      </c>
      <c r="H23" s="307">
        <v>300</v>
      </c>
      <c r="I23" s="307">
        <v>272</v>
      </c>
      <c r="J23" s="308">
        <f t="shared" si="1"/>
        <v>90.66666666666666</v>
      </c>
      <c r="K23" s="307">
        <v>50</v>
      </c>
      <c r="L23" s="307">
        <v>50</v>
      </c>
      <c r="M23" s="307">
        <v>40</v>
      </c>
      <c r="N23" s="308">
        <f t="shared" si="7"/>
        <v>80</v>
      </c>
      <c r="O23" s="307">
        <v>10</v>
      </c>
      <c r="P23" s="307">
        <v>43</v>
      </c>
      <c r="Q23" s="307">
        <v>43</v>
      </c>
      <c r="R23" s="308">
        <f t="shared" si="2"/>
        <v>100</v>
      </c>
      <c r="S23" s="303"/>
      <c r="T23" s="307">
        <v>263</v>
      </c>
      <c r="U23" s="307">
        <v>263</v>
      </c>
      <c r="V23" s="308">
        <f t="shared" si="3"/>
        <v>100</v>
      </c>
      <c r="W23" s="393">
        <f t="shared" si="6"/>
        <v>0</v>
      </c>
      <c r="X23" s="485">
        <f t="shared" si="4"/>
        <v>0</v>
      </c>
      <c r="Y23" s="486">
        <f t="shared" si="4"/>
        <v>0</v>
      </c>
      <c r="Z23" s="308"/>
      <c r="AA23" s="24"/>
      <c r="AB23" s="487">
        <v>-361000</v>
      </c>
      <c r="AC23" s="487">
        <v>-657000</v>
      </c>
      <c r="AD23" s="455">
        <v>-618085.96</v>
      </c>
    </row>
    <row r="24" spans="1:30" s="6" customFormat="1" ht="16.5" customHeight="1">
      <c r="A24" s="750" t="s">
        <v>252</v>
      </c>
      <c r="B24" s="333"/>
      <c r="C24" s="347">
        <v>79</v>
      </c>
      <c r="D24" s="307">
        <v>254</v>
      </c>
      <c r="E24" s="307">
        <v>255</v>
      </c>
      <c r="F24" s="308">
        <f t="shared" si="0"/>
        <v>100.39370078740157</v>
      </c>
      <c r="G24" s="309">
        <v>1650</v>
      </c>
      <c r="H24" s="309">
        <v>1650</v>
      </c>
      <c r="I24" s="309">
        <v>1506</v>
      </c>
      <c r="J24" s="308">
        <f t="shared" si="1"/>
        <v>91.27272727272727</v>
      </c>
      <c r="K24" s="307">
        <v>60</v>
      </c>
      <c r="L24" s="307">
        <v>60</v>
      </c>
      <c r="M24" s="307">
        <v>46</v>
      </c>
      <c r="N24" s="308">
        <f t="shared" si="7"/>
        <v>76.66666666666667</v>
      </c>
      <c r="O24" s="307">
        <v>100</v>
      </c>
      <c r="P24" s="307">
        <v>113</v>
      </c>
      <c r="Q24" s="307">
        <v>75</v>
      </c>
      <c r="R24" s="308">
        <f>Q24/P24*100</f>
        <v>66.3716814159292</v>
      </c>
      <c r="S24" s="303"/>
      <c r="T24" s="309">
        <v>530</v>
      </c>
      <c r="U24" s="309">
        <v>530</v>
      </c>
      <c r="V24" s="308">
        <f t="shared" si="3"/>
        <v>100</v>
      </c>
      <c r="W24" s="393">
        <f t="shared" si="6"/>
        <v>0</v>
      </c>
      <c r="X24" s="485">
        <f t="shared" si="4"/>
        <v>243</v>
      </c>
      <c r="Y24" s="486">
        <f t="shared" si="4"/>
        <v>227</v>
      </c>
      <c r="Z24" s="308">
        <f t="shared" si="5"/>
        <v>93.4156378600823</v>
      </c>
      <c r="AA24" s="24"/>
      <c r="AB24" s="487">
        <v>-1889000</v>
      </c>
      <c r="AC24" s="487">
        <v>-2850000</v>
      </c>
      <c r="AD24" s="455">
        <v>-2639067.01</v>
      </c>
    </row>
    <row r="25" spans="1:30" s="6" customFormat="1" ht="16.5" customHeight="1">
      <c r="A25" s="749" t="s">
        <v>253</v>
      </c>
      <c r="B25" s="329"/>
      <c r="C25" s="347">
        <v>55</v>
      </c>
      <c r="D25" s="307">
        <v>207</v>
      </c>
      <c r="E25" s="307">
        <v>109</v>
      </c>
      <c r="F25" s="308">
        <f t="shared" si="0"/>
        <v>52.65700483091788</v>
      </c>
      <c r="G25" s="309">
        <v>1488</v>
      </c>
      <c r="H25" s="309">
        <v>1196</v>
      </c>
      <c r="I25" s="309">
        <v>1202</v>
      </c>
      <c r="J25" s="308">
        <f t="shared" si="1"/>
        <v>100.50167224080269</v>
      </c>
      <c r="K25" s="307">
        <v>200</v>
      </c>
      <c r="L25" s="307">
        <v>88</v>
      </c>
      <c r="M25" s="307">
        <v>88</v>
      </c>
      <c r="N25" s="308">
        <f t="shared" si="7"/>
        <v>100</v>
      </c>
      <c r="O25" s="307">
        <v>20</v>
      </c>
      <c r="P25" s="307">
        <v>20</v>
      </c>
      <c r="Q25" s="307"/>
      <c r="R25" s="308">
        <f>Q25/P25*100</f>
        <v>0</v>
      </c>
      <c r="S25" s="303"/>
      <c r="T25" s="307">
        <v>273</v>
      </c>
      <c r="U25" s="307">
        <v>273</v>
      </c>
      <c r="V25" s="308">
        <f t="shared" si="3"/>
        <v>100</v>
      </c>
      <c r="W25" s="393">
        <f t="shared" si="6"/>
        <v>8</v>
      </c>
      <c r="X25" s="485">
        <f t="shared" si="4"/>
        <v>22</v>
      </c>
      <c r="Y25" s="486">
        <f t="shared" si="4"/>
        <v>18</v>
      </c>
      <c r="Z25" s="308">
        <f t="shared" si="5"/>
        <v>81.81818181818183</v>
      </c>
      <c r="AA25" s="24"/>
      <c r="AB25" s="487">
        <v>-1771000</v>
      </c>
      <c r="AC25" s="487">
        <v>-1806000</v>
      </c>
      <c r="AD25" s="455">
        <v>-1690360.19</v>
      </c>
    </row>
    <row r="26" spans="1:30" s="6" customFormat="1" ht="16.5" customHeight="1">
      <c r="A26" s="749" t="s">
        <v>254</v>
      </c>
      <c r="B26" s="329"/>
      <c r="C26" s="347">
        <v>150</v>
      </c>
      <c r="D26" s="307">
        <v>164</v>
      </c>
      <c r="E26" s="307">
        <f>167+1</f>
        <v>168</v>
      </c>
      <c r="F26" s="308">
        <f t="shared" si="0"/>
        <v>102.4390243902439</v>
      </c>
      <c r="G26" s="307">
        <v>136</v>
      </c>
      <c r="H26" s="307">
        <v>285</v>
      </c>
      <c r="I26" s="307">
        <v>294</v>
      </c>
      <c r="J26" s="308">
        <f t="shared" si="1"/>
        <v>103.15789473684211</v>
      </c>
      <c r="K26" s="307">
        <v>40</v>
      </c>
      <c r="L26" s="307">
        <v>46</v>
      </c>
      <c r="M26" s="307">
        <v>50</v>
      </c>
      <c r="N26" s="308">
        <f t="shared" si="7"/>
        <v>108.69565217391303</v>
      </c>
      <c r="O26" s="307">
        <v>0</v>
      </c>
      <c r="P26" s="307">
        <v>66</v>
      </c>
      <c r="Q26" s="307">
        <v>67</v>
      </c>
      <c r="R26" s="308">
        <f>Q26/P26*100</f>
        <v>101.51515151515152</v>
      </c>
      <c r="S26" s="303"/>
      <c r="T26" s="309">
        <v>390</v>
      </c>
      <c r="U26" s="309">
        <v>390</v>
      </c>
      <c r="V26" s="308">
        <f t="shared" si="3"/>
        <v>100</v>
      </c>
      <c r="W26" s="393">
        <f t="shared" si="6"/>
        <v>4</v>
      </c>
      <c r="X26" s="485">
        <f t="shared" si="4"/>
        <v>182</v>
      </c>
      <c r="Y26" s="486">
        <f t="shared" si="4"/>
        <v>196</v>
      </c>
      <c r="Z26" s="308">
        <f t="shared" si="5"/>
        <v>107.6923076923077</v>
      </c>
      <c r="AA26" s="24"/>
      <c r="AB26" s="487">
        <v>-330000</v>
      </c>
      <c r="AC26" s="487">
        <v>-1133000</v>
      </c>
      <c r="AD26" s="455">
        <v>-1165206.39</v>
      </c>
    </row>
    <row r="27" spans="1:30" s="6" customFormat="1" ht="16.5" customHeight="1">
      <c r="A27" s="750" t="s">
        <v>255</v>
      </c>
      <c r="B27" s="329"/>
      <c r="C27" s="346">
        <v>3063</v>
      </c>
      <c r="D27" s="309">
        <v>3590</v>
      </c>
      <c r="E27" s="309">
        <v>4144</v>
      </c>
      <c r="F27" s="308">
        <f t="shared" si="0"/>
        <v>115.4317548746518</v>
      </c>
      <c r="G27" s="309">
        <v>8252</v>
      </c>
      <c r="H27" s="309">
        <v>8496</v>
      </c>
      <c r="I27" s="309">
        <v>8968</v>
      </c>
      <c r="J27" s="308">
        <f t="shared" si="1"/>
        <v>105.55555555555556</v>
      </c>
      <c r="K27" s="307">
        <v>800</v>
      </c>
      <c r="L27" s="307">
        <v>961</v>
      </c>
      <c r="M27" s="309">
        <v>1426</v>
      </c>
      <c r="N27" s="308">
        <f t="shared" si="7"/>
        <v>148.38709677419354</v>
      </c>
      <c r="O27" s="307">
        <v>175</v>
      </c>
      <c r="P27" s="307">
        <v>121</v>
      </c>
      <c r="Q27" s="307">
        <v>121</v>
      </c>
      <c r="R27" s="308">
        <f>Q27/P27*100</f>
        <v>100</v>
      </c>
      <c r="S27" s="303"/>
      <c r="T27" s="309">
        <v>2887</v>
      </c>
      <c r="U27" s="309">
        <v>2887</v>
      </c>
      <c r="V27" s="308">
        <f t="shared" si="3"/>
        <v>100</v>
      </c>
      <c r="W27" s="393">
        <f t="shared" si="6"/>
        <v>50</v>
      </c>
      <c r="X27" s="485">
        <f t="shared" si="4"/>
        <v>1406</v>
      </c>
      <c r="Y27" s="486">
        <f t="shared" si="4"/>
        <v>1604</v>
      </c>
      <c r="Z27" s="308">
        <f t="shared" si="5"/>
        <v>114.08250355618776</v>
      </c>
      <c r="AA27" s="24"/>
      <c r="AB27" s="487">
        <v>-12340000</v>
      </c>
      <c r="AC27" s="487">
        <v>-17461000</v>
      </c>
      <c r="AD27" s="455">
        <v>-19149648.27</v>
      </c>
    </row>
    <row r="28" spans="1:30" s="6" customFormat="1" ht="16.5" customHeight="1">
      <c r="A28" s="749" t="s">
        <v>256</v>
      </c>
      <c r="B28" s="329"/>
      <c r="C28" s="347">
        <v>13</v>
      </c>
      <c r="D28" s="307">
        <v>13</v>
      </c>
      <c r="E28" s="307">
        <v>31</v>
      </c>
      <c r="F28" s="308">
        <f t="shared" si="0"/>
        <v>238.46153846153845</v>
      </c>
      <c r="G28" s="307">
        <v>347</v>
      </c>
      <c r="H28" s="307">
        <v>347</v>
      </c>
      <c r="I28" s="307">
        <v>452</v>
      </c>
      <c r="J28" s="308">
        <f t="shared" si="1"/>
        <v>130.2593659942363</v>
      </c>
      <c r="K28" s="307">
        <v>90</v>
      </c>
      <c r="L28" s="307">
        <v>90</v>
      </c>
      <c r="M28" s="307">
        <v>149</v>
      </c>
      <c r="N28" s="308">
        <f t="shared" si="7"/>
        <v>165.55555555555554</v>
      </c>
      <c r="O28" s="307">
        <v>40</v>
      </c>
      <c r="P28" s="307">
        <v>40</v>
      </c>
      <c r="Q28" s="307">
        <v>46</v>
      </c>
      <c r="R28" s="308">
        <f aca="true" t="shared" si="8" ref="R28:R36">Q28/P28*100</f>
        <v>114.99999999999999</v>
      </c>
      <c r="S28" s="303"/>
      <c r="T28" s="309">
        <v>554</v>
      </c>
      <c r="U28" s="309">
        <v>554</v>
      </c>
      <c r="V28" s="308">
        <f t="shared" si="3"/>
        <v>100</v>
      </c>
      <c r="W28" s="393">
        <f t="shared" si="6"/>
        <v>4</v>
      </c>
      <c r="X28" s="485">
        <f t="shared" si="4"/>
        <v>4</v>
      </c>
      <c r="Y28" s="486">
        <f t="shared" si="4"/>
        <v>42</v>
      </c>
      <c r="Z28" s="308">
        <f t="shared" si="5"/>
        <v>1050</v>
      </c>
      <c r="AB28" s="487">
        <v>-494000</v>
      </c>
      <c r="AC28" s="487">
        <v>-1048000</v>
      </c>
      <c r="AD28" s="455">
        <v>-1273566.65</v>
      </c>
    </row>
    <row r="29" spans="1:30" s="6" customFormat="1" ht="16.5" customHeight="1">
      <c r="A29" s="749" t="s">
        <v>257</v>
      </c>
      <c r="B29" s="329"/>
      <c r="C29" s="346">
        <v>3950</v>
      </c>
      <c r="D29" s="309">
        <v>3978</v>
      </c>
      <c r="E29" s="309">
        <v>4619</v>
      </c>
      <c r="F29" s="308">
        <f t="shared" si="0"/>
        <v>116.11362493715436</v>
      </c>
      <c r="G29" s="309">
        <v>3052</v>
      </c>
      <c r="H29" s="309">
        <v>3085</v>
      </c>
      <c r="I29" s="309">
        <v>3068</v>
      </c>
      <c r="J29" s="308">
        <f t="shared" si="1"/>
        <v>99.44894651539708</v>
      </c>
      <c r="K29" s="307">
        <v>110</v>
      </c>
      <c r="L29" s="307">
        <v>140</v>
      </c>
      <c r="M29" s="307">
        <v>209</v>
      </c>
      <c r="N29" s="308">
        <f t="shared" si="7"/>
        <v>149.28571428571428</v>
      </c>
      <c r="O29" s="307">
        <v>65</v>
      </c>
      <c r="P29" s="307">
        <v>65</v>
      </c>
      <c r="Q29" s="307">
        <v>46</v>
      </c>
      <c r="R29" s="308">
        <f t="shared" si="8"/>
        <v>70.76923076923077</v>
      </c>
      <c r="S29" s="303"/>
      <c r="T29" s="309">
        <v>2656</v>
      </c>
      <c r="U29" s="309">
        <v>2656</v>
      </c>
      <c r="V29" s="308">
        <f t="shared" si="3"/>
        <v>100</v>
      </c>
      <c r="W29" s="393">
        <f t="shared" si="6"/>
        <v>80</v>
      </c>
      <c r="X29" s="485">
        <f t="shared" si="4"/>
        <v>369</v>
      </c>
      <c r="Y29" s="486">
        <f t="shared" si="4"/>
        <v>447</v>
      </c>
      <c r="Z29" s="308">
        <f t="shared" si="5"/>
        <v>121.13821138211382</v>
      </c>
      <c r="AB29" s="487">
        <v>-7257000</v>
      </c>
      <c r="AC29" s="487">
        <v>-10293000</v>
      </c>
      <c r="AD29" s="455">
        <v>-11044689.94</v>
      </c>
    </row>
    <row r="30" spans="1:30" s="6" customFormat="1" ht="16.5" customHeight="1">
      <c r="A30" s="749" t="s">
        <v>258</v>
      </c>
      <c r="B30" s="329"/>
      <c r="C30" s="347">
        <v>35</v>
      </c>
      <c r="D30" s="309">
        <v>184</v>
      </c>
      <c r="E30" s="309">
        <v>230</v>
      </c>
      <c r="F30" s="308">
        <f t="shared" si="0"/>
        <v>125</v>
      </c>
      <c r="G30" s="309">
        <v>5206</v>
      </c>
      <c r="H30" s="309">
        <v>5260</v>
      </c>
      <c r="I30" s="309">
        <v>5421</v>
      </c>
      <c r="J30" s="308">
        <f t="shared" si="1"/>
        <v>103.06083650190115</v>
      </c>
      <c r="K30" s="307">
        <v>120</v>
      </c>
      <c r="L30" s="309">
        <v>426</v>
      </c>
      <c r="M30" s="309">
        <v>467</v>
      </c>
      <c r="N30" s="308">
        <f t="shared" si="7"/>
        <v>109.6244131455399</v>
      </c>
      <c r="O30" s="307">
        <v>20</v>
      </c>
      <c r="P30" s="307">
        <v>20</v>
      </c>
      <c r="Q30" s="307">
        <v>21</v>
      </c>
      <c r="R30" s="308">
        <f t="shared" si="8"/>
        <v>105</v>
      </c>
      <c r="S30" s="303"/>
      <c r="T30" s="309">
        <v>2735</v>
      </c>
      <c r="U30" s="309">
        <v>2735</v>
      </c>
      <c r="V30" s="308">
        <f t="shared" si="3"/>
        <v>100</v>
      </c>
      <c r="W30" s="393">
        <f t="shared" si="6"/>
        <v>15</v>
      </c>
      <c r="X30" s="485">
        <f t="shared" si="4"/>
        <v>661</v>
      </c>
      <c r="Y30" s="486">
        <f t="shared" si="4"/>
        <v>595</v>
      </c>
      <c r="Z30" s="308">
        <f t="shared" si="5"/>
        <v>90.01512859304086</v>
      </c>
      <c r="AB30" s="487">
        <v>-5396000</v>
      </c>
      <c r="AC30" s="487">
        <v>-9286000</v>
      </c>
      <c r="AD30" s="455">
        <v>-9469415.36</v>
      </c>
    </row>
    <row r="31" spans="1:30" s="6" customFormat="1" ht="16.5" customHeight="1">
      <c r="A31" s="750" t="s">
        <v>259</v>
      </c>
      <c r="B31" s="329"/>
      <c r="C31" s="347">
        <v>508</v>
      </c>
      <c r="D31" s="307">
        <v>508</v>
      </c>
      <c r="E31" s="307">
        <v>166</v>
      </c>
      <c r="F31" s="308">
        <f t="shared" si="0"/>
        <v>32.677165354330704</v>
      </c>
      <c r="G31" s="309">
        <v>5600</v>
      </c>
      <c r="H31" s="309">
        <v>5600</v>
      </c>
      <c r="I31" s="309">
        <v>6862</v>
      </c>
      <c r="J31" s="308">
        <f t="shared" si="1"/>
        <v>122.53571428571428</v>
      </c>
      <c r="K31" s="307">
        <v>200</v>
      </c>
      <c r="L31" s="307">
        <v>200</v>
      </c>
      <c r="M31" s="307">
        <v>492</v>
      </c>
      <c r="N31" s="308">
        <f t="shared" si="7"/>
        <v>246</v>
      </c>
      <c r="O31" s="307">
        <v>100</v>
      </c>
      <c r="P31" s="307">
        <v>100</v>
      </c>
      <c r="Q31" s="307">
        <v>159</v>
      </c>
      <c r="R31" s="308">
        <f t="shared" si="8"/>
        <v>159</v>
      </c>
      <c r="S31" s="303"/>
      <c r="T31" s="309">
        <v>893</v>
      </c>
      <c r="U31" s="309">
        <v>893</v>
      </c>
      <c r="V31" s="308">
        <f t="shared" si="3"/>
        <v>100</v>
      </c>
      <c r="W31" s="393">
        <f t="shared" si="6"/>
        <v>40</v>
      </c>
      <c r="X31" s="485">
        <f t="shared" si="6"/>
        <v>3381</v>
      </c>
      <c r="Y31" s="486">
        <f t="shared" si="6"/>
        <v>3814</v>
      </c>
      <c r="Z31" s="308">
        <f t="shared" si="5"/>
        <v>112.80686187518485</v>
      </c>
      <c r="AB31" s="487">
        <v>-6448000</v>
      </c>
      <c r="AC31" s="487">
        <v>-10682000</v>
      </c>
      <c r="AD31" s="455">
        <v>-12386101.5</v>
      </c>
    </row>
    <row r="32" spans="1:30" s="6" customFormat="1" ht="16.5" customHeight="1">
      <c r="A32" s="749" t="s">
        <v>260</v>
      </c>
      <c r="B32" s="329"/>
      <c r="C32" s="346">
        <v>2260</v>
      </c>
      <c r="D32" s="309">
        <v>2260</v>
      </c>
      <c r="E32" s="309">
        <v>2140</v>
      </c>
      <c r="F32" s="308">
        <f t="shared" si="0"/>
        <v>94.69026548672566</v>
      </c>
      <c r="G32" s="309">
        <v>4115</v>
      </c>
      <c r="H32" s="309">
        <v>4615</v>
      </c>
      <c r="I32" s="309">
        <v>4567</v>
      </c>
      <c r="J32" s="308">
        <f t="shared" si="1"/>
        <v>98.95991332611051</v>
      </c>
      <c r="K32" s="307">
        <v>400</v>
      </c>
      <c r="L32" s="307">
        <v>400</v>
      </c>
      <c r="M32" s="307">
        <v>273</v>
      </c>
      <c r="N32" s="308">
        <f t="shared" si="7"/>
        <v>68.25</v>
      </c>
      <c r="O32" s="307">
        <v>8</v>
      </c>
      <c r="P32" s="307">
        <v>8</v>
      </c>
      <c r="Q32" s="307">
        <v>8</v>
      </c>
      <c r="R32" s="308">
        <f t="shared" si="8"/>
        <v>100</v>
      </c>
      <c r="S32" s="303"/>
      <c r="T32" s="309">
        <v>9816</v>
      </c>
      <c r="U32" s="309">
        <v>9816</v>
      </c>
      <c r="V32" s="308">
        <f t="shared" si="3"/>
        <v>100</v>
      </c>
      <c r="W32" s="393">
        <f t="shared" si="6"/>
        <v>0</v>
      </c>
      <c r="X32" s="485">
        <f t="shared" si="6"/>
        <v>31</v>
      </c>
      <c r="Y32" s="486">
        <f t="shared" si="6"/>
        <v>48</v>
      </c>
      <c r="Z32" s="308">
        <f t="shared" si="5"/>
        <v>154.83870967741936</v>
      </c>
      <c r="AB32" s="487">
        <v>-6783000</v>
      </c>
      <c r="AC32" s="487">
        <v>-17130000</v>
      </c>
      <c r="AD32" s="455">
        <v>-16851868.34</v>
      </c>
    </row>
    <row r="33" spans="1:30" s="6" customFormat="1" ht="16.5" customHeight="1">
      <c r="A33" s="750" t="s">
        <v>261</v>
      </c>
      <c r="B33" s="329"/>
      <c r="C33" s="346">
        <v>1560</v>
      </c>
      <c r="D33" s="309">
        <v>2303</v>
      </c>
      <c r="E33" s="309">
        <v>2087</v>
      </c>
      <c r="F33" s="308">
        <f t="shared" si="0"/>
        <v>90.62092922275293</v>
      </c>
      <c r="G33" s="309">
        <v>9353</v>
      </c>
      <c r="H33" s="309">
        <v>8670</v>
      </c>
      <c r="I33" s="309">
        <v>6765</v>
      </c>
      <c r="J33" s="308">
        <f t="shared" si="1"/>
        <v>78.02768166089965</v>
      </c>
      <c r="K33" s="307">
        <v>600</v>
      </c>
      <c r="L33" s="307">
        <v>317</v>
      </c>
      <c r="M33" s="307">
        <v>295</v>
      </c>
      <c r="N33" s="308">
        <f t="shared" si="7"/>
        <v>93.05993690851734</v>
      </c>
      <c r="O33" s="307">
        <v>90</v>
      </c>
      <c r="P33" s="307">
        <v>60</v>
      </c>
      <c r="Q33" s="307">
        <v>75</v>
      </c>
      <c r="R33" s="308">
        <f t="shared" si="8"/>
        <v>125</v>
      </c>
      <c r="S33" s="303"/>
      <c r="T33" s="309">
        <v>12277</v>
      </c>
      <c r="U33" s="309">
        <v>12277</v>
      </c>
      <c r="V33" s="308">
        <f t="shared" si="3"/>
        <v>100</v>
      </c>
      <c r="W33" s="393">
        <f t="shared" si="6"/>
        <v>470</v>
      </c>
      <c r="X33" s="485">
        <f t="shared" si="6"/>
        <v>527</v>
      </c>
      <c r="Y33" s="486">
        <f t="shared" si="6"/>
        <v>494</v>
      </c>
      <c r="Z33" s="308">
        <f t="shared" si="5"/>
        <v>93.7381404174573</v>
      </c>
      <c r="AB33" s="487">
        <v>-12073000</v>
      </c>
      <c r="AC33" s="487">
        <v>-24154000</v>
      </c>
      <c r="AD33" s="455">
        <v>-21992504.35</v>
      </c>
    </row>
    <row r="34" spans="1:30" s="6" customFormat="1" ht="16.5" customHeight="1">
      <c r="A34" s="750" t="s">
        <v>262</v>
      </c>
      <c r="B34" s="333"/>
      <c r="C34" s="347">
        <v>145</v>
      </c>
      <c r="D34" s="307">
        <v>316</v>
      </c>
      <c r="E34" s="307">
        <v>295</v>
      </c>
      <c r="F34" s="308">
        <f aca="true" t="shared" si="9" ref="F34:F42">E34/D34*100</f>
        <v>93.35443037974683</v>
      </c>
      <c r="G34" s="309">
        <v>2041</v>
      </c>
      <c r="H34" s="309">
        <v>2041</v>
      </c>
      <c r="I34" s="309">
        <v>2173</v>
      </c>
      <c r="J34" s="308">
        <f t="shared" si="1"/>
        <v>106.46741793238607</v>
      </c>
      <c r="K34" s="307">
        <v>160</v>
      </c>
      <c r="L34" s="307">
        <v>160</v>
      </c>
      <c r="M34" s="307">
        <v>209</v>
      </c>
      <c r="N34" s="308">
        <f t="shared" si="7"/>
        <v>130.625</v>
      </c>
      <c r="O34" s="307">
        <v>220</v>
      </c>
      <c r="P34" s="307">
        <v>10</v>
      </c>
      <c r="Q34" s="307">
        <v>8</v>
      </c>
      <c r="R34" s="308">
        <f t="shared" si="8"/>
        <v>80</v>
      </c>
      <c r="S34" s="303"/>
      <c r="T34" s="309">
        <v>2357</v>
      </c>
      <c r="U34" s="309">
        <v>2357</v>
      </c>
      <c r="V34" s="308">
        <f t="shared" si="3"/>
        <v>100</v>
      </c>
      <c r="W34" s="393">
        <f t="shared" si="6"/>
        <v>185</v>
      </c>
      <c r="X34" s="485">
        <f t="shared" si="6"/>
        <v>1115</v>
      </c>
      <c r="Y34" s="486">
        <f t="shared" si="6"/>
        <v>1086</v>
      </c>
      <c r="Z34" s="308">
        <f t="shared" si="5"/>
        <v>97.39910313901345</v>
      </c>
      <c r="AB34" s="487">
        <v>-2751000</v>
      </c>
      <c r="AC34" s="487">
        <v>-5999000</v>
      </c>
      <c r="AD34" s="455">
        <v>-6127633.15</v>
      </c>
    </row>
    <row r="35" spans="1:30" s="6" customFormat="1" ht="16.5" customHeight="1">
      <c r="A35" s="749" t="s">
        <v>263</v>
      </c>
      <c r="B35" s="329"/>
      <c r="C35" s="347">
        <v>40</v>
      </c>
      <c r="D35" s="307">
        <v>77</v>
      </c>
      <c r="E35" s="307">
        <v>73</v>
      </c>
      <c r="F35" s="308">
        <f t="shared" si="9"/>
        <v>94.8051948051948</v>
      </c>
      <c r="G35" s="309">
        <v>2010</v>
      </c>
      <c r="H35" s="309">
        <v>2405</v>
      </c>
      <c r="I35" s="309">
        <v>2368</v>
      </c>
      <c r="J35" s="308">
        <f t="shared" si="1"/>
        <v>98.46153846153847</v>
      </c>
      <c r="K35" s="307">
        <v>150</v>
      </c>
      <c r="L35" s="307">
        <v>150</v>
      </c>
      <c r="M35" s="307">
        <v>122</v>
      </c>
      <c r="N35" s="308">
        <f t="shared" si="7"/>
        <v>81.33333333333333</v>
      </c>
      <c r="O35" s="307">
        <v>0</v>
      </c>
      <c r="P35" s="307">
        <v>40</v>
      </c>
      <c r="Q35" s="307">
        <f>48-1</f>
        <v>47</v>
      </c>
      <c r="R35" s="308">
        <f t="shared" si="8"/>
        <v>117.5</v>
      </c>
      <c r="S35" s="303"/>
      <c r="T35" s="309">
        <v>677</v>
      </c>
      <c r="U35" s="309">
        <v>677</v>
      </c>
      <c r="V35" s="308">
        <f t="shared" si="3"/>
        <v>100</v>
      </c>
      <c r="W35" s="393">
        <f t="shared" si="6"/>
        <v>100</v>
      </c>
      <c r="X35" s="485">
        <f t="shared" si="6"/>
        <v>592</v>
      </c>
      <c r="Y35" s="486">
        <f t="shared" si="6"/>
        <v>588</v>
      </c>
      <c r="Z35" s="308">
        <f t="shared" si="5"/>
        <v>99.32432432432432</v>
      </c>
      <c r="AB35" s="487">
        <v>-2300000</v>
      </c>
      <c r="AC35" s="487">
        <v>-3941000</v>
      </c>
      <c r="AD35" s="455">
        <v>-3874920.73</v>
      </c>
    </row>
    <row r="36" spans="1:30" s="6" customFormat="1" ht="16.5" customHeight="1">
      <c r="A36" s="749" t="s">
        <v>264</v>
      </c>
      <c r="B36" s="329"/>
      <c r="C36" s="347">
        <v>50</v>
      </c>
      <c r="D36" s="307">
        <v>50</v>
      </c>
      <c r="E36" s="307">
        <v>57</v>
      </c>
      <c r="F36" s="308">
        <f t="shared" si="9"/>
        <v>113.99999999999999</v>
      </c>
      <c r="G36" s="307">
        <v>600</v>
      </c>
      <c r="H36" s="307">
        <v>662</v>
      </c>
      <c r="I36" s="307">
        <v>746</v>
      </c>
      <c r="J36" s="308">
        <f t="shared" si="1"/>
        <v>112.68882175226587</v>
      </c>
      <c r="K36" s="307">
        <v>50</v>
      </c>
      <c r="L36" s="307">
        <v>50</v>
      </c>
      <c r="M36" s="307">
        <v>63</v>
      </c>
      <c r="N36" s="308">
        <f t="shared" si="7"/>
        <v>126</v>
      </c>
      <c r="O36" s="307">
        <v>5</v>
      </c>
      <c r="P36" s="307">
        <v>5</v>
      </c>
      <c r="Q36" s="307"/>
      <c r="R36" s="308">
        <f t="shared" si="8"/>
        <v>0</v>
      </c>
      <c r="S36" s="303"/>
      <c r="T36" s="309">
        <v>610</v>
      </c>
      <c r="U36" s="309">
        <v>610</v>
      </c>
      <c r="V36" s="308">
        <f t="shared" si="3"/>
        <v>100</v>
      </c>
      <c r="W36" s="393">
        <f t="shared" si="6"/>
        <v>100</v>
      </c>
      <c r="X36" s="485">
        <f t="shared" si="6"/>
        <v>273</v>
      </c>
      <c r="Y36" s="486">
        <f t="shared" si="6"/>
        <v>292</v>
      </c>
      <c r="Z36" s="308">
        <f t="shared" si="5"/>
        <v>106.95970695970696</v>
      </c>
      <c r="AB36" s="487">
        <v>-805000</v>
      </c>
      <c r="AC36" s="487">
        <v>-1650000</v>
      </c>
      <c r="AD36" s="455">
        <v>-1767629.72</v>
      </c>
    </row>
    <row r="37" spans="1:30" s="6" customFormat="1" ht="16.5" customHeight="1">
      <c r="A37" s="749" t="s">
        <v>265</v>
      </c>
      <c r="B37" s="329"/>
      <c r="C37" s="346">
        <v>2590</v>
      </c>
      <c r="D37" s="309">
        <v>2531</v>
      </c>
      <c r="E37" s="309">
        <v>2671</v>
      </c>
      <c r="F37" s="308">
        <f t="shared" si="9"/>
        <v>105.53141050967997</v>
      </c>
      <c r="G37" s="309">
        <v>4935</v>
      </c>
      <c r="H37" s="309">
        <v>5280</v>
      </c>
      <c r="I37" s="309">
        <v>5370</v>
      </c>
      <c r="J37" s="308">
        <f t="shared" si="1"/>
        <v>101.70454545454545</v>
      </c>
      <c r="K37" s="309">
        <v>1000</v>
      </c>
      <c r="L37" s="307">
        <v>750</v>
      </c>
      <c r="M37" s="307">
        <v>800</v>
      </c>
      <c r="N37" s="308">
        <f t="shared" si="7"/>
        <v>106.66666666666667</v>
      </c>
      <c r="O37" s="307">
        <v>200</v>
      </c>
      <c r="P37" s="307">
        <v>160</v>
      </c>
      <c r="Q37" s="307">
        <v>164</v>
      </c>
      <c r="R37" s="308">
        <f>Q37/P37*100</f>
        <v>102.49999999999999</v>
      </c>
      <c r="S37" s="303"/>
      <c r="T37" s="309">
        <v>24819</v>
      </c>
      <c r="U37" s="309">
        <v>24819</v>
      </c>
      <c r="V37" s="308">
        <f t="shared" si="3"/>
        <v>100</v>
      </c>
      <c r="W37" s="393">
        <f t="shared" si="6"/>
        <v>3454</v>
      </c>
      <c r="X37" s="485">
        <f t="shared" si="6"/>
        <v>4169</v>
      </c>
      <c r="Y37" s="486">
        <f t="shared" si="6"/>
        <v>4142</v>
      </c>
      <c r="Z37" s="308">
        <f t="shared" si="5"/>
        <v>99.35236267690094</v>
      </c>
      <c r="AB37" s="487">
        <v>-12179000</v>
      </c>
      <c r="AC37" s="487">
        <v>-37709000</v>
      </c>
      <c r="AD37" s="455">
        <v>-37966073.87</v>
      </c>
    </row>
    <row r="38" spans="1:30" s="6" customFormat="1" ht="16.5" customHeight="1">
      <c r="A38" s="749" t="s">
        <v>266</v>
      </c>
      <c r="B38" s="329"/>
      <c r="C38" s="347">
        <v>220</v>
      </c>
      <c r="D38" s="307">
        <v>330</v>
      </c>
      <c r="E38" s="307">
        <v>348</v>
      </c>
      <c r="F38" s="308">
        <f t="shared" si="9"/>
        <v>105.45454545454544</v>
      </c>
      <c r="G38" s="307">
        <v>450</v>
      </c>
      <c r="H38" s="307">
        <v>632</v>
      </c>
      <c r="I38" s="307">
        <v>691</v>
      </c>
      <c r="J38" s="308">
        <f t="shared" si="1"/>
        <v>109.33544303797468</v>
      </c>
      <c r="K38" s="307">
        <v>60</v>
      </c>
      <c r="L38" s="307">
        <v>60</v>
      </c>
      <c r="M38" s="307">
        <v>4</v>
      </c>
      <c r="N38" s="308">
        <f t="shared" si="7"/>
        <v>6.666666666666667</v>
      </c>
      <c r="O38" s="307"/>
      <c r="P38" s="307">
        <v>0</v>
      </c>
      <c r="Q38" s="307">
        <v>0</v>
      </c>
      <c r="R38" s="308"/>
      <c r="S38" s="303"/>
      <c r="T38" s="309">
        <v>557</v>
      </c>
      <c r="U38" s="309">
        <v>557</v>
      </c>
      <c r="V38" s="308">
        <f t="shared" si="3"/>
        <v>100</v>
      </c>
      <c r="W38" s="393">
        <f t="shared" si="6"/>
        <v>50</v>
      </c>
      <c r="X38" s="485">
        <f t="shared" si="6"/>
        <v>144</v>
      </c>
      <c r="Y38" s="486">
        <f t="shared" si="6"/>
        <v>307</v>
      </c>
      <c r="Z38" s="308">
        <f t="shared" si="5"/>
        <v>213.19444444444446</v>
      </c>
      <c r="AB38" s="487">
        <v>-780000</v>
      </c>
      <c r="AC38" s="487">
        <v>-1723000</v>
      </c>
      <c r="AD38" s="455">
        <v>-1907043.24</v>
      </c>
    </row>
    <row r="39" spans="1:30" s="6" customFormat="1" ht="16.5" customHeight="1">
      <c r="A39" s="749" t="s">
        <v>267</v>
      </c>
      <c r="B39" s="329"/>
      <c r="C39" s="347">
        <v>315</v>
      </c>
      <c r="D39" s="307">
        <v>315</v>
      </c>
      <c r="E39" s="307">
        <v>264</v>
      </c>
      <c r="F39" s="308">
        <f t="shared" si="9"/>
        <v>83.80952380952381</v>
      </c>
      <c r="G39" s="309">
        <v>3500</v>
      </c>
      <c r="H39" s="309">
        <v>3500</v>
      </c>
      <c r="I39" s="309">
        <f>3829-1</f>
        <v>3828</v>
      </c>
      <c r="J39" s="308">
        <f t="shared" si="1"/>
        <v>109.37142857142857</v>
      </c>
      <c r="K39" s="307">
        <v>300</v>
      </c>
      <c r="L39" s="307">
        <v>300</v>
      </c>
      <c r="M39" s="307">
        <v>314</v>
      </c>
      <c r="N39" s="308">
        <f t="shared" si="7"/>
        <v>104.66666666666666</v>
      </c>
      <c r="O39" s="307">
        <v>140</v>
      </c>
      <c r="P39" s="307">
        <v>140</v>
      </c>
      <c r="Q39" s="307">
        <v>219</v>
      </c>
      <c r="R39" s="308">
        <f>Q39/P39*100</f>
        <v>156.42857142857142</v>
      </c>
      <c r="S39" s="303"/>
      <c r="T39" s="309">
        <v>2266</v>
      </c>
      <c r="U39" s="309">
        <v>2266</v>
      </c>
      <c r="V39" s="308">
        <f t="shared" si="3"/>
        <v>100</v>
      </c>
      <c r="W39" s="393">
        <f t="shared" si="6"/>
        <v>1635</v>
      </c>
      <c r="X39" s="485">
        <f t="shared" si="6"/>
        <v>1767</v>
      </c>
      <c r="Y39" s="486">
        <f t="shared" si="6"/>
        <v>2170</v>
      </c>
      <c r="Z39" s="308">
        <f t="shared" si="5"/>
        <v>122.80701754385966</v>
      </c>
      <c r="AB39" s="487">
        <v>-5890000</v>
      </c>
      <c r="AC39" s="487">
        <v>-8288000</v>
      </c>
      <c r="AD39" s="455">
        <v>-9061457.18</v>
      </c>
    </row>
    <row r="40" spans="1:30" s="6" customFormat="1" ht="16.5" customHeight="1">
      <c r="A40" s="749" t="s">
        <v>268</v>
      </c>
      <c r="B40" s="329"/>
      <c r="C40" s="347">
        <v>70</v>
      </c>
      <c r="D40" s="307">
        <v>90</v>
      </c>
      <c r="E40" s="307">
        <v>36</v>
      </c>
      <c r="F40" s="308">
        <f t="shared" si="9"/>
        <v>40</v>
      </c>
      <c r="G40" s="307">
        <v>196</v>
      </c>
      <c r="H40" s="307">
        <v>196</v>
      </c>
      <c r="I40" s="307">
        <v>192</v>
      </c>
      <c r="J40" s="308">
        <f t="shared" si="1"/>
        <v>97.95918367346938</v>
      </c>
      <c r="K40" s="307">
        <v>9</v>
      </c>
      <c r="L40" s="307">
        <v>9</v>
      </c>
      <c r="M40" s="307">
        <v>9</v>
      </c>
      <c r="N40" s="308">
        <f t="shared" si="7"/>
        <v>100</v>
      </c>
      <c r="O40" s="307"/>
      <c r="P40" s="307">
        <v>20</v>
      </c>
      <c r="Q40" s="307">
        <v>20</v>
      </c>
      <c r="R40" s="308">
        <f>Q40/P40*100</f>
        <v>100</v>
      </c>
      <c r="S40" s="303"/>
      <c r="T40" s="307">
        <v>110</v>
      </c>
      <c r="U40" s="307">
        <v>110</v>
      </c>
      <c r="V40" s="308">
        <f t="shared" si="3"/>
        <v>100</v>
      </c>
      <c r="W40" s="393">
        <f t="shared" si="6"/>
        <v>80</v>
      </c>
      <c r="X40" s="485">
        <f t="shared" si="6"/>
        <v>84</v>
      </c>
      <c r="Y40" s="486">
        <f t="shared" si="6"/>
        <v>74</v>
      </c>
      <c r="Z40" s="308">
        <f t="shared" si="5"/>
        <v>88.09523809523809</v>
      </c>
      <c r="AB40" s="487">
        <v>-355000</v>
      </c>
      <c r="AC40" s="487">
        <v>-509000</v>
      </c>
      <c r="AD40" s="455">
        <v>-440641.98</v>
      </c>
    </row>
    <row r="41" spans="1:30" s="6" customFormat="1" ht="16.5" customHeight="1">
      <c r="A41" s="749" t="s">
        <v>269</v>
      </c>
      <c r="B41" s="329"/>
      <c r="C41" s="347">
        <v>64</v>
      </c>
      <c r="D41" s="307">
        <v>133</v>
      </c>
      <c r="E41" s="307">
        <v>130</v>
      </c>
      <c r="F41" s="308">
        <f t="shared" si="9"/>
        <v>97.74436090225564</v>
      </c>
      <c r="G41" s="307">
        <v>204</v>
      </c>
      <c r="H41" s="307">
        <v>226</v>
      </c>
      <c r="I41" s="307">
        <v>195</v>
      </c>
      <c r="J41" s="308">
        <f t="shared" si="1"/>
        <v>86.28318584070797</v>
      </c>
      <c r="K41" s="307">
        <v>7</v>
      </c>
      <c r="L41" s="307">
        <v>7</v>
      </c>
      <c r="M41" s="307">
        <v>3</v>
      </c>
      <c r="N41" s="308">
        <f t="shared" si="7"/>
        <v>42.857142857142854</v>
      </c>
      <c r="O41" s="303"/>
      <c r="P41" s="304"/>
      <c r="Q41" s="304"/>
      <c r="R41" s="308"/>
      <c r="S41" s="303"/>
      <c r="T41" s="307">
        <v>151</v>
      </c>
      <c r="U41" s="307">
        <v>151</v>
      </c>
      <c r="V41" s="308">
        <f t="shared" si="3"/>
        <v>100</v>
      </c>
      <c r="W41" s="393">
        <f t="shared" si="6"/>
        <v>0</v>
      </c>
      <c r="X41" s="485">
        <f t="shared" si="6"/>
        <v>48</v>
      </c>
      <c r="Y41" s="486">
        <f t="shared" si="6"/>
        <v>47</v>
      </c>
      <c r="Z41" s="308">
        <f t="shared" si="5"/>
        <v>97.91666666666666</v>
      </c>
      <c r="AB41" s="487">
        <v>-275000</v>
      </c>
      <c r="AC41" s="487">
        <v>-565000</v>
      </c>
      <c r="AD41" s="455">
        <v>-526398.33</v>
      </c>
    </row>
    <row r="42" spans="1:31" s="6" customFormat="1" ht="15" customHeight="1">
      <c r="A42" s="750" t="s">
        <v>270</v>
      </c>
      <c r="B42" s="333"/>
      <c r="C42" s="347">
        <v>5</v>
      </c>
      <c r="D42" s="307">
        <v>16</v>
      </c>
      <c r="E42" s="307">
        <v>15</v>
      </c>
      <c r="F42" s="308">
        <f t="shared" si="9"/>
        <v>93.75</v>
      </c>
      <c r="G42" s="307">
        <v>43</v>
      </c>
      <c r="H42" s="307">
        <v>53</v>
      </c>
      <c r="I42" s="307">
        <v>112</v>
      </c>
      <c r="J42" s="308">
        <f t="shared" si="1"/>
        <v>211.32075471698113</v>
      </c>
      <c r="K42" s="307">
        <v>2</v>
      </c>
      <c r="L42" s="307">
        <v>3</v>
      </c>
      <c r="M42" s="307">
        <f>3-1</f>
        <v>2</v>
      </c>
      <c r="N42" s="308">
        <f t="shared" si="7"/>
        <v>66.66666666666666</v>
      </c>
      <c r="O42" s="303"/>
      <c r="P42" s="304"/>
      <c r="Q42" s="304"/>
      <c r="R42" s="308"/>
      <c r="S42" s="303"/>
      <c r="T42" s="307">
        <v>81</v>
      </c>
      <c r="U42" s="307">
        <v>81</v>
      </c>
      <c r="V42" s="308">
        <f t="shared" si="3"/>
        <v>100</v>
      </c>
      <c r="W42" s="393">
        <f t="shared" si="6"/>
        <v>45</v>
      </c>
      <c r="X42" s="485">
        <f t="shared" si="6"/>
        <v>46</v>
      </c>
      <c r="Y42" s="486">
        <f t="shared" si="6"/>
        <v>0</v>
      </c>
      <c r="Z42" s="308">
        <f t="shared" si="5"/>
        <v>0</v>
      </c>
      <c r="AB42" s="487">
        <v>-95000</v>
      </c>
      <c r="AC42" s="487">
        <v>-199000</v>
      </c>
      <c r="AD42" s="455">
        <v>-210293.1</v>
      </c>
      <c r="AE42" s="422"/>
    </row>
    <row r="43" spans="1:30" s="6" customFormat="1" ht="15" customHeight="1">
      <c r="A43" s="749" t="s">
        <v>271</v>
      </c>
      <c r="B43" s="399"/>
      <c r="C43" s="347"/>
      <c r="D43" s="307">
        <v>0</v>
      </c>
      <c r="E43" s="307">
        <v>0</v>
      </c>
      <c r="F43" s="308"/>
      <c r="G43" s="307">
        <v>125</v>
      </c>
      <c r="H43" s="307">
        <v>133</v>
      </c>
      <c r="I43" s="307">
        <v>134</v>
      </c>
      <c r="J43" s="308">
        <f t="shared" si="1"/>
        <v>100.75187969924812</v>
      </c>
      <c r="K43" s="307">
        <v>5</v>
      </c>
      <c r="L43" s="307">
        <v>3</v>
      </c>
      <c r="M43" s="307">
        <f>2+1</f>
        <v>3</v>
      </c>
      <c r="N43" s="308">
        <f t="shared" si="7"/>
        <v>100</v>
      </c>
      <c r="O43" s="303"/>
      <c r="P43" s="304"/>
      <c r="Q43" s="304"/>
      <c r="R43" s="308"/>
      <c r="S43" s="303"/>
      <c r="T43" s="307">
        <v>55</v>
      </c>
      <c r="U43" s="307">
        <v>55</v>
      </c>
      <c r="V43" s="308">
        <f t="shared" si="3"/>
        <v>100</v>
      </c>
      <c r="W43" s="393">
        <f t="shared" si="6"/>
        <v>5</v>
      </c>
      <c r="X43" s="485">
        <f t="shared" si="6"/>
        <v>14</v>
      </c>
      <c r="Y43" s="486">
        <f t="shared" si="6"/>
        <v>13</v>
      </c>
      <c r="Z43" s="308">
        <f t="shared" si="5"/>
        <v>92.85714285714286</v>
      </c>
      <c r="AB43" s="487">
        <v>-135000</v>
      </c>
      <c r="AC43" s="487">
        <v>-205000</v>
      </c>
      <c r="AD43" s="455">
        <v>-204689.83</v>
      </c>
    </row>
    <row r="44" spans="1:30" s="6" customFormat="1" ht="15" customHeight="1" thickBot="1">
      <c r="A44" s="29"/>
      <c r="B44" s="414"/>
      <c r="C44" s="352"/>
      <c r="D44" s="353"/>
      <c r="E44" s="353"/>
      <c r="F44" s="383"/>
      <c r="G44" s="352"/>
      <c r="H44" s="363"/>
      <c r="I44" s="353"/>
      <c r="J44" s="383"/>
      <c r="K44" s="352"/>
      <c r="L44" s="353"/>
      <c r="M44" s="353"/>
      <c r="N44" s="354"/>
      <c r="O44" s="482"/>
      <c r="P44" s="483"/>
      <c r="Q44" s="483"/>
      <c r="R44" s="362"/>
      <c r="S44" s="310"/>
      <c r="T44" s="311"/>
      <c r="U44" s="311"/>
      <c r="V44" s="350"/>
      <c r="W44" s="310"/>
      <c r="X44" s="311"/>
      <c r="Y44" s="311"/>
      <c r="Z44" s="350"/>
      <c r="AB44" s="59"/>
      <c r="AC44" s="59"/>
      <c r="AD44" s="59"/>
    </row>
    <row r="45" spans="6:30" s="6" customFormat="1" ht="16.5" customHeight="1">
      <c r="F45" s="8"/>
      <c r="J45" s="8"/>
      <c r="N45" s="8"/>
      <c r="O45" s="8"/>
      <c r="P45" s="8"/>
      <c r="Q45" s="8"/>
      <c r="R45" s="8"/>
      <c r="S45" s="313"/>
      <c r="T45" s="313"/>
      <c r="U45" s="313"/>
      <c r="V45" s="351"/>
      <c r="W45" s="313"/>
      <c r="X45" s="313"/>
      <c r="Y45" s="313"/>
      <c r="Z45" s="351"/>
      <c r="AB45" s="59"/>
      <c r="AC45" s="59"/>
      <c r="AD45" s="59"/>
    </row>
    <row r="46" spans="6:30" s="6" customFormat="1" ht="16.5" customHeight="1" thickBot="1">
      <c r="F46" s="8"/>
      <c r="J46" s="8"/>
      <c r="N46" s="8"/>
      <c r="O46" s="8"/>
      <c r="P46" s="8"/>
      <c r="Q46" s="8"/>
      <c r="R46" s="8"/>
      <c r="V46" s="351"/>
      <c r="Z46" s="351"/>
      <c r="AB46" s="59"/>
      <c r="AC46" s="59"/>
      <c r="AD46" s="59"/>
    </row>
    <row r="47" spans="1:30" s="6" customFormat="1" ht="18" customHeight="1" thickBot="1">
      <c r="A47" s="37" t="s">
        <v>6</v>
      </c>
      <c r="C47" s="314">
        <f>SUM(C15:C43)</f>
        <v>30589</v>
      </c>
      <c r="D47" s="315">
        <f>SUM(D15:D43)</f>
        <v>34202</v>
      </c>
      <c r="E47" s="315">
        <f>SUM(E15:E43)</f>
        <v>35397</v>
      </c>
      <c r="F47" s="316">
        <f>E47/D47*100</f>
        <v>103.49394772235543</v>
      </c>
      <c r="G47" s="429">
        <f>SUM(G15:G43)</f>
        <v>78861</v>
      </c>
      <c r="H47" s="315">
        <f>SUM(H15:H43)</f>
        <v>83569</v>
      </c>
      <c r="I47" s="315">
        <f>SUM(I15:I43)</f>
        <v>86154</v>
      </c>
      <c r="J47" s="316">
        <f>I47/H47*100</f>
        <v>103.09325228254495</v>
      </c>
      <c r="K47" s="314">
        <f>SUM(K15:K43)</f>
        <v>7466</v>
      </c>
      <c r="L47" s="315">
        <f>SUM(L15:L43)</f>
        <v>6795</v>
      </c>
      <c r="M47" s="315">
        <f>SUM(M15:M43)</f>
        <v>7629</v>
      </c>
      <c r="N47" s="316">
        <f>M47/L47*100</f>
        <v>112.27373068432671</v>
      </c>
      <c r="O47" s="314">
        <f>SUM(O15:O43)</f>
        <v>4386</v>
      </c>
      <c r="P47" s="315">
        <f>SUM(P15:P43)</f>
        <v>6472</v>
      </c>
      <c r="Q47" s="315">
        <f>SUM(Q15:Q43)</f>
        <v>3955</v>
      </c>
      <c r="R47" s="316">
        <f>Q47/P47*100</f>
        <v>61.109394313967854</v>
      </c>
      <c r="S47" s="314"/>
      <c r="T47" s="315">
        <f>SUM(T15:T46)</f>
        <v>122680</v>
      </c>
      <c r="U47" s="315">
        <f>SUM(U15:U43)</f>
        <v>122679</v>
      </c>
      <c r="V47" s="316">
        <f>U47/T47*100</f>
        <v>99.99918487120965</v>
      </c>
      <c r="W47" s="314">
        <f>SUM(W15:W46)</f>
        <v>17174</v>
      </c>
      <c r="X47" s="315">
        <f>SUM(X15:X46)</f>
        <v>27456</v>
      </c>
      <c r="Y47" s="315">
        <f>SUM(Y15:Y43)</f>
        <v>26790</v>
      </c>
      <c r="Z47" s="316">
        <f>Y47/X47*100</f>
        <v>97.5743006993007</v>
      </c>
      <c r="AB47" s="454">
        <f>SUM(AB15:AB43)</f>
        <v>-138476000</v>
      </c>
      <c r="AC47" s="454">
        <f>SUM(AC15:AC43)</f>
        <v>-281174000</v>
      </c>
      <c r="AD47" s="454">
        <f>SUM(AD15:AD43)</f>
        <v>-282603850.4</v>
      </c>
    </row>
    <row r="48" spans="17:30" s="6" customFormat="1" ht="15.75" customHeight="1">
      <c r="Q48" s="79"/>
      <c r="U48" s="60"/>
      <c r="Y48" s="60"/>
      <c r="AB48" s="59"/>
      <c r="AC48" s="59"/>
      <c r="AD48" s="59"/>
    </row>
    <row r="49" spans="1:30" s="6" customFormat="1" ht="19.5" customHeight="1">
      <c r="A49" s="11"/>
      <c r="B49" s="11"/>
      <c r="C49" s="11"/>
      <c r="D49" s="110"/>
      <c r="E49" s="11"/>
      <c r="F49" s="11"/>
      <c r="G49" s="11"/>
      <c r="H49" s="11"/>
      <c r="I49" s="11"/>
      <c r="J49" s="11"/>
      <c r="K49" s="11"/>
      <c r="L49" s="11"/>
      <c r="M49" s="11"/>
      <c r="N49" s="11"/>
      <c r="T49" s="39"/>
      <c r="X49" s="39"/>
      <c r="AB49" s="59"/>
      <c r="AC49" s="59"/>
      <c r="AD49" s="59"/>
    </row>
    <row r="50" spans="1:30" ht="15.75" customHeight="1">
      <c r="A50" s="252">
        <v>2010</v>
      </c>
      <c r="B50" s="252" t="s">
        <v>179</v>
      </c>
      <c r="C50" s="322">
        <v>30589</v>
      </c>
      <c r="D50" s="322">
        <v>34202</v>
      </c>
      <c r="E50" s="322">
        <v>35397</v>
      </c>
      <c r="F50" s="322"/>
      <c r="G50" s="322">
        <v>78861</v>
      </c>
      <c r="H50" s="322">
        <v>83569</v>
      </c>
      <c r="I50" s="322">
        <v>86154</v>
      </c>
      <c r="J50" s="322"/>
      <c r="K50" s="322">
        <v>7466</v>
      </c>
      <c r="L50" s="322">
        <v>6795</v>
      </c>
      <c r="M50" s="322">
        <v>7629</v>
      </c>
      <c r="N50" s="322"/>
      <c r="O50" s="322">
        <v>4386</v>
      </c>
      <c r="P50" s="322">
        <v>6472</v>
      </c>
      <c r="Q50" s="322">
        <v>3955</v>
      </c>
      <c r="R50" s="322"/>
      <c r="S50" s="322"/>
      <c r="T50" s="322">
        <v>122680</v>
      </c>
      <c r="U50" s="322">
        <v>122680</v>
      </c>
      <c r="V50" s="322"/>
      <c r="W50" s="322">
        <f>AB50-C50-G50-K50-O50-S50</f>
        <v>17174</v>
      </c>
      <c r="X50" s="322">
        <f>AC50-D50-H50-L50-P50-T50</f>
        <v>27456</v>
      </c>
      <c r="Y50" s="322">
        <f>AD50-E50-I50-M50-Q50-U50</f>
        <v>26789</v>
      </c>
      <c r="Z50" s="322"/>
      <c r="AB50" s="480">
        <v>138476</v>
      </c>
      <c r="AC50" s="480">
        <v>281174</v>
      </c>
      <c r="AD50" s="480">
        <v>282604</v>
      </c>
    </row>
    <row r="51" ht="15.75" customHeight="1"/>
    <row r="52" spans="1:26" s="6" customFormat="1" ht="15.75" customHeight="1">
      <c r="A52" s="6">
        <v>2009</v>
      </c>
      <c r="B52" s="6" t="s">
        <v>179</v>
      </c>
      <c r="C52" s="39">
        <v>28522</v>
      </c>
      <c r="D52" s="39">
        <v>34051</v>
      </c>
      <c r="E52" s="39">
        <v>36133</v>
      </c>
      <c r="F52" s="39"/>
      <c r="G52" s="39">
        <v>80968</v>
      </c>
      <c r="H52" s="39">
        <v>89708</v>
      </c>
      <c r="I52" s="39">
        <v>92095</v>
      </c>
      <c r="J52" s="39"/>
      <c r="K52" s="39">
        <v>8055</v>
      </c>
      <c r="L52" s="39">
        <v>13488</v>
      </c>
      <c r="M52" s="39">
        <v>12998</v>
      </c>
      <c r="N52" s="39"/>
      <c r="O52" s="39">
        <v>4919</v>
      </c>
      <c r="P52" s="39">
        <v>5974</v>
      </c>
      <c r="Q52" s="39">
        <v>6107</v>
      </c>
      <c r="R52" s="39"/>
      <c r="S52" s="39"/>
      <c r="T52" s="39">
        <v>122666</v>
      </c>
      <c r="U52" s="39">
        <v>122666</v>
      </c>
      <c r="V52" s="39"/>
      <c r="W52" s="39">
        <f>138541-C52-G52-K52-O52-S52</f>
        <v>16077</v>
      </c>
      <c r="X52" s="39">
        <f>288127-D52-H52-L52-P52-T52</f>
        <v>22240</v>
      </c>
      <c r="Y52" s="39">
        <f>292851-E52-I52-M52-Q52-U52</f>
        <v>22852</v>
      </c>
      <c r="Z52" s="39"/>
    </row>
    <row r="54" spans="3:25" ht="15.75">
      <c r="C54" s="259">
        <f>C50-C52</f>
        <v>2067</v>
      </c>
      <c r="D54" s="259">
        <f>D50-D52</f>
        <v>151</v>
      </c>
      <c r="E54" s="259">
        <f>E50-E52</f>
        <v>-736</v>
      </c>
      <c r="F54" s="259">
        <f aca="true" t="shared" si="10" ref="F54:Y54">F50-F52</f>
        <v>0</v>
      </c>
      <c r="G54" s="259">
        <f t="shared" si="10"/>
        <v>-2107</v>
      </c>
      <c r="H54" s="259">
        <f t="shared" si="10"/>
        <v>-6139</v>
      </c>
      <c r="I54" s="259">
        <f t="shared" si="10"/>
        <v>-5941</v>
      </c>
      <c r="J54" s="259">
        <f t="shared" si="10"/>
        <v>0</v>
      </c>
      <c r="K54" s="259">
        <f t="shared" si="10"/>
        <v>-589</v>
      </c>
      <c r="L54" s="259">
        <f t="shared" si="10"/>
        <v>-6693</v>
      </c>
      <c r="M54" s="259">
        <f t="shared" si="10"/>
        <v>-5369</v>
      </c>
      <c r="N54" s="259">
        <f t="shared" si="10"/>
        <v>0</v>
      </c>
      <c r="O54" s="259">
        <f t="shared" si="10"/>
        <v>-533</v>
      </c>
      <c r="P54" s="259">
        <f t="shared" si="10"/>
        <v>498</v>
      </c>
      <c r="Q54" s="259">
        <f t="shared" si="10"/>
        <v>-2152</v>
      </c>
      <c r="R54" s="259">
        <f t="shared" si="10"/>
        <v>0</v>
      </c>
      <c r="S54" s="259">
        <f t="shared" si="10"/>
        <v>0</v>
      </c>
      <c r="T54" s="259">
        <f t="shared" si="10"/>
        <v>14</v>
      </c>
      <c r="U54" s="259">
        <f t="shared" si="10"/>
        <v>14</v>
      </c>
      <c r="V54" s="259">
        <f t="shared" si="10"/>
        <v>0</v>
      </c>
      <c r="W54" s="259">
        <f t="shared" si="10"/>
        <v>1097</v>
      </c>
      <c r="X54" s="259">
        <f t="shared" si="10"/>
        <v>5216</v>
      </c>
      <c r="Y54" s="259">
        <f t="shared" si="10"/>
        <v>3937</v>
      </c>
    </row>
    <row r="55" spans="5:13" ht="15.75">
      <c r="E55" s="252">
        <f>-E54/E52*100</f>
        <v>2.0369191597708465</v>
      </c>
      <c r="G55" s="252" t="s">
        <v>280</v>
      </c>
      <c r="I55" s="252">
        <f>-I54/I52*100</f>
        <v>6.450947391280742</v>
      </c>
      <c r="M55" s="252">
        <f>-M54/M52*100</f>
        <v>41.30635482381905</v>
      </c>
    </row>
    <row r="56" ht="15.75">
      <c r="I56" s="252">
        <f>I50/I52*100</f>
        <v>93.54905260871925</v>
      </c>
    </row>
  </sheetData>
  <mergeCells count="12">
    <mergeCell ref="AB12:AD12"/>
    <mergeCell ref="AB9:AD9"/>
    <mergeCell ref="W12:Z12"/>
    <mergeCell ref="A3:V3"/>
    <mergeCell ref="S12:V12"/>
    <mergeCell ref="O12:R12"/>
    <mergeCell ref="K12:N12"/>
    <mergeCell ref="G12:J12"/>
    <mergeCell ref="A9:B9"/>
    <mergeCell ref="C12:F12"/>
    <mergeCell ref="A2:Z2"/>
    <mergeCell ref="A4:Z4"/>
  </mergeCells>
  <printOptions horizontalCentered="1" verticalCentered="1"/>
  <pageMargins left="0.3937007874015748" right="0.3937007874015748" top="0.7480314960629921" bottom="0.7480314960629921" header="0.5118110236220472" footer="0.5118110236220472"/>
  <pageSetup horizontalDpi="180" verticalDpi="180" orientation="landscape" paperSize="9" scale="5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W49"/>
  <sheetViews>
    <sheetView showZeros="0" view="pageBreakPreview" zoomScale="60" zoomScaleNormal="85" workbookViewId="0" topLeftCell="A1">
      <pane xSplit="2" ySplit="10" topLeftCell="C11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796875" defaultRowHeight="15"/>
  <cols>
    <col min="1" max="1" width="9.796875" style="252" customWidth="1"/>
    <col min="2" max="2" width="17.19921875" style="252" customWidth="1"/>
    <col min="3" max="6" width="17.09765625" style="252" customWidth="1"/>
    <col min="7" max="10" width="14.8984375" style="252" customWidth="1"/>
    <col min="11" max="11" width="4.19921875" style="252" customWidth="1"/>
    <col min="12" max="12" width="11.796875" style="252" customWidth="1"/>
    <col min="13" max="13" width="9.19921875" style="252" customWidth="1"/>
    <col min="14" max="14" width="9.69921875" style="252" customWidth="1"/>
    <col min="15" max="15" width="3.59765625" style="252" customWidth="1"/>
    <col min="16" max="17" width="7.796875" style="252" customWidth="1"/>
    <col min="18" max="18" width="10.8984375" style="252" bestFit="1" customWidth="1"/>
    <col min="19" max="19" width="12.69921875" style="259" customWidth="1"/>
    <col min="20" max="20" width="9.796875" style="252" customWidth="1"/>
    <col min="21" max="21" width="16.796875" style="252" customWidth="1"/>
    <col min="22" max="29" width="12.796875" style="252" customWidth="1"/>
    <col min="30" max="16384" width="9.796875" style="252" customWidth="1"/>
  </cols>
  <sheetData>
    <row r="1" spans="1:21" s="6" customFormat="1" ht="17.25" customHeight="1">
      <c r="A1" s="5"/>
      <c r="O1" s="252"/>
      <c r="P1" s="252"/>
      <c r="Q1" s="252"/>
      <c r="R1" s="252"/>
      <c r="S1" s="259"/>
      <c r="T1" s="252"/>
      <c r="U1" s="252"/>
    </row>
    <row r="2" spans="1:21" s="6" customFormat="1" ht="24" customHeight="1">
      <c r="A2" s="752" t="s">
        <v>231</v>
      </c>
      <c r="B2" s="752"/>
      <c r="C2" s="752"/>
      <c r="D2" s="752"/>
      <c r="E2" s="752"/>
      <c r="F2" s="752"/>
      <c r="G2" s="752"/>
      <c r="H2" s="752"/>
      <c r="I2" s="752"/>
      <c r="J2" s="752"/>
      <c r="K2" s="7"/>
      <c r="L2" s="7"/>
      <c r="M2" s="7"/>
      <c r="N2" s="7"/>
      <c r="O2" s="540"/>
      <c r="P2" s="540"/>
      <c r="Q2" s="540"/>
      <c r="R2" s="540"/>
      <c r="S2" s="259"/>
      <c r="T2" s="252"/>
      <c r="U2" s="252"/>
    </row>
    <row r="3" spans="6:21" s="6" customFormat="1" ht="15" customHeight="1">
      <c r="F3" s="8"/>
      <c r="I3" s="8"/>
      <c r="O3" s="252"/>
      <c r="P3" s="252"/>
      <c r="Q3" s="252"/>
      <c r="R3" s="252"/>
      <c r="S3" s="259"/>
      <c r="T3" s="252"/>
      <c r="U3" s="252"/>
    </row>
    <row r="4" spans="1:21" s="6" customFormat="1" ht="21" customHeight="1">
      <c r="A4" s="761" t="s">
        <v>84</v>
      </c>
      <c r="B4" s="761"/>
      <c r="C4" s="761"/>
      <c r="D4" s="761"/>
      <c r="E4" s="761"/>
      <c r="F4" s="761"/>
      <c r="G4" s="761"/>
      <c r="H4" s="761"/>
      <c r="I4" s="761"/>
      <c r="J4" s="761"/>
      <c r="K4" s="41"/>
      <c r="L4" s="111"/>
      <c r="M4" s="40"/>
      <c r="O4" s="252"/>
      <c r="P4" s="252"/>
      <c r="Q4" s="252"/>
      <c r="R4" s="252"/>
      <c r="S4" s="259"/>
      <c r="T4" s="252"/>
      <c r="U4" s="252"/>
    </row>
    <row r="5" spans="1:21" s="6" customFormat="1" ht="22.5" customHeight="1" thickBot="1">
      <c r="A5" s="11"/>
      <c r="B5" s="11"/>
      <c r="C5" s="11"/>
      <c r="D5" s="11"/>
      <c r="E5" s="11"/>
      <c r="F5" s="11"/>
      <c r="G5" s="11"/>
      <c r="H5" s="12"/>
      <c r="I5" s="13"/>
      <c r="J5" s="14" t="s">
        <v>227</v>
      </c>
      <c r="K5" s="112"/>
      <c r="L5" s="111"/>
      <c r="M5" s="40"/>
      <c r="O5" s="252"/>
      <c r="P5" s="252"/>
      <c r="Q5" s="252"/>
      <c r="R5" s="252"/>
      <c r="S5" s="259"/>
      <c r="T5" s="252"/>
      <c r="U5" s="252"/>
    </row>
    <row r="6" spans="1:23" s="6" customFormat="1" ht="22.5" customHeight="1" thickBot="1">
      <c r="A6" s="11"/>
      <c r="B6" s="11"/>
      <c r="D6" s="79"/>
      <c r="H6" s="79"/>
      <c r="I6" s="13"/>
      <c r="J6" s="14" t="s">
        <v>18</v>
      </c>
      <c r="K6" s="40"/>
      <c r="L6" s="112"/>
      <c r="O6" s="252"/>
      <c r="P6" s="740" t="s">
        <v>166</v>
      </c>
      <c r="Q6" s="741"/>
      <c r="R6" s="742"/>
      <c r="S6" s="541"/>
      <c r="T6" s="252"/>
      <c r="U6" s="252"/>
      <c r="W6" s="79"/>
    </row>
    <row r="7" spans="1:21" s="6" customFormat="1" ht="18" customHeight="1">
      <c r="A7" s="16"/>
      <c r="B7" s="64"/>
      <c r="C7" s="22" t="s">
        <v>134</v>
      </c>
      <c r="D7" s="19"/>
      <c r="E7" s="19"/>
      <c r="F7" s="19"/>
      <c r="G7" s="773" t="s">
        <v>85</v>
      </c>
      <c r="H7" s="774"/>
      <c r="I7" s="774"/>
      <c r="J7" s="775"/>
      <c r="K7" s="115"/>
      <c r="L7" s="116"/>
      <c r="M7" s="113" t="s">
        <v>165</v>
      </c>
      <c r="N7" s="114"/>
      <c r="O7" s="542"/>
      <c r="P7" s="737" t="s">
        <v>167</v>
      </c>
      <c r="Q7" s="738"/>
      <c r="R7" s="739"/>
      <c r="S7" s="259"/>
      <c r="T7" s="252"/>
      <c r="U7" s="252"/>
    </row>
    <row r="8" spans="1:21" s="6" customFormat="1" ht="18" customHeight="1">
      <c r="A8" s="756" t="s">
        <v>285</v>
      </c>
      <c r="B8" s="757"/>
      <c r="C8" s="25" t="s">
        <v>0</v>
      </c>
      <c r="D8" s="26" t="s">
        <v>4</v>
      </c>
      <c r="E8" s="26" t="s">
        <v>5</v>
      </c>
      <c r="F8" s="1" t="s">
        <v>2</v>
      </c>
      <c r="G8" s="121" t="s">
        <v>0</v>
      </c>
      <c r="H8" s="26" t="s">
        <v>4</v>
      </c>
      <c r="I8" s="26" t="s">
        <v>5</v>
      </c>
      <c r="J8" s="122" t="s">
        <v>2</v>
      </c>
      <c r="K8" s="123"/>
      <c r="L8" s="767" t="s">
        <v>225</v>
      </c>
      <c r="M8" s="768"/>
      <c r="N8" s="769"/>
      <c r="O8" s="542"/>
      <c r="P8" s="543"/>
      <c r="Q8" s="266"/>
      <c r="R8" s="544"/>
      <c r="S8" s="269"/>
      <c r="T8" s="252"/>
      <c r="U8" s="252"/>
    </row>
    <row r="9" spans="1:21" s="6" customFormat="1" ht="18" customHeight="1" thickBot="1">
      <c r="A9" s="770"/>
      <c r="B9" s="771"/>
      <c r="C9" s="31" t="s">
        <v>1</v>
      </c>
      <c r="D9" s="32" t="s">
        <v>1</v>
      </c>
      <c r="E9" s="33" t="s">
        <v>237</v>
      </c>
      <c r="F9" s="33" t="s">
        <v>86</v>
      </c>
      <c r="G9" s="125" t="s">
        <v>1</v>
      </c>
      <c r="H9" s="126" t="s">
        <v>1</v>
      </c>
      <c r="I9" s="33" t="s">
        <v>237</v>
      </c>
      <c r="J9" s="127" t="s">
        <v>86</v>
      </c>
      <c r="K9" s="128"/>
      <c r="L9" s="118"/>
      <c r="M9" s="129"/>
      <c r="N9" s="130"/>
      <c r="O9" s="254"/>
      <c r="P9" s="545" t="s">
        <v>20</v>
      </c>
      <c r="Q9" s="546" t="s">
        <v>21</v>
      </c>
      <c r="R9" s="547" t="s">
        <v>105</v>
      </c>
      <c r="S9" s="269"/>
      <c r="T9" s="252"/>
      <c r="U9" s="252"/>
    </row>
    <row r="10" spans="1:21" s="6" customFormat="1" ht="17.25" customHeight="1" thickBot="1">
      <c r="A10" s="24"/>
      <c r="B10" s="75"/>
      <c r="C10" s="766" t="s">
        <v>87</v>
      </c>
      <c r="D10" s="766"/>
      <c r="E10" s="766"/>
      <c r="F10" s="766"/>
      <c r="G10" s="772" t="s">
        <v>88</v>
      </c>
      <c r="H10" s="772"/>
      <c r="I10" s="772"/>
      <c r="J10" s="772"/>
      <c r="K10" s="24"/>
      <c r="L10" s="131" t="s">
        <v>20</v>
      </c>
      <c r="M10" s="132" t="s">
        <v>21</v>
      </c>
      <c r="N10" s="133" t="s">
        <v>29</v>
      </c>
      <c r="O10" s="252"/>
      <c r="P10" s="297"/>
      <c r="Q10" s="297"/>
      <c r="R10" s="297"/>
      <c r="S10" s="259"/>
      <c r="T10" s="252"/>
      <c r="U10" s="252"/>
    </row>
    <row r="11" spans="3:21" s="6" customFormat="1" ht="17.25" customHeight="1" thickBot="1">
      <c r="C11" s="6" t="s">
        <v>8</v>
      </c>
      <c r="L11" s="134"/>
      <c r="M11" s="134"/>
      <c r="N11" s="134"/>
      <c r="O11" s="254"/>
      <c r="P11" s="298"/>
      <c r="Q11" s="299"/>
      <c r="R11" s="266"/>
      <c r="S11" s="259"/>
      <c r="T11" s="252"/>
      <c r="U11" s="252"/>
    </row>
    <row r="12" spans="1:21" s="6" customFormat="1" ht="16.5" customHeight="1">
      <c r="A12" s="611"/>
      <c r="B12" s="613"/>
      <c r="C12" s="617"/>
      <c r="D12" s="615"/>
      <c r="E12" s="615"/>
      <c r="F12" s="644"/>
      <c r="G12" s="617"/>
      <c r="H12" s="615"/>
      <c r="I12" s="615"/>
      <c r="J12" s="638"/>
      <c r="K12" s="397"/>
      <c r="L12" s="59"/>
      <c r="M12" s="59"/>
      <c r="N12" s="59"/>
      <c r="O12" s="254"/>
      <c r="P12" s="266"/>
      <c r="Q12" s="266"/>
      <c r="R12" s="266"/>
      <c r="S12" s="259"/>
      <c r="T12" s="252"/>
      <c r="U12" s="252"/>
    </row>
    <row r="13" spans="1:21" s="6" customFormat="1" ht="16.5" customHeight="1">
      <c r="A13" s="744" t="s">
        <v>243</v>
      </c>
      <c r="B13" s="329"/>
      <c r="C13" s="303"/>
      <c r="D13" s="307"/>
      <c r="E13" s="307">
        <v>-449</v>
      </c>
      <c r="F13" s="308"/>
      <c r="G13" s="303"/>
      <c r="H13" s="304"/>
      <c r="I13" s="304"/>
      <c r="J13" s="356"/>
      <c r="K13" s="392"/>
      <c r="L13" s="488">
        <f aca="true" t="shared" si="0" ref="L13:L43">SUM(C13+G13)</f>
        <v>0</v>
      </c>
      <c r="M13" s="488">
        <f aca="true" t="shared" si="1" ref="M13:M43">SUM(D13+H13)</f>
        <v>0</v>
      </c>
      <c r="N13" s="488">
        <f aca="true" t="shared" si="2" ref="N13:N43">SUM(E13+I13)</f>
        <v>-449</v>
      </c>
      <c r="O13" s="301"/>
      <c r="P13" s="300">
        <f>'Příjmy '!C13+'Příjmy '!I13+'Příjmy '!M13</f>
        <v>121365</v>
      </c>
      <c r="Q13" s="300">
        <f>'Příjmy '!D13+'Příjmy '!J13+'Příjmy '!N13</f>
        <v>122582</v>
      </c>
      <c r="R13" s="300">
        <f>'Příjmy '!E13+'Příjmy '!K13+'Příjmy '!O13</f>
        <v>136597</v>
      </c>
      <c r="S13" s="259">
        <v>136597078</v>
      </c>
      <c r="T13" s="259">
        <f>(S13/1000)-R13</f>
        <v>0.07800000000861473</v>
      </c>
      <c r="U13" s="252"/>
    </row>
    <row r="14" spans="1:21" s="6" customFormat="1" ht="16.5" customHeight="1">
      <c r="A14" s="745" t="s">
        <v>244</v>
      </c>
      <c r="B14" s="329"/>
      <c r="C14" s="303"/>
      <c r="D14" s="304"/>
      <c r="E14" s="355"/>
      <c r="F14" s="308"/>
      <c r="G14" s="303"/>
      <c r="H14" s="304"/>
      <c r="I14" s="304"/>
      <c r="J14" s="356"/>
      <c r="K14" s="392"/>
      <c r="L14" s="488">
        <f t="shared" si="0"/>
        <v>0</v>
      </c>
      <c r="M14" s="488">
        <f t="shared" si="1"/>
        <v>0</v>
      </c>
      <c r="N14" s="488">
        <f t="shared" si="2"/>
        <v>0</v>
      </c>
      <c r="O14" s="301"/>
      <c r="P14" s="300">
        <f>'Příjmy '!C14+'Příjmy '!I14+'Příjmy '!M14</f>
        <v>10235</v>
      </c>
      <c r="Q14" s="300">
        <f>'Příjmy '!D14+'Příjmy '!J14+'Příjmy '!N14</f>
        <v>15094</v>
      </c>
      <c r="R14" s="300">
        <f>'Příjmy '!E14+'Příjmy '!K14+'Příjmy '!O14</f>
        <v>14704</v>
      </c>
      <c r="S14" s="259">
        <v>14702981</v>
      </c>
      <c r="T14" s="259">
        <f aca="true" t="shared" si="3" ref="T14:T41">(S14/1000)-R14</f>
        <v>-1.0190000000002328</v>
      </c>
      <c r="U14" s="252"/>
    </row>
    <row r="15" spans="1:21" s="6" customFormat="1" ht="16.5" customHeight="1">
      <c r="A15" s="745" t="s">
        <v>245</v>
      </c>
      <c r="B15" s="329"/>
      <c r="C15" s="303"/>
      <c r="D15" s="304"/>
      <c r="E15" s="355"/>
      <c r="F15" s="308"/>
      <c r="G15" s="303"/>
      <c r="H15" s="304"/>
      <c r="I15" s="304"/>
      <c r="J15" s="356"/>
      <c r="K15" s="392"/>
      <c r="L15" s="488">
        <f t="shared" si="0"/>
        <v>0</v>
      </c>
      <c r="M15" s="488">
        <f t="shared" si="1"/>
        <v>0</v>
      </c>
      <c r="N15" s="488">
        <f t="shared" si="2"/>
        <v>0</v>
      </c>
      <c r="O15" s="301"/>
      <c r="P15" s="300">
        <f>'Příjmy '!C15+'Příjmy '!I15+'Příjmy '!M15</f>
        <v>10643</v>
      </c>
      <c r="Q15" s="300">
        <f>'Příjmy '!D15+'Příjmy '!J15+'Příjmy '!N15</f>
        <v>17663</v>
      </c>
      <c r="R15" s="300">
        <f>'Příjmy '!E15+'Příjmy '!K15+'Příjmy '!O15</f>
        <v>17329</v>
      </c>
      <c r="S15" s="259">
        <v>17330772</v>
      </c>
      <c r="T15" s="259">
        <f t="shared" si="3"/>
        <v>1.772000000000844</v>
      </c>
      <c r="U15" s="252"/>
    </row>
    <row r="16" spans="1:21" s="6" customFormat="1" ht="16.5" customHeight="1">
      <c r="A16" s="745" t="s">
        <v>246</v>
      </c>
      <c r="B16" s="329"/>
      <c r="C16" s="303"/>
      <c r="D16" s="304"/>
      <c r="E16" s="355"/>
      <c r="F16" s="308"/>
      <c r="G16" s="303"/>
      <c r="H16" s="304"/>
      <c r="I16" s="304"/>
      <c r="J16" s="359"/>
      <c r="K16" s="392"/>
      <c r="L16" s="488">
        <f t="shared" si="0"/>
        <v>0</v>
      </c>
      <c r="M16" s="488">
        <f t="shared" si="1"/>
        <v>0</v>
      </c>
      <c r="N16" s="488">
        <f t="shared" si="2"/>
        <v>0</v>
      </c>
      <c r="O16" s="301"/>
      <c r="P16" s="300">
        <f>'Příjmy '!C16+'Příjmy '!I16+'Příjmy '!M16</f>
        <v>2498</v>
      </c>
      <c r="Q16" s="300">
        <f>'Příjmy '!D16+'Příjmy '!J16+'Příjmy '!N16</f>
        <v>7648</v>
      </c>
      <c r="R16" s="300">
        <f>'Příjmy '!E16+'Příjmy '!K16+'Příjmy '!O16</f>
        <v>8682</v>
      </c>
      <c r="S16" s="259">
        <v>8681708</v>
      </c>
      <c r="T16" s="259">
        <f t="shared" si="3"/>
        <v>-0.2919999999994616</v>
      </c>
      <c r="U16" s="252"/>
    </row>
    <row r="17" spans="1:21" s="6" customFormat="1" ht="16.5" customHeight="1">
      <c r="A17" s="745" t="s">
        <v>247</v>
      </c>
      <c r="B17" s="329"/>
      <c r="C17" s="303"/>
      <c r="D17" s="304"/>
      <c r="E17" s="355"/>
      <c r="F17" s="308"/>
      <c r="G17" s="303"/>
      <c r="H17" s="24"/>
      <c r="I17" s="360"/>
      <c r="J17" s="356"/>
      <c r="K17" s="392"/>
      <c r="L17" s="488">
        <f t="shared" si="0"/>
        <v>0</v>
      </c>
      <c r="M17" s="488">
        <f t="shared" si="1"/>
        <v>0</v>
      </c>
      <c r="N17" s="488">
        <f t="shared" si="2"/>
        <v>0</v>
      </c>
      <c r="O17" s="301"/>
      <c r="P17" s="300">
        <f>'Příjmy '!C17+'Příjmy '!I17+'Příjmy '!M17</f>
        <v>6675</v>
      </c>
      <c r="Q17" s="300">
        <f>'Příjmy '!D17+'Příjmy '!J17+'Příjmy '!N17</f>
        <v>10446</v>
      </c>
      <c r="R17" s="300">
        <f>'Příjmy '!E17+'Příjmy '!K17+'Příjmy '!O17</f>
        <v>10823</v>
      </c>
      <c r="S17" s="259">
        <v>10822968</v>
      </c>
      <c r="T17" s="259">
        <f t="shared" si="3"/>
        <v>-0.0319999999992433</v>
      </c>
      <c r="U17" s="252"/>
    </row>
    <row r="18" spans="1:21" s="6" customFormat="1" ht="16.5" customHeight="1">
      <c r="A18" s="745" t="s">
        <v>248</v>
      </c>
      <c r="B18" s="329"/>
      <c r="C18" s="303"/>
      <c r="D18" s="304"/>
      <c r="E18" s="355"/>
      <c r="F18" s="308"/>
      <c r="G18" s="303"/>
      <c r="H18" s="304"/>
      <c r="I18" s="304"/>
      <c r="J18" s="356"/>
      <c r="K18" s="392"/>
      <c r="L18" s="488">
        <f t="shared" si="0"/>
        <v>0</v>
      </c>
      <c r="M18" s="488">
        <f t="shared" si="1"/>
        <v>0</v>
      </c>
      <c r="N18" s="488">
        <f t="shared" si="2"/>
        <v>0</v>
      </c>
      <c r="O18" s="301"/>
      <c r="P18" s="300">
        <f>'Příjmy '!C18+'Příjmy '!I18+'Příjmy '!M18</f>
        <v>4010</v>
      </c>
      <c r="Q18" s="300">
        <f>'Příjmy '!D18+'Příjmy '!J18+'Příjmy '!N18</f>
        <v>4295</v>
      </c>
      <c r="R18" s="300">
        <f>'Příjmy '!E18+'Příjmy '!K18+'Příjmy '!O18</f>
        <v>4218</v>
      </c>
      <c r="S18" s="259">
        <v>4218021</v>
      </c>
      <c r="T18" s="259">
        <f t="shared" si="3"/>
        <v>0.02099999999973079</v>
      </c>
      <c r="U18" s="252"/>
    </row>
    <row r="19" spans="1:21" s="6" customFormat="1" ht="16.5" customHeight="1">
      <c r="A19" s="745" t="s">
        <v>249</v>
      </c>
      <c r="B19" s="329"/>
      <c r="C19" s="303"/>
      <c r="D19" s="304"/>
      <c r="E19" s="355"/>
      <c r="F19" s="308"/>
      <c r="G19" s="303"/>
      <c r="H19" s="304"/>
      <c r="I19" s="304"/>
      <c r="J19" s="356"/>
      <c r="K19" s="392"/>
      <c r="L19" s="488">
        <f t="shared" si="0"/>
        <v>0</v>
      </c>
      <c r="M19" s="488">
        <f t="shared" si="1"/>
        <v>0</v>
      </c>
      <c r="N19" s="488">
        <f t="shared" si="2"/>
        <v>0</v>
      </c>
      <c r="O19" s="301"/>
      <c r="P19" s="300">
        <f>'Příjmy '!C19+'Příjmy '!I19+'Příjmy '!M19</f>
        <v>25350</v>
      </c>
      <c r="Q19" s="300">
        <f>'Příjmy '!D19+'Příjmy '!J19+'Příjmy '!N19</f>
        <v>26603</v>
      </c>
      <c r="R19" s="300">
        <f>'Příjmy '!E19+'Příjmy '!K19+'Příjmy '!O19</f>
        <v>22513</v>
      </c>
      <c r="S19" s="259">
        <v>22513258</v>
      </c>
      <c r="T19" s="259">
        <f t="shared" si="3"/>
        <v>0.2580000000016298</v>
      </c>
      <c r="U19" s="252"/>
    </row>
    <row r="20" spans="1:21" s="6" customFormat="1" ht="16.5" customHeight="1">
      <c r="A20" s="746" t="s">
        <v>250</v>
      </c>
      <c r="B20" s="333"/>
      <c r="C20" s="303"/>
      <c r="D20" s="304"/>
      <c r="E20" s="355"/>
      <c r="F20" s="308"/>
      <c r="G20" s="303"/>
      <c r="H20" s="304"/>
      <c r="I20" s="304"/>
      <c r="J20" s="356"/>
      <c r="K20" s="392"/>
      <c r="L20" s="488">
        <f t="shared" si="0"/>
        <v>0</v>
      </c>
      <c r="M20" s="488">
        <f t="shared" si="1"/>
        <v>0</v>
      </c>
      <c r="N20" s="488">
        <f t="shared" si="2"/>
        <v>0</v>
      </c>
      <c r="O20" s="301"/>
      <c r="P20" s="300">
        <f>'Příjmy '!C20+'Příjmy '!I20+'Příjmy '!M20</f>
        <v>15141</v>
      </c>
      <c r="Q20" s="300">
        <f>'Příjmy '!D20+'Příjmy '!J20+'Příjmy '!N20</f>
        <v>36086</v>
      </c>
      <c r="R20" s="300">
        <f>'Příjmy '!E20+'Příjmy '!K20+'Příjmy '!O20</f>
        <v>35132</v>
      </c>
      <c r="S20" s="259">
        <v>35131312</v>
      </c>
      <c r="T20" s="259">
        <f t="shared" si="3"/>
        <v>-0.6880000000019209</v>
      </c>
      <c r="U20" s="252"/>
    </row>
    <row r="21" spans="1:21" s="6" customFormat="1" ht="16.5" customHeight="1">
      <c r="A21" s="745" t="s">
        <v>251</v>
      </c>
      <c r="B21" s="329"/>
      <c r="C21" s="303"/>
      <c r="D21" s="304"/>
      <c r="E21" s="355"/>
      <c r="F21" s="308"/>
      <c r="G21" s="303"/>
      <c r="H21" s="304"/>
      <c r="I21" s="304"/>
      <c r="J21" s="356"/>
      <c r="K21" s="392"/>
      <c r="L21" s="488">
        <f t="shared" si="0"/>
        <v>0</v>
      </c>
      <c r="M21" s="488">
        <f t="shared" si="1"/>
        <v>0</v>
      </c>
      <c r="N21" s="488">
        <f t="shared" si="2"/>
        <v>0</v>
      </c>
      <c r="O21" s="301"/>
      <c r="P21" s="300">
        <f>'Příjmy '!C21+'Příjmy '!I21+'Příjmy '!M21</f>
        <v>481</v>
      </c>
      <c r="Q21" s="300">
        <f>'Příjmy '!D21+'Příjmy '!J21+'Příjmy '!N21</f>
        <v>873</v>
      </c>
      <c r="R21" s="300">
        <f>'Příjmy '!E21+'Příjmy '!K21+'Příjmy '!O21</f>
        <v>808</v>
      </c>
      <c r="S21" s="259">
        <v>808187</v>
      </c>
      <c r="T21" s="259">
        <f t="shared" si="3"/>
        <v>0.18700000000001182</v>
      </c>
      <c r="U21" s="252"/>
    </row>
    <row r="22" spans="1:21" s="6" customFormat="1" ht="16.5" customHeight="1">
      <c r="A22" s="746" t="s">
        <v>252</v>
      </c>
      <c r="B22" s="329"/>
      <c r="C22" s="303"/>
      <c r="D22" s="304"/>
      <c r="E22" s="355"/>
      <c r="F22" s="308"/>
      <c r="G22" s="303"/>
      <c r="H22" s="304">
        <v>750</v>
      </c>
      <c r="I22" s="304">
        <v>750</v>
      </c>
      <c r="J22" s="356">
        <f>I22/H22*100</f>
        <v>100</v>
      </c>
      <c r="K22" s="392"/>
      <c r="L22" s="488">
        <f t="shared" si="0"/>
        <v>0</v>
      </c>
      <c r="M22" s="488">
        <f t="shared" si="1"/>
        <v>750</v>
      </c>
      <c r="N22" s="488">
        <f t="shared" si="2"/>
        <v>750</v>
      </c>
      <c r="O22" s="301"/>
      <c r="P22" s="300">
        <f>'Příjmy '!C22+'Příjmy '!I22+'Příjmy '!M22</f>
        <v>3630</v>
      </c>
      <c r="Q22" s="300">
        <f>'Příjmy '!D22+'Příjmy '!J22+'Příjmy '!N22</f>
        <v>5723</v>
      </c>
      <c r="R22" s="300">
        <f>'Příjmy '!E22+'Příjmy '!K22+'Příjmy '!O22</f>
        <v>5231</v>
      </c>
      <c r="S22" s="259">
        <v>5231534</v>
      </c>
      <c r="T22" s="259">
        <f t="shared" si="3"/>
        <v>0.5339999999996508</v>
      </c>
      <c r="U22" s="252"/>
    </row>
    <row r="23" spans="1:21" s="6" customFormat="1" ht="16.5" customHeight="1">
      <c r="A23" s="745" t="s">
        <v>253</v>
      </c>
      <c r="B23" s="329"/>
      <c r="C23" s="303"/>
      <c r="D23" s="304"/>
      <c r="E23" s="355"/>
      <c r="F23" s="308"/>
      <c r="G23" s="303"/>
      <c r="H23" s="304">
        <v>2030</v>
      </c>
      <c r="I23" s="304">
        <v>2030</v>
      </c>
      <c r="J23" s="356">
        <f>I23/H23*100</f>
        <v>100</v>
      </c>
      <c r="K23" s="392"/>
      <c r="L23" s="488">
        <f t="shared" si="0"/>
        <v>0</v>
      </c>
      <c r="M23" s="488">
        <f t="shared" si="1"/>
        <v>2030</v>
      </c>
      <c r="N23" s="488">
        <f t="shared" si="2"/>
        <v>2030</v>
      </c>
      <c r="O23" s="301"/>
      <c r="P23" s="300">
        <f>'Příjmy '!C23+'Příjmy '!I23+'Příjmy '!M23</f>
        <v>3537</v>
      </c>
      <c r="Q23" s="300">
        <f>'Příjmy '!D23+'Příjmy '!J23+'Příjmy '!N23</f>
        <v>5828</v>
      </c>
      <c r="R23" s="300">
        <f>'Příjmy '!E23+'Příjmy '!K23+'Příjmy '!O23</f>
        <v>5724</v>
      </c>
      <c r="S23" s="259">
        <v>5725258</v>
      </c>
      <c r="T23" s="259">
        <f t="shared" si="3"/>
        <v>1.2579999999998108</v>
      </c>
      <c r="U23" s="252"/>
    </row>
    <row r="24" spans="1:21" s="6" customFormat="1" ht="16.5" customHeight="1">
      <c r="A24" s="745" t="s">
        <v>254</v>
      </c>
      <c r="B24" s="329"/>
      <c r="C24" s="303"/>
      <c r="D24" s="304">
        <v>120</v>
      </c>
      <c r="E24" s="355"/>
      <c r="F24" s="308">
        <f>E24/D24*100</f>
        <v>0</v>
      </c>
      <c r="G24" s="303"/>
      <c r="H24" s="304"/>
      <c r="I24" s="304"/>
      <c r="J24" s="356"/>
      <c r="K24" s="392"/>
      <c r="L24" s="488">
        <f t="shared" si="0"/>
        <v>0</v>
      </c>
      <c r="M24" s="488">
        <f t="shared" si="1"/>
        <v>120</v>
      </c>
      <c r="N24" s="488">
        <f t="shared" si="2"/>
        <v>0</v>
      </c>
      <c r="O24" s="301"/>
      <c r="P24" s="300">
        <f>'Příjmy '!C24+'Příjmy '!I24+'Příjmy '!M24</f>
        <v>1340</v>
      </c>
      <c r="Q24" s="300">
        <f>'Příjmy '!D24+'Příjmy '!J24+'Příjmy '!N24</f>
        <v>2400</v>
      </c>
      <c r="R24" s="300">
        <f>'Příjmy '!E24+'Příjmy '!K24+'Příjmy '!O24</f>
        <v>2224</v>
      </c>
      <c r="S24" s="259">
        <v>2225522</v>
      </c>
      <c r="T24" s="259">
        <f t="shared" si="3"/>
        <v>1.5219999999999345</v>
      </c>
      <c r="U24" s="252"/>
    </row>
    <row r="25" spans="1:21" s="6" customFormat="1" ht="16.5" customHeight="1">
      <c r="A25" s="746" t="s">
        <v>255</v>
      </c>
      <c r="B25" s="333"/>
      <c r="C25" s="303"/>
      <c r="D25" s="304"/>
      <c r="E25" s="355">
        <v>68</v>
      </c>
      <c r="F25" s="308"/>
      <c r="G25" s="303"/>
      <c r="H25" s="304"/>
      <c r="I25" s="304"/>
      <c r="J25" s="356"/>
      <c r="K25" s="392"/>
      <c r="L25" s="488">
        <f t="shared" si="0"/>
        <v>0</v>
      </c>
      <c r="M25" s="488">
        <f t="shared" si="1"/>
        <v>0</v>
      </c>
      <c r="N25" s="488">
        <f t="shared" si="2"/>
        <v>68</v>
      </c>
      <c r="O25" s="301"/>
      <c r="P25" s="300">
        <f>'Příjmy '!C25+'Příjmy '!I25+'Příjmy '!M25</f>
        <v>22639</v>
      </c>
      <c r="Q25" s="300">
        <f>'Příjmy '!D25+'Příjmy '!J25+'Příjmy '!N25</f>
        <v>31508</v>
      </c>
      <c r="R25" s="300">
        <f>'Příjmy '!E25+'Příjmy '!K25+'Příjmy '!O25</f>
        <v>31614</v>
      </c>
      <c r="S25" s="259">
        <v>31613514</v>
      </c>
      <c r="T25" s="259">
        <f t="shared" si="3"/>
        <v>-0.4860000000007858</v>
      </c>
      <c r="U25" s="252"/>
    </row>
    <row r="26" spans="1:21" s="6" customFormat="1" ht="16.5" customHeight="1">
      <c r="A26" s="745" t="s">
        <v>256</v>
      </c>
      <c r="B26" s="329"/>
      <c r="C26" s="303"/>
      <c r="D26" s="304"/>
      <c r="E26" s="355"/>
      <c r="F26" s="308"/>
      <c r="G26" s="303"/>
      <c r="H26" s="304"/>
      <c r="I26" s="304"/>
      <c r="J26" s="356"/>
      <c r="K26" s="392"/>
      <c r="L26" s="488">
        <f t="shared" si="0"/>
        <v>0</v>
      </c>
      <c r="M26" s="488">
        <f t="shared" si="1"/>
        <v>0</v>
      </c>
      <c r="N26" s="488">
        <f t="shared" si="2"/>
        <v>0</v>
      </c>
      <c r="O26" s="301"/>
      <c r="P26" s="300">
        <f>'Příjmy '!C26+'Příjmy '!I26+'Příjmy '!M26</f>
        <v>1543</v>
      </c>
      <c r="Q26" s="300">
        <f>'Příjmy '!D26+'Příjmy '!J26+'Příjmy '!N26</f>
        <v>2448</v>
      </c>
      <c r="R26" s="300">
        <f>'Příjmy '!E26+'Příjmy '!K26+'Příjmy '!O26</f>
        <v>2527</v>
      </c>
      <c r="S26" s="259">
        <v>2525950</v>
      </c>
      <c r="T26" s="259">
        <f t="shared" si="3"/>
        <v>-1.050000000000182</v>
      </c>
      <c r="U26" s="252"/>
    </row>
    <row r="27" spans="1:21" s="6" customFormat="1" ht="16.5" customHeight="1">
      <c r="A27" s="745" t="s">
        <v>257</v>
      </c>
      <c r="B27" s="329"/>
      <c r="C27" s="303"/>
      <c r="D27" s="307">
        <v>94</v>
      </c>
      <c r="E27" s="307">
        <v>94</v>
      </c>
      <c r="F27" s="308">
        <f>E27/D27*100</f>
        <v>100</v>
      </c>
      <c r="G27" s="303"/>
      <c r="H27" s="304"/>
      <c r="I27" s="304"/>
      <c r="J27" s="356"/>
      <c r="K27" s="392"/>
      <c r="L27" s="488">
        <f t="shared" si="0"/>
        <v>0</v>
      </c>
      <c r="M27" s="488">
        <f t="shared" si="1"/>
        <v>94</v>
      </c>
      <c r="N27" s="488">
        <f t="shared" si="2"/>
        <v>94</v>
      </c>
      <c r="O27" s="301"/>
      <c r="P27" s="300">
        <f>'Příjmy '!C27+'Příjmy '!I27+'Příjmy '!M27</f>
        <v>26535</v>
      </c>
      <c r="Q27" s="300">
        <f>'Příjmy '!D27+'Příjmy '!J27+'Příjmy '!N27</f>
        <v>29441</v>
      </c>
      <c r="R27" s="300">
        <f>'Příjmy '!E27+'Příjmy '!K27+'Příjmy '!O27</f>
        <v>29404</v>
      </c>
      <c r="S27" s="259">
        <v>29404151</v>
      </c>
      <c r="T27" s="259">
        <f t="shared" si="3"/>
        <v>0.15100000000165892</v>
      </c>
      <c r="U27" s="252"/>
    </row>
    <row r="28" spans="1:21" s="6" customFormat="1" ht="16.5" customHeight="1">
      <c r="A28" s="745" t="s">
        <v>258</v>
      </c>
      <c r="B28" s="329"/>
      <c r="C28" s="303"/>
      <c r="D28" s="304"/>
      <c r="E28" s="355"/>
      <c r="F28" s="308"/>
      <c r="G28" s="303"/>
      <c r="H28" s="304"/>
      <c r="I28" s="304">
        <v>20</v>
      </c>
      <c r="J28" s="356"/>
      <c r="K28" s="392"/>
      <c r="L28" s="488">
        <f t="shared" si="0"/>
        <v>0</v>
      </c>
      <c r="M28" s="488">
        <f t="shared" si="1"/>
        <v>0</v>
      </c>
      <c r="N28" s="488">
        <f t="shared" si="2"/>
        <v>20</v>
      </c>
      <c r="O28" s="301"/>
      <c r="P28" s="300">
        <f>'Příjmy '!C28+'Příjmy '!I28+'Příjmy '!M28</f>
        <v>7616</v>
      </c>
      <c r="Q28" s="300">
        <f>'Příjmy '!D28+'Příjmy '!J28+'Příjmy '!N28</f>
        <v>17264</v>
      </c>
      <c r="R28" s="300">
        <f>'Příjmy '!E28+'Příjmy '!K28+'Příjmy '!O28</f>
        <v>17274</v>
      </c>
      <c r="S28" s="259">
        <v>17273660</v>
      </c>
      <c r="T28" s="259">
        <f t="shared" si="3"/>
        <v>-0.3400000000001455</v>
      </c>
      <c r="U28" s="252"/>
    </row>
    <row r="29" spans="1:21" s="6" customFormat="1" ht="16.5" customHeight="1">
      <c r="A29" s="746" t="s">
        <v>259</v>
      </c>
      <c r="B29" s="333"/>
      <c r="C29" s="303"/>
      <c r="D29" s="304"/>
      <c r="E29" s="355"/>
      <c r="F29" s="308"/>
      <c r="G29" s="303"/>
      <c r="H29" s="304"/>
      <c r="I29" s="304"/>
      <c r="J29" s="356"/>
      <c r="K29" s="392"/>
      <c r="L29" s="488">
        <f t="shared" si="0"/>
        <v>0</v>
      </c>
      <c r="M29" s="488">
        <f t="shared" si="1"/>
        <v>0</v>
      </c>
      <c r="N29" s="488">
        <f t="shared" si="2"/>
        <v>0</v>
      </c>
      <c r="O29" s="301"/>
      <c r="P29" s="300">
        <f>'Příjmy '!C29+'Příjmy '!I29+'Příjmy '!M29</f>
        <v>11478</v>
      </c>
      <c r="Q29" s="300">
        <f>'Příjmy '!D29+'Příjmy '!J29+'Příjmy '!N29</f>
        <v>18571</v>
      </c>
      <c r="R29" s="300">
        <f>'Příjmy '!E29+'Příjmy '!K29+'Příjmy '!O29</f>
        <v>19065</v>
      </c>
      <c r="S29" s="259">
        <v>19064233</v>
      </c>
      <c r="T29" s="259">
        <f t="shared" si="3"/>
        <v>-0.7669999999998254</v>
      </c>
      <c r="U29" s="252"/>
    </row>
    <row r="30" spans="1:21" s="6" customFormat="1" ht="16.5" customHeight="1">
      <c r="A30" s="745" t="s">
        <v>260</v>
      </c>
      <c r="B30" s="329"/>
      <c r="C30" s="303"/>
      <c r="D30" s="304">
        <v>7</v>
      </c>
      <c r="E30" s="355">
        <f>13+1</f>
        <v>14</v>
      </c>
      <c r="F30" s="308">
        <f>E30/D30*100</f>
        <v>200</v>
      </c>
      <c r="G30" s="303"/>
      <c r="H30" s="304"/>
      <c r="I30" s="304"/>
      <c r="J30" s="356"/>
      <c r="K30" s="392"/>
      <c r="L30" s="488">
        <f t="shared" si="0"/>
        <v>0</v>
      </c>
      <c r="M30" s="488">
        <f t="shared" si="1"/>
        <v>7</v>
      </c>
      <c r="N30" s="488">
        <f t="shared" si="2"/>
        <v>14</v>
      </c>
      <c r="O30" s="301"/>
      <c r="P30" s="300">
        <f>'Příjmy '!C30+'Příjmy '!I30+'Příjmy '!M30</f>
        <v>11998</v>
      </c>
      <c r="Q30" s="300">
        <f>'Příjmy '!D30+'Příjmy '!J30+'Příjmy '!N30</f>
        <v>25105</v>
      </c>
      <c r="R30" s="300">
        <f>'Příjmy '!E30+'Příjmy '!K30+'Příjmy '!O30</f>
        <v>25410</v>
      </c>
      <c r="S30" s="259">
        <v>25410425</v>
      </c>
      <c r="T30" s="259">
        <f t="shared" si="3"/>
        <v>0.4249999999992724</v>
      </c>
      <c r="U30" s="252"/>
    </row>
    <row r="31" spans="1:21" s="6" customFormat="1" ht="16.5" customHeight="1">
      <c r="A31" s="746" t="s">
        <v>261</v>
      </c>
      <c r="B31" s="333"/>
      <c r="C31" s="303"/>
      <c r="D31" s="304"/>
      <c r="E31" s="355"/>
      <c r="F31" s="308"/>
      <c r="G31" s="303"/>
      <c r="H31" s="304"/>
      <c r="I31" s="304"/>
      <c r="J31" s="356"/>
      <c r="K31" s="392"/>
      <c r="L31" s="488">
        <f t="shared" si="0"/>
        <v>0</v>
      </c>
      <c r="M31" s="488">
        <f t="shared" si="1"/>
        <v>0</v>
      </c>
      <c r="N31" s="488">
        <f t="shared" si="2"/>
        <v>0</v>
      </c>
      <c r="O31" s="301"/>
      <c r="P31" s="300">
        <f>'Příjmy '!C31+'Příjmy '!I31+'Příjmy '!M31</f>
        <v>25377</v>
      </c>
      <c r="Q31" s="300">
        <f>'Příjmy '!D31+'Příjmy '!J31+'Příjmy '!N31</f>
        <v>40150</v>
      </c>
      <c r="R31" s="300">
        <f>'Příjmy '!E31+'Příjmy '!K31+'Příjmy '!O31</f>
        <v>36105</v>
      </c>
      <c r="S31" s="259">
        <v>36104781</v>
      </c>
      <c r="T31" s="259">
        <f t="shared" si="3"/>
        <v>-0.21899999999732245</v>
      </c>
      <c r="U31" s="252"/>
    </row>
    <row r="32" spans="1:21" s="6" customFormat="1" ht="16.5" customHeight="1">
      <c r="A32" s="746" t="s">
        <v>262</v>
      </c>
      <c r="B32" s="329"/>
      <c r="C32" s="303"/>
      <c r="D32" s="304"/>
      <c r="E32" s="355"/>
      <c r="F32" s="308"/>
      <c r="G32" s="303"/>
      <c r="H32" s="304"/>
      <c r="I32" s="304"/>
      <c r="J32" s="356"/>
      <c r="K32" s="392"/>
      <c r="L32" s="488">
        <f t="shared" si="0"/>
        <v>0</v>
      </c>
      <c r="M32" s="488">
        <f t="shared" si="1"/>
        <v>0</v>
      </c>
      <c r="N32" s="488">
        <f t="shared" si="2"/>
        <v>0</v>
      </c>
      <c r="O32" s="301"/>
      <c r="P32" s="300">
        <f>'Příjmy '!C32+'Příjmy '!I32+'Příjmy '!M32</f>
        <v>6101</v>
      </c>
      <c r="Q32" s="300">
        <f>'Příjmy '!D32+'Příjmy '!J32+'Příjmy '!N32</f>
        <v>11294</v>
      </c>
      <c r="R32" s="300">
        <f>'Příjmy '!E32+'Příjmy '!K32+'Příjmy '!O32</f>
        <v>11432</v>
      </c>
      <c r="S32" s="259">
        <v>11431324</v>
      </c>
      <c r="T32" s="259">
        <f t="shared" si="3"/>
        <v>-0.6759999999994761</v>
      </c>
      <c r="U32" s="252"/>
    </row>
    <row r="33" spans="1:21" s="6" customFormat="1" ht="16.5" customHeight="1">
      <c r="A33" s="745" t="s">
        <v>263</v>
      </c>
      <c r="B33" s="329"/>
      <c r="C33" s="303"/>
      <c r="D33" s="304"/>
      <c r="E33" s="355"/>
      <c r="F33" s="308"/>
      <c r="G33" s="303"/>
      <c r="H33" s="304"/>
      <c r="I33" s="304"/>
      <c r="J33" s="356"/>
      <c r="K33" s="392"/>
      <c r="L33" s="488">
        <f t="shared" si="0"/>
        <v>0</v>
      </c>
      <c r="M33" s="488">
        <f t="shared" si="1"/>
        <v>0</v>
      </c>
      <c r="N33" s="488">
        <f t="shared" si="2"/>
        <v>0</v>
      </c>
      <c r="O33" s="301"/>
      <c r="P33" s="300">
        <f>'Příjmy '!C33+'Příjmy '!I33+'Příjmy '!M33</f>
        <v>3233</v>
      </c>
      <c r="Q33" s="300">
        <f>'Příjmy '!D33+'Příjmy '!J33+'Příjmy '!N33</f>
        <v>5150</v>
      </c>
      <c r="R33" s="300">
        <f>'Příjmy '!E33+'Příjmy '!K33+'Příjmy '!O33</f>
        <v>5165</v>
      </c>
      <c r="S33" s="259">
        <v>5164500</v>
      </c>
      <c r="T33" s="259">
        <f t="shared" si="3"/>
        <v>-0.5</v>
      </c>
      <c r="U33" s="252"/>
    </row>
    <row r="34" spans="1:21" s="6" customFormat="1" ht="16.5" customHeight="1">
      <c r="A34" s="746" t="s">
        <v>264</v>
      </c>
      <c r="B34" s="333"/>
      <c r="C34" s="303"/>
      <c r="D34" s="304">
        <v>50</v>
      </c>
      <c r="E34" s="355">
        <v>50</v>
      </c>
      <c r="F34" s="308">
        <f>E34/D34*100</f>
        <v>100</v>
      </c>
      <c r="G34" s="303"/>
      <c r="H34" s="304"/>
      <c r="I34" s="304"/>
      <c r="J34" s="356"/>
      <c r="K34" s="392"/>
      <c r="L34" s="488">
        <f t="shared" si="0"/>
        <v>0</v>
      </c>
      <c r="M34" s="488">
        <f t="shared" si="1"/>
        <v>50</v>
      </c>
      <c r="N34" s="488">
        <f t="shared" si="2"/>
        <v>50</v>
      </c>
      <c r="O34" s="301"/>
      <c r="P34" s="300">
        <f>'Příjmy '!C34+'Příjmy '!I34+'Příjmy '!M34</f>
        <v>1858</v>
      </c>
      <c r="Q34" s="300">
        <f>'Příjmy '!D34+'Příjmy '!J34+'Příjmy '!N34</f>
        <v>2929</v>
      </c>
      <c r="R34" s="300">
        <f>'Příjmy '!E34+'Příjmy '!K34+'Příjmy '!O34</f>
        <v>2755</v>
      </c>
      <c r="S34" s="259">
        <v>2754345</v>
      </c>
      <c r="T34" s="259">
        <f t="shared" si="3"/>
        <v>-0.6550000000002001</v>
      </c>
      <c r="U34" s="252"/>
    </row>
    <row r="35" spans="1:21" s="6" customFormat="1" ht="16.5" customHeight="1">
      <c r="A35" s="745" t="s">
        <v>265</v>
      </c>
      <c r="B35" s="329"/>
      <c r="C35" s="303"/>
      <c r="D35" s="307">
        <v>518</v>
      </c>
      <c r="E35" s="307">
        <v>503</v>
      </c>
      <c r="F35" s="308">
        <f>E35/D35*100</f>
        <v>97.1042471042471</v>
      </c>
      <c r="G35" s="303"/>
      <c r="H35" s="304"/>
      <c r="I35" s="304"/>
      <c r="J35" s="356"/>
      <c r="K35" s="392"/>
      <c r="L35" s="488">
        <f t="shared" si="0"/>
        <v>0</v>
      </c>
      <c r="M35" s="488">
        <f t="shared" si="1"/>
        <v>518</v>
      </c>
      <c r="N35" s="488">
        <f t="shared" si="2"/>
        <v>503</v>
      </c>
      <c r="O35" s="301"/>
      <c r="P35" s="300">
        <f>'Příjmy '!C35+'Příjmy '!I35+'Příjmy '!M35</f>
        <v>28025</v>
      </c>
      <c r="Q35" s="300">
        <f>'Příjmy '!D35+'Příjmy '!J35+'Příjmy '!N35</f>
        <v>63298</v>
      </c>
      <c r="R35" s="300">
        <f>'Příjmy '!E35+'Příjmy '!K35+'Příjmy '!O35</f>
        <v>64096</v>
      </c>
      <c r="S35" s="259">
        <v>64095880</v>
      </c>
      <c r="T35" s="259">
        <f t="shared" si="3"/>
        <v>-0.12000000000261934</v>
      </c>
      <c r="U35" s="252"/>
    </row>
    <row r="36" spans="1:21" s="6" customFormat="1" ht="16.5" customHeight="1">
      <c r="A36" s="745" t="s">
        <v>266</v>
      </c>
      <c r="B36" s="329"/>
      <c r="C36" s="303"/>
      <c r="D36" s="304"/>
      <c r="E36" s="355"/>
      <c r="F36" s="308"/>
      <c r="G36" s="303"/>
      <c r="H36" s="304"/>
      <c r="I36" s="304"/>
      <c r="J36" s="356"/>
      <c r="K36" s="392"/>
      <c r="L36" s="488">
        <f t="shared" si="0"/>
        <v>0</v>
      </c>
      <c r="M36" s="488">
        <f t="shared" si="1"/>
        <v>0</v>
      </c>
      <c r="N36" s="488">
        <f t="shared" si="2"/>
        <v>0</v>
      </c>
      <c r="O36" s="301"/>
      <c r="P36" s="300">
        <f>'Příjmy '!C36+'Příjmy '!I36+'Příjmy '!M36</f>
        <v>2015</v>
      </c>
      <c r="Q36" s="300">
        <f>'Příjmy '!D36+'Příjmy '!J36+'Příjmy '!N36</f>
        <v>3658</v>
      </c>
      <c r="R36" s="300">
        <f>'Příjmy '!E36+'Příjmy '!K36+'Příjmy '!O36</f>
        <v>4016</v>
      </c>
      <c r="S36" s="259">
        <v>4014889</v>
      </c>
      <c r="T36" s="259">
        <f t="shared" si="3"/>
        <v>-1.1109999999998763</v>
      </c>
      <c r="U36" s="252"/>
    </row>
    <row r="37" spans="1:21" s="6" customFormat="1" ht="16.5" customHeight="1">
      <c r="A37" s="745" t="s">
        <v>267</v>
      </c>
      <c r="B37" s="329"/>
      <c r="C37" s="303"/>
      <c r="D37" s="304"/>
      <c r="E37" s="355"/>
      <c r="F37" s="308"/>
      <c r="G37" s="303"/>
      <c r="H37" s="304">
        <v>11</v>
      </c>
      <c r="I37" s="304">
        <v>13</v>
      </c>
      <c r="J37" s="356">
        <f>I37/H37*100</f>
        <v>118.18181818181819</v>
      </c>
      <c r="K37" s="392"/>
      <c r="L37" s="488">
        <f t="shared" si="0"/>
        <v>0</v>
      </c>
      <c r="M37" s="488">
        <f t="shared" si="1"/>
        <v>11</v>
      </c>
      <c r="N37" s="488">
        <f t="shared" si="2"/>
        <v>13</v>
      </c>
      <c r="O37" s="301"/>
      <c r="P37" s="300">
        <f>'Příjmy '!C37+'Příjmy '!I37+'Příjmy '!M37</f>
        <v>11505</v>
      </c>
      <c r="Q37" s="300">
        <f>'Příjmy '!D37+'Příjmy '!J37+'Příjmy '!N37</f>
        <v>15544</v>
      </c>
      <c r="R37" s="300">
        <f>'Příjmy '!E37+'Příjmy '!K37+'Příjmy '!O37</f>
        <v>15736</v>
      </c>
      <c r="S37" s="259">
        <v>15736057</v>
      </c>
      <c r="T37" s="259">
        <f t="shared" si="3"/>
        <v>0.05700000000069849</v>
      </c>
      <c r="U37" s="252"/>
    </row>
    <row r="38" spans="1:21" s="6" customFormat="1" ht="16.5" customHeight="1">
      <c r="A38" s="745" t="s">
        <v>268</v>
      </c>
      <c r="B38" s="329"/>
      <c r="C38" s="303"/>
      <c r="D38" s="304"/>
      <c r="E38" s="355"/>
      <c r="F38" s="308"/>
      <c r="G38" s="303"/>
      <c r="H38" s="304"/>
      <c r="I38" s="304"/>
      <c r="J38" s="356"/>
      <c r="K38" s="392"/>
      <c r="L38" s="488">
        <f t="shared" si="0"/>
        <v>0</v>
      </c>
      <c r="M38" s="488">
        <f t="shared" si="1"/>
        <v>0</v>
      </c>
      <c r="N38" s="488">
        <f t="shared" si="2"/>
        <v>0</v>
      </c>
      <c r="O38" s="301"/>
      <c r="P38" s="300">
        <f>'Příjmy '!C38+'Příjmy '!I38+'Příjmy '!M38</f>
        <v>529</v>
      </c>
      <c r="Q38" s="300">
        <f>'Příjmy '!D38+'Příjmy '!J38+'Příjmy '!N38</f>
        <v>772</v>
      </c>
      <c r="R38" s="300">
        <f>'Příjmy '!E38+'Příjmy '!K38+'Příjmy '!O38</f>
        <v>658</v>
      </c>
      <c r="S38" s="259">
        <v>657156</v>
      </c>
      <c r="T38" s="259">
        <f t="shared" si="3"/>
        <v>-0.8440000000000509</v>
      </c>
      <c r="U38" s="252"/>
    </row>
    <row r="39" spans="1:21" s="6" customFormat="1" ht="16.5" customHeight="1">
      <c r="A39" s="745" t="s">
        <v>269</v>
      </c>
      <c r="B39" s="329"/>
      <c r="C39" s="303"/>
      <c r="D39" s="304"/>
      <c r="E39" s="304"/>
      <c r="F39" s="308"/>
      <c r="G39" s="303"/>
      <c r="H39" s="304"/>
      <c r="I39" s="304"/>
      <c r="J39" s="356"/>
      <c r="K39" s="392"/>
      <c r="L39" s="488">
        <f t="shared" si="0"/>
        <v>0</v>
      </c>
      <c r="M39" s="488">
        <f t="shared" si="1"/>
        <v>0</v>
      </c>
      <c r="N39" s="488">
        <f t="shared" si="2"/>
        <v>0</v>
      </c>
      <c r="O39" s="301"/>
      <c r="P39" s="300">
        <f>'Příjmy '!C39+'Příjmy '!I39+'Příjmy '!M39</f>
        <v>300</v>
      </c>
      <c r="Q39" s="300">
        <f>'Příjmy '!D39+'Příjmy '!J39+'Příjmy '!N39</f>
        <v>676</v>
      </c>
      <c r="R39" s="300">
        <f>'Příjmy '!E39+'Příjmy '!K39+'Příjmy '!O39</f>
        <v>631</v>
      </c>
      <c r="S39" s="259">
        <v>632521</v>
      </c>
      <c r="T39" s="259">
        <f t="shared" si="3"/>
        <v>1.5209999999999582</v>
      </c>
      <c r="U39" s="252"/>
    </row>
    <row r="40" spans="1:21" s="6" customFormat="1" ht="16.5" customHeight="1">
      <c r="A40" s="746" t="s">
        <v>270</v>
      </c>
      <c r="B40" s="333"/>
      <c r="C40" s="303"/>
      <c r="D40" s="304"/>
      <c r="E40" s="304"/>
      <c r="F40" s="308"/>
      <c r="G40" s="303"/>
      <c r="H40" s="304"/>
      <c r="I40" s="304"/>
      <c r="J40" s="356"/>
      <c r="K40" s="392"/>
      <c r="L40" s="488">
        <f t="shared" si="0"/>
        <v>0</v>
      </c>
      <c r="M40" s="488">
        <f t="shared" si="1"/>
        <v>0</v>
      </c>
      <c r="N40" s="488">
        <f t="shared" si="2"/>
        <v>0</v>
      </c>
      <c r="O40" s="301"/>
      <c r="P40" s="300">
        <f>'Příjmy '!C40+'Příjmy '!I40+'Příjmy '!M40</f>
        <v>127</v>
      </c>
      <c r="Q40" s="300">
        <f>'Příjmy '!D40+'Příjmy '!J40+'Příjmy '!N40</f>
        <v>250</v>
      </c>
      <c r="R40" s="300">
        <f>'Příjmy '!E40+'Příjmy '!K40+'Příjmy '!O40</f>
        <v>248</v>
      </c>
      <c r="S40" s="259">
        <v>248420</v>
      </c>
      <c r="T40" s="259">
        <f t="shared" si="3"/>
        <v>0.4199999999999875</v>
      </c>
      <c r="U40" s="252"/>
    </row>
    <row r="41" spans="1:21" s="6" customFormat="1" ht="16.5" customHeight="1">
      <c r="A41" s="745" t="s">
        <v>271</v>
      </c>
      <c r="B41" s="329"/>
      <c r="C41" s="303"/>
      <c r="D41" s="304"/>
      <c r="E41" s="304"/>
      <c r="F41" s="308"/>
      <c r="G41" s="303"/>
      <c r="H41" s="304"/>
      <c r="I41" s="304"/>
      <c r="J41" s="356"/>
      <c r="K41" s="392"/>
      <c r="L41" s="488">
        <f t="shared" si="0"/>
        <v>0</v>
      </c>
      <c r="M41" s="488">
        <f t="shared" si="1"/>
        <v>0</v>
      </c>
      <c r="N41" s="488">
        <f t="shared" si="2"/>
        <v>0</v>
      </c>
      <c r="O41" s="301"/>
      <c r="P41" s="300">
        <f>'Příjmy '!C41+'Příjmy '!I41+'Příjmy '!M41</f>
        <v>181</v>
      </c>
      <c r="Q41" s="300">
        <f>'Příjmy '!D41+'Příjmy '!J41+'Příjmy '!N41</f>
        <v>306</v>
      </c>
      <c r="R41" s="300">
        <f>'Příjmy '!E41+'Příjmy '!K41+'Příjmy '!O41</f>
        <v>305</v>
      </c>
      <c r="S41" s="259">
        <v>305399</v>
      </c>
      <c r="T41" s="259">
        <f t="shared" si="3"/>
        <v>0.3990000000000009</v>
      </c>
      <c r="U41" s="252"/>
    </row>
    <row r="42" spans="1:21" s="6" customFormat="1" ht="15" customHeight="1" thickBot="1">
      <c r="A42" s="622"/>
      <c r="B42" s="630"/>
      <c r="C42" s="639"/>
      <c r="D42" s="626"/>
      <c r="E42" s="626"/>
      <c r="F42" s="642"/>
      <c r="G42" s="639"/>
      <c r="H42" s="640"/>
      <c r="I42" s="626"/>
      <c r="J42" s="643"/>
      <c r="K42" s="397"/>
      <c r="L42" s="488">
        <f t="shared" si="0"/>
        <v>0</v>
      </c>
      <c r="M42" s="488">
        <f t="shared" si="1"/>
        <v>0</v>
      </c>
      <c r="N42" s="488">
        <f t="shared" si="2"/>
        <v>0</v>
      </c>
      <c r="O42" s="254"/>
      <c r="P42" s="266"/>
      <c r="Q42" s="266"/>
      <c r="R42" s="266"/>
      <c r="S42" s="259"/>
      <c r="T42" s="252"/>
      <c r="U42" s="252"/>
    </row>
    <row r="43" spans="3:21" s="6" customFormat="1" ht="15" customHeight="1">
      <c r="C43" s="313"/>
      <c r="D43" s="313"/>
      <c r="E43" s="313"/>
      <c r="F43" s="8"/>
      <c r="G43" s="313"/>
      <c r="I43" s="313"/>
      <c r="J43" s="8"/>
      <c r="K43" s="8"/>
      <c r="L43" s="488">
        <f t="shared" si="0"/>
        <v>0</v>
      </c>
      <c r="M43" s="488">
        <f t="shared" si="1"/>
        <v>0</v>
      </c>
      <c r="N43" s="488">
        <f t="shared" si="2"/>
        <v>0</v>
      </c>
      <c r="O43" s="254"/>
      <c r="P43" s="266"/>
      <c r="Q43" s="266"/>
      <c r="R43" s="266"/>
      <c r="S43" s="259"/>
      <c r="T43" s="252"/>
      <c r="U43" s="252"/>
    </row>
    <row r="44" spans="6:21" s="6" customFormat="1" ht="15" customHeight="1" thickBot="1">
      <c r="F44" s="8"/>
      <c r="J44" s="8"/>
      <c r="K44" s="8"/>
      <c r="L44" s="59"/>
      <c r="M44" s="59"/>
      <c r="N44" s="59"/>
      <c r="O44" s="254"/>
      <c r="P44" s="266"/>
      <c r="Q44" s="266"/>
      <c r="R44" s="266"/>
      <c r="S44" s="259"/>
      <c r="T44" s="252"/>
      <c r="U44" s="252"/>
    </row>
    <row r="45" spans="1:21" s="6" customFormat="1" ht="18" customHeight="1" thickBot="1">
      <c r="A45" s="8" t="s">
        <v>9</v>
      </c>
      <c r="C45" s="314">
        <f>SUM(C13:C41)</f>
        <v>0</v>
      </c>
      <c r="D45" s="315">
        <f>SUM(D12:D42)</f>
        <v>789</v>
      </c>
      <c r="E45" s="315">
        <f>SUM(E13:E41)</f>
        <v>280</v>
      </c>
      <c r="F45" s="316">
        <f>E45/D45*100</f>
        <v>35.48795944233207</v>
      </c>
      <c r="G45" s="314">
        <f>SUM(G12:G43)</f>
        <v>0</v>
      </c>
      <c r="H45" s="315">
        <f>SUM(H12:H43)</f>
        <v>2791</v>
      </c>
      <c r="I45" s="315">
        <f>SUM(I12:I42)</f>
        <v>2813</v>
      </c>
      <c r="J45" s="316">
        <f>I45/H45*100</f>
        <v>100.78824793980652</v>
      </c>
      <c r="K45" s="392"/>
      <c r="L45" s="454">
        <f aca="true" t="shared" si="4" ref="L45:S45">SUM(L13:L44)</f>
        <v>0</v>
      </c>
      <c r="M45" s="454">
        <f t="shared" si="4"/>
        <v>3580</v>
      </c>
      <c r="N45" s="454">
        <f t="shared" si="4"/>
        <v>3093</v>
      </c>
      <c r="O45" s="281">
        <f t="shared" si="4"/>
        <v>0</v>
      </c>
      <c r="P45" s="281">
        <f t="shared" si="4"/>
        <v>365965</v>
      </c>
      <c r="Q45" s="281">
        <f t="shared" si="4"/>
        <v>523605</v>
      </c>
      <c r="R45" s="281">
        <f t="shared" si="4"/>
        <v>530426</v>
      </c>
      <c r="S45" s="281">
        <f t="shared" si="4"/>
        <v>530425804</v>
      </c>
      <c r="T45" s="252"/>
      <c r="U45" s="252"/>
    </row>
    <row r="46" spans="12:21" s="6" customFormat="1" ht="15.75">
      <c r="L46" s="135"/>
      <c r="M46" s="3"/>
      <c r="N46" s="3"/>
      <c r="O46" s="255"/>
      <c r="P46" s="255"/>
      <c r="Q46" s="264"/>
      <c r="R46" s="252"/>
      <c r="S46" s="259"/>
      <c r="T46" s="252"/>
      <c r="U46" s="252"/>
    </row>
    <row r="47" spans="15:21" s="490" customFormat="1" ht="11.25">
      <c r="O47" s="302"/>
      <c r="P47" s="302">
        <v>365965</v>
      </c>
      <c r="Q47" s="302">
        <v>523605</v>
      </c>
      <c r="R47" s="302">
        <v>530426</v>
      </c>
      <c r="S47" s="302"/>
      <c r="T47" s="302"/>
      <c r="U47" s="302"/>
    </row>
    <row r="48" spans="15:21" s="6" customFormat="1" ht="15.75">
      <c r="O48" s="252"/>
      <c r="P48" s="252"/>
      <c r="Q48" s="252"/>
      <c r="R48" s="252"/>
      <c r="S48" s="259"/>
      <c r="T48" s="252"/>
      <c r="U48" s="252"/>
    </row>
    <row r="49" spans="2:21" s="321" customFormat="1" ht="15.75">
      <c r="B49" s="321" t="s">
        <v>179</v>
      </c>
      <c r="C49" s="322"/>
      <c r="D49" s="322">
        <v>789</v>
      </c>
      <c r="E49" s="322">
        <v>280</v>
      </c>
      <c r="F49" s="322"/>
      <c r="G49" s="322"/>
      <c r="H49" s="322">
        <v>2791</v>
      </c>
      <c r="I49" s="322">
        <v>2813</v>
      </c>
      <c r="J49" s="322"/>
      <c r="O49" s="252"/>
      <c r="P49" s="252"/>
      <c r="Q49" s="252"/>
      <c r="R49" s="252"/>
      <c r="S49" s="259"/>
      <c r="T49" s="252"/>
      <c r="U49" s="252"/>
    </row>
  </sheetData>
  <mergeCells count="10">
    <mergeCell ref="A4:J4"/>
    <mergeCell ref="A2:J2"/>
    <mergeCell ref="C10:F10"/>
    <mergeCell ref="G10:J10"/>
    <mergeCell ref="G7:J7"/>
    <mergeCell ref="P7:R7"/>
    <mergeCell ref="P6:R6"/>
    <mergeCell ref="L8:N8"/>
    <mergeCell ref="A9:B9"/>
    <mergeCell ref="A8:B8"/>
  </mergeCells>
  <printOptions horizontalCentered="1" verticalCentered="1"/>
  <pageMargins left="0.3937007874015748" right="0.3937007874015748" top="0.7480314960629921" bottom="0.7480314960629921" header="0.5118110236220472" footer="0.5118110236220472"/>
  <pageSetup horizontalDpi="180" verticalDpi="180" orientation="landscape" paperSize="9" scale="6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C53"/>
  <sheetViews>
    <sheetView showZeros="0" view="pageBreakPreview" zoomScale="60" zoomScaleNormal="70" workbookViewId="0" topLeftCell="A1">
      <selection activeCell="R40" sqref="R40"/>
    </sheetView>
  </sheetViews>
  <sheetFormatPr defaultColWidth="9.796875" defaultRowHeight="15"/>
  <cols>
    <col min="1" max="1" width="12.8984375" style="252" customWidth="1"/>
    <col min="2" max="2" width="14" style="252" customWidth="1"/>
    <col min="3" max="4" width="10.69921875" style="252" customWidth="1"/>
    <col min="5" max="5" width="11.19921875" style="252" customWidth="1"/>
    <col min="6" max="6" width="8.8984375" style="252" customWidth="1"/>
    <col min="7" max="8" width="10.69921875" style="252" customWidth="1"/>
    <col min="9" max="9" width="11.19921875" style="252" customWidth="1"/>
    <col min="10" max="10" width="8.8984375" style="252" customWidth="1"/>
    <col min="11" max="12" width="10.69921875" style="252" customWidth="1"/>
    <col min="13" max="13" width="11.19921875" style="252" customWidth="1"/>
    <col min="14" max="14" width="8.8984375" style="252" customWidth="1"/>
    <col min="15" max="16" width="10.69921875" style="252" customWidth="1"/>
    <col min="17" max="17" width="11.19921875" style="252" customWidth="1"/>
    <col min="18" max="18" width="8.8984375" style="252" customWidth="1"/>
    <col min="19" max="24" width="9.796875" style="252" customWidth="1"/>
    <col min="25" max="27" width="8.796875" style="252" customWidth="1"/>
    <col min="28" max="28" width="6.796875" style="252" customWidth="1"/>
    <col min="29" max="31" width="8.796875" style="252" customWidth="1"/>
    <col min="32" max="32" width="6.796875" style="252" customWidth="1"/>
    <col min="33" max="35" width="8.796875" style="252" customWidth="1"/>
    <col min="36" max="36" width="6.796875" style="252" customWidth="1"/>
    <col min="37" max="39" width="8.796875" style="252" customWidth="1"/>
    <col min="40" max="40" width="6.796875" style="252" customWidth="1"/>
    <col min="41" max="43" width="8.796875" style="252" customWidth="1"/>
    <col min="44" max="44" width="6.796875" style="252" customWidth="1"/>
    <col min="45" max="16384" width="9.796875" style="252" customWidth="1"/>
  </cols>
  <sheetData>
    <row r="1" spans="1:18" s="6" customFormat="1" ht="17.25" customHeight="1">
      <c r="A1" s="6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s="6" customFormat="1" ht="24" customHeight="1">
      <c r="A2" s="752" t="s">
        <v>232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</row>
    <row r="3" s="6" customFormat="1" ht="15" customHeight="1">
      <c r="G3" s="8"/>
    </row>
    <row r="4" spans="1:18" s="6" customFormat="1" ht="21" customHeight="1">
      <c r="A4" s="9" t="s">
        <v>156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9:18" s="6" customFormat="1" ht="22.5" customHeight="1">
      <c r="I5" s="8"/>
      <c r="J5" s="12"/>
      <c r="Q5" s="40" t="s">
        <v>228</v>
      </c>
      <c r="R5" s="40"/>
    </row>
    <row r="6" spans="1:29" s="6" customFormat="1" ht="22.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P6" s="11"/>
      <c r="Q6" s="12" t="s">
        <v>214</v>
      </c>
      <c r="R6" s="12"/>
      <c r="S6" s="11"/>
      <c r="T6" s="11"/>
      <c r="U6" s="11"/>
      <c r="V6" s="11"/>
      <c r="W6" s="11"/>
      <c r="X6" s="11"/>
      <c r="Y6" s="11"/>
      <c r="AA6" s="11"/>
      <c r="AB6" s="11"/>
      <c r="AC6" s="11"/>
    </row>
    <row r="7" spans="1:18" s="6" customFormat="1" ht="18" customHeight="1">
      <c r="A7" s="16"/>
      <c r="B7" s="64"/>
      <c r="C7" s="779" t="s">
        <v>185</v>
      </c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1"/>
    </row>
    <row r="8" spans="1:18" s="6" customFormat="1" ht="16.5" customHeight="1">
      <c r="A8" s="756" t="s">
        <v>285</v>
      </c>
      <c r="B8" s="757"/>
      <c r="C8" s="136" t="s">
        <v>89</v>
      </c>
      <c r="D8" s="54"/>
      <c r="E8" s="54"/>
      <c r="F8" s="137"/>
      <c r="G8" s="51" t="s">
        <v>90</v>
      </c>
      <c r="H8" s="138"/>
      <c r="I8" s="52"/>
      <c r="J8" s="139"/>
      <c r="K8" s="136" t="s">
        <v>91</v>
      </c>
      <c r="L8" s="140"/>
      <c r="M8" s="52"/>
      <c r="N8" s="139"/>
      <c r="O8" s="776" t="s">
        <v>162</v>
      </c>
      <c r="P8" s="777"/>
      <c r="Q8" s="777"/>
      <c r="R8" s="778"/>
    </row>
    <row r="9" spans="1:18" s="6" customFormat="1" ht="16.5" customHeight="1">
      <c r="A9" s="74"/>
      <c r="B9" s="141"/>
      <c r="C9" s="101" t="s">
        <v>40</v>
      </c>
      <c r="D9" s="102"/>
      <c r="E9" s="99" t="s">
        <v>41</v>
      </c>
      <c r="F9" s="100" t="s">
        <v>2</v>
      </c>
      <c r="G9" s="101" t="s">
        <v>40</v>
      </c>
      <c r="H9" s="102"/>
      <c r="I9" s="99" t="s">
        <v>41</v>
      </c>
      <c r="J9" s="100" t="s">
        <v>2</v>
      </c>
      <c r="K9" s="142" t="s">
        <v>40</v>
      </c>
      <c r="L9" s="143"/>
      <c r="M9" s="99" t="s">
        <v>41</v>
      </c>
      <c r="N9" s="100" t="s">
        <v>2</v>
      </c>
      <c r="O9" s="101" t="s">
        <v>40</v>
      </c>
      <c r="P9" s="102"/>
      <c r="Q9" s="99" t="s">
        <v>41</v>
      </c>
      <c r="R9" s="100" t="s">
        <v>2</v>
      </c>
    </row>
    <row r="10" spans="1:18" s="6" customFormat="1" ht="16.5" customHeight="1" thickBot="1">
      <c r="A10" s="29"/>
      <c r="B10" s="144"/>
      <c r="C10" s="31" t="s">
        <v>73</v>
      </c>
      <c r="D10" s="32" t="s">
        <v>74</v>
      </c>
      <c r="E10" s="32" t="s">
        <v>201</v>
      </c>
      <c r="F10" s="34" t="s">
        <v>19</v>
      </c>
      <c r="G10" s="31" t="s">
        <v>73</v>
      </c>
      <c r="H10" s="32" t="s">
        <v>74</v>
      </c>
      <c r="I10" s="32" t="s">
        <v>201</v>
      </c>
      <c r="J10" s="34" t="s">
        <v>19</v>
      </c>
      <c r="K10" s="55" t="s">
        <v>73</v>
      </c>
      <c r="L10" s="32" t="s">
        <v>74</v>
      </c>
      <c r="M10" s="32" t="s">
        <v>201</v>
      </c>
      <c r="N10" s="34" t="s">
        <v>19</v>
      </c>
      <c r="O10" s="31" t="s">
        <v>73</v>
      </c>
      <c r="P10" s="32" t="s">
        <v>74</v>
      </c>
      <c r="Q10" s="32" t="s">
        <v>201</v>
      </c>
      <c r="R10" s="34" t="s">
        <v>19</v>
      </c>
    </row>
    <row r="11" spans="1:18" s="6" customFormat="1" ht="16.5" customHeight="1">
      <c r="A11" s="145"/>
      <c r="B11" s="146"/>
      <c r="C11" s="766" t="s">
        <v>92</v>
      </c>
      <c r="D11" s="766"/>
      <c r="E11" s="766"/>
      <c r="F11" s="766"/>
      <c r="G11" s="766" t="s">
        <v>93</v>
      </c>
      <c r="H11" s="766"/>
      <c r="I11" s="766"/>
      <c r="J11" s="766"/>
      <c r="K11" s="766" t="s">
        <v>94</v>
      </c>
      <c r="L11" s="766"/>
      <c r="M11" s="766"/>
      <c r="N11" s="766"/>
      <c r="O11" s="147"/>
      <c r="P11" s="3" t="s">
        <v>95</v>
      </c>
      <c r="Q11" s="148"/>
      <c r="R11" s="145"/>
    </row>
    <row r="12" spans="1:18" s="6" customFormat="1" ht="16.5" customHeight="1" thickBot="1">
      <c r="A12" s="145"/>
      <c r="B12" s="146"/>
      <c r="C12" s="148"/>
      <c r="D12" s="3"/>
      <c r="E12" s="148"/>
      <c r="F12" s="145"/>
      <c r="G12" s="147"/>
      <c r="H12" s="3"/>
      <c r="I12" s="148"/>
      <c r="J12" s="145"/>
      <c r="K12" s="147"/>
      <c r="L12" s="3"/>
      <c r="M12" s="148"/>
      <c r="N12" s="145"/>
      <c r="O12" s="147"/>
      <c r="P12" s="3"/>
      <c r="Q12" s="148"/>
      <c r="R12" s="145"/>
    </row>
    <row r="13" spans="1:18" s="6" customFormat="1" ht="16.5" customHeight="1">
      <c r="A13" s="390"/>
      <c r="B13" s="413"/>
      <c r="C13" s="348"/>
      <c r="D13" s="400"/>
      <c r="E13" s="400"/>
      <c r="F13" s="401"/>
      <c r="G13" s="348"/>
      <c r="H13" s="400"/>
      <c r="I13" s="400"/>
      <c r="J13" s="401"/>
      <c r="K13" s="348"/>
      <c r="L13" s="400"/>
      <c r="M13" s="400"/>
      <c r="N13" s="401"/>
      <c r="O13" s="348"/>
      <c r="P13" s="386"/>
      <c r="Q13" s="386"/>
      <c r="R13" s="401"/>
    </row>
    <row r="14" spans="1:18" s="6" customFormat="1" ht="16.5" customHeight="1">
      <c r="A14" s="748" t="s">
        <v>243</v>
      </c>
      <c r="B14" s="399"/>
      <c r="C14" s="381"/>
      <c r="D14" s="309">
        <v>7481</v>
      </c>
      <c r="E14" s="309">
        <f>D14</f>
        <v>7481</v>
      </c>
      <c r="F14" s="402">
        <f aca="true" t="shared" si="0" ref="F14:F42">E14/D14*100</f>
        <v>100</v>
      </c>
      <c r="G14" s="309">
        <v>50894</v>
      </c>
      <c r="H14" s="309">
        <v>50725</v>
      </c>
      <c r="I14" s="309">
        <f>H14</f>
        <v>50725</v>
      </c>
      <c r="J14" s="402">
        <f aca="true" t="shared" si="1" ref="J14:J42">I14/H14*100</f>
        <v>100</v>
      </c>
      <c r="K14" s="381"/>
      <c r="L14" s="378"/>
      <c r="M14" s="378"/>
      <c r="N14" s="404"/>
      <c r="O14" s="406"/>
      <c r="P14" s="407">
        <v>59211</v>
      </c>
      <c r="Q14" s="407">
        <v>59126</v>
      </c>
      <c r="R14" s="408">
        <f aca="true" t="shared" si="2" ref="R14:R21">Q14/P14*100</f>
        <v>99.85644559287971</v>
      </c>
    </row>
    <row r="15" spans="1:18" s="6" customFormat="1" ht="16.5" customHeight="1">
      <c r="A15" s="750" t="s">
        <v>244</v>
      </c>
      <c r="B15" s="329"/>
      <c r="C15" s="303"/>
      <c r="D15" s="309">
        <v>2605</v>
      </c>
      <c r="E15" s="309">
        <f aca="true" t="shared" si="3" ref="E15:E42">D15</f>
        <v>2605</v>
      </c>
      <c r="F15" s="402">
        <f t="shared" si="0"/>
        <v>100</v>
      </c>
      <c r="G15" s="309">
        <v>9776</v>
      </c>
      <c r="H15" s="309">
        <v>9826</v>
      </c>
      <c r="I15" s="309">
        <f aca="true" t="shared" si="4" ref="I15:I42">H15</f>
        <v>9826</v>
      </c>
      <c r="J15" s="402">
        <f t="shared" si="1"/>
        <v>100</v>
      </c>
      <c r="K15" s="381"/>
      <c r="L15" s="304"/>
      <c r="M15" s="304"/>
      <c r="N15" s="405"/>
      <c r="O15" s="393"/>
      <c r="P15" s="407">
        <v>4600</v>
      </c>
      <c r="Q15" s="407">
        <v>4600</v>
      </c>
      <c r="R15" s="408">
        <f t="shared" si="2"/>
        <v>100</v>
      </c>
    </row>
    <row r="16" spans="1:18" s="6" customFormat="1" ht="16.5" customHeight="1">
      <c r="A16" s="749" t="s">
        <v>245</v>
      </c>
      <c r="B16" s="329"/>
      <c r="C16" s="303"/>
      <c r="D16" s="309">
        <v>1487</v>
      </c>
      <c r="E16" s="309">
        <f t="shared" si="3"/>
        <v>1487</v>
      </c>
      <c r="F16" s="402">
        <f t="shared" si="0"/>
        <v>100</v>
      </c>
      <c r="G16" s="309">
        <v>9452</v>
      </c>
      <c r="H16" s="309">
        <v>9365</v>
      </c>
      <c r="I16" s="309">
        <f t="shared" si="4"/>
        <v>9365</v>
      </c>
      <c r="J16" s="402">
        <f t="shared" si="1"/>
        <v>100</v>
      </c>
      <c r="K16" s="303"/>
      <c r="L16" s="304"/>
      <c r="M16" s="304"/>
      <c r="N16" s="405"/>
      <c r="O16" s="393"/>
      <c r="P16" s="407">
        <v>4800</v>
      </c>
      <c r="Q16" s="407">
        <v>4800</v>
      </c>
      <c r="R16" s="408">
        <f t="shared" si="2"/>
        <v>100</v>
      </c>
    </row>
    <row r="17" spans="1:18" s="6" customFormat="1" ht="16.5" customHeight="1">
      <c r="A17" s="749" t="s">
        <v>246</v>
      </c>
      <c r="B17" s="329"/>
      <c r="C17" s="303"/>
      <c r="D17" s="307">
        <v>866</v>
      </c>
      <c r="E17" s="309">
        <f t="shared" si="3"/>
        <v>866</v>
      </c>
      <c r="F17" s="402">
        <f t="shared" si="0"/>
        <v>100</v>
      </c>
      <c r="G17" s="309">
        <v>7514</v>
      </c>
      <c r="H17" s="309">
        <v>7438</v>
      </c>
      <c r="I17" s="309">
        <f t="shared" si="4"/>
        <v>7438</v>
      </c>
      <c r="J17" s="402">
        <f t="shared" si="1"/>
        <v>100</v>
      </c>
      <c r="K17" s="303"/>
      <c r="L17" s="309">
        <v>2059</v>
      </c>
      <c r="M17" s="309">
        <v>2059</v>
      </c>
      <c r="N17" s="402">
        <f>M17/L17*100</f>
        <v>100</v>
      </c>
      <c r="O17" s="393"/>
      <c r="P17" s="407">
        <v>1984</v>
      </c>
      <c r="Q17" s="407">
        <v>2076</v>
      </c>
      <c r="R17" s="408">
        <f t="shared" si="2"/>
        <v>104.63709677419355</v>
      </c>
    </row>
    <row r="18" spans="1:18" s="6" customFormat="1" ht="16.5" customHeight="1">
      <c r="A18" s="749" t="s">
        <v>247</v>
      </c>
      <c r="B18" s="329"/>
      <c r="C18" s="303"/>
      <c r="D18" s="307">
        <v>1175</v>
      </c>
      <c r="E18" s="309">
        <f t="shared" si="3"/>
        <v>1175</v>
      </c>
      <c r="F18" s="402">
        <f t="shared" si="0"/>
        <v>100</v>
      </c>
      <c r="G18" s="309">
        <v>8558</v>
      </c>
      <c r="H18" s="309">
        <v>8553</v>
      </c>
      <c r="I18" s="309">
        <f t="shared" si="4"/>
        <v>8553</v>
      </c>
      <c r="J18" s="402">
        <f t="shared" si="1"/>
        <v>100</v>
      </c>
      <c r="K18" s="303"/>
      <c r="L18" s="309">
        <v>1471</v>
      </c>
      <c r="M18" s="309">
        <v>1471</v>
      </c>
      <c r="N18" s="402">
        <f>M18/L18*100</f>
        <v>100</v>
      </c>
      <c r="O18" s="393"/>
      <c r="P18" s="407">
        <v>2356</v>
      </c>
      <c r="Q18" s="407">
        <v>2357</v>
      </c>
      <c r="R18" s="408">
        <f t="shared" si="2"/>
        <v>100.04244482173175</v>
      </c>
    </row>
    <row r="19" spans="1:18" s="6" customFormat="1" ht="16.5" customHeight="1">
      <c r="A19" s="750" t="s">
        <v>248</v>
      </c>
      <c r="B19" s="329"/>
      <c r="C19" s="303"/>
      <c r="D19" s="307">
        <v>183</v>
      </c>
      <c r="E19" s="309">
        <f t="shared" si="3"/>
        <v>183</v>
      </c>
      <c r="F19" s="402">
        <f t="shared" si="0"/>
        <v>100</v>
      </c>
      <c r="G19" s="307">
        <v>1513</v>
      </c>
      <c r="H19" s="307">
        <v>1517</v>
      </c>
      <c r="I19" s="309">
        <f t="shared" si="4"/>
        <v>1517</v>
      </c>
      <c r="J19" s="402">
        <f t="shared" si="1"/>
        <v>100</v>
      </c>
      <c r="K19" s="303"/>
      <c r="L19" s="304"/>
      <c r="M19" s="304"/>
      <c r="N19" s="402"/>
      <c r="O19" s="393"/>
      <c r="P19" s="407">
        <v>549</v>
      </c>
      <c r="Q19" s="407">
        <v>535</v>
      </c>
      <c r="R19" s="408">
        <f t="shared" si="2"/>
        <v>97.44990892531877</v>
      </c>
    </row>
    <row r="20" spans="1:18" s="6" customFormat="1" ht="16.5" customHeight="1">
      <c r="A20" s="749" t="s">
        <v>249</v>
      </c>
      <c r="B20" s="329"/>
      <c r="C20" s="303"/>
      <c r="D20" s="309">
        <v>2672</v>
      </c>
      <c r="E20" s="309">
        <f t="shared" si="3"/>
        <v>2672</v>
      </c>
      <c r="F20" s="402">
        <f t="shared" si="0"/>
        <v>100</v>
      </c>
      <c r="G20" s="309">
        <v>15092</v>
      </c>
      <c r="H20" s="309">
        <v>15139</v>
      </c>
      <c r="I20" s="309">
        <f t="shared" si="4"/>
        <v>15139</v>
      </c>
      <c r="J20" s="402">
        <f t="shared" si="1"/>
        <v>100</v>
      </c>
      <c r="K20" s="303"/>
      <c r="L20" s="304"/>
      <c r="M20" s="304"/>
      <c r="N20" s="405"/>
      <c r="O20" s="393"/>
      <c r="P20" s="407">
        <v>5813</v>
      </c>
      <c r="Q20" s="407">
        <v>5813</v>
      </c>
      <c r="R20" s="408">
        <f t="shared" si="2"/>
        <v>100</v>
      </c>
    </row>
    <row r="21" spans="1:18" s="6" customFormat="1" ht="16.5" customHeight="1">
      <c r="A21" s="750" t="s">
        <v>250</v>
      </c>
      <c r="B21" s="333"/>
      <c r="C21" s="303"/>
      <c r="D21" s="309">
        <v>3909</v>
      </c>
      <c r="E21" s="309">
        <f t="shared" si="3"/>
        <v>3909</v>
      </c>
      <c r="F21" s="402">
        <f t="shared" si="0"/>
        <v>100</v>
      </c>
      <c r="G21" s="309">
        <v>16282</v>
      </c>
      <c r="H21" s="309">
        <v>16240</v>
      </c>
      <c r="I21" s="309">
        <f t="shared" si="4"/>
        <v>16240</v>
      </c>
      <c r="J21" s="402">
        <f t="shared" si="1"/>
        <v>100</v>
      </c>
      <c r="K21" s="303"/>
      <c r="L21" s="307">
        <v>791</v>
      </c>
      <c r="M21" s="307">
        <v>791</v>
      </c>
      <c r="N21" s="402">
        <f>M21/L21*100</f>
        <v>100</v>
      </c>
      <c r="O21" s="393"/>
      <c r="P21" s="407">
        <v>6207</v>
      </c>
      <c r="Q21" s="407">
        <v>6187</v>
      </c>
      <c r="R21" s="408">
        <f t="shared" si="2"/>
        <v>99.67778314805864</v>
      </c>
    </row>
    <row r="22" spans="1:18" s="6" customFormat="1" ht="16.5" customHeight="1">
      <c r="A22" s="750" t="s">
        <v>251</v>
      </c>
      <c r="B22" s="333"/>
      <c r="C22" s="303"/>
      <c r="D22" s="307">
        <v>95</v>
      </c>
      <c r="E22" s="309">
        <f t="shared" si="3"/>
        <v>95</v>
      </c>
      <c r="F22" s="402">
        <f t="shared" si="0"/>
        <v>100</v>
      </c>
      <c r="G22" s="307">
        <v>551</v>
      </c>
      <c r="H22" s="307">
        <v>558</v>
      </c>
      <c r="I22" s="309">
        <f t="shared" si="4"/>
        <v>558</v>
      </c>
      <c r="J22" s="402">
        <f t="shared" si="1"/>
        <v>100</v>
      </c>
      <c r="K22" s="303"/>
      <c r="L22" s="304"/>
      <c r="M22" s="304"/>
      <c r="N22" s="405"/>
      <c r="O22" s="393"/>
      <c r="P22" s="409"/>
      <c r="Q22" s="409"/>
      <c r="R22" s="408"/>
    </row>
    <row r="23" spans="1:18" s="6" customFormat="1" ht="16.5" customHeight="1">
      <c r="A23" s="750" t="s">
        <v>252</v>
      </c>
      <c r="B23" s="333"/>
      <c r="C23" s="303"/>
      <c r="D23" s="307">
        <v>530</v>
      </c>
      <c r="E23" s="309">
        <f t="shared" si="3"/>
        <v>530</v>
      </c>
      <c r="F23" s="402">
        <f t="shared" si="0"/>
        <v>100</v>
      </c>
      <c r="G23" s="309">
        <v>4697</v>
      </c>
      <c r="H23" s="309">
        <v>4765</v>
      </c>
      <c r="I23" s="309">
        <f t="shared" si="4"/>
        <v>4765</v>
      </c>
      <c r="J23" s="402">
        <f t="shared" si="1"/>
        <v>100</v>
      </c>
      <c r="K23" s="303"/>
      <c r="L23" s="304"/>
      <c r="M23" s="304"/>
      <c r="N23" s="405"/>
      <c r="O23" s="393"/>
      <c r="P23" s="407">
        <v>2362</v>
      </c>
      <c r="Q23" s="407">
        <v>2344</v>
      </c>
      <c r="R23" s="408">
        <f aca="true" t="shared" si="5" ref="R23:R38">Q23/P23*100</f>
        <v>99.23793395427603</v>
      </c>
    </row>
    <row r="24" spans="1:18" s="6" customFormat="1" ht="16.5" customHeight="1">
      <c r="A24" s="750" t="s">
        <v>253</v>
      </c>
      <c r="B24" s="329"/>
      <c r="C24" s="303"/>
      <c r="D24" s="307">
        <v>306</v>
      </c>
      <c r="E24" s="309">
        <f t="shared" si="3"/>
        <v>306</v>
      </c>
      <c r="F24" s="402">
        <f t="shared" si="0"/>
        <v>100</v>
      </c>
      <c r="G24" s="309">
        <v>2518</v>
      </c>
      <c r="H24" s="309">
        <v>2577</v>
      </c>
      <c r="I24" s="309">
        <f t="shared" si="4"/>
        <v>2577</v>
      </c>
      <c r="J24" s="402">
        <f t="shared" si="1"/>
        <v>100</v>
      </c>
      <c r="K24" s="303"/>
      <c r="L24" s="304"/>
      <c r="M24" s="304"/>
      <c r="N24" s="405"/>
      <c r="O24" s="393"/>
      <c r="P24" s="407">
        <v>350</v>
      </c>
      <c r="Q24" s="407">
        <v>350</v>
      </c>
      <c r="R24" s="408">
        <f t="shared" si="5"/>
        <v>100</v>
      </c>
    </row>
    <row r="25" spans="1:19" s="6" customFormat="1" ht="16.5" customHeight="1">
      <c r="A25" s="750" t="s">
        <v>254</v>
      </c>
      <c r="B25" s="329"/>
      <c r="C25" s="303"/>
      <c r="D25" s="307">
        <v>413</v>
      </c>
      <c r="E25" s="309">
        <f t="shared" si="3"/>
        <v>413</v>
      </c>
      <c r="F25" s="402">
        <f t="shared" si="0"/>
        <v>100</v>
      </c>
      <c r="G25" s="309">
        <v>2098</v>
      </c>
      <c r="H25" s="309">
        <v>2128</v>
      </c>
      <c r="I25" s="309">
        <f t="shared" si="4"/>
        <v>2128</v>
      </c>
      <c r="J25" s="402">
        <f t="shared" si="1"/>
        <v>100</v>
      </c>
      <c r="K25" s="303"/>
      <c r="L25" s="304"/>
      <c r="M25" s="304"/>
      <c r="N25" s="405"/>
      <c r="O25" s="393"/>
      <c r="P25" s="407">
        <v>332</v>
      </c>
      <c r="Q25" s="407">
        <v>321</v>
      </c>
      <c r="R25" s="408">
        <f t="shared" si="5"/>
        <v>96.6867469879518</v>
      </c>
      <c r="S25" s="39"/>
    </row>
    <row r="26" spans="1:18" s="6" customFormat="1" ht="16.5" customHeight="1">
      <c r="A26" s="750" t="s">
        <v>255</v>
      </c>
      <c r="B26" s="329"/>
      <c r="C26" s="303"/>
      <c r="D26" s="309">
        <v>5418</v>
      </c>
      <c r="E26" s="309">
        <f t="shared" si="3"/>
        <v>5418</v>
      </c>
      <c r="F26" s="402">
        <f t="shared" si="0"/>
        <v>100</v>
      </c>
      <c r="G26" s="309">
        <v>32290</v>
      </c>
      <c r="H26" s="309">
        <v>32363</v>
      </c>
      <c r="I26" s="309">
        <f t="shared" si="4"/>
        <v>32363</v>
      </c>
      <c r="J26" s="402">
        <f t="shared" si="1"/>
        <v>100</v>
      </c>
      <c r="K26" s="303"/>
      <c r="L26" s="307">
        <v>847</v>
      </c>
      <c r="M26" s="307">
        <v>847</v>
      </c>
      <c r="N26" s="402">
        <f>M26/L26*100</f>
        <v>100</v>
      </c>
      <c r="O26" s="393"/>
      <c r="P26" s="407">
        <v>20551</v>
      </c>
      <c r="Q26" s="407">
        <v>20551</v>
      </c>
      <c r="R26" s="408">
        <f t="shared" si="5"/>
        <v>100</v>
      </c>
    </row>
    <row r="27" spans="1:18" s="6" customFormat="1" ht="16.5" customHeight="1">
      <c r="A27" s="749" t="s">
        <v>256</v>
      </c>
      <c r="B27" s="329"/>
      <c r="C27" s="303"/>
      <c r="D27" s="307">
        <v>810</v>
      </c>
      <c r="E27" s="309">
        <f t="shared" si="3"/>
        <v>810</v>
      </c>
      <c r="F27" s="402">
        <f t="shared" si="0"/>
        <v>100</v>
      </c>
      <c r="G27" s="309">
        <v>3417</v>
      </c>
      <c r="H27" s="309">
        <v>3404</v>
      </c>
      <c r="I27" s="309">
        <f t="shared" si="4"/>
        <v>3404</v>
      </c>
      <c r="J27" s="402">
        <f t="shared" si="1"/>
        <v>100</v>
      </c>
      <c r="K27" s="303"/>
      <c r="L27" s="304"/>
      <c r="M27" s="304"/>
      <c r="N27" s="405"/>
      <c r="O27" s="393"/>
      <c r="P27" s="407">
        <v>943</v>
      </c>
      <c r="Q27" s="407">
        <v>913</v>
      </c>
      <c r="R27" s="408">
        <f t="shared" si="5"/>
        <v>96.8186638388123</v>
      </c>
    </row>
    <row r="28" spans="1:18" s="6" customFormat="1" ht="15.75" customHeight="1">
      <c r="A28" s="750" t="s">
        <v>257</v>
      </c>
      <c r="B28" s="333"/>
      <c r="C28" s="303"/>
      <c r="D28" s="309">
        <v>2758</v>
      </c>
      <c r="E28" s="309">
        <f t="shared" si="3"/>
        <v>2758</v>
      </c>
      <c r="F28" s="402">
        <f t="shared" si="0"/>
        <v>100</v>
      </c>
      <c r="G28" s="309">
        <v>15887</v>
      </c>
      <c r="H28" s="309">
        <v>15893</v>
      </c>
      <c r="I28" s="309">
        <f t="shared" si="4"/>
        <v>15893</v>
      </c>
      <c r="J28" s="402">
        <f t="shared" si="1"/>
        <v>100</v>
      </c>
      <c r="K28" s="303"/>
      <c r="L28" s="307">
        <v>889</v>
      </c>
      <c r="M28" s="307">
        <v>889</v>
      </c>
      <c r="N28" s="402">
        <f>M28/L28*100</f>
        <v>100</v>
      </c>
      <c r="O28" s="393"/>
      <c r="P28" s="407">
        <v>4594</v>
      </c>
      <c r="Q28" s="407">
        <v>4594</v>
      </c>
      <c r="R28" s="408">
        <f t="shared" si="5"/>
        <v>100</v>
      </c>
    </row>
    <row r="29" spans="1:18" s="6" customFormat="1" ht="16.5" customHeight="1">
      <c r="A29" s="750" t="s">
        <v>258</v>
      </c>
      <c r="B29" s="333"/>
      <c r="C29" s="303"/>
      <c r="D29" s="307">
        <v>618</v>
      </c>
      <c r="E29" s="309">
        <f t="shared" si="3"/>
        <v>618</v>
      </c>
      <c r="F29" s="402">
        <f t="shared" si="0"/>
        <v>100</v>
      </c>
      <c r="G29" s="309">
        <v>5324</v>
      </c>
      <c r="H29" s="309">
        <v>5292</v>
      </c>
      <c r="I29" s="309">
        <f t="shared" si="4"/>
        <v>5292</v>
      </c>
      <c r="J29" s="402">
        <f t="shared" si="1"/>
        <v>100</v>
      </c>
      <c r="K29" s="303">
        <v>254</v>
      </c>
      <c r="L29" s="307">
        <v>254</v>
      </c>
      <c r="M29" s="307">
        <v>254</v>
      </c>
      <c r="N29" s="402">
        <f>M29/L29*100</f>
        <v>100</v>
      </c>
      <c r="O29" s="393"/>
      <c r="P29" s="407">
        <v>5457</v>
      </c>
      <c r="Q29" s="407">
        <v>5457</v>
      </c>
      <c r="R29" s="408">
        <f t="shared" si="5"/>
        <v>100</v>
      </c>
    </row>
    <row r="30" spans="1:18" s="6" customFormat="1" ht="16.5" customHeight="1">
      <c r="A30" s="750" t="s">
        <v>259</v>
      </c>
      <c r="B30" s="333"/>
      <c r="C30" s="303"/>
      <c r="D30" s="307">
        <v>977</v>
      </c>
      <c r="E30" s="309">
        <f t="shared" si="3"/>
        <v>977</v>
      </c>
      <c r="F30" s="402">
        <f t="shared" si="0"/>
        <v>100</v>
      </c>
      <c r="G30" s="309">
        <v>6303</v>
      </c>
      <c r="H30" s="309">
        <v>6299</v>
      </c>
      <c r="I30" s="309">
        <f t="shared" si="4"/>
        <v>6299</v>
      </c>
      <c r="J30" s="402">
        <f t="shared" si="1"/>
        <v>100</v>
      </c>
      <c r="K30" s="303"/>
      <c r="L30" s="304"/>
      <c r="M30" s="304"/>
      <c r="N30" s="402"/>
      <c r="O30" s="393"/>
      <c r="P30" s="407">
        <v>3285</v>
      </c>
      <c r="Q30" s="407">
        <v>3285</v>
      </c>
      <c r="R30" s="408">
        <f t="shared" si="5"/>
        <v>100</v>
      </c>
    </row>
    <row r="31" spans="1:18" s="6" customFormat="1" ht="16.5" customHeight="1">
      <c r="A31" s="750" t="s">
        <v>260</v>
      </c>
      <c r="B31" s="333"/>
      <c r="C31" s="303"/>
      <c r="D31" s="307">
        <v>1346</v>
      </c>
      <c r="E31" s="309">
        <f t="shared" si="3"/>
        <v>1346</v>
      </c>
      <c r="F31" s="402">
        <f t="shared" si="0"/>
        <v>100</v>
      </c>
      <c r="G31" s="309">
        <v>8532</v>
      </c>
      <c r="H31" s="309">
        <v>8495</v>
      </c>
      <c r="I31" s="309">
        <f t="shared" si="4"/>
        <v>8495</v>
      </c>
      <c r="J31" s="402">
        <f t="shared" si="1"/>
        <v>100</v>
      </c>
      <c r="K31" s="303">
        <v>2215</v>
      </c>
      <c r="L31" s="309">
        <v>2215</v>
      </c>
      <c r="M31" s="309">
        <v>2214</v>
      </c>
      <c r="N31" s="402">
        <f>M31/L31*100</f>
        <v>99.9548532731377</v>
      </c>
      <c r="O31" s="393"/>
      <c r="P31" s="407">
        <v>1507</v>
      </c>
      <c r="Q31" s="407">
        <v>1507</v>
      </c>
      <c r="R31" s="408">
        <f t="shared" si="5"/>
        <v>100</v>
      </c>
    </row>
    <row r="32" spans="1:18" s="6" customFormat="1" ht="16.5" customHeight="1">
      <c r="A32" s="750" t="s">
        <v>261</v>
      </c>
      <c r="B32" s="329"/>
      <c r="C32" s="303"/>
      <c r="D32" s="309">
        <v>2351</v>
      </c>
      <c r="E32" s="309">
        <f t="shared" si="3"/>
        <v>2351</v>
      </c>
      <c r="F32" s="402">
        <f t="shared" si="0"/>
        <v>100</v>
      </c>
      <c r="G32" s="309">
        <v>19464</v>
      </c>
      <c r="H32" s="309">
        <v>19147</v>
      </c>
      <c r="I32" s="309">
        <f t="shared" si="4"/>
        <v>19147</v>
      </c>
      <c r="J32" s="402">
        <f t="shared" si="1"/>
        <v>100</v>
      </c>
      <c r="K32" s="303"/>
      <c r="L32" s="304"/>
      <c r="M32" s="304"/>
      <c r="N32" s="402"/>
      <c r="O32" s="393"/>
      <c r="P32" s="407">
        <v>6000</v>
      </c>
      <c r="Q32" s="407">
        <v>6000</v>
      </c>
      <c r="R32" s="408">
        <f t="shared" si="5"/>
        <v>100</v>
      </c>
    </row>
    <row r="33" spans="1:18" s="6" customFormat="1" ht="16.5" customHeight="1">
      <c r="A33" s="750" t="s">
        <v>262</v>
      </c>
      <c r="B33" s="329"/>
      <c r="C33" s="303"/>
      <c r="D33" s="307">
        <v>1066</v>
      </c>
      <c r="E33" s="309">
        <f t="shared" si="3"/>
        <v>1066</v>
      </c>
      <c r="F33" s="402">
        <f t="shared" si="0"/>
        <v>100</v>
      </c>
      <c r="G33" s="309">
        <v>6069</v>
      </c>
      <c r="H33" s="309">
        <v>6127</v>
      </c>
      <c r="I33" s="309">
        <f t="shared" si="4"/>
        <v>6127</v>
      </c>
      <c r="J33" s="402">
        <f t="shared" si="1"/>
        <v>100</v>
      </c>
      <c r="K33" s="307">
        <v>1260</v>
      </c>
      <c r="L33" s="309">
        <v>1951</v>
      </c>
      <c r="M33" s="309">
        <v>1951</v>
      </c>
      <c r="N33" s="402">
        <f>M33/L33*100</f>
        <v>100</v>
      </c>
      <c r="O33" s="393"/>
      <c r="P33" s="407">
        <v>2004</v>
      </c>
      <c r="Q33" s="407">
        <v>2004</v>
      </c>
      <c r="R33" s="408">
        <f t="shared" si="5"/>
        <v>100</v>
      </c>
    </row>
    <row r="34" spans="1:18" s="6" customFormat="1" ht="16.5" customHeight="1">
      <c r="A34" s="750" t="s">
        <v>263</v>
      </c>
      <c r="B34" s="329"/>
      <c r="C34" s="303"/>
      <c r="D34" s="307">
        <v>513</v>
      </c>
      <c r="E34" s="309">
        <f t="shared" si="3"/>
        <v>513</v>
      </c>
      <c r="F34" s="402">
        <f t="shared" si="0"/>
        <v>100</v>
      </c>
      <c r="G34" s="309">
        <v>3921</v>
      </c>
      <c r="H34" s="309">
        <v>3947</v>
      </c>
      <c r="I34" s="309">
        <f t="shared" si="4"/>
        <v>3947</v>
      </c>
      <c r="J34" s="402">
        <f t="shared" si="1"/>
        <v>100</v>
      </c>
      <c r="K34" s="303"/>
      <c r="L34" s="304"/>
      <c r="M34" s="304"/>
      <c r="N34" s="402"/>
      <c r="O34" s="393"/>
      <c r="P34" s="407">
        <v>400</v>
      </c>
      <c r="Q34" s="407">
        <v>400</v>
      </c>
      <c r="R34" s="408">
        <f t="shared" si="5"/>
        <v>100</v>
      </c>
    </row>
    <row r="35" spans="1:18" s="6" customFormat="1" ht="16.5" customHeight="1">
      <c r="A35" s="750" t="s">
        <v>264</v>
      </c>
      <c r="B35" s="329"/>
      <c r="C35" s="303"/>
      <c r="D35" s="307">
        <v>304</v>
      </c>
      <c r="E35" s="309">
        <f t="shared" si="3"/>
        <v>304</v>
      </c>
      <c r="F35" s="402">
        <f t="shared" si="0"/>
        <v>100</v>
      </c>
      <c r="G35" s="309">
        <v>2488</v>
      </c>
      <c r="H35" s="309">
        <v>2474</v>
      </c>
      <c r="I35" s="309">
        <f t="shared" si="4"/>
        <v>2474</v>
      </c>
      <c r="J35" s="402">
        <f t="shared" si="1"/>
        <v>100</v>
      </c>
      <c r="K35" s="303"/>
      <c r="L35" s="304"/>
      <c r="M35" s="304"/>
      <c r="N35" s="405"/>
      <c r="O35" s="393"/>
      <c r="P35" s="407">
        <v>350</v>
      </c>
      <c r="Q35" s="407">
        <v>350</v>
      </c>
      <c r="R35" s="408">
        <f t="shared" si="5"/>
        <v>100</v>
      </c>
    </row>
    <row r="36" spans="1:18" s="6" customFormat="1" ht="16.5" customHeight="1">
      <c r="A36" s="749" t="s">
        <v>265</v>
      </c>
      <c r="B36" s="329"/>
      <c r="C36" s="303"/>
      <c r="D36" s="309">
        <v>4413</v>
      </c>
      <c r="E36" s="309">
        <f t="shared" si="3"/>
        <v>4413</v>
      </c>
      <c r="F36" s="402">
        <f t="shared" si="0"/>
        <v>100</v>
      </c>
      <c r="G36" s="309">
        <v>19424</v>
      </c>
      <c r="H36" s="309">
        <v>19327</v>
      </c>
      <c r="I36" s="309">
        <f t="shared" si="4"/>
        <v>19327</v>
      </c>
      <c r="J36" s="402">
        <f t="shared" si="1"/>
        <v>100</v>
      </c>
      <c r="K36" s="303"/>
      <c r="L36" s="307">
        <v>786</v>
      </c>
      <c r="M36" s="307">
        <v>787</v>
      </c>
      <c r="N36" s="402">
        <f>M36/L36*100</f>
        <v>100.12722646310432</v>
      </c>
      <c r="O36" s="393"/>
      <c r="P36" s="407">
        <v>9675</v>
      </c>
      <c r="Q36" s="407">
        <v>9675</v>
      </c>
      <c r="R36" s="408">
        <f t="shared" si="5"/>
        <v>100</v>
      </c>
    </row>
    <row r="37" spans="1:18" s="6" customFormat="1" ht="16.5" customHeight="1">
      <c r="A37" s="750" t="s">
        <v>266</v>
      </c>
      <c r="B37" s="329"/>
      <c r="C37" s="303"/>
      <c r="D37" s="307">
        <v>813</v>
      </c>
      <c r="E37" s="309">
        <f t="shared" si="3"/>
        <v>813</v>
      </c>
      <c r="F37" s="402">
        <f t="shared" si="0"/>
        <v>100</v>
      </c>
      <c r="G37" s="309">
        <v>3289</v>
      </c>
      <c r="H37" s="309">
        <v>3304</v>
      </c>
      <c r="I37" s="309">
        <f t="shared" si="4"/>
        <v>3304</v>
      </c>
      <c r="J37" s="402">
        <f t="shared" si="1"/>
        <v>100</v>
      </c>
      <c r="K37" s="303"/>
      <c r="L37" s="304"/>
      <c r="M37" s="304"/>
      <c r="N37" s="402"/>
      <c r="O37" s="393"/>
      <c r="P37" s="407">
        <v>650</v>
      </c>
      <c r="Q37" s="407">
        <v>675</v>
      </c>
      <c r="R37" s="408">
        <f t="shared" si="5"/>
        <v>103.84615384615385</v>
      </c>
    </row>
    <row r="38" spans="1:18" s="6" customFormat="1" ht="16.5" customHeight="1">
      <c r="A38" s="749" t="s">
        <v>267</v>
      </c>
      <c r="B38" s="329"/>
      <c r="C38" s="303"/>
      <c r="D38" s="309">
        <v>1580</v>
      </c>
      <c r="E38" s="309">
        <f t="shared" si="3"/>
        <v>1580</v>
      </c>
      <c r="F38" s="402">
        <f t="shared" si="0"/>
        <v>100</v>
      </c>
      <c r="G38" s="309">
        <v>10629</v>
      </c>
      <c r="H38" s="309">
        <v>10631</v>
      </c>
      <c r="I38" s="309">
        <f t="shared" si="4"/>
        <v>10631</v>
      </c>
      <c r="J38" s="402">
        <f t="shared" si="1"/>
        <v>100</v>
      </c>
      <c r="K38" s="303"/>
      <c r="L38" s="304"/>
      <c r="M38" s="304"/>
      <c r="N38" s="405"/>
      <c r="O38" s="393"/>
      <c r="P38" s="407">
        <v>4975</v>
      </c>
      <c r="Q38" s="407">
        <v>4975</v>
      </c>
      <c r="R38" s="408">
        <f t="shared" si="5"/>
        <v>100</v>
      </c>
    </row>
    <row r="39" spans="1:18" s="6" customFormat="1" ht="16.5" customHeight="1">
      <c r="A39" s="750" t="s">
        <v>268</v>
      </c>
      <c r="B39" s="329"/>
      <c r="C39" s="303"/>
      <c r="D39" s="307">
        <v>86</v>
      </c>
      <c r="E39" s="309">
        <f t="shared" si="3"/>
        <v>86</v>
      </c>
      <c r="F39" s="402">
        <f t="shared" si="0"/>
        <v>100</v>
      </c>
      <c r="G39" s="307">
        <v>896</v>
      </c>
      <c r="H39" s="307">
        <v>896</v>
      </c>
      <c r="I39" s="309">
        <f t="shared" si="4"/>
        <v>896</v>
      </c>
      <c r="J39" s="402">
        <f t="shared" si="1"/>
        <v>100</v>
      </c>
      <c r="K39" s="303"/>
      <c r="L39" s="304"/>
      <c r="M39" s="304"/>
      <c r="N39" s="405"/>
      <c r="O39" s="393"/>
      <c r="P39" s="407">
        <v>675</v>
      </c>
      <c r="Q39" s="407">
        <v>664</v>
      </c>
      <c r="R39" s="408">
        <f>Q39/P39*100</f>
        <v>98.37037037037038</v>
      </c>
    </row>
    <row r="40" spans="1:18" s="6" customFormat="1" ht="16.5" customHeight="1">
      <c r="A40" s="750" t="s">
        <v>269</v>
      </c>
      <c r="B40" s="329"/>
      <c r="C40" s="303"/>
      <c r="D40" s="307">
        <v>83</v>
      </c>
      <c r="E40" s="309">
        <f t="shared" si="3"/>
        <v>83</v>
      </c>
      <c r="F40" s="402">
        <f t="shared" si="0"/>
        <v>100</v>
      </c>
      <c r="G40" s="307">
        <v>851</v>
      </c>
      <c r="H40" s="307">
        <v>883</v>
      </c>
      <c r="I40" s="309">
        <f t="shared" si="4"/>
        <v>883</v>
      </c>
      <c r="J40" s="402">
        <f t="shared" si="1"/>
        <v>100</v>
      </c>
      <c r="K40" s="303"/>
      <c r="L40" s="304"/>
      <c r="M40" s="304"/>
      <c r="N40" s="405"/>
      <c r="O40" s="393"/>
      <c r="P40" s="407"/>
      <c r="Q40" s="407"/>
      <c r="R40" s="408"/>
    </row>
    <row r="41" spans="1:18" s="6" customFormat="1" ht="16.5" customHeight="1">
      <c r="A41" s="750" t="s">
        <v>270</v>
      </c>
      <c r="B41" s="329"/>
      <c r="C41" s="303"/>
      <c r="D41" s="307">
        <v>82</v>
      </c>
      <c r="E41" s="309">
        <f t="shared" si="3"/>
        <v>82</v>
      </c>
      <c r="F41" s="402">
        <f t="shared" si="0"/>
        <v>100</v>
      </c>
      <c r="G41" s="307">
        <v>309</v>
      </c>
      <c r="H41" s="307">
        <v>309</v>
      </c>
      <c r="I41" s="309">
        <f t="shared" si="4"/>
        <v>309</v>
      </c>
      <c r="J41" s="402">
        <f t="shared" si="1"/>
        <v>100</v>
      </c>
      <c r="K41" s="303"/>
      <c r="L41" s="304">
        <v>87</v>
      </c>
      <c r="M41" s="307">
        <v>87</v>
      </c>
      <c r="N41" s="402">
        <f>M41/L41*100</f>
        <v>100</v>
      </c>
      <c r="O41" s="410"/>
      <c r="P41" s="407">
        <v>284</v>
      </c>
      <c r="Q41" s="407">
        <v>281</v>
      </c>
      <c r="R41" s="408">
        <f>Q41/P41*100</f>
        <v>98.94366197183099</v>
      </c>
    </row>
    <row r="42" spans="1:18" s="6" customFormat="1" ht="15" customHeight="1">
      <c r="A42" s="750" t="s">
        <v>271</v>
      </c>
      <c r="B42" s="399"/>
      <c r="C42" s="303"/>
      <c r="D42" s="307">
        <v>83</v>
      </c>
      <c r="E42" s="309">
        <f t="shared" si="3"/>
        <v>83</v>
      </c>
      <c r="F42" s="402">
        <f t="shared" si="0"/>
        <v>100</v>
      </c>
      <c r="G42" s="307">
        <v>392</v>
      </c>
      <c r="H42" s="307">
        <v>392</v>
      </c>
      <c r="I42" s="309">
        <f t="shared" si="4"/>
        <v>392</v>
      </c>
      <c r="J42" s="402">
        <f t="shared" si="1"/>
        <v>100</v>
      </c>
      <c r="K42" s="377"/>
      <c r="L42" s="304"/>
      <c r="M42" s="378"/>
      <c r="N42" s="405"/>
      <c r="O42" s="406"/>
      <c r="P42" s="407">
        <v>41</v>
      </c>
      <c r="Q42" s="407">
        <v>61</v>
      </c>
      <c r="R42" s="408">
        <f>Q42/P42*100</f>
        <v>148.78048780487805</v>
      </c>
    </row>
    <row r="43" spans="1:18" s="6" customFormat="1" ht="15" customHeight="1" thickBot="1">
      <c r="A43" s="29"/>
      <c r="B43" s="414"/>
      <c r="C43" s="352"/>
      <c r="D43" s="353"/>
      <c r="E43" s="353"/>
      <c r="F43" s="383"/>
      <c r="G43" s="352"/>
      <c r="H43" s="353"/>
      <c r="I43" s="353"/>
      <c r="J43" s="383"/>
      <c r="K43" s="352"/>
      <c r="L43" s="353"/>
      <c r="M43" s="353"/>
      <c r="N43" s="379"/>
      <c r="O43" s="352"/>
      <c r="P43" s="396"/>
      <c r="Q43" s="353"/>
      <c r="R43" s="350"/>
    </row>
    <row r="44" spans="10:18" s="6" customFormat="1" ht="15" customHeight="1">
      <c r="J44" s="8"/>
      <c r="R44" s="8"/>
    </row>
    <row r="45" spans="7:18" s="6" customFormat="1" ht="16.5" customHeight="1" thickBot="1">
      <c r="G45" s="403"/>
      <c r="J45" s="8"/>
      <c r="R45" s="8"/>
    </row>
    <row r="46" spans="1:18" s="6" customFormat="1" ht="18" customHeight="1" thickBot="1">
      <c r="A46" s="37" t="s">
        <v>6</v>
      </c>
      <c r="C46" s="314"/>
      <c r="D46" s="315">
        <f>SUM(D14:D45)</f>
        <v>45023</v>
      </c>
      <c r="E46" s="315">
        <f>SUM(E13:E42)</f>
        <v>45023</v>
      </c>
      <c r="F46" s="316">
        <f>E46/D46*100</f>
        <v>100</v>
      </c>
      <c r="G46" s="314">
        <f>SUM(G14:G42)</f>
        <v>268430</v>
      </c>
      <c r="H46" s="315">
        <f>SUM(H14:H42)</f>
        <v>268014</v>
      </c>
      <c r="I46" s="315">
        <f>SUM(I14:I42)</f>
        <v>268014</v>
      </c>
      <c r="J46" s="316">
        <f>I46/H46*100</f>
        <v>100</v>
      </c>
      <c r="K46" s="314">
        <f>SUM(K14:K42)</f>
        <v>3729</v>
      </c>
      <c r="L46" s="315">
        <f>SUM(L13:L43)</f>
        <v>11350</v>
      </c>
      <c r="M46" s="315">
        <f>SUM(M13:M43)</f>
        <v>11350</v>
      </c>
      <c r="N46" s="316">
        <f>M46/L46*100</f>
        <v>100</v>
      </c>
      <c r="O46" s="314"/>
      <c r="P46" s="315">
        <f>SUM(P14:P42)</f>
        <v>149955</v>
      </c>
      <c r="Q46" s="315">
        <f>SUM(Q14:Q42)</f>
        <v>149901</v>
      </c>
      <c r="R46" s="316">
        <f>Q46/P46*100</f>
        <v>99.96398919675903</v>
      </c>
    </row>
    <row r="47" spans="1:18" s="6" customFormat="1" ht="16.5" customHeight="1">
      <c r="A47" s="37"/>
      <c r="C47" s="60"/>
      <c r="D47" s="60"/>
      <c r="E47" s="60"/>
      <c r="F47" s="395"/>
      <c r="G47" s="60"/>
      <c r="H47" s="60"/>
      <c r="I47" s="60"/>
      <c r="J47" s="395"/>
      <c r="K47" s="60"/>
      <c r="L47" s="60"/>
      <c r="M47" s="60"/>
      <c r="N47" s="395"/>
      <c r="O47" s="60"/>
      <c r="P47" s="60"/>
      <c r="Q47" s="60"/>
      <c r="R47" s="395"/>
    </row>
    <row r="48" spans="15:18" s="6" customFormat="1" ht="16.5" customHeight="1">
      <c r="O48" s="60"/>
      <c r="P48" s="60"/>
      <c r="Q48" s="60"/>
      <c r="R48" s="395"/>
    </row>
    <row r="49" spans="1:18" ht="16.5" customHeight="1">
      <c r="A49" s="321"/>
      <c r="B49" s="321" t="s">
        <v>179</v>
      </c>
      <c r="C49" s="321"/>
      <c r="D49" s="322">
        <v>45023</v>
      </c>
      <c r="E49" s="322">
        <v>45023</v>
      </c>
      <c r="F49" s="259"/>
      <c r="G49" s="322">
        <v>268430</v>
      </c>
      <c r="H49" s="322">
        <v>268014</v>
      </c>
      <c r="I49" s="322">
        <v>268014</v>
      </c>
      <c r="J49" s="322"/>
      <c r="K49" s="322">
        <v>3729</v>
      </c>
      <c r="L49" s="322">
        <v>11350</v>
      </c>
      <c r="M49" s="322">
        <v>11350</v>
      </c>
      <c r="N49" s="322"/>
      <c r="O49" s="411"/>
      <c r="P49" s="411">
        <v>149955</v>
      </c>
      <c r="Q49" s="411">
        <v>149901</v>
      </c>
      <c r="R49" s="412"/>
    </row>
    <row r="50" ht="15.75">
      <c r="Q50" s="264"/>
    </row>
    <row r="52" ht="15.75">
      <c r="E52" s="262">
        <f>E46+I46+M46+Q46</f>
        <v>474288</v>
      </c>
    </row>
    <row r="53" ht="15.75">
      <c r="E53" s="252">
        <f>E52/'Příjmy '!S45*100</f>
        <v>21.924961388810175</v>
      </c>
    </row>
  </sheetData>
  <mergeCells count="7">
    <mergeCell ref="O8:R8"/>
    <mergeCell ref="A2:R2"/>
    <mergeCell ref="C7:R7"/>
    <mergeCell ref="C11:F11"/>
    <mergeCell ref="G11:J11"/>
    <mergeCell ref="K11:N11"/>
    <mergeCell ref="A8:B8"/>
  </mergeCells>
  <printOptions horizontalCentered="1" verticalCentered="1"/>
  <pageMargins left="0.3937007874015748" right="0.3937007874015748" top="0.7480314960629921" bottom="0.7480314960629921" header="0.5118110236220472" footer="0.5118110236220472"/>
  <pageSetup horizontalDpi="180" verticalDpi="18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103"/>
  <sheetViews>
    <sheetView showZeros="0" view="pageBreakPreview" zoomScale="70" zoomScaleNormal="85" zoomScaleSheetLayoutView="70" workbookViewId="0" topLeftCell="A1">
      <selection activeCell="G18" sqref="G18"/>
    </sheetView>
  </sheetViews>
  <sheetFormatPr defaultColWidth="8.796875" defaultRowHeight="15"/>
  <cols>
    <col min="1" max="1" width="11.3984375" style="252" customWidth="1"/>
    <col min="2" max="2" width="14.3984375" style="252" customWidth="1"/>
    <col min="3" max="5" width="9.19921875" style="252" customWidth="1"/>
    <col min="6" max="6" width="5.69921875" style="252" customWidth="1"/>
    <col min="7" max="8" width="9.796875" style="252" customWidth="1"/>
    <col min="9" max="9" width="10.59765625" style="252" customWidth="1"/>
    <col min="10" max="10" width="5.796875" style="252" customWidth="1"/>
    <col min="11" max="12" width="8.69921875" style="252" customWidth="1"/>
    <col min="13" max="13" width="10.296875" style="252" customWidth="1"/>
    <col min="14" max="14" width="6.796875" style="252" customWidth="1"/>
    <col min="15" max="15" width="7.59765625" style="252" customWidth="1"/>
    <col min="16" max="16" width="8.3984375" style="252" customWidth="1"/>
    <col min="17" max="17" width="9.8984375" style="252" customWidth="1"/>
    <col min="18" max="18" width="5.796875" style="252" customWidth="1"/>
    <col min="19" max="19" width="7.59765625" style="252" customWidth="1"/>
    <col min="20" max="20" width="8.19921875" style="252" customWidth="1"/>
    <col min="21" max="21" width="10.09765625" style="252" customWidth="1"/>
    <col min="22" max="22" width="6" style="252" customWidth="1"/>
    <col min="23" max="23" width="8" style="252" hidden="1" customWidth="1"/>
    <col min="24" max="24" width="7.796875" style="252" hidden="1" customWidth="1"/>
    <col min="25" max="25" width="10.19921875" style="252" hidden="1" customWidth="1"/>
    <col min="26" max="26" width="6" style="252" hidden="1" customWidth="1"/>
    <col min="27" max="27" width="7.59765625" style="252" hidden="1" customWidth="1"/>
    <col min="28" max="28" width="8.3984375" style="252" hidden="1" customWidth="1"/>
    <col min="29" max="29" width="9.8984375" style="252" hidden="1" customWidth="1"/>
    <col min="30" max="30" width="5.796875" style="252" hidden="1" customWidth="1"/>
    <col min="31" max="31" width="8.8984375" style="259" customWidth="1"/>
    <col min="32" max="32" width="11" style="252" customWidth="1"/>
    <col min="33" max="33" width="10.59765625" style="252" customWidth="1"/>
    <col min="34" max="34" width="10.796875" style="252" customWidth="1"/>
    <col min="35" max="35" width="16.8984375" style="252" bestFit="1" customWidth="1"/>
    <col min="36" max="36" width="13" style="252" customWidth="1"/>
    <col min="37" max="37" width="12.296875" style="252" customWidth="1"/>
    <col min="38" max="16384" width="8.8984375" style="252" customWidth="1"/>
  </cols>
  <sheetData>
    <row r="1" spans="1:31" s="6" customFormat="1" ht="17.25" customHeight="1">
      <c r="A1" s="752"/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10"/>
      <c r="P1" s="10"/>
      <c r="Q1" s="10"/>
      <c r="R1" s="10"/>
      <c r="S1" s="10"/>
      <c r="T1" s="10"/>
      <c r="U1" s="10"/>
      <c r="V1" s="10"/>
      <c r="AA1" s="10"/>
      <c r="AB1" s="10"/>
      <c r="AC1" s="10"/>
      <c r="AD1" s="10"/>
      <c r="AE1" s="39"/>
    </row>
    <row r="2" spans="1:31" s="6" customFormat="1" ht="24" customHeight="1">
      <c r="A2" s="752" t="s">
        <v>231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752"/>
      <c r="Y2" s="752"/>
      <c r="Z2" s="752"/>
      <c r="AA2" s="7"/>
      <c r="AB2" s="7"/>
      <c r="AC2" s="7"/>
      <c r="AD2" s="7"/>
      <c r="AE2" s="39"/>
    </row>
    <row r="3" spans="1:31" s="6" customFormat="1" ht="15" customHeight="1">
      <c r="A3" s="761" t="s">
        <v>205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41"/>
      <c r="AB3" s="41"/>
      <c r="AC3" s="41"/>
      <c r="AD3" s="41"/>
      <c r="AE3" s="39"/>
    </row>
    <row r="4" spans="1:31" s="6" customFormat="1" ht="21" customHeight="1">
      <c r="A4" s="761"/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41"/>
      <c r="AB4" s="41"/>
      <c r="AC4" s="41"/>
      <c r="AD4" s="41"/>
      <c r="AE4" s="39"/>
    </row>
    <row r="5" spans="1:31" s="6" customFormat="1" ht="22.5" customHeight="1">
      <c r="A5" s="37"/>
      <c r="C5" s="60"/>
      <c r="D5" s="60"/>
      <c r="E5" s="60"/>
      <c r="J5" s="149"/>
      <c r="N5" s="150"/>
      <c r="V5" s="14" t="s">
        <v>229</v>
      </c>
      <c r="AB5" s="151"/>
      <c r="AD5" s="14" t="s">
        <v>229</v>
      </c>
      <c r="AE5" s="39"/>
    </row>
    <row r="6" spans="22:31" s="6" customFormat="1" ht="22.5" customHeight="1" thickBot="1">
      <c r="V6" s="14" t="s">
        <v>3</v>
      </c>
      <c r="AD6" s="14" t="s">
        <v>3</v>
      </c>
      <c r="AE6" s="39"/>
    </row>
    <row r="7" spans="1:31" s="6" customFormat="1" ht="21" customHeight="1">
      <c r="A7" s="16"/>
      <c r="B7" s="64"/>
      <c r="C7" s="759"/>
      <c r="D7" s="758"/>
      <c r="E7" s="758"/>
      <c r="F7" s="758"/>
      <c r="G7" s="758"/>
      <c r="H7" s="758"/>
      <c r="I7" s="758"/>
      <c r="J7" s="758"/>
      <c r="K7" s="758"/>
      <c r="L7" s="758"/>
      <c r="M7" s="758"/>
      <c r="N7" s="760"/>
      <c r="O7" s="759"/>
      <c r="P7" s="758"/>
      <c r="Q7" s="758"/>
      <c r="R7" s="758"/>
      <c r="S7" s="806"/>
      <c r="T7" s="807"/>
      <c r="U7" s="807"/>
      <c r="V7" s="808"/>
      <c r="W7" s="758"/>
      <c r="X7" s="758"/>
      <c r="Y7" s="758"/>
      <c r="Z7" s="758"/>
      <c r="AA7" s="790" t="s">
        <v>216</v>
      </c>
      <c r="AB7" s="791"/>
      <c r="AC7" s="791"/>
      <c r="AD7" s="792"/>
      <c r="AE7" s="39"/>
    </row>
    <row r="8" spans="1:31" s="6" customFormat="1" ht="18.75" customHeight="1" thickBot="1">
      <c r="A8" s="74"/>
      <c r="B8" s="120"/>
      <c r="C8" s="756" t="s">
        <v>157</v>
      </c>
      <c r="D8" s="786"/>
      <c r="E8" s="786"/>
      <c r="F8" s="786"/>
      <c r="G8" s="786"/>
      <c r="H8" s="786"/>
      <c r="I8" s="786"/>
      <c r="J8" s="786"/>
      <c r="K8" s="786"/>
      <c r="L8" s="786"/>
      <c r="M8" s="786"/>
      <c r="N8" s="757"/>
      <c r="O8" s="756" t="s">
        <v>135</v>
      </c>
      <c r="P8" s="786"/>
      <c r="Q8" s="786"/>
      <c r="R8" s="786"/>
      <c r="S8" s="804" t="s">
        <v>153</v>
      </c>
      <c r="T8" s="786"/>
      <c r="U8" s="786"/>
      <c r="V8" s="805"/>
      <c r="W8" s="786" t="s">
        <v>102</v>
      </c>
      <c r="X8" s="786"/>
      <c r="Y8" s="786"/>
      <c r="Z8" s="786"/>
      <c r="AA8" s="793"/>
      <c r="AB8" s="794"/>
      <c r="AC8" s="794"/>
      <c r="AD8" s="795"/>
      <c r="AE8" s="39"/>
    </row>
    <row r="9" spans="1:31" s="6" customFormat="1" ht="19.5" customHeight="1">
      <c r="A9" s="756" t="s">
        <v>285</v>
      </c>
      <c r="B9" s="757"/>
      <c r="C9" s="799" t="s">
        <v>96</v>
      </c>
      <c r="D9" s="800"/>
      <c r="E9" s="800"/>
      <c r="F9" s="801"/>
      <c r="G9" s="783" t="s">
        <v>97</v>
      </c>
      <c r="H9" s="784"/>
      <c r="I9" s="784"/>
      <c r="J9" s="785"/>
      <c r="K9" s="787" t="s">
        <v>152</v>
      </c>
      <c r="L9" s="788"/>
      <c r="M9" s="788"/>
      <c r="N9" s="789"/>
      <c r="O9" s="97"/>
      <c r="P9" s="142"/>
      <c r="Q9" s="98"/>
      <c r="R9" s="98"/>
      <c r="S9" s="676"/>
      <c r="T9" s="142"/>
      <c r="U9" s="98"/>
      <c r="V9" s="677"/>
      <c r="W9" s="35"/>
      <c r="X9" s="35"/>
      <c r="Y9" s="35"/>
      <c r="Z9" s="35"/>
      <c r="AA9" s="796"/>
      <c r="AB9" s="797"/>
      <c r="AC9" s="797"/>
      <c r="AD9" s="798"/>
      <c r="AE9" s="39"/>
    </row>
    <row r="10" spans="1:34" s="6" customFormat="1" ht="15.75">
      <c r="A10" s="74"/>
      <c r="B10" s="141"/>
      <c r="C10" s="101" t="s">
        <v>40</v>
      </c>
      <c r="D10" s="102"/>
      <c r="E10" s="99" t="s">
        <v>41</v>
      </c>
      <c r="F10" s="100" t="s">
        <v>2</v>
      </c>
      <c r="G10" s="101" t="s">
        <v>40</v>
      </c>
      <c r="H10" s="102"/>
      <c r="I10" s="99" t="s">
        <v>5</v>
      </c>
      <c r="J10" s="100" t="s">
        <v>2</v>
      </c>
      <c r="K10" s="101" t="s">
        <v>40</v>
      </c>
      <c r="L10" s="102"/>
      <c r="M10" s="99" t="s">
        <v>5</v>
      </c>
      <c r="N10" s="100" t="s">
        <v>2</v>
      </c>
      <c r="O10" s="101" t="s">
        <v>40</v>
      </c>
      <c r="P10" s="102"/>
      <c r="Q10" s="99" t="s">
        <v>5</v>
      </c>
      <c r="R10" s="153" t="s">
        <v>2</v>
      </c>
      <c r="S10" s="154" t="s">
        <v>40</v>
      </c>
      <c r="T10" s="102"/>
      <c r="U10" s="99" t="s">
        <v>5</v>
      </c>
      <c r="V10" s="155" t="s">
        <v>2</v>
      </c>
      <c r="W10" s="675" t="s">
        <v>40</v>
      </c>
      <c r="X10" s="102"/>
      <c r="Y10" s="99" t="s">
        <v>5</v>
      </c>
      <c r="Z10" s="153" t="s">
        <v>2</v>
      </c>
      <c r="AA10" s="154" t="s">
        <v>40</v>
      </c>
      <c r="AB10" s="102"/>
      <c r="AC10" s="99" t="s">
        <v>5</v>
      </c>
      <c r="AD10" s="155" t="s">
        <v>2</v>
      </c>
      <c r="AE10" s="39"/>
      <c r="AF10" s="763" t="s">
        <v>169</v>
      </c>
      <c r="AG10" s="764"/>
      <c r="AH10" s="765"/>
    </row>
    <row r="11" spans="1:34" s="6" customFormat="1" ht="16.5" thickBot="1">
      <c r="A11" s="29"/>
      <c r="B11" s="144"/>
      <c r="C11" s="31" t="s">
        <v>42</v>
      </c>
      <c r="D11" s="32" t="s">
        <v>43</v>
      </c>
      <c r="E11" s="33" t="s">
        <v>237</v>
      </c>
      <c r="F11" s="34" t="s">
        <v>19</v>
      </c>
      <c r="G11" s="31" t="s">
        <v>42</v>
      </c>
      <c r="H11" s="32" t="s">
        <v>43</v>
      </c>
      <c r="I11" s="33" t="s">
        <v>237</v>
      </c>
      <c r="J11" s="34" t="s">
        <v>19</v>
      </c>
      <c r="K11" s="31" t="s">
        <v>42</v>
      </c>
      <c r="L11" s="32" t="s">
        <v>43</v>
      </c>
      <c r="M11" s="33" t="s">
        <v>237</v>
      </c>
      <c r="N11" s="34" t="s">
        <v>19</v>
      </c>
      <c r="O11" s="31" t="s">
        <v>42</v>
      </c>
      <c r="P11" s="32" t="s">
        <v>43</v>
      </c>
      <c r="Q11" s="33" t="s">
        <v>237</v>
      </c>
      <c r="R11" s="33" t="s">
        <v>19</v>
      </c>
      <c r="S11" s="125" t="s">
        <v>42</v>
      </c>
      <c r="T11" s="126" t="s">
        <v>43</v>
      </c>
      <c r="U11" s="126" t="s">
        <v>199</v>
      </c>
      <c r="V11" s="127" t="s">
        <v>19</v>
      </c>
      <c r="W11" s="55" t="s">
        <v>42</v>
      </c>
      <c r="X11" s="32" t="s">
        <v>43</v>
      </c>
      <c r="Y11" s="32" t="s">
        <v>199</v>
      </c>
      <c r="Z11" s="33" t="s">
        <v>19</v>
      </c>
      <c r="AA11" s="125" t="s">
        <v>42</v>
      </c>
      <c r="AB11" s="126" t="s">
        <v>43</v>
      </c>
      <c r="AC11" s="33" t="s">
        <v>237</v>
      </c>
      <c r="AD11" s="127" t="s">
        <v>19</v>
      </c>
      <c r="AE11" s="39"/>
      <c r="AF11" s="59"/>
      <c r="AG11" s="59"/>
      <c r="AH11" s="156"/>
    </row>
    <row r="12" spans="1:35" ht="18.75" thickBot="1">
      <c r="A12" s="145"/>
      <c r="B12" s="146"/>
      <c r="C12" s="766" t="s">
        <v>98</v>
      </c>
      <c r="D12" s="766"/>
      <c r="E12" s="766"/>
      <c r="F12" s="766"/>
      <c r="G12" s="145"/>
      <c r="H12" s="3"/>
      <c r="I12" s="145"/>
      <c r="J12" s="145"/>
      <c r="K12" s="810"/>
      <c r="L12" s="810"/>
      <c r="M12" s="810"/>
      <c r="N12" s="810"/>
      <c r="O12" s="766" t="s">
        <v>136</v>
      </c>
      <c r="P12" s="766"/>
      <c r="Q12" s="766"/>
      <c r="R12" s="766"/>
      <c r="S12" s="772" t="s">
        <v>154</v>
      </c>
      <c r="T12" s="772"/>
      <c r="U12" s="772"/>
      <c r="V12" s="772"/>
      <c r="W12" s="809" t="s">
        <v>106</v>
      </c>
      <c r="X12" s="809"/>
      <c r="Y12" s="809"/>
      <c r="Z12" s="809"/>
      <c r="AA12" s="772" t="s">
        <v>215</v>
      </c>
      <c r="AB12" s="772"/>
      <c r="AC12" s="772"/>
      <c r="AD12" s="772"/>
      <c r="AF12" s="265" t="s">
        <v>20</v>
      </c>
      <c r="AG12" s="283" t="s">
        <v>21</v>
      </c>
      <c r="AH12" s="802" t="s">
        <v>105</v>
      </c>
      <c r="AI12" s="803"/>
    </row>
    <row r="13" spans="1:35" ht="18.75" thickBot="1">
      <c r="A13" s="145"/>
      <c r="B13" s="146"/>
      <c r="C13" s="147"/>
      <c r="D13" s="3"/>
      <c r="E13" s="148"/>
      <c r="F13" s="145"/>
      <c r="G13" s="145"/>
      <c r="H13" s="145"/>
      <c r="I13" s="145"/>
      <c r="J13" s="145"/>
      <c r="K13" s="147"/>
      <c r="L13" s="3"/>
      <c r="M13" s="148"/>
      <c r="N13" s="145"/>
      <c r="O13" s="147"/>
      <c r="P13" s="3"/>
      <c r="Q13" s="148"/>
      <c r="R13" s="145"/>
      <c r="S13" s="147"/>
      <c r="T13" s="3"/>
      <c r="U13" s="148"/>
      <c r="V13" s="145"/>
      <c r="W13" s="270"/>
      <c r="X13" s="254"/>
      <c r="Y13" s="254"/>
      <c r="Z13" s="254"/>
      <c r="AA13" s="147"/>
      <c r="AB13" s="3"/>
      <c r="AC13" s="148"/>
      <c r="AD13" s="145"/>
      <c r="AF13" s="265"/>
      <c r="AG13" s="265"/>
      <c r="AH13" s="284" t="s">
        <v>171</v>
      </c>
      <c r="AI13" s="285" t="s">
        <v>172</v>
      </c>
    </row>
    <row r="14" spans="1:37" ht="18">
      <c r="A14" s="650"/>
      <c r="B14" s="651"/>
      <c r="C14" s="648"/>
      <c r="D14" s="400"/>
      <c r="E14" s="400"/>
      <c r="F14" s="401"/>
      <c r="G14" s="370"/>
      <c r="H14" s="400"/>
      <c r="I14" s="400"/>
      <c r="J14" s="401"/>
      <c r="K14" s="448"/>
      <c r="L14" s="400"/>
      <c r="M14" s="400"/>
      <c r="N14" s="401"/>
      <c r="O14" s="348"/>
      <c r="P14" s="400"/>
      <c r="Q14" s="400"/>
      <c r="R14" s="666"/>
      <c r="S14" s="658"/>
      <c r="T14" s="659"/>
      <c r="U14" s="659"/>
      <c r="V14" s="660"/>
      <c r="W14" s="668"/>
      <c r="X14" s="286"/>
      <c r="Y14" s="267"/>
      <c r="Z14" s="653"/>
      <c r="AA14" s="658"/>
      <c r="AB14" s="659"/>
      <c r="AC14" s="659"/>
      <c r="AD14" s="660"/>
      <c r="AF14" s="266"/>
      <c r="AG14" s="266"/>
      <c r="AH14" s="266"/>
      <c r="AI14" s="287" t="s">
        <v>273</v>
      </c>
      <c r="AJ14" s="288"/>
      <c r="AK14" s="289"/>
    </row>
    <row r="15" spans="1:37" ht="16.5">
      <c r="A15" s="746" t="s">
        <v>243</v>
      </c>
      <c r="B15" s="603"/>
      <c r="C15" s="331">
        <v>155262</v>
      </c>
      <c r="D15" s="309">
        <v>156452</v>
      </c>
      <c r="E15" s="309">
        <v>156452</v>
      </c>
      <c r="F15" s="402">
        <f aca="true" t="shared" si="0" ref="F15:F43">E15/D15*100</f>
        <v>100</v>
      </c>
      <c r="G15" s="303">
        <f aca="true" t="shared" si="1" ref="G15:G43">SUM(C15-K15)</f>
        <v>155262</v>
      </c>
      <c r="H15" s="304">
        <f aca="true" t="shared" si="2" ref="H15:H43">SUM(D15-L15)</f>
        <v>156452</v>
      </c>
      <c r="I15" s="304">
        <f aca="true" t="shared" si="3" ref="I15:I43">SUM(E15-M15)</f>
        <v>156452</v>
      </c>
      <c r="J15" s="402">
        <f aca="true" t="shared" si="4" ref="J15:J43">I15/H15*100</f>
        <v>100</v>
      </c>
      <c r="K15" s="303"/>
      <c r="L15" s="378"/>
      <c r="M15" s="378"/>
      <c r="N15" s="404"/>
      <c r="O15" s="381"/>
      <c r="P15" s="378">
        <v>205</v>
      </c>
      <c r="Q15" s="378">
        <v>205</v>
      </c>
      <c r="R15" s="667">
        <f>Q15/P15*100</f>
        <v>100</v>
      </c>
      <c r="S15" s="661"/>
      <c r="T15" s="378"/>
      <c r="U15" s="378"/>
      <c r="V15" s="672"/>
      <c r="W15" s="669"/>
      <c r="X15" s="256"/>
      <c r="Y15" s="256"/>
      <c r="Z15" s="654"/>
      <c r="AA15" s="661"/>
      <c r="AB15" s="378"/>
      <c r="AC15" s="378"/>
      <c r="AD15" s="662"/>
      <c r="AE15" s="259">
        <f aca="true" t="shared" si="5" ref="AE15:AE29">AI15-AH15</f>
        <v>0.5344700000132434</v>
      </c>
      <c r="AF15" s="281">
        <f>'Transfery neinvestiční 2.5'!C14+'Transfery neinvestiční 2.5'!G14+'Transfery neinvestiční 2.5'!K14+'Transfery neinvestiční 2.5'!O14+'Transfery nein.2.5a'!C15+'Transfery nein.2.5a'!O15+'Transfery nein.2.5a'!W15+'Transfery nein.2.5a'!S15+'Transfery investiční'!C14+'Transfery investiční'!G14+'Transfery investiční'!K14+'Transfery investiční'!O14+'Transfery investiční'!S14+'Transfery investiční'!W14</f>
        <v>266156</v>
      </c>
      <c r="AG15" s="281">
        <f>'Transfery neinvestiční 2.5'!D14+'Transfery neinvestiční 2.5'!H14+'Transfery neinvestiční 2.5'!L14+'Transfery neinvestiční 2.5'!P14+'Transfery nein.2.5a'!D15+'Transfery nein.2.5a'!P15+'Transfery nein.2.5a'!X15+'Transfery nein.2.5a'!T15+'Transfery nein.2.5a'!AB15+'Transfery investiční'!D14+'Transfery investiční'!H14+'Transfery investiční'!L14+'Transfery investiční'!P14+'Transfery investiční'!T14+'Transfery investiční'!X14</f>
        <v>328556</v>
      </c>
      <c r="AH15" s="281">
        <f>'Transfery neinvestiční 2.5'!E14+'Transfery neinvestiční 2.5'!I14+'Transfery neinvestiční 2.5'!M14+'Transfery neinvestiční 2.5'!Q14+'Transfery nein.2.5a'!E15+'Transfery nein.2.5a'!Q15+'Transfery nein.2.5a'!Y15+'Transfery nein.2.5a'!U15+'Transfery investiční'!E14+'Transfery investiční'!I14+'Transfery investiční'!M14+'Transfery investiční'!Q14+'Transfery investiční'!U14+'Transfery investiční'!Y14+'Transfery investiční'!AC14+AC15</f>
        <v>319680</v>
      </c>
      <c r="AI15" s="290">
        <f>'Transfery investiční'!AJ14/1000*-1</f>
        <v>319680.53447</v>
      </c>
      <c r="AJ15" s="288"/>
      <c r="AK15" s="288"/>
    </row>
    <row r="16" spans="1:37" ht="15.75">
      <c r="A16" s="745" t="s">
        <v>244</v>
      </c>
      <c r="B16" s="603"/>
      <c r="C16" s="331">
        <v>30558</v>
      </c>
      <c r="D16" s="309">
        <v>32279</v>
      </c>
      <c r="E16" s="309">
        <v>32279</v>
      </c>
      <c r="F16" s="402">
        <f t="shared" si="0"/>
        <v>100</v>
      </c>
      <c r="G16" s="303">
        <f t="shared" si="1"/>
        <v>30558</v>
      </c>
      <c r="H16" s="304">
        <f t="shared" si="2"/>
        <v>32279</v>
      </c>
      <c r="I16" s="304">
        <f t="shared" si="3"/>
        <v>32279</v>
      </c>
      <c r="J16" s="402">
        <f t="shared" si="4"/>
        <v>100</v>
      </c>
      <c r="K16" s="303"/>
      <c r="L16" s="304"/>
      <c r="M16" s="304"/>
      <c r="N16" s="402"/>
      <c r="O16" s="303"/>
      <c r="P16" s="304">
        <v>59</v>
      </c>
      <c r="Q16" s="304">
        <v>59</v>
      </c>
      <c r="R16" s="667">
        <f>Q16/P16*100</f>
        <v>100</v>
      </c>
      <c r="S16" s="663"/>
      <c r="T16" s="304"/>
      <c r="U16" s="304"/>
      <c r="V16" s="662"/>
      <c r="W16" s="669"/>
      <c r="X16" s="256"/>
      <c r="Y16" s="256"/>
      <c r="Z16" s="654"/>
      <c r="AA16" s="663"/>
      <c r="AB16" s="304"/>
      <c r="AC16" s="304"/>
      <c r="AD16" s="662"/>
      <c r="AE16" s="259">
        <f t="shared" si="5"/>
        <v>-0.21899999999732245</v>
      </c>
      <c r="AF16" s="281">
        <f>'Transfery neinvestiční 2.5'!C15+'Transfery neinvestiční 2.5'!G15+'Transfery neinvestiční 2.5'!K15+'Transfery neinvestiční 2.5'!O15+'Transfery nein.2.5a'!C16+'Transfery nein.2.5a'!O16+'Transfery nein.2.5a'!W16+'Transfery nein.2.5a'!S16+'Transfery investiční'!C15+'Transfery investiční'!G15+'Transfery investiční'!K15+'Transfery investiční'!O15+'Transfery investiční'!S15+'Transfery investiční'!W15</f>
        <v>43834</v>
      </c>
      <c r="AG16" s="281">
        <f>'Transfery neinvestiční 2.5'!D15+'Transfery neinvestiční 2.5'!H15+'Transfery neinvestiční 2.5'!L15+'Transfery neinvestiční 2.5'!P15+'Transfery nein.2.5a'!D16+'Transfery nein.2.5a'!P16+'Transfery nein.2.5a'!X16+'Transfery nein.2.5a'!T16+'Transfery nein.2.5a'!AB16+'Transfery investiční'!D15+'Transfery investiční'!H15+'Transfery investiční'!L15+'Transfery investiční'!P15+'Transfery investiční'!T15+'Transfery investiční'!X15</f>
        <v>60419</v>
      </c>
      <c r="AH16" s="281">
        <f>'Transfery neinvestiční 2.5'!E15+'Transfery neinvestiční 2.5'!I15+'Transfery neinvestiční 2.5'!M15+'Transfery neinvestiční 2.5'!Q15+'Transfery nein.2.5a'!E16+'Transfery nein.2.5a'!Q16+'Transfery nein.2.5a'!Y16+'Transfery nein.2.5a'!U16+'Transfery investiční'!E15+'Transfery investiční'!I15+'Transfery investiční'!M15+'Transfery investiční'!Q15+'Transfery investiční'!U15+'Transfery investiční'!Y15+'Transfery investiční'!AC15+AC16</f>
        <v>60419</v>
      </c>
      <c r="AI16" s="290">
        <f>'Transfery investiční'!AJ15/1000*-1</f>
        <v>60418.781</v>
      </c>
      <c r="AJ16" s="288"/>
      <c r="AK16" s="288"/>
    </row>
    <row r="17" spans="1:37" ht="15.75">
      <c r="A17" s="745" t="s">
        <v>245</v>
      </c>
      <c r="B17" s="603"/>
      <c r="C17" s="331">
        <v>29781</v>
      </c>
      <c r="D17" s="309">
        <v>31462</v>
      </c>
      <c r="E17" s="309">
        <v>31440</v>
      </c>
      <c r="F17" s="402">
        <f t="shared" si="0"/>
        <v>99.93007437543704</v>
      </c>
      <c r="G17" s="303">
        <f t="shared" si="1"/>
        <v>29606</v>
      </c>
      <c r="H17" s="304">
        <f t="shared" si="2"/>
        <v>31232</v>
      </c>
      <c r="I17" s="304">
        <f t="shared" si="3"/>
        <v>31210</v>
      </c>
      <c r="J17" s="402">
        <f t="shared" si="4"/>
        <v>99.9295594262295</v>
      </c>
      <c r="K17" s="303">
        <v>175</v>
      </c>
      <c r="L17" s="304">
        <v>230</v>
      </c>
      <c r="M17" s="304">
        <v>230</v>
      </c>
      <c r="N17" s="402">
        <f>M17/L17*100</f>
        <v>100</v>
      </c>
      <c r="O17" s="303"/>
      <c r="P17" s="304"/>
      <c r="Q17" s="304"/>
      <c r="R17" s="667"/>
      <c r="S17" s="663"/>
      <c r="T17" s="304"/>
      <c r="U17" s="304"/>
      <c r="V17" s="662"/>
      <c r="W17" s="669"/>
      <c r="X17" s="256"/>
      <c r="Y17" s="256"/>
      <c r="Z17" s="654"/>
      <c r="AA17" s="663"/>
      <c r="AB17" s="304"/>
      <c r="AC17" s="304"/>
      <c r="AD17" s="662"/>
      <c r="AE17" s="259">
        <f t="shared" si="5"/>
        <v>-0.7329999999928987</v>
      </c>
      <c r="AF17" s="281">
        <f>'Transfery neinvestiční 2.5'!C16+'Transfery neinvestiční 2.5'!G16+'Transfery neinvestiční 2.5'!K16+'Transfery neinvestiční 2.5'!O16+'Transfery nein.2.5a'!C17+'Transfery nein.2.5a'!O17+'Transfery nein.2.5a'!W17+'Transfery nein.2.5a'!S17+'Transfery investiční'!C16+'Transfery investiční'!G16+'Transfery investiční'!K16+'Transfery investiční'!O16+'Transfery investiční'!S16+'Transfery investiční'!W16</f>
        <v>65916</v>
      </c>
      <c r="AG17" s="281">
        <f>'Transfery neinvestiční 2.5'!D16+'Transfery neinvestiční 2.5'!H16+'Transfery neinvestiční 2.5'!L16+'Transfery neinvestiční 2.5'!P16+'Transfery nein.2.5a'!D17+'Transfery nein.2.5a'!P17+'Transfery nein.2.5a'!X17+'Transfery nein.2.5a'!T17+'Transfery nein.2.5a'!AB17+'Transfery investiční'!D16+'Transfery investiční'!H16+'Transfery investiční'!L16+'Transfery investiční'!P16+'Transfery investiční'!T16+'Transfery investiční'!X16</f>
        <v>106318</v>
      </c>
      <c r="AH17" s="281">
        <f>'Transfery neinvestiční 2.5'!E16+'Transfery neinvestiční 2.5'!I16+'Transfery neinvestiční 2.5'!M16+'Transfery neinvestiční 2.5'!Q16+'Transfery nein.2.5a'!E17+'Transfery nein.2.5a'!Q17+'Transfery nein.2.5a'!Y17+'Transfery nein.2.5a'!U17+'Transfery investiční'!E16+'Transfery investiční'!I16+'Transfery investiční'!M16+'Transfery investiční'!Q16+'Transfery investiční'!U16+'Transfery investiční'!Y16+'Transfery investiční'!AC16+AC17</f>
        <v>78419</v>
      </c>
      <c r="AI17" s="290">
        <f>'Transfery investiční'!AJ16/1000*-1</f>
        <v>78418.267</v>
      </c>
      <c r="AJ17" s="288"/>
      <c r="AK17" s="288"/>
    </row>
    <row r="18" spans="1:37" ht="15.75">
      <c r="A18" s="745" t="s">
        <v>246</v>
      </c>
      <c r="B18" s="603"/>
      <c r="C18" s="331">
        <v>21858</v>
      </c>
      <c r="D18" s="309">
        <v>21700</v>
      </c>
      <c r="E18" s="309">
        <v>21700</v>
      </c>
      <c r="F18" s="402">
        <f t="shared" si="0"/>
        <v>100</v>
      </c>
      <c r="G18" s="303">
        <f t="shared" si="1"/>
        <v>21858</v>
      </c>
      <c r="H18" s="304">
        <f t="shared" si="2"/>
        <v>21700</v>
      </c>
      <c r="I18" s="304">
        <f t="shared" si="3"/>
        <v>21700</v>
      </c>
      <c r="J18" s="402">
        <f t="shared" si="4"/>
        <v>100</v>
      </c>
      <c r="K18" s="303"/>
      <c r="L18" s="304"/>
      <c r="M18" s="304"/>
      <c r="N18" s="402"/>
      <c r="O18" s="303"/>
      <c r="P18" s="304"/>
      <c r="Q18" s="304"/>
      <c r="R18" s="667"/>
      <c r="S18" s="663"/>
      <c r="T18" s="304">
        <v>381</v>
      </c>
      <c r="U18" s="304">
        <v>381</v>
      </c>
      <c r="V18" s="662">
        <f>U18/T18*100</f>
        <v>100</v>
      </c>
      <c r="W18" s="669"/>
      <c r="X18" s="256"/>
      <c r="Y18" s="256"/>
      <c r="Z18" s="654"/>
      <c r="AA18" s="663"/>
      <c r="AB18" s="304"/>
      <c r="AC18" s="304"/>
      <c r="AD18" s="662"/>
      <c r="AE18" s="259">
        <f t="shared" si="5"/>
        <v>1.0472700000027544</v>
      </c>
      <c r="AF18" s="281">
        <f>'Transfery neinvestiční 2.5'!C17+'Transfery neinvestiční 2.5'!G17+'Transfery neinvestiční 2.5'!K17+'Transfery neinvestiční 2.5'!O17+'Transfery nein.2.5a'!C18+'Transfery nein.2.5a'!O18+'Transfery nein.2.5a'!W18+'Transfery nein.2.5a'!S18+'Transfery investiční'!C17+'Transfery investiční'!G17+'Transfery investiční'!K17+'Transfery investiční'!O17+'Transfery investiční'!S17+'Transfery investiční'!W17</f>
        <v>40872</v>
      </c>
      <c r="AG18" s="281">
        <f>'Transfery neinvestiční 2.5'!D17+'Transfery neinvestiční 2.5'!H17+'Transfery neinvestiční 2.5'!L17+'Transfery neinvestiční 2.5'!P17+'Transfery nein.2.5a'!D18+'Transfery nein.2.5a'!P18+'Transfery nein.2.5a'!X18+'Transfery nein.2.5a'!T18+'Transfery nein.2.5a'!AB18+'Transfery investiční'!D17+'Transfery investiční'!H17+'Transfery investiční'!L17+'Transfery investiční'!P17+'Transfery investiční'!T17+'Transfery investiční'!X17</f>
        <v>64431</v>
      </c>
      <c r="AH18" s="281">
        <f>'Transfery neinvestiční 2.5'!E17+'Transfery neinvestiční 2.5'!I17+'Transfery neinvestiční 2.5'!M17+'Transfery neinvestiční 2.5'!Q17+'Transfery nein.2.5a'!E18+'Transfery nein.2.5a'!Q18+'Transfery nein.2.5a'!Y18+'Transfery nein.2.5a'!U18+'Transfery investiční'!E17+'Transfery investiční'!I17+'Transfery investiční'!M17+'Transfery investiční'!Q17+'Transfery investiční'!U17+'Transfery investiční'!Y17+'Transfery investiční'!AC17+AC18</f>
        <v>63785</v>
      </c>
      <c r="AI18" s="290">
        <f>'Transfery investiční'!AJ17/1000*-1</f>
        <v>63786.04727</v>
      </c>
      <c r="AJ18" s="288"/>
      <c r="AK18" s="288"/>
    </row>
    <row r="19" spans="1:37" ht="15.75">
      <c r="A19" s="745" t="s">
        <v>247</v>
      </c>
      <c r="B19" s="603"/>
      <c r="C19" s="331">
        <v>27017</v>
      </c>
      <c r="D19" s="309">
        <v>27829</v>
      </c>
      <c r="E19" s="309">
        <v>27829</v>
      </c>
      <c r="F19" s="402">
        <f t="shared" si="0"/>
        <v>100</v>
      </c>
      <c r="G19" s="303">
        <f t="shared" si="1"/>
        <v>27017</v>
      </c>
      <c r="H19" s="304">
        <f t="shared" si="2"/>
        <v>27829</v>
      </c>
      <c r="I19" s="304">
        <f t="shared" si="3"/>
        <v>27829</v>
      </c>
      <c r="J19" s="402">
        <f t="shared" si="4"/>
        <v>100</v>
      </c>
      <c r="K19" s="303"/>
      <c r="L19" s="304"/>
      <c r="M19" s="304"/>
      <c r="N19" s="402"/>
      <c r="O19" s="303"/>
      <c r="P19" s="304"/>
      <c r="Q19" s="304"/>
      <c r="R19" s="667"/>
      <c r="S19" s="663"/>
      <c r="T19" s="304"/>
      <c r="U19" s="304"/>
      <c r="V19" s="662"/>
      <c r="W19" s="669"/>
      <c r="X19" s="256"/>
      <c r="Y19" s="256"/>
      <c r="Z19" s="655"/>
      <c r="AA19" s="663"/>
      <c r="AB19" s="304"/>
      <c r="AC19" s="304"/>
      <c r="AD19" s="662"/>
      <c r="AE19" s="259">
        <f t="shared" si="5"/>
        <v>-0.75</v>
      </c>
      <c r="AF19" s="281">
        <f>'Transfery neinvestiční 2.5'!C18+'Transfery neinvestiční 2.5'!G18+'Transfery neinvestiční 2.5'!K18+'Transfery neinvestiční 2.5'!O18+'Transfery nein.2.5a'!C19+'Transfery nein.2.5a'!O19+'Transfery nein.2.5a'!W19+'Transfery nein.2.5a'!S19+'Transfery investiční'!C18+'Transfery investiční'!G18+'Transfery investiční'!K18+'Transfery investiční'!O18+'Transfery investiční'!S18+'Transfery investiční'!W18</f>
        <v>45969</v>
      </c>
      <c r="AG19" s="281">
        <f>'Transfery neinvestiční 2.5'!D18+'Transfery neinvestiční 2.5'!H18+'Transfery neinvestiční 2.5'!L18+'Transfery neinvestiční 2.5'!P18+'Transfery nein.2.5a'!D19+'Transfery nein.2.5a'!P19+'Transfery nein.2.5a'!X19+'Transfery nein.2.5a'!T19+'Transfery nein.2.5a'!AB19+'Transfery investiční'!D18+'Transfery investiční'!H18+'Transfery investiční'!L18+'Transfery investiční'!P18+'Transfery investiční'!T18+'Transfery investiční'!X18</f>
        <v>53718</v>
      </c>
      <c r="AH19" s="281">
        <f>'Transfery neinvestiční 2.5'!E18+'Transfery neinvestiční 2.5'!I18+'Transfery neinvestiční 2.5'!M18+'Transfery neinvestiční 2.5'!Q18+'Transfery nein.2.5a'!E19+'Transfery nein.2.5a'!Q19+'Transfery nein.2.5a'!Y19+'Transfery nein.2.5a'!U19+'Transfery investiční'!E18+'Transfery investiční'!I18+'Transfery investiční'!M18+'Transfery investiční'!Q18+'Transfery investiční'!U18+'Transfery investiční'!Y18+'Transfery investiční'!AC18+AC19</f>
        <v>53719</v>
      </c>
      <c r="AI19" s="290">
        <f>'Transfery investiční'!AJ18/1000*-1</f>
        <v>53718.25</v>
      </c>
      <c r="AJ19" s="288"/>
      <c r="AK19" s="288"/>
    </row>
    <row r="20" spans="1:37" ht="15.75">
      <c r="A20" s="745" t="s">
        <v>248</v>
      </c>
      <c r="B20" s="603"/>
      <c r="C20" s="331">
        <v>8642</v>
      </c>
      <c r="D20" s="309">
        <v>8734</v>
      </c>
      <c r="E20" s="309">
        <v>8734</v>
      </c>
      <c r="F20" s="402">
        <f t="shared" si="0"/>
        <v>100</v>
      </c>
      <c r="G20" s="303">
        <f t="shared" si="1"/>
        <v>8642</v>
      </c>
      <c r="H20" s="304">
        <f t="shared" si="2"/>
        <v>8734</v>
      </c>
      <c r="I20" s="304">
        <f t="shared" si="3"/>
        <v>8734</v>
      </c>
      <c r="J20" s="402">
        <f t="shared" si="4"/>
        <v>100</v>
      </c>
      <c r="K20" s="303"/>
      <c r="L20" s="304"/>
      <c r="M20" s="304"/>
      <c r="N20" s="402"/>
      <c r="O20" s="303"/>
      <c r="P20" s="304"/>
      <c r="Q20" s="304"/>
      <c r="R20" s="667"/>
      <c r="S20" s="663"/>
      <c r="T20" s="304"/>
      <c r="U20" s="304"/>
      <c r="V20" s="662"/>
      <c r="W20" s="669"/>
      <c r="X20" s="256"/>
      <c r="Y20" s="256"/>
      <c r="Z20" s="655"/>
      <c r="AA20" s="663"/>
      <c r="AB20" s="304"/>
      <c r="AC20" s="304"/>
      <c r="AD20" s="662"/>
      <c r="AE20" s="259">
        <f t="shared" si="5"/>
        <v>0</v>
      </c>
      <c r="AF20" s="281">
        <f>'Transfery neinvestiční 2.5'!C19+'Transfery neinvestiční 2.5'!G19+'Transfery neinvestiční 2.5'!K19+'Transfery neinvestiční 2.5'!O19+'Transfery nein.2.5a'!C20+'Transfery nein.2.5a'!O20+'Transfery nein.2.5a'!W20+'Transfery nein.2.5a'!S20+'Transfery investiční'!C19+'Transfery investiční'!G19+'Transfery investiční'!K19+'Transfery investiční'!O19+'Transfery investiční'!S19+'Transfery investiční'!W19</f>
        <v>10155</v>
      </c>
      <c r="AG20" s="281">
        <f>'Transfery neinvestiční 2.5'!D19+'Transfery neinvestiční 2.5'!H19+'Transfery neinvestiční 2.5'!L19+'Transfery neinvestiční 2.5'!P19+'Transfery nein.2.5a'!D20+'Transfery nein.2.5a'!P20+'Transfery nein.2.5a'!X20+'Transfery nein.2.5a'!T20+'Transfery nein.2.5a'!AB20+'Transfery investiční'!D19+'Transfery investiční'!H19+'Transfery investiční'!L19+'Transfery investiční'!P19+'Transfery investiční'!T19+'Transfery investiční'!X19</f>
        <v>10983</v>
      </c>
      <c r="AH20" s="281">
        <f>'Transfery neinvestiční 2.5'!E19+'Transfery neinvestiční 2.5'!I19+'Transfery neinvestiční 2.5'!M19+'Transfery neinvestiční 2.5'!Q19+'Transfery nein.2.5a'!E20+'Transfery nein.2.5a'!Q20+'Transfery nein.2.5a'!Y20+'Transfery nein.2.5a'!U20+'Transfery investiční'!E19+'Transfery investiční'!I19+'Transfery investiční'!M19+'Transfery investiční'!Q19+'Transfery investiční'!U19+'Transfery investiční'!Y19+'Transfery investiční'!AC19+AC20</f>
        <v>10969</v>
      </c>
      <c r="AI20" s="290">
        <f>'Transfery investiční'!AJ19/1000*-1</f>
        <v>10969</v>
      </c>
      <c r="AJ20" s="288"/>
      <c r="AK20" s="288"/>
    </row>
    <row r="21" spans="1:37" ht="15.75">
      <c r="A21" s="745" t="s">
        <v>249</v>
      </c>
      <c r="B21" s="603"/>
      <c r="C21" s="331">
        <v>54537</v>
      </c>
      <c r="D21" s="309">
        <f>64010+119</f>
        <v>64129</v>
      </c>
      <c r="E21" s="309">
        <v>64128</v>
      </c>
      <c r="F21" s="402">
        <f t="shared" si="0"/>
        <v>99.9984406430788</v>
      </c>
      <c r="G21" s="303">
        <f t="shared" si="1"/>
        <v>54537</v>
      </c>
      <c r="H21" s="304">
        <f t="shared" si="2"/>
        <v>64010</v>
      </c>
      <c r="I21" s="304">
        <f t="shared" si="3"/>
        <v>64009</v>
      </c>
      <c r="J21" s="402">
        <f t="shared" si="4"/>
        <v>99.99843774410249</v>
      </c>
      <c r="K21" s="303"/>
      <c r="L21" s="304">
        <v>119</v>
      </c>
      <c r="M21" s="304">
        <v>119</v>
      </c>
      <c r="N21" s="402">
        <f>M21/L21*100</f>
        <v>100</v>
      </c>
      <c r="O21" s="303"/>
      <c r="P21" s="304"/>
      <c r="Q21" s="304"/>
      <c r="R21" s="667"/>
      <c r="S21" s="663"/>
      <c r="T21" s="304"/>
      <c r="U21" s="304"/>
      <c r="V21" s="662"/>
      <c r="W21" s="669"/>
      <c r="X21" s="256"/>
      <c r="Y21" s="256"/>
      <c r="Z21" s="654"/>
      <c r="AA21" s="663"/>
      <c r="AB21" s="304"/>
      <c r="AC21" s="304"/>
      <c r="AD21" s="662"/>
      <c r="AE21" s="259">
        <f t="shared" si="5"/>
        <v>0.873489999998128</v>
      </c>
      <c r="AF21" s="281">
        <f>'Transfery neinvestiční 2.5'!C20+'Transfery neinvestiční 2.5'!G20+'Transfery neinvestiční 2.5'!K20+'Transfery neinvestiční 2.5'!O20+'Transfery nein.2.5a'!C21+'Transfery nein.2.5a'!O21+'Transfery nein.2.5a'!W21+'Transfery nein.2.5a'!S21+'Transfery investiční'!C20+'Transfery investiční'!G20+'Transfery investiční'!K20+'Transfery investiční'!O20+'Transfery investiční'!S20+'Transfery investiční'!W20</f>
        <v>81007</v>
      </c>
      <c r="AG21" s="281">
        <f>'Transfery neinvestiční 2.5'!D20+'Transfery neinvestiční 2.5'!H20+'Transfery neinvestiční 2.5'!L20+'Transfery neinvestiční 2.5'!P20+'Transfery nein.2.5a'!D21+'Transfery nein.2.5a'!P21+'Transfery nein.2.5a'!X21+'Transfery nein.2.5a'!T21+'Transfery nein.2.5a'!AB21+'Transfery investiční'!D20+'Transfery investiční'!H20+'Transfery investiční'!L20+'Transfery investiční'!P20+'Transfery investiční'!T20+'Transfery investiční'!X20</f>
        <v>119411</v>
      </c>
      <c r="AH21" s="281">
        <f>'Transfery neinvestiční 2.5'!E20+'Transfery neinvestiční 2.5'!I20+'Transfery neinvestiční 2.5'!M20+'Transfery neinvestiční 2.5'!Q20+'Transfery nein.2.5a'!E21+'Transfery nein.2.5a'!Q21+'Transfery nein.2.5a'!Y21+'Transfery nein.2.5a'!U21+'Transfery investiční'!E20+'Transfery investiční'!I20+'Transfery investiční'!M20+'Transfery investiční'!Q20+'Transfery investiční'!U20+'Transfery investiční'!Y20+'Transfery investiční'!AC20+AC21</f>
        <v>125082</v>
      </c>
      <c r="AI21" s="290">
        <f>'Transfery investiční'!AJ20/1000*-1</f>
        <v>125082.87349</v>
      </c>
      <c r="AJ21" s="288"/>
      <c r="AK21" s="288"/>
    </row>
    <row r="22" spans="1:37" ht="15.75">
      <c r="A22" s="746" t="s">
        <v>250</v>
      </c>
      <c r="B22" s="603"/>
      <c r="C22" s="331">
        <v>69762</v>
      </c>
      <c r="D22" s="309">
        <v>70330</v>
      </c>
      <c r="E22" s="309">
        <v>70329</v>
      </c>
      <c r="F22" s="402">
        <f t="shared" si="0"/>
        <v>99.998578131665</v>
      </c>
      <c r="G22" s="303">
        <f t="shared" si="1"/>
        <v>69612</v>
      </c>
      <c r="H22" s="304">
        <f t="shared" si="2"/>
        <v>69942</v>
      </c>
      <c r="I22" s="304">
        <f t="shared" si="3"/>
        <v>69942</v>
      </c>
      <c r="J22" s="402">
        <f t="shared" si="4"/>
        <v>100</v>
      </c>
      <c r="K22" s="303">
        <v>150</v>
      </c>
      <c r="L22" s="304">
        <v>388</v>
      </c>
      <c r="M22" s="304">
        <v>387</v>
      </c>
      <c r="N22" s="402">
        <f>M22/L22*100</f>
        <v>99.74226804123711</v>
      </c>
      <c r="O22" s="303"/>
      <c r="P22" s="304"/>
      <c r="Q22" s="304"/>
      <c r="R22" s="667"/>
      <c r="S22" s="663"/>
      <c r="T22" s="304"/>
      <c r="U22" s="304"/>
      <c r="V22" s="662"/>
      <c r="W22" s="669"/>
      <c r="X22" s="256"/>
      <c r="Y22" s="256"/>
      <c r="Z22" s="654"/>
      <c r="AA22" s="663"/>
      <c r="AB22" s="304"/>
      <c r="AC22" s="304"/>
      <c r="AD22" s="662"/>
      <c r="AE22" s="259">
        <f t="shared" si="5"/>
        <v>0.982929999998305</v>
      </c>
      <c r="AF22" s="281">
        <f>'Transfery neinvestiční 2.5'!C21+'Transfery neinvestiční 2.5'!G21+'Transfery neinvestiční 2.5'!K21+'Transfery neinvestiční 2.5'!O21+'Transfery nein.2.5a'!C22+'Transfery nein.2.5a'!O22+'Transfery nein.2.5a'!W22+'Transfery nein.2.5a'!S22+'Transfery investiční'!C21+'Transfery investiční'!G21+'Transfery investiční'!K21+'Transfery investiční'!O21+'Transfery investiční'!S21+'Transfery investiční'!W21</f>
        <v>140544</v>
      </c>
      <c r="AG22" s="281">
        <f>'Transfery neinvestiční 2.5'!D21+'Transfery neinvestiční 2.5'!H21+'Transfery neinvestiční 2.5'!L21+'Transfery neinvestiční 2.5'!P21+'Transfery nein.2.5a'!D22+'Transfery nein.2.5a'!P22+'Transfery nein.2.5a'!X22+'Transfery nein.2.5a'!T22+'Transfery nein.2.5a'!AB22+'Transfery investiční'!D21+'Transfery investiční'!H21+'Transfery investiční'!L21+'Transfery investiční'!P21+'Transfery investiční'!T21+'Transfery investiční'!X21</f>
        <v>153420</v>
      </c>
      <c r="AH22" s="281">
        <f>'Transfery neinvestiční 2.5'!E21+'Transfery neinvestiční 2.5'!I21+'Transfery neinvestiční 2.5'!M21+'Transfery neinvestiční 2.5'!Q21+'Transfery nein.2.5a'!E22+'Transfery nein.2.5a'!Q22+'Transfery nein.2.5a'!Y22+'Transfery nein.2.5a'!U22+'Transfery investiční'!E21+'Transfery investiční'!I21+'Transfery investiční'!M21+'Transfery investiční'!Q21+'Transfery investiční'!U21+'Transfery investiční'!Y21+'Transfery investiční'!AC21+AC22</f>
        <v>153399</v>
      </c>
      <c r="AI22" s="290">
        <f>'Transfery investiční'!AJ21/1000*-1</f>
        <v>153399.98293</v>
      </c>
      <c r="AJ22" s="288"/>
      <c r="AK22" s="288"/>
    </row>
    <row r="23" spans="1:37" ht="15.75">
      <c r="A23" s="745" t="s">
        <v>251</v>
      </c>
      <c r="B23" s="603"/>
      <c r="C23" s="331">
        <v>8860</v>
      </c>
      <c r="D23" s="309">
        <v>8900</v>
      </c>
      <c r="E23" s="309">
        <v>8900</v>
      </c>
      <c r="F23" s="402">
        <f t="shared" si="0"/>
        <v>100</v>
      </c>
      <c r="G23" s="303">
        <f t="shared" si="1"/>
        <v>8860</v>
      </c>
      <c r="H23" s="304">
        <f t="shared" si="2"/>
        <v>8900</v>
      </c>
      <c r="I23" s="304">
        <f t="shared" si="3"/>
        <v>8900</v>
      </c>
      <c r="J23" s="402">
        <f t="shared" si="4"/>
        <v>100</v>
      </c>
      <c r="K23" s="303"/>
      <c r="L23" s="304"/>
      <c r="M23" s="304"/>
      <c r="N23" s="402"/>
      <c r="O23" s="303"/>
      <c r="P23" s="304"/>
      <c r="Q23" s="304"/>
      <c r="R23" s="667"/>
      <c r="S23" s="663"/>
      <c r="T23" s="304"/>
      <c r="U23" s="304"/>
      <c r="V23" s="662"/>
      <c r="W23" s="669"/>
      <c r="X23" s="256"/>
      <c r="Y23" s="256"/>
      <c r="Z23" s="654"/>
      <c r="AA23" s="663"/>
      <c r="AB23" s="304"/>
      <c r="AC23" s="304"/>
      <c r="AD23" s="662"/>
      <c r="AE23" s="259">
        <f t="shared" si="5"/>
        <v>0</v>
      </c>
      <c r="AF23" s="281">
        <f>'Transfery neinvestiční 2.5'!C22+'Transfery neinvestiční 2.5'!G22+'Transfery neinvestiční 2.5'!K22+'Transfery neinvestiční 2.5'!O22+'Transfery nein.2.5a'!C23+'Transfery nein.2.5a'!O23+'Transfery nein.2.5a'!W23+'Transfery nein.2.5a'!S23+'Transfery investiční'!C22+'Transfery investiční'!G22+'Transfery investiční'!K22+'Transfery investiční'!O22+'Transfery investiční'!S22+'Transfery investiční'!W22</f>
        <v>9411</v>
      </c>
      <c r="AG23" s="281">
        <f>'Transfery neinvestiční 2.5'!D22+'Transfery neinvestiční 2.5'!H22+'Transfery neinvestiční 2.5'!L22+'Transfery neinvestiční 2.5'!P22+'Transfery nein.2.5a'!D23+'Transfery nein.2.5a'!P23+'Transfery nein.2.5a'!X23+'Transfery nein.2.5a'!T23+'Transfery nein.2.5a'!AB23+'Transfery investiční'!D22+'Transfery investiční'!H22+'Transfery investiční'!L22+'Transfery investiční'!P22+'Transfery investiční'!T22+'Transfery investiční'!X22</f>
        <v>9553</v>
      </c>
      <c r="AH23" s="281">
        <f>'Transfery neinvestiční 2.5'!E22+'Transfery neinvestiční 2.5'!I22+'Transfery neinvestiční 2.5'!M22+'Transfery neinvestiční 2.5'!Q22+'Transfery nein.2.5a'!E23+'Transfery nein.2.5a'!Q23+'Transfery nein.2.5a'!Y23+'Transfery nein.2.5a'!U23+'Transfery investiční'!E22+'Transfery investiční'!I22+'Transfery investiční'!M22+'Transfery investiční'!Q22+'Transfery investiční'!U22+'Transfery investiční'!Y22+'Transfery investiční'!AC22+AC23</f>
        <v>9553</v>
      </c>
      <c r="AI23" s="290">
        <f>'Transfery investiční'!AJ22/1000*-1</f>
        <v>9553</v>
      </c>
      <c r="AJ23" s="288"/>
      <c r="AK23" s="288"/>
    </row>
    <row r="24" spans="1:37" ht="15.75">
      <c r="A24" s="746" t="s">
        <v>252</v>
      </c>
      <c r="B24" s="603"/>
      <c r="C24" s="331">
        <v>18178</v>
      </c>
      <c r="D24" s="309">
        <v>18608</v>
      </c>
      <c r="E24" s="309">
        <v>18608</v>
      </c>
      <c r="F24" s="402">
        <f t="shared" si="0"/>
        <v>100</v>
      </c>
      <c r="G24" s="303">
        <f t="shared" si="1"/>
        <v>18157</v>
      </c>
      <c r="H24" s="304">
        <f t="shared" si="2"/>
        <v>18587</v>
      </c>
      <c r="I24" s="304">
        <f t="shared" si="3"/>
        <v>18587</v>
      </c>
      <c r="J24" s="402">
        <f t="shared" si="4"/>
        <v>100</v>
      </c>
      <c r="K24" s="303">
        <v>21</v>
      </c>
      <c r="L24" s="304">
        <v>21</v>
      </c>
      <c r="M24" s="304">
        <v>21</v>
      </c>
      <c r="N24" s="402">
        <f>M24/L24*100</f>
        <v>100</v>
      </c>
      <c r="O24" s="303"/>
      <c r="P24" s="304">
        <v>26</v>
      </c>
      <c r="Q24" s="304">
        <v>27</v>
      </c>
      <c r="R24" s="667">
        <f aca="true" t="shared" si="6" ref="R24:R32">Q24/P24*100</f>
        <v>103.84615384615385</v>
      </c>
      <c r="S24" s="663"/>
      <c r="T24" s="304"/>
      <c r="U24" s="304"/>
      <c r="V24" s="662"/>
      <c r="W24" s="669"/>
      <c r="X24" s="256"/>
      <c r="Y24" s="256"/>
      <c r="Z24" s="654"/>
      <c r="AA24" s="663"/>
      <c r="AB24" s="304"/>
      <c r="AC24" s="304"/>
      <c r="AD24" s="662"/>
      <c r="AE24" s="259">
        <f t="shared" si="5"/>
        <v>0.37819999999919673</v>
      </c>
      <c r="AF24" s="281">
        <f>'Transfery neinvestiční 2.5'!C23+'Transfery neinvestiční 2.5'!G23+'Transfery neinvestiční 2.5'!K23+'Transfery neinvestiční 2.5'!O23+'Transfery nein.2.5a'!C24+'Transfery nein.2.5a'!O24+'Transfery nein.2.5a'!W24+'Transfery nein.2.5a'!S24+'Transfery investiční'!C23+'Transfery investiční'!G23+'Transfery investiční'!K23+'Transfery investiční'!O23+'Transfery investiční'!S23+'Transfery investiční'!W23</f>
        <v>24475</v>
      </c>
      <c r="AG24" s="281">
        <f>'Transfery neinvestiční 2.5'!D23+'Transfery neinvestiční 2.5'!H23+'Transfery neinvestiční 2.5'!L23+'Transfery neinvestiční 2.5'!P23+'Transfery nein.2.5a'!D24+'Transfery nein.2.5a'!P24+'Transfery nein.2.5a'!X24+'Transfery nein.2.5a'!T24+'Transfery nein.2.5a'!AB24+'Transfery investiční'!D23+'Transfery investiční'!H23+'Transfery investiční'!L23+'Transfery investiční'!P23+'Transfery investiční'!T23+'Transfery investiční'!X23</f>
        <v>29744</v>
      </c>
      <c r="AH24" s="281">
        <f>'Transfery neinvestiční 2.5'!E23+'Transfery neinvestiční 2.5'!I23+'Transfery neinvestiční 2.5'!M23+'Transfery neinvestiční 2.5'!Q23+'Transfery nein.2.5a'!E24+'Transfery nein.2.5a'!Q24+'Transfery nein.2.5a'!Y24+'Transfery nein.2.5a'!U24+'Transfery investiční'!E23+'Transfery investiční'!I23+'Transfery investiční'!M23+'Transfery investiční'!Q23+'Transfery investiční'!U23+'Transfery investiční'!Y23+'Transfery investiční'!AC23+AC24</f>
        <v>30230</v>
      </c>
      <c r="AI24" s="290">
        <f>'Transfery investiční'!AJ23/1000*-1</f>
        <v>30230.3782</v>
      </c>
      <c r="AJ24" s="288"/>
      <c r="AK24" s="288"/>
    </row>
    <row r="25" spans="1:37" ht="15.75">
      <c r="A25" s="746" t="s">
        <v>253</v>
      </c>
      <c r="B25" s="603"/>
      <c r="C25" s="331">
        <v>9167</v>
      </c>
      <c r="D25" s="309">
        <v>10627</v>
      </c>
      <c r="E25" s="309">
        <v>10627</v>
      </c>
      <c r="F25" s="402">
        <f t="shared" si="0"/>
        <v>100</v>
      </c>
      <c r="G25" s="303">
        <f t="shared" si="1"/>
        <v>9167</v>
      </c>
      <c r="H25" s="304">
        <f t="shared" si="2"/>
        <v>10627</v>
      </c>
      <c r="I25" s="304">
        <f t="shared" si="3"/>
        <v>10627</v>
      </c>
      <c r="J25" s="402">
        <f t="shared" si="4"/>
        <v>100</v>
      </c>
      <c r="K25" s="303"/>
      <c r="L25" s="304"/>
      <c r="M25" s="304"/>
      <c r="N25" s="402"/>
      <c r="O25" s="303"/>
      <c r="P25" s="304">
        <v>62</v>
      </c>
      <c r="Q25" s="304">
        <v>62</v>
      </c>
      <c r="R25" s="667">
        <f t="shared" si="6"/>
        <v>100</v>
      </c>
      <c r="S25" s="663"/>
      <c r="T25" s="304"/>
      <c r="U25" s="304"/>
      <c r="V25" s="662"/>
      <c r="W25" s="669"/>
      <c r="X25" s="256"/>
      <c r="Y25" s="256"/>
      <c r="Z25" s="654"/>
      <c r="AA25" s="663"/>
      <c r="AB25" s="304"/>
      <c r="AC25" s="304"/>
      <c r="AD25" s="662"/>
      <c r="AE25" s="259">
        <f t="shared" si="5"/>
        <v>-0.05400000000008731</v>
      </c>
      <c r="AF25" s="281">
        <f>'Transfery neinvestiční 2.5'!C24+'Transfery neinvestiční 2.5'!G24+'Transfery neinvestiční 2.5'!K24+'Transfery neinvestiční 2.5'!O24+'Transfery nein.2.5a'!C25+'Transfery nein.2.5a'!O25+'Transfery nein.2.5a'!W25+'Transfery nein.2.5a'!S25+'Transfery investiční'!C24+'Transfery investiční'!G24+'Transfery investiční'!K24+'Transfery investiční'!O24+'Transfery investiční'!S24+'Transfery investiční'!W24</f>
        <v>11685</v>
      </c>
      <c r="AG25" s="281">
        <f>'Transfery neinvestiční 2.5'!D24+'Transfery neinvestiční 2.5'!H24+'Transfery neinvestiční 2.5'!L24+'Transfery neinvestiční 2.5'!P24+'Transfery nein.2.5a'!D25+'Transfery nein.2.5a'!P25+'Transfery nein.2.5a'!X25+'Transfery nein.2.5a'!T25+'Transfery nein.2.5a'!AB25+'Transfery investiční'!D24+'Transfery investiční'!H24+'Transfery investiční'!L24+'Transfery investiční'!P24+'Transfery investiční'!T24+'Transfery investiční'!X24</f>
        <v>20071</v>
      </c>
      <c r="AH25" s="281">
        <f>'Transfery neinvestiční 2.5'!E24+'Transfery neinvestiční 2.5'!I24+'Transfery neinvestiční 2.5'!M24+'Transfery neinvestiční 2.5'!Q24+'Transfery nein.2.5a'!E25+'Transfery nein.2.5a'!Q25+'Transfery nein.2.5a'!Y25+'Transfery nein.2.5a'!U25+'Transfery investiční'!E24+'Transfery investiční'!I24+'Transfery investiční'!M24+'Transfery investiční'!Q24+'Transfery investiční'!U24+'Transfery investiční'!Y24+'Transfery investiční'!AC24+AC25</f>
        <v>18403</v>
      </c>
      <c r="AI25" s="290">
        <f>'Transfery investiční'!AJ24/1000*-1</f>
        <v>18402.946</v>
      </c>
      <c r="AJ25" s="288"/>
      <c r="AK25" s="288"/>
    </row>
    <row r="26" spans="1:37" ht="15.75">
      <c r="A26" s="746" t="s">
        <v>254</v>
      </c>
      <c r="B26" s="603"/>
      <c r="C26" s="331">
        <v>13242</v>
      </c>
      <c r="D26" s="309">
        <v>13610</v>
      </c>
      <c r="E26" s="309">
        <v>13610</v>
      </c>
      <c r="F26" s="402">
        <f t="shared" si="0"/>
        <v>100</v>
      </c>
      <c r="G26" s="303">
        <f t="shared" si="1"/>
        <v>13242</v>
      </c>
      <c r="H26" s="304">
        <f t="shared" si="2"/>
        <v>13610</v>
      </c>
      <c r="I26" s="304">
        <f t="shared" si="3"/>
        <v>13610</v>
      </c>
      <c r="J26" s="402">
        <f t="shared" si="4"/>
        <v>100</v>
      </c>
      <c r="K26" s="303"/>
      <c r="L26" s="304"/>
      <c r="M26" s="433"/>
      <c r="N26" s="402"/>
      <c r="O26" s="303"/>
      <c r="P26" s="304">
        <v>47</v>
      </c>
      <c r="Q26" s="433">
        <v>47</v>
      </c>
      <c r="R26" s="667">
        <f t="shared" si="6"/>
        <v>100</v>
      </c>
      <c r="S26" s="663"/>
      <c r="T26" s="304"/>
      <c r="U26" s="433"/>
      <c r="V26" s="662"/>
      <c r="W26" s="669"/>
      <c r="X26" s="256"/>
      <c r="Y26" s="256"/>
      <c r="Z26" s="654"/>
      <c r="AA26" s="663"/>
      <c r="AB26" s="304"/>
      <c r="AC26" s="433"/>
      <c r="AD26" s="662"/>
      <c r="AE26" s="259">
        <f t="shared" si="5"/>
        <v>-0.5630000000019209</v>
      </c>
      <c r="AF26" s="281">
        <f>'Transfery neinvestiční 2.5'!C25+'Transfery neinvestiční 2.5'!G25+'Transfery neinvestiční 2.5'!K25+'Transfery neinvestiční 2.5'!O25+'Transfery nein.2.5a'!C26+'Transfery nein.2.5a'!O26+'Transfery nein.2.5a'!W26+'Transfery nein.2.5a'!S26+'Transfery investiční'!C25+'Transfery investiční'!G25+'Transfery investiční'!K25+'Transfery investiční'!O25+'Transfery investiční'!S25+'Transfery investiční'!W25</f>
        <v>15340</v>
      </c>
      <c r="AG26" s="281">
        <f>'Transfery neinvestiční 2.5'!D25+'Transfery neinvestiční 2.5'!H25+'Transfery neinvestiční 2.5'!L25+'Transfery neinvestiční 2.5'!P25+'Transfery nein.2.5a'!D26+'Transfery nein.2.5a'!P26+'Transfery nein.2.5a'!X26+'Transfery nein.2.5a'!T26+'Transfery nein.2.5a'!AB26+'Transfery investiční'!D25+'Transfery investiční'!H25+'Transfery investiční'!L25+'Transfery investiční'!P25+'Transfery investiční'!T25+'Transfery investiční'!X25</f>
        <v>33390</v>
      </c>
      <c r="AH26" s="281">
        <f>'Transfery neinvestiční 2.5'!E25+'Transfery neinvestiční 2.5'!I25+'Transfery neinvestiční 2.5'!M25+'Transfery neinvestiční 2.5'!Q25+'Transfery nein.2.5a'!E26+'Transfery nein.2.5a'!Q26+'Transfery nein.2.5a'!Y26+'Transfery nein.2.5a'!U26+'Transfery investiční'!E25+'Transfery investiční'!I25+'Transfery investiční'!M25+'Transfery investiční'!Q25+'Transfery investiční'!U25+'Transfery investiční'!Y25+'Transfery investiční'!AC25+AC26</f>
        <v>33379</v>
      </c>
      <c r="AI26" s="290">
        <f>'Transfery investiční'!AJ25/1000*-1</f>
        <v>33378.437</v>
      </c>
      <c r="AJ26" s="288"/>
      <c r="AK26" s="288"/>
    </row>
    <row r="27" spans="1:37" ht="15.75">
      <c r="A27" s="746" t="s">
        <v>255</v>
      </c>
      <c r="B27" s="603"/>
      <c r="C27" s="331">
        <v>109491</v>
      </c>
      <c r="D27" s="309">
        <v>113924</v>
      </c>
      <c r="E27" s="309">
        <v>113924</v>
      </c>
      <c r="F27" s="402">
        <f t="shared" si="0"/>
        <v>100</v>
      </c>
      <c r="G27" s="303">
        <f t="shared" si="1"/>
        <v>109291</v>
      </c>
      <c r="H27" s="304">
        <f t="shared" si="2"/>
        <v>113638</v>
      </c>
      <c r="I27" s="304">
        <f t="shared" si="3"/>
        <v>113638</v>
      </c>
      <c r="J27" s="402">
        <f t="shared" si="4"/>
        <v>100</v>
      </c>
      <c r="K27" s="303">
        <v>200</v>
      </c>
      <c r="L27" s="441">
        <f>86+200</f>
        <v>286</v>
      </c>
      <c r="M27" s="304">
        <f>86+200</f>
        <v>286</v>
      </c>
      <c r="N27" s="402">
        <f>M27/L27*100</f>
        <v>100</v>
      </c>
      <c r="O27" s="303"/>
      <c r="P27" s="441">
        <v>2804</v>
      </c>
      <c r="Q27" s="304">
        <v>2802</v>
      </c>
      <c r="R27" s="667">
        <f t="shared" si="6"/>
        <v>99.92867332382312</v>
      </c>
      <c r="S27" s="663"/>
      <c r="T27" s="441"/>
      <c r="U27" s="304"/>
      <c r="V27" s="662"/>
      <c r="W27" s="669"/>
      <c r="X27" s="256"/>
      <c r="Y27" s="256"/>
      <c r="Z27" s="654"/>
      <c r="AA27" s="663"/>
      <c r="AB27" s="441"/>
      <c r="AC27" s="304"/>
      <c r="AD27" s="662"/>
      <c r="AE27" s="259">
        <f t="shared" si="5"/>
        <v>0.9176899999729358</v>
      </c>
      <c r="AF27" s="281">
        <f>'Transfery neinvestiční 2.5'!C26+'Transfery neinvestiční 2.5'!G26+'Transfery neinvestiční 2.5'!K26+'Transfery neinvestiční 2.5'!O26+'Transfery nein.2.5a'!C27+'Transfery nein.2.5a'!O27+'Transfery nein.2.5a'!W27+'Transfery nein.2.5a'!S27+'Transfery investiční'!C26+'Transfery investiční'!G26+'Transfery investiční'!K26+'Transfery investiční'!O26+'Transfery investiční'!S26+'Transfery investiční'!W26</f>
        <v>187756</v>
      </c>
      <c r="AG27" s="281">
        <f>'Transfery neinvestiční 2.5'!D26+'Transfery neinvestiční 2.5'!H26+'Transfery neinvestiční 2.5'!L26+'Transfery neinvestiční 2.5'!P26+'Transfery nein.2.5a'!D27+'Transfery nein.2.5a'!P27+'Transfery nein.2.5a'!X27+'Transfery nein.2.5a'!T27+'Transfery nein.2.5a'!AB27+'Transfery investiční'!D26+'Transfery investiční'!H26+'Transfery investiční'!L26+'Transfery investiční'!P26+'Transfery investiční'!T26+'Transfery investiční'!X26</f>
        <v>270146</v>
      </c>
      <c r="AH27" s="281">
        <f>'Transfery neinvestiční 2.5'!E26+'Transfery neinvestiční 2.5'!I26+'Transfery neinvestiční 2.5'!M26+'Transfery neinvestiční 2.5'!Q26+'Transfery nein.2.5a'!E27+'Transfery nein.2.5a'!Q27+'Transfery nein.2.5a'!Y27+'Transfery nein.2.5a'!U27+'Transfery investiční'!E26+'Transfery investiční'!I26+'Transfery investiční'!M26+'Transfery investiční'!Q26+'Transfery investiční'!U26+'Transfery investiční'!Y26+'Transfery investiční'!AC26+AC27</f>
        <v>267524</v>
      </c>
      <c r="AI27" s="290">
        <f>'Transfery investiční'!AJ26/1000*-1</f>
        <v>267524.91769</v>
      </c>
      <c r="AJ27" s="288"/>
      <c r="AK27" s="288"/>
    </row>
    <row r="28" spans="1:37" ht="15.75">
      <c r="A28" s="745" t="s">
        <v>256</v>
      </c>
      <c r="B28" s="603"/>
      <c r="C28" s="331">
        <v>19226</v>
      </c>
      <c r="D28" s="309">
        <v>19634</v>
      </c>
      <c r="E28" s="309">
        <v>19634</v>
      </c>
      <c r="F28" s="402">
        <f t="shared" si="0"/>
        <v>100</v>
      </c>
      <c r="G28" s="303">
        <f t="shared" si="1"/>
        <v>19226</v>
      </c>
      <c r="H28" s="304">
        <f t="shared" si="2"/>
        <v>19634</v>
      </c>
      <c r="I28" s="304">
        <f t="shared" si="3"/>
        <v>19634</v>
      </c>
      <c r="J28" s="402">
        <f t="shared" si="4"/>
        <v>100</v>
      </c>
      <c r="K28" s="303"/>
      <c r="L28" s="304"/>
      <c r="M28" s="304"/>
      <c r="N28" s="402"/>
      <c r="O28" s="303"/>
      <c r="P28" s="304">
        <v>73</v>
      </c>
      <c r="Q28" s="304">
        <v>73</v>
      </c>
      <c r="R28" s="667">
        <f t="shared" si="6"/>
        <v>100</v>
      </c>
      <c r="S28" s="663"/>
      <c r="T28" s="304"/>
      <c r="U28" s="304"/>
      <c r="V28" s="662"/>
      <c r="W28" s="669"/>
      <c r="X28" s="256"/>
      <c r="Y28" s="256"/>
      <c r="Z28" s="654"/>
      <c r="AA28" s="663"/>
      <c r="AB28" s="304"/>
      <c r="AC28" s="304"/>
      <c r="AD28" s="662"/>
      <c r="AE28" s="259">
        <f t="shared" si="5"/>
        <v>0.544000000001688</v>
      </c>
      <c r="AF28" s="281">
        <f>'Transfery neinvestiční 2.5'!C27+'Transfery neinvestiční 2.5'!G27+'Transfery neinvestiční 2.5'!K27+'Transfery neinvestiční 2.5'!O27+'Transfery nein.2.5a'!C28+'Transfery nein.2.5a'!O28+'Transfery nein.2.5a'!W28+'Transfery nein.2.5a'!S28+'Transfery investiční'!C27+'Transfery investiční'!G27+'Transfery investiční'!K27+'Transfery investiční'!O27+'Transfery investiční'!S27+'Transfery investiční'!W27</f>
        <v>23199</v>
      </c>
      <c r="AG28" s="281">
        <f>'Transfery neinvestiční 2.5'!D27+'Transfery neinvestiční 2.5'!H27+'Transfery neinvestiční 2.5'!L27+'Transfery neinvestiční 2.5'!P27+'Transfery nein.2.5a'!D28+'Transfery nein.2.5a'!P28+'Transfery nein.2.5a'!X28+'Transfery nein.2.5a'!T28+'Transfery nein.2.5a'!AB28+'Transfery investiční'!D27+'Transfery investiční'!H27+'Transfery investiční'!L27+'Transfery investiční'!P27+'Transfery investiční'!T27+'Transfery investiční'!X27</f>
        <v>26329</v>
      </c>
      <c r="AH28" s="281">
        <f>'Transfery neinvestiční 2.5'!E27+'Transfery neinvestiční 2.5'!I27+'Transfery neinvestiční 2.5'!M27+'Transfery neinvestiční 2.5'!Q27+'Transfery nein.2.5a'!E28+'Transfery nein.2.5a'!Q28+'Transfery nein.2.5a'!Y28+'Transfery nein.2.5a'!U28+'Transfery investiční'!E27+'Transfery investiční'!I27+'Transfery investiční'!M27+'Transfery investiční'!Q27+'Transfery investiční'!U27+'Transfery investiční'!Y27+'Transfery investiční'!AC27+AC28</f>
        <v>26299</v>
      </c>
      <c r="AI28" s="290">
        <f>'Transfery investiční'!AJ27/1000*-1</f>
        <v>26299.544</v>
      </c>
      <c r="AJ28" s="288"/>
      <c r="AK28" s="288"/>
    </row>
    <row r="29" spans="1:37" ht="15.75">
      <c r="A29" s="746" t="s">
        <v>257</v>
      </c>
      <c r="B29" s="603"/>
      <c r="C29" s="331">
        <v>61612</v>
      </c>
      <c r="D29" s="309">
        <v>62250</v>
      </c>
      <c r="E29" s="309">
        <v>62250</v>
      </c>
      <c r="F29" s="402">
        <f t="shared" si="0"/>
        <v>100</v>
      </c>
      <c r="G29" s="303">
        <f t="shared" si="1"/>
        <v>61612</v>
      </c>
      <c r="H29" s="304">
        <f t="shared" si="2"/>
        <v>62250</v>
      </c>
      <c r="I29" s="304">
        <f t="shared" si="3"/>
        <v>62250</v>
      </c>
      <c r="J29" s="402">
        <f t="shared" si="4"/>
        <v>100</v>
      </c>
      <c r="K29" s="303"/>
      <c r="L29" s="304"/>
      <c r="M29" s="304"/>
      <c r="N29" s="402"/>
      <c r="O29" s="303"/>
      <c r="P29" s="304">
        <v>1</v>
      </c>
      <c r="Q29" s="304">
        <v>1</v>
      </c>
      <c r="R29" s="667">
        <f t="shared" si="6"/>
        <v>100</v>
      </c>
      <c r="S29" s="663"/>
      <c r="T29" s="304"/>
      <c r="U29" s="304"/>
      <c r="V29" s="662"/>
      <c r="W29" s="669"/>
      <c r="X29" s="256"/>
      <c r="Y29" s="256"/>
      <c r="Z29" s="654"/>
      <c r="AA29" s="663"/>
      <c r="AB29" s="304"/>
      <c r="AC29" s="304"/>
      <c r="AD29" s="662"/>
      <c r="AE29" s="259">
        <f t="shared" si="5"/>
        <v>-1.1961100000189617</v>
      </c>
      <c r="AF29" s="281">
        <f>'Transfery neinvestiční 2.5'!C28+'Transfery neinvestiční 2.5'!G28+'Transfery neinvestiční 2.5'!K28+'Transfery neinvestiční 2.5'!O28+'Transfery nein.2.5a'!C29+'Transfery nein.2.5a'!O29+'Transfery nein.2.5a'!W29+'Transfery nein.2.5a'!S29+'Transfery investiční'!C28+'Transfery investiční'!G28+'Transfery investiční'!K28+'Transfery investiční'!O28+'Transfery investiční'!S28+'Transfery investiční'!W28</f>
        <v>134815</v>
      </c>
      <c r="AG29" s="281">
        <f>'Transfery neinvestiční 2.5'!D28+'Transfery neinvestiční 2.5'!H28+'Transfery neinvestiční 2.5'!L28+'Transfery neinvestiční 2.5'!P28+'Transfery nein.2.5a'!D29+'Transfery nein.2.5a'!P29+'Transfery nein.2.5a'!X29+'Transfery nein.2.5a'!T29+'Transfery nein.2.5a'!AB29+'Transfery investiční'!D28+'Transfery investiční'!H28+'Transfery investiční'!L28+'Transfery investiční'!P28+'Transfery investiční'!T28+'Transfery investiční'!X28</f>
        <v>155618</v>
      </c>
      <c r="AH29" s="281">
        <f>'Transfery neinvestiční 2.5'!E28+'Transfery neinvestiční 2.5'!I28+'Transfery neinvestiční 2.5'!M28+'Transfery neinvestiční 2.5'!Q28+'Transfery nein.2.5a'!E29+'Transfery nein.2.5a'!Q29+'Transfery nein.2.5a'!Y29+'Transfery nein.2.5a'!U29+'Transfery investiční'!E28+'Transfery investiční'!I28+'Transfery investiční'!M28+'Transfery investiční'!Q28+'Transfery investiční'!U28+'Transfery investiční'!Y28+'Transfery investiční'!AC28+AC29</f>
        <v>155618</v>
      </c>
      <c r="AI29" s="290">
        <f>'Transfery investiční'!AJ28/1000*-1</f>
        <v>155616.80388999998</v>
      </c>
      <c r="AJ29" s="288"/>
      <c r="AK29" s="288"/>
    </row>
    <row r="30" spans="1:37" ht="15.75">
      <c r="A30" s="745" t="s">
        <v>258</v>
      </c>
      <c r="B30" s="603"/>
      <c r="C30" s="331">
        <v>20610</v>
      </c>
      <c r="D30" s="309">
        <v>20791</v>
      </c>
      <c r="E30" s="309">
        <f>20783-1</f>
        <v>20782</v>
      </c>
      <c r="F30" s="402">
        <f t="shared" si="0"/>
        <v>99.95671203886297</v>
      </c>
      <c r="G30" s="303">
        <f t="shared" si="1"/>
        <v>20610</v>
      </c>
      <c r="H30" s="304">
        <f t="shared" si="2"/>
        <v>20791</v>
      </c>
      <c r="I30" s="304">
        <f t="shared" si="3"/>
        <v>20782</v>
      </c>
      <c r="J30" s="402">
        <f t="shared" si="4"/>
        <v>99.95671203886297</v>
      </c>
      <c r="K30" s="303"/>
      <c r="L30" s="433"/>
      <c r="M30" s="304"/>
      <c r="N30" s="402"/>
      <c r="O30" s="303"/>
      <c r="P30" s="433">
        <v>196</v>
      </c>
      <c r="Q30" s="304">
        <v>196</v>
      </c>
      <c r="R30" s="667">
        <f t="shared" si="6"/>
        <v>100</v>
      </c>
      <c r="S30" s="663"/>
      <c r="T30" s="433"/>
      <c r="U30" s="304"/>
      <c r="V30" s="662"/>
      <c r="W30" s="669"/>
      <c r="X30" s="256"/>
      <c r="Y30" s="256"/>
      <c r="Z30" s="654"/>
      <c r="AA30" s="663"/>
      <c r="AB30" s="433"/>
      <c r="AC30" s="304"/>
      <c r="AD30" s="662"/>
      <c r="AE30" s="259">
        <f>AI30-AH30</f>
        <v>0.16222999999445165</v>
      </c>
      <c r="AF30" s="281">
        <f>'Transfery neinvestiční 2.5'!C29+'Transfery neinvestiční 2.5'!G29+'Transfery neinvestiční 2.5'!K29+'Transfery neinvestiční 2.5'!O29+'Transfery nein.2.5a'!C30+'Transfery nein.2.5a'!O30+'Transfery nein.2.5a'!W30+'Transfery nein.2.5a'!S30+'Transfery investiční'!C29+'Transfery investiční'!G29+'Transfery investiční'!K29+'Transfery investiční'!O29+'Transfery investiční'!S29+'Transfery investiční'!W29</f>
        <v>41374</v>
      </c>
      <c r="AG30" s="281">
        <f>'Transfery neinvestiční 2.5'!D29+'Transfery neinvestiční 2.5'!H29+'Transfery neinvestiční 2.5'!L29+'Transfery neinvestiční 2.5'!P29+'Transfery nein.2.5a'!D30+'Transfery nein.2.5a'!P30+'Transfery nein.2.5a'!X30+'Transfery nein.2.5a'!T30+'Transfery nein.2.5a'!AB30+'Transfery investiční'!D29+'Transfery investiční'!H29+'Transfery investiční'!L29+'Transfery investiční'!P29+'Transfery investiční'!T29+'Transfery investiční'!X29</f>
        <v>57223</v>
      </c>
      <c r="AH30" s="281">
        <f>'Transfery neinvestiční 2.5'!E29+'Transfery neinvestiční 2.5'!I29+'Transfery neinvestiční 2.5'!M29+'Transfery neinvestiční 2.5'!Q29+'Transfery nein.2.5a'!E30+'Transfery nein.2.5a'!Q30+'Transfery nein.2.5a'!Y30+'Transfery nein.2.5a'!U30+'Transfery investiční'!E29+'Transfery investiční'!I29+'Transfery investiční'!M29+'Transfery investiční'!Q29+'Transfery investiční'!U29+'Transfery investiční'!Y29+'Transfery investiční'!AC29+AC30</f>
        <v>56824</v>
      </c>
      <c r="AI30" s="290">
        <f>'Transfery investiční'!AJ29/1000*-1</f>
        <v>56824.162229999994</v>
      </c>
      <c r="AJ30" s="288"/>
      <c r="AK30" s="288"/>
    </row>
    <row r="31" spans="1:37" ht="15.75">
      <c r="A31" s="746" t="s">
        <v>259</v>
      </c>
      <c r="B31" s="603"/>
      <c r="C31" s="331">
        <v>30957</v>
      </c>
      <c r="D31" s="309">
        <v>31865</v>
      </c>
      <c r="E31" s="309">
        <v>31865</v>
      </c>
      <c r="F31" s="402">
        <f t="shared" si="0"/>
        <v>100</v>
      </c>
      <c r="G31" s="303">
        <f t="shared" si="1"/>
        <v>30957</v>
      </c>
      <c r="H31" s="304">
        <f t="shared" si="2"/>
        <v>31865</v>
      </c>
      <c r="I31" s="304">
        <f t="shared" si="3"/>
        <v>31865</v>
      </c>
      <c r="J31" s="402">
        <f t="shared" si="4"/>
        <v>100</v>
      </c>
      <c r="K31" s="303"/>
      <c r="L31" s="304"/>
      <c r="M31" s="304"/>
      <c r="N31" s="402"/>
      <c r="O31" s="303"/>
      <c r="P31" s="304">
        <v>32</v>
      </c>
      <c r="Q31" s="304">
        <v>32</v>
      </c>
      <c r="R31" s="667">
        <f t="shared" si="6"/>
        <v>100</v>
      </c>
      <c r="S31" s="663"/>
      <c r="T31" s="304"/>
      <c r="U31" s="304"/>
      <c r="V31" s="662"/>
      <c r="W31" s="669"/>
      <c r="X31" s="256"/>
      <c r="Y31" s="256"/>
      <c r="Z31" s="654"/>
      <c r="AA31" s="663"/>
      <c r="AB31" s="304"/>
      <c r="AC31" s="304"/>
      <c r="AD31" s="662"/>
      <c r="AE31" s="259">
        <f aca="true" t="shared" si="7" ref="AE31:AE43">AI31-AH31</f>
        <v>0.6770000000033178</v>
      </c>
      <c r="AF31" s="281">
        <f>'Transfery neinvestiční 2.5'!C30+'Transfery neinvestiční 2.5'!G30+'Transfery neinvestiční 2.5'!K30+'Transfery neinvestiční 2.5'!O30+'Transfery nein.2.5a'!C31+'Transfery nein.2.5a'!O31+'Transfery nein.2.5a'!W31+'Transfery nein.2.5a'!S31+'Transfery investiční'!C30+'Transfery investiční'!G30+'Transfery investiční'!K30+'Transfery investiční'!O30+'Transfery investiční'!S30+'Transfery investiční'!W30</f>
        <v>50260</v>
      </c>
      <c r="AG31" s="281">
        <f>'Transfery neinvestiční 2.5'!D30+'Transfery neinvestiční 2.5'!H30+'Transfery neinvestiční 2.5'!L30+'Transfery neinvestiční 2.5'!P30+'Transfery nein.2.5a'!D31+'Transfery nein.2.5a'!P31+'Transfery nein.2.5a'!X31+'Transfery nein.2.5a'!T31+'Transfery nein.2.5a'!AB31+'Transfery investiční'!D30+'Transfery investiční'!H30+'Transfery investiční'!L30+'Transfery investiční'!P30+'Transfery investiční'!T30+'Transfery investiční'!X30</f>
        <v>56782</v>
      </c>
      <c r="AH31" s="281">
        <f>'Transfery neinvestiční 2.5'!E30+'Transfery neinvestiční 2.5'!I30+'Transfery neinvestiční 2.5'!M30+'Transfery neinvestiční 2.5'!Q30+'Transfery nein.2.5a'!E31+'Transfery nein.2.5a'!Q31+'Transfery nein.2.5a'!Y31+'Transfery nein.2.5a'!U31+'Transfery investiční'!E30+'Transfery investiční'!I30+'Transfery investiční'!M30+'Transfery investiční'!Q30+'Transfery investiční'!U30+'Transfery investiční'!Y30+'Transfery investiční'!AC30+AC31</f>
        <v>56236</v>
      </c>
      <c r="AI31" s="290">
        <f>'Transfery investiční'!AJ30/1000*-1</f>
        <v>56236.677</v>
      </c>
      <c r="AJ31" s="288"/>
      <c r="AK31" s="288"/>
    </row>
    <row r="32" spans="1:37" ht="15.75">
      <c r="A32" s="745" t="s">
        <v>260</v>
      </c>
      <c r="B32" s="603"/>
      <c r="C32" s="331">
        <v>21313</v>
      </c>
      <c r="D32" s="309">
        <v>22813</v>
      </c>
      <c r="E32" s="309">
        <v>22811</v>
      </c>
      <c r="F32" s="402">
        <f t="shared" si="0"/>
        <v>99.99123306886425</v>
      </c>
      <c r="G32" s="303">
        <f t="shared" si="1"/>
        <v>21313</v>
      </c>
      <c r="H32" s="304">
        <f t="shared" si="2"/>
        <v>22813</v>
      </c>
      <c r="I32" s="304">
        <f t="shared" si="3"/>
        <v>22811</v>
      </c>
      <c r="J32" s="402">
        <f t="shared" si="4"/>
        <v>99.99123306886425</v>
      </c>
      <c r="K32" s="303"/>
      <c r="L32" s="304"/>
      <c r="M32" s="304"/>
      <c r="N32" s="402"/>
      <c r="O32" s="303"/>
      <c r="P32" s="304">
        <v>320</v>
      </c>
      <c r="Q32" s="304">
        <v>320</v>
      </c>
      <c r="R32" s="667">
        <f t="shared" si="6"/>
        <v>100</v>
      </c>
      <c r="S32" s="663"/>
      <c r="T32" s="304"/>
      <c r="U32" s="304"/>
      <c r="V32" s="662"/>
      <c r="W32" s="669"/>
      <c r="X32" s="256"/>
      <c r="Y32" s="256"/>
      <c r="Z32" s="654"/>
      <c r="AA32" s="663"/>
      <c r="AB32" s="304"/>
      <c r="AC32" s="304"/>
      <c r="AD32" s="662"/>
      <c r="AE32" s="259">
        <f t="shared" si="7"/>
        <v>-0.7870600000023842</v>
      </c>
      <c r="AF32" s="281">
        <f>'Transfery neinvestiční 2.5'!C31+'Transfery neinvestiční 2.5'!G31+'Transfery neinvestiční 2.5'!K31+'Transfery neinvestiční 2.5'!O31+'Transfery nein.2.5a'!C32+'Transfery nein.2.5a'!O32+'Transfery nein.2.5a'!W32+'Transfery nein.2.5a'!S32+'Transfery investiční'!C31+'Transfery investiční'!G31+'Transfery investiční'!K31+'Transfery investiční'!O31+'Transfery investiční'!S31+'Transfery investiční'!W31</f>
        <v>50260</v>
      </c>
      <c r="AG32" s="281">
        <f>'Transfery neinvestiční 2.5'!D31+'Transfery neinvestiční 2.5'!H31+'Transfery neinvestiční 2.5'!L31+'Transfery neinvestiční 2.5'!P31+'Transfery nein.2.5a'!D32+'Transfery nein.2.5a'!P32+'Transfery nein.2.5a'!X32+'Transfery nein.2.5a'!T32+'Transfery nein.2.5a'!AB32+'Transfery investiční'!D31+'Transfery investiční'!H31+'Transfery investiční'!L31+'Transfery investiční'!P31+'Transfery investiční'!T31+'Transfery investiční'!X31</f>
        <v>70881</v>
      </c>
      <c r="AH32" s="281">
        <f>'Transfery neinvestiční 2.5'!E31+'Transfery neinvestiční 2.5'!I31+'Transfery neinvestiční 2.5'!M31+'Transfery neinvestiční 2.5'!Q31+'Transfery nein.2.5a'!E32+'Transfery nein.2.5a'!Q32+'Transfery nein.2.5a'!Y32+'Transfery nein.2.5a'!U32+'Transfery investiční'!E31+'Transfery investiční'!I31+'Transfery investiční'!M31+'Transfery investiční'!Q31+'Transfery investiční'!U31+'Transfery investiční'!Y31+'Transfery investiční'!AC31+AC32</f>
        <v>71038</v>
      </c>
      <c r="AI32" s="290">
        <f>'Transfery investiční'!AJ31/1000*-1</f>
        <v>71037.21294</v>
      </c>
      <c r="AJ32" s="288"/>
      <c r="AK32" s="288"/>
    </row>
    <row r="33" spans="1:37" ht="15.75">
      <c r="A33" s="746" t="s">
        <v>261</v>
      </c>
      <c r="B33" s="603"/>
      <c r="C33" s="331">
        <v>60222</v>
      </c>
      <c r="D33" s="309">
        <v>59162</v>
      </c>
      <c r="E33" s="309">
        <f>59155</f>
        <v>59155</v>
      </c>
      <c r="F33" s="402">
        <f t="shared" si="0"/>
        <v>99.98816808086272</v>
      </c>
      <c r="G33" s="303">
        <f t="shared" si="1"/>
        <v>60222</v>
      </c>
      <c r="H33" s="304">
        <f t="shared" si="2"/>
        <v>58734</v>
      </c>
      <c r="I33" s="304">
        <f t="shared" si="3"/>
        <v>58735</v>
      </c>
      <c r="J33" s="402">
        <f t="shared" si="4"/>
        <v>100.00170259134403</v>
      </c>
      <c r="K33" s="303"/>
      <c r="L33" s="304">
        <f>417+11</f>
        <v>428</v>
      </c>
      <c r="M33" s="304">
        <f>410+11-1</f>
        <v>420</v>
      </c>
      <c r="N33" s="402">
        <f>M33/L33*100</f>
        <v>98.13084112149532</v>
      </c>
      <c r="O33" s="303"/>
      <c r="P33" s="304"/>
      <c r="Q33" s="304"/>
      <c r="R33" s="667"/>
      <c r="S33" s="663"/>
      <c r="T33" s="304"/>
      <c r="U33" s="304"/>
      <c r="V33" s="662"/>
      <c r="W33" s="669"/>
      <c r="X33" s="256"/>
      <c r="Y33" s="256"/>
      <c r="Z33" s="654"/>
      <c r="AA33" s="663"/>
      <c r="AB33" s="304"/>
      <c r="AC33" s="304"/>
      <c r="AD33" s="662"/>
      <c r="AE33" s="259">
        <f t="shared" si="7"/>
        <v>0.09103999999933876</v>
      </c>
      <c r="AF33" s="281">
        <f>'Transfery neinvestiční 2.5'!C32+'Transfery neinvestiční 2.5'!G32+'Transfery neinvestiční 2.5'!K32+'Transfery neinvestiční 2.5'!O32+'Transfery nein.2.5a'!C33+'Transfery nein.2.5a'!O33+'Transfery nein.2.5a'!W33+'Transfery nein.2.5a'!S33+'Transfery investiční'!C32+'Transfery investiční'!G32+'Transfery investiční'!K32+'Transfery investiční'!O32+'Transfery investiční'!S32+'Transfery investiční'!W32</f>
        <v>119186</v>
      </c>
      <c r="AG33" s="281">
        <f>'Transfery neinvestiční 2.5'!D32+'Transfery neinvestiční 2.5'!H32+'Transfery neinvestiční 2.5'!L32+'Transfery neinvestiční 2.5'!P32+'Transfery nein.2.5a'!D33+'Transfery nein.2.5a'!P33+'Transfery nein.2.5a'!X33+'Transfery nein.2.5a'!T33+'Transfery nein.2.5a'!AB33+'Transfery investiční'!D32+'Transfery investiční'!H32+'Transfery investiční'!L32+'Transfery investiční'!P32+'Transfery investiční'!T32+'Transfery investiční'!X32</f>
        <v>134381</v>
      </c>
      <c r="AH33" s="281">
        <f>'Transfery neinvestiční 2.5'!E32+'Transfery neinvestiční 2.5'!I32+'Transfery neinvestiční 2.5'!M32+'Transfery neinvestiční 2.5'!Q32+'Transfery nein.2.5a'!E33+'Transfery nein.2.5a'!Q33+'Transfery nein.2.5a'!Y33+'Transfery nein.2.5a'!U33+'Transfery investiční'!E32+'Transfery investiční'!I32+'Transfery investiční'!M32+'Transfery investiční'!Q32+'Transfery investiční'!U32+'Transfery investiční'!Y32+'Transfery investiční'!AC32+AC33</f>
        <v>134374</v>
      </c>
      <c r="AI33" s="290">
        <f>'Transfery investiční'!AJ32/1000*-1</f>
        <v>134374.09104</v>
      </c>
      <c r="AJ33" s="288"/>
      <c r="AK33" s="288"/>
    </row>
    <row r="34" spans="1:37" ht="15.75">
      <c r="A34" s="746" t="s">
        <v>262</v>
      </c>
      <c r="B34" s="603"/>
      <c r="C34" s="331">
        <v>22358</v>
      </c>
      <c r="D34" s="309">
        <v>23266</v>
      </c>
      <c r="E34" s="309">
        <v>23265</v>
      </c>
      <c r="F34" s="402">
        <f t="shared" si="0"/>
        <v>99.99570188257543</v>
      </c>
      <c r="G34" s="303">
        <f t="shared" si="1"/>
        <v>22358</v>
      </c>
      <c r="H34" s="304">
        <f t="shared" si="2"/>
        <v>22981</v>
      </c>
      <c r="I34" s="304">
        <f t="shared" si="3"/>
        <v>22981</v>
      </c>
      <c r="J34" s="402">
        <f t="shared" si="4"/>
        <v>100</v>
      </c>
      <c r="K34" s="303"/>
      <c r="L34" s="304">
        <v>285</v>
      </c>
      <c r="M34" s="304">
        <v>284</v>
      </c>
      <c r="N34" s="402">
        <f>M34/L34*100</f>
        <v>99.64912280701755</v>
      </c>
      <c r="O34" s="303"/>
      <c r="P34" s="304">
        <v>6</v>
      </c>
      <c r="Q34" s="304">
        <v>6</v>
      </c>
      <c r="R34" s="667">
        <f>Q34/P34*100</f>
        <v>100</v>
      </c>
      <c r="S34" s="663"/>
      <c r="T34" s="304"/>
      <c r="U34" s="304"/>
      <c r="V34" s="662"/>
      <c r="W34" s="669"/>
      <c r="X34" s="256"/>
      <c r="Y34" s="256"/>
      <c r="Z34" s="654"/>
      <c r="AA34" s="663"/>
      <c r="AB34" s="304"/>
      <c r="AC34" s="304"/>
      <c r="AD34" s="662"/>
      <c r="AE34" s="259">
        <f t="shared" si="7"/>
        <v>-0.0701800000097137</v>
      </c>
      <c r="AF34" s="281">
        <f>'Transfery neinvestiční 2.5'!C33+'Transfery neinvestiční 2.5'!G33+'Transfery neinvestiční 2.5'!K33+'Transfery neinvestiční 2.5'!O33+'Transfery nein.2.5a'!C34+'Transfery nein.2.5a'!O34+'Transfery nein.2.5a'!W34+'Transfery nein.2.5a'!S34+'Transfery investiční'!C33+'Transfery investiční'!G33+'Transfery investiční'!K33+'Transfery investiční'!O33+'Transfery investiční'!S33+'Transfery investiční'!W33</f>
        <v>49436</v>
      </c>
      <c r="AG34" s="281">
        <f>'Transfery neinvestiční 2.5'!D33+'Transfery neinvestiční 2.5'!H33+'Transfery neinvestiční 2.5'!L33+'Transfery neinvestiční 2.5'!P33+'Transfery nein.2.5a'!D34+'Transfery nein.2.5a'!P34+'Transfery nein.2.5a'!X34+'Transfery nein.2.5a'!T34+'Transfery nein.2.5a'!AB34+'Transfery investiční'!D33+'Transfery investiční'!H33+'Transfery investiční'!L33+'Transfery investiční'!P33+'Transfery investiční'!T33+'Transfery investiční'!X33</f>
        <v>78964</v>
      </c>
      <c r="AH34" s="281">
        <f>'Transfery neinvestiční 2.5'!E33+'Transfery neinvestiční 2.5'!I33+'Transfery neinvestiční 2.5'!M33+'Transfery neinvestiční 2.5'!Q33+'Transfery nein.2.5a'!E34+'Transfery nein.2.5a'!Q34+'Transfery nein.2.5a'!Y34+'Transfery nein.2.5a'!U34+'Transfery investiční'!E33+'Transfery investiční'!I33+'Transfery investiční'!M33+'Transfery investiční'!Q33+'Transfery investiční'!U33+'Transfery investiční'!Y33+'Transfery investiční'!AC33+AC34</f>
        <v>79573</v>
      </c>
      <c r="AI34" s="290">
        <f>'Transfery investiční'!AJ33/1000*-1</f>
        <v>79572.92981999999</v>
      </c>
      <c r="AJ34" s="288"/>
      <c r="AK34" s="288"/>
    </row>
    <row r="35" spans="1:37" ht="15.75">
      <c r="A35" s="746" t="s">
        <v>263</v>
      </c>
      <c r="B35" s="603"/>
      <c r="C35" s="331">
        <v>23466</v>
      </c>
      <c r="D35" s="309">
        <v>23900</v>
      </c>
      <c r="E35" s="309">
        <v>23901</v>
      </c>
      <c r="F35" s="402">
        <f t="shared" si="0"/>
        <v>100.0041841004184</v>
      </c>
      <c r="G35" s="303">
        <f t="shared" si="1"/>
        <v>23466</v>
      </c>
      <c r="H35" s="304">
        <f t="shared" si="2"/>
        <v>23693</v>
      </c>
      <c r="I35" s="304">
        <f t="shared" si="3"/>
        <v>23693</v>
      </c>
      <c r="J35" s="402">
        <f t="shared" si="4"/>
        <v>100</v>
      </c>
      <c r="K35" s="303"/>
      <c r="L35" s="304">
        <f>7+200</f>
        <v>207</v>
      </c>
      <c r="M35" s="304">
        <f>201+7</f>
        <v>208</v>
      </c>
      <c r="N35" s="402">
        <f>M35/L35*100</f>
        <v>100.48309178743962</v>
      </c>
      <c r="O35" s="303"/>
      <c r="P35" s="304">
        <v>64</v>
      </c>
      <c r="Q35" s="304">
        <v>64</v>
      </c>
      <c r="R35" s="667">
        <f>Q35/P35*100</f>
        <v>100</v>
      </c>
      <c r="S35" s="663"/>
      <c r="T35" s="304"/>
      <c r="U35" s="304"/>
      <c r="V35" s="662"/>
      <c r="W35" s="669"/>
      <c r="X35" s="256"/>
      <c r="Y35" s="256"/>
      <c r="Z35" s="654"/>
      <c r="AA35" s="663"/>
      <c r="AB35" s="304"/>
      <c r="AC35" s="304"/>
      <c r="AD35" s="662"/>
      <c r="AE35" s="259">
        <f t="shared" si="7"/>
        <v>-0.23300000000017462</v>
      </c>
      <c r="AF35" s="281">
        <f>'Transfery neinvestiční 2.5'!C34+'Transfery neinvestiční 2.5'!G34+'Transfery neinvestiční 2.5'!K34+'Transfery neinvestiční 2.5'!O34+'Transfery nein.2.5a'!C35+'Transfery nein.2.5a'!O35+'Transfery nein.2.5a'!W35+'Transfery nein.2.5a'!S35+'Transfery investiční'!C34+'Transfery investiční'!G34+'Transfery investiční'!K34+'Transfery investiční'!O34+'Transfery investiční'!S34+'Transfery investiční'!W34</f>
        <v>27387</v>
      </c>
      <c r="AG35" s="281">
        <f>'Transfery neinvestiční 2.5'!D34+'Transfery neinvestiční 2.5'!H34+'Transfery neinvestiční 2.5'!L34+'Transfery neinvestiční 2.5'!P34+'Transfery nein.2.5a'!D35+'Transfery nein.2.5a'!P35+'Transfery nein.2.5a'!X35+'Transfery nein.2.5a'!T35+'Transfery nein.2.5a'!AB35+'Transfery investiční'!D34+'Transfery investiční'!H34+'Transfery investiční'!L34+'Transfery investiční'!P34+'Transfery investiční'!T34+'Transfery investiční'!X34</f>
        <v>35624</v>
      </c>
      <c r="AH35" s="281">
        <f>'Transfery neinvestiční 2.5'!E34+'Transfery neinvestiční 2.5'!I34+'Transfery neinvestiční 2.5'!M34+'Transfery neinvestiční 2.5'!Q34+'Transfery nein.2.5a'!E35+'Transfery nein.2.5a'!Q35+'Transfery nein.2.5a'!Y35+'Transfery nein.2.5a'!U35+'Transfery investiční'!E34+'Transfery investiční'!I34+'Transfery investiční'!M34+'Transfery investiční'!Q34+'Transfery investiční'!U34+'Transfery investiční'!Y34+'Transfery investiční'!AC34+AC35</f>
        <v>35625</v>
      </c>
      <c r="AI35" s="290">
        <f>'Transfery investiční'!AJ34/1000*-1</f>
        <v>35624.767</v>
      </c>
      <c r="AJ35" s="288"/>
      <c r="AK35" s="288"/>
    </row>
    <row r="36" spans="1:37" ht="15.75">
      <c r="A36" s="746" t="s">
        <v>264</v>
      </c>
      <c r="B36" s="603"/>
      <c r="C36" s="331">
        <v>12819</v>
      </c>
      <c r="D36" s="309">
        <v>14963</v>
      </c>
      <c r="E36" s="309">
        <v>14963</v>
      </c>
      <c r="F36" s="402">
        <f t="shared" si="0"/>
        <v>100</v>
      </c>
      <c r="G36" s="303">
        <f t="shared" si="1"/>
        <v>12819</v>
      </c>
      <c r="H36" s="304">
        <f t="shared" si="2"/>
        <v>14576</v>
      </c>
      <c r="I36" s="304">
        <f>SUM(E36-M36)</f>
        <v>14576</v>
      </c>
      <c r="J36" s="402">
        <f t="shared" si="4"/>
        <v>100</v>
      </c>
      <c r="K36" s="303"/>
      <c r="L36" s="304">
        <v>387</v>
      </c>
      <c r="M36" s="304">
        <v>387</v>
      </c>
      <c r="N36" s="402">
        <f>M36/L36*100</f>
        <v>100</v>
      </c>
      <c r="O36" s="303"/>
      <c r="P36" s="304">
        <v>263</v>
      </c>
      <c r="Q36" s="304">
        <v>263</v>
      </c>
      <c r="R36" s="667">
        <f>Q36/P36*100</f>
        <v>100</v>
      </c>
      <c r="S36" s="663"/>
      <c r="T36" s="304"/>
      <c r="U36" s="304"/>
      <c r="V36" s="662"/>
      <c r="W36" s="669"/>
      <c r="X36" s="256"/>
      <c r="Y36" s="256"/>
      <c r="Z36" s="654"/>
      <c r="AA36" s="663"/>
      <c r="AB36" s="304"/>
      <c r="AC36" s="304"/>
      <c r="AD36" s="662"/>
      <c r="AE36" s="259">
        <f t="shared" si="7"/>
        <v>0.21700000000055297</v>
      </c>
      <c r="AF36" s="281">
        <f>'Transfery neinvestiční 2.5'!C35+'Transfery neinvestiční 2.5'!G35+'Transfery neinvestiční 2.5'!K35+'Transfery neinvestiční 2.5'!O35+'Transfery nein.2.5a'!C36+'Transfery nein.2.5a'!O36+'Transfery nein.2.5a'!W36+'Transfery nein.2.5a'!S36+'Transfery investiční'!C35+'Transfery investiční'!G35+'Transfery investiční'!K35+'Transfery investiční'!O35+'Transfery investiční'!S35+'Transfery investiční'!W35</f>
        <v>15307</v>
      </c>
      <c r="AG36" s="281">
        <f>'Transfery neinvestiční 2.5'!D35+'Transfery neinvestiční 2.5'!H35+'Transfery neinvestiční 2.5'!L35+'Transfery neinvestiční 2.5'!P35+'Transfery nein.2.5a'!D36+'Transfery nein.2.5a'!P36+'Transfery nein.2.5a'!X36+'Transfery nein.2.5a'!T36+'Transfery nein.2.5a'!AB36+'Transfery investiční'!D35+'Transfery investiční'!H35+'Transfery investiční'!L35+'Transfery investiční'!P35+'Transfery investiční'!T35+'Transfery investiční'!X35</f>
        <v>18354</v>
      </c>
      <c r="AH36" s="281">
        <f>'Transfery neinvestiční 2.5'!E35+'Transfery neinvestiční 2.5'!I35+'Transfery neinvestiční 2.5'!M35+'Transfery neinvestiční 2.5'!Q35+'Transfery nein.2.5a'!E36+'Transfery nein.2.5a'!Q36+'Transfery nein.2.5a'!Y36+'Transfery nein.2.5a'!U36+'Transfery investiční'!E35+'Transfery investiční'!I35+'Transfery investiční'!M35+'Transfery investiční'!Q35+'Transfery investiční'!U35+'Transfery investiční'!Y35+'Transfery investiční'!AC35+AC36</f>
        <v>18354</v>
      </c>
      <c r="AI36" s="290">
        <f>'Transfery investiční'!AJ35/1000*-1</f>
        <v>18354.217</v>
      </c>
      <c r="AJ36" s="288"/>
      <c r="AK36" s="288"/>
    </row>
    <row r="37" spans="1:37" ht="15.75">
      <c r="A37" s="745" t="s">
        <v>265</v>
      </c>
      <c r="B37" s="603"/>
      <c r="C37" s="331">
        <v>71764</v>
      </c>
      <c r="D37" s="309">
        <v>74082</v>
      </c>
      <c r="E37" s="309">
        <v>74082</v>
      </c>
      <c r="F37" s="402">
        <f t="shared" si="0"/>
        <v>100</v>
      </c>
      <c r="G37" s="303">
        <f t="shared" si="1"/>
        <v>71764</v>
      </c>
      <c r="H37" s="304">
        <f t="shared" si="2"/>
        <v>73941</v>
      </c>
      <c r="I37" s="304">
        <f t="shared" si="3"/>
        <v>73941</v>
      </c>
      <c r="J37" s="402">
        <f t="shared" si="4"/>
        <v>100</v>
      </c>
      <c r="K37" s="303"/>
      <c r="L37" s="304">
        <f>84+57</f>
        <v>141</v>
      </c>
      <c r="M37" s="304">
        <f>84+57</f>
        <v>141</v>
      </c>
      <c r="N37" s="402">
        <f>M37/L37*100</f>
        <v>100</v>
      </c>
      <c r="O37" s="303"/>
      <c r="P37" s="304">
        <v>13</v>
      </c>
      <c r="Q37" s="304">
        <v>13</v>
      </c>
      <c r="R37" s="667">
        <f>Q37/P37*100</f>
        <v>100</v>
      </c>
      <c r="S37" s="663"/>
      <c r="T37" s="304"/>
      <c r="U37" s="304"/>
      <c r="V37" s="662"/>
      <c r="W37" s="669"/>
      <c r="X37" s="256"/>
      <c r="Y37" s="256"/>
      <c r="Z37" s="654"/>
      <c r="AA37" s="663"/>
      <c r="AB37" s="304"/>
      <c r="AC37" s="304"/>
      <c r="AD37" s="662"/>
      <c r="AE37" s="259">
        <f t="shared" si="7"/>
        <v>-0.5759600000164937</v>
      </c>
      <c r="AF37" s="281">
        <f>'Transfery neinvestiční 2.5'!C36+'Transfery neinvestiční 2.5'!G36+'Transfery neinvestiční 2.5'!K36+'Transfery neinvestiční 2.5'!O36+'Transfery nein.2.5a'!C37+'Transfery nein.2.5a'!O37+'Transfery nein.2.5a'!W37+'Transfery nein.2.5a'!S37+'Transfery investiční'!C36+'Transfery investiční'!G36+'Transfery investiční'!K36+'Transfery investiční'!O36+'Transfery investiční'!S36+'Transfery investiční'!W36</f>
        <v>134888</v>
      </c>
      <c r="AG37" s="281">
        <f>'Transfery neinvestiční 2.5'!D36+'Transfery neinvestiční 2.5'!H36+'Transfery neinvestiční 2.5'!L36+'Transfery neinvestiční 2.5'!P36+'Transfery nein.2.5a'!D37+'Transfery nein.2.5a'!P37+'Transfery nein.2.5a'!X37+'Transfery nein.2.5a'!T37+'Transfery nein.2.5a'!AB37+'Transfery investiční'!D36+'Transfery investiční'!H36+'Transfery investiční'!L36+'Transfery investiční'!P36+'Transfery investiční'!T36+'Transfery investiční'!X36</f>
        <v>189320</v>
      </c>
      <c r="AH37" s="281">
        <f>'Transfery neinvestiční 2.5'!E36+'Transfery neinvestiční 2.5'!I36+'Transfery neinvestiční 2.5'!M36+'Transfery neinvestiční 2.5'!Q36+'Transfery nein.2.5a'!E37+'Transfery nein.2.5a'!Q37+'Transfery nein.2.5a'!Y37+'Transfery nein.2.5a'!U37+'Transfery investiční'!E36+'Transfery investiční'!I36+'Transfery investiční'!M36+'Transfery investiční'!Q36+'Transfery investiční'!U36+'Transfery investiční'!Y36+'Transfery investiční'!AC36+AC37</f>
        <v>189321</v>
      </c>
      <c r="AI37" s="290">
        <f>'Transfery investiční'!AJ36/1000*-1</f>
        <v>189320.42403999998</v>
      </c>
      <c r="AJ37" s="288"/>
      <c r="AK37" s="288"/>
    </row>
    <row r="38" spans="1:37" ht="15.75">
      <c r="A38" s="745" t="s">
        <v>266</v>
      </c>
      <c r="B38" s="603"/>
      <c r="C38" s="331">
        <v>11894</v>
      </c>
      <c r="D38" s="309">
        <v>12107</v>
      </c>
      <c r="E38" s="309">
        <v>12107</v>
      </c>
      <c r="F38" s="402">
        <f t="shared" si="0"/>
        <v>100</v>
      </c>
      <c r="G38" s="303">
        <f t="shared" si="1"/>
        <v>11894</v>
      </c>
      <c r="H38" s="304">
        <f t="shared" si="2"/>
        <v>12107</v>
      </c>
      <c r="I38" s="304">
        <f t="shared" si="3"/>
        <v>12107</v>
      </c>
      <c r="J38" s="402">
        <f t="shared" si="4"/>
        <v>100</v>
      </c>
      <c r="K38" s="303"/>
      <c r="L38" s="304"/>
      <c r="M38" s="304"/>
      <c r="N38" s="402"/>
      <c r="O38" s="303"/>
      <c r="P38" s="304"/>
      <c r="Q38" s="304"/>
      <c r="R38" s="667"/>
      <c r="S38" s="663"/>
      <c r="T38" s="304"/>
      <c r="U38" s="304"/>
      <c r="V38" s="662"/>
      <c r="W38" s="669"/>
      <c r="X38" s="256"/>
      <c r="Y38" s="256"/>
      <c r="Z38" s="654"/>
      <c r="AA38" s="663"/>
      <c r="AB38" s="304"/>
      <c r="AC38" s="304"/>
      <c r="AD38" s="662"/>
      <c r="AE38" s="259">
        <f t="shared" si="7"/>
        <v>0.1790000000000873</v>
      </c>
      <c r="AF38" s="281">
        <f>'Transfery neinvestiční 2.5'!C37+'Transfery neinvestiční 2.5'!G37+'Transfery neinvestiční 2.5'!K37+'Transfery neinvestiční 2.5'!O37+'Transfery nein.2.5a'!C38+'Transfery nein.2.5a'!O38+'Transfery nein.2.5a'!W38+'Transfery nein.2.5a'!S38+'Transfery investiční'!C37+'Transfery investiční'!G37+'Transfery investiční'!K37+'Transfery investiční'!O37+'Transfery investiční'!S37+'Transfery investiční'!W37</f>
        <v>15183</v>
      </c>
      <c r="AG38" s="281">
        <f>'Transfery neinvestiční 2.5'!D37+'Transfery neinvestiční 2.5'!H37+'Transfery neinvestiční 2.5'!L37+'Transfery neinvestiční 2.5'!P37+'Transfery nein.2.5a'!D38+'Transfery nein.2.5a'!P38+'Transfery nein.2.5a'!X38+'Transfery nein.2.5a'!T38+'Transfery nein.2.5a'!AB38+'Transfery investiční'!D37+'Transfery investiční'!H37+'Transfery investiční'!L37+'Transfery investiční'!P37+'Transfery investiční'!T37+'Transfery investiční'!X37</f>
        <v>18428</v>
      </c>
      <c r="AH38" s="281">
        <f>'Transfery neinvestiční 2.5'!E37+'Transfery neinvestiční 2.5'!I37+'Transfery neinvestiční 2.5'!M37+'Transfery neinvestiční 2.5'!Q37+'Transfery nein.2.5a'!E38+'Transfery nein.2.5a'!Q38+'Transfery nein.2.5a'!Y38+'Transfery nein.2.5a'!U38+'Transfery investiční'!E37+'Transfery investiční'!I37+'Transfery investiční'!M37+'Transfery investiční'!Q37+'Transfery investiční'!U37+'Transfery investiční'!Y37+'Transfery investiční'!AC37+AC38</f>
        <v>18453</v>
      </c>
      <c r="AI38" s="290">
        <f>'Transfery investiční'!AJ37/1000*-1</f>
        <v>18453.179</v>
      </c>
      <c r="AJ38" s="288"/>
      <c r="AK38" s="288"/>
    </row>
    <row r="39" spans="1:37" ht="15.75">
      <c r="A39" s="745" t="s">
        <v>267</v>
      </c>
      <c r="B39" s="603"/>
      <c r="C39" s="331">
        <v>33282</v>
      </c>
      <c r="D39" s="309">
        <v>37220</v>
      </c>
      <c r="E39" s="309">
        <v>37220</v>
      </c>
      <c r="F39" s="402">
        <f t="shared" si="0"/>
        <v>100</v>
      </c>
      <c r="G39" s="303">
        <f t="shared" si="1"/>
        <v>33090</v>
      </c>
      <c r="H39" s="304">
        <f t="shared" si="2"/>
        <v>37028</v>
      </c>
      <c r="I39" s="304">
        <f t="shared" si="3"/>
        <v>37028</v>
      </c>
      <c r="J39" s="402">
        <f t="shared" si="4"/>
        <v>100</v>
      </c>
      <c r="K39" s="303">
        <f>13+115+64</f>
        <v>192</v>
      </c>
      <c r="L39" s="304">
        <f>13+115+64</f>
        <v>192</v>
      </c>
      <c r="M39" s="304">
        <f>13+115+64</f>
        <v>192</v>
      </c>
      <c r="N39" s="402">
        <f>M39/L39*100</f>
        <v>100</v>
      </c>
      <c r="O39" s="303"/>
      <c r="P39" s="304"/>
      <c r="Q39" s="304"/>
      <c r="R39" s="667"/>
      <c r="S39" s="663"/>
      <c r="T39" s="304"/>
      <c r="U39" s="304"/>
      <c r="V39" s="662"/>
      <c r="W39" s="669"/>
      <c r="X39" s="256"/>
      <c r="Y39" s="256"/>
      <c r="Z39" s="654"/>
      <c r="AA39" s="663"/>
      <c r="AB39" s="304"/>
      <c r="AC39" s="304"/>
      <c r="AD39" s="662"/>
      <c r="AE39" s="259">
        <f t="shared" si="7"/>
        <v>0.10851000000548083</v>
      </c>
      <c r="AF39" s="281">
        <f>'Transfery neinvestiční 2.5'!C38+'Transfery neinvestiční 2.5'!G38+'Transfery neinvestiční 2.5'!K38+'Transfery neinvestiční 2.5'!O38+'Transfery nein.2.5a'!C39+'Transfery nein.2.5a'!O39+'Transfery nein.2.5a'!W39+'Transfery nein.2.5a'!S39+'Transfery investiční'!C38+'Transfery investiční'!G38+'Transfery investiční'!K38+'Transfery investiční'!O38+'Transfery investiční'!S38+'Transfery investiční'!W38</f>
        <v>55911</v>
      </c>
      <c r="AG39" s="281">
        <f>'Transfery neinvestiční 2.5'!D38+'Transfery neinvestiční 2.5'!H38+'Transfery neinvestiční 2.5'!L38+'Transfery neinvestiční 2.5'!P38+'Transfery nein.2.5a'!D39+'Transfery nein.2.5a'!P39+'Transfery nein.2.5a'!X39+'Transfery nein.2.5a'!T39+'Transfery nein.2.5a'!AB39+'Transfery investiční'!D38+'Transfery investiční'!H38+'Transfery investiční'!L38+'Transfery investiční'!P38+'Transfery investiční'!T38+'Transfery investiční'!X38</f>
        <v>78551</v>
      </c>
      <c r="AH39" s="281">
        <f>'Transfery neinvestiční 2.5'!E38+'Transfery neinvestiční 2.5'!I38+'Transfery neinvestiční 2.5'!M38+'Transfery neinvestiční 2.5'!Q38+'Transfery nein.2.5a'!E39+'Transfery nein.2.5a'!Q39+'Transfery nein.2.5a'!Y39+'Transfery nein.2.5a'!U39+'Transfery investiční'!E38+'Transfery investiční'!I38+'Transfery investiční'!M38+'Transfery investiční'!Q38+'Transfery investiční'!U38+'Transfery investiční'!Y38+'Transfery investiční'!AC38+AC39</f>
        <v>78551</v>
      </c>
      <c r="AI39" s="290">
        <f>'Transfery investiční'!AJ38/1000*-1</f>
        <v>78551.10851</v>
      </c>
      <c r="AJ39" s="288"/>
      <c r="AK39" s="288"/>
    </row>
    <row r="40" spans="1:37" ht="15.75">
      <c r="A40" s="745" t="s">
        <v>268</v>
      </c>
      <c r="B40" s="603"/>
      <c r="C40" s="331">
        <v>3821</v>
      </c>
      <c r="D40" s="309">
        <v>3823</v>
      </c>
      <c r="E40" s="309">
        <v>3823</v>
      </c>
      <c r="F40" s="402">
        <f t="shared" si="0"/>
        <v>100</v>
      </c>
      <c r="G40" s="303">
        <f t="shared" si="1"/>
        <v>3821</v>
      </c>
      <c r="H40" s="304">
        <f t="shared" si="2"/>
        <v>3823</v>
      </c>
      <c r="I40" s="304">
        <f t="shared" si="3"/>
        <v>3823</v>
      </c>
      <c r="J40" s="402">
        <f t="shared" si="4"/>
        <v>100</v>
      </c>
      <c r="K40" s="303"/>
      <c r="L40" s="304"/>
      <c r="M40" s="304"/>
      <c r="N40" s="402"/>
      <c r="O40" s="303"/>
      <c r="P40" s="304"/>
      <c r="Q40" s="304"/>
      <c r="R40" s="667"/>
      <c r="S40" s="663"/>
      <c r="T40" s="304"/>
      <c r="U40" s="304"/>
      <c r="V40" s="662"/>
      <c r="W40" s="669"/>
      <c r="X40" s="256"/>
      <c r="Y40" s="256"/>
      <c r="Z40" s="654"/>
      <c r="AA40" s="663"/>
      <c r="AB40" s="304"/>
      <c r="AC40" s="304"/>
      <c r="AD40" s="662"/>
      <c r="AE40" s="259">
        <f t="shared" si="7"/>
        <v>-0.613999999999578</v>
      </c>
      <c r="AF40" s="281">
        <f>'Transfery neinvestiční 2.5'!C39+'Transfery neinvestiční 2.5'!G39+'Transfery neinvestiční 2.5'!K39+'Transfery neinvestiční 2.5'!O39+'Transfery nein.2.5a'!C40+'Transfery nein.2.5a'!O40+'Transfery nein.2.5a'!W40+'Transfery nein.2.5a'!S40+'Transfery investiční'!C39+'Transfery investiční'!G39+'Transfery investiční'!K39+'Transfery investiční'!O39+'Transfery investiční'!S39+'Transfery investiční'!W39</f>
        <v>4717</v>
      </c>
      <c r="AG40" s="281">
        <f>'Transfery neinvestiční 2.5'!D39+'Transfery neinvestiční 2.5'!H39+'Transfery neinvestiční 2.5'!L39+'Transfery neinvestiční 2.5'!P39+'Transfery nein.2.5a'!D40+'Transfery nein.2.5a'!P40+'Transfery nein.2.5a'!X40+'Transfery nein.2.5a'!T40+'Transfery nein.2.5a'!AB40+'Transfery investiční'!D39+'Transfery investiční'!H39+'Transfery investiční'!L39+'Transfery investiční'!P39+'Transfery investiční'!T39+'Transfery investiční'!X39</f>
        <v>5480</v>
      </c>
      <c r="AH40" s="281">
        <f>'Transfery neinvestiční 2.5'!E39+'Transfery neinvestiční 2.5'!I39+'Transfery neinvestiční 2.5'!M39+'Transfery neinvestiční 2.5'!Q39+'Transfery nein.2.5a'!E40+'Transfery nein.2.5a'!Q40+'Transfery nein.2.5a'!Y40+'Transfery nein.2.5a'!U40+'Transfery investiční'!E39+'Transfery investiční'!I39+'Transfery investiční'!M39+'Transfery investiční'!Q39+'Transfery investiční'!U39+'Transfery investiční'!Y39+'Transfery investiční'!AC39+AC40</f>
        <v>5469</v>
      </c>
      <c r="AI40" s="290">
        <f>'Transfery investiční'!AJ39/1000*-1</f>
        <v>5468.386</v>
      </c>
      <c r="AJ40" s="288"/>
      <c r="AK40" s="288"/>
    </row>
    <row r="41" spans="1:37" ht="15.75">
      <c r="A41" s="746" t="s">
        <v>269</v>
      </c>
      <c r="B41" s="603"/>
      <c r="C41" s="331">
        <v>5049</v>
      </c>
      <c r="D41" s="309">
        <v>5330</v>
      </c>
      <c r="E41" s="309">
        <v>5330</v>
      </c>
      <c r="F41" s="402">
        <f t="shared" si="0"/>
        <v>100</v>
      </c>
      <c r="G41" s="303">
        <f t="shared" si="1"/>
        <v>5049</v>
      </c>
      <c r="H41" s="304">
        <f t="shared" si="2"/>
        <v>5330</v>
      </c>
      <c r="I41" s="304">
        <f t="shared" si="3"/>
        <v>5330</v>
      </c>
      <c r="J41" s="402">
        <f t="shared" si="4"/>
        <v>100</v>
      </c>
      <c r="K41" s="303"/>
      <c r="L41" s="304"/>
      <c r="M41" s="304"/>
      <c r="N41" s="402"/>
      <c r="O41" s="303"/>
      <c r="P41" s="304"/>
      <c r="Q41" s="304"/>
      <c r="R41" s="667"/>
      <c r="S41" s="663"/>
      <c r="T41" s="304"/>
      <c r="U41" s="304"/>
      <c r="V41" s="662"/>
      <c r="W41" s="669"/>
      <c r="X41" s="256"/>
      <c r="Y41" s="256"/>
      <c r="Z41" s="654"/>
      <c r="AA41" s="663"/>
      <c r="AB41" s="304"/>
      <c r="AC41" s="304"/>
      <c r="AD41" s="662"/>
      <c r="AE41" s="259">
        <f t="shared" si="7"/>
        <v>-0.5</v>
      </c>
      <c r="AF41" s="281">
        <f>'Transfery neinvestiční 2.5'!C40+'Transfery neinvestiční 2.5'!G40+'Transfery neinvestiční 2.5'!K40+'Transfery neinvestiční 2.5'!O40+'Transfery nein.2.5a'!C41+'Transfery nein.2.5a'!O41+'Transfery nein.2.5a'!W41+'Transfery nein.2.5a'!S41+'Transfery investiční'!C40+'Transfery investiční'!G40+'Transfery investiční'!K40+'Transfery investiční'!O40+'Transfery investiční'!S40+'Transfery investiční'!W40</f>
        <v>6000</v>
      </c>
      <c r="AG41" s="281">
        <f>'Transfery neinvestiční 2.5'!D40+'Transfery neinvestiční 2.5'!H40+'Transfery neinvestiční 2.5'!L40+'Transfery neinvestiční 2.5'!P40+'Transfery nein.2.5a'!D41+'Transfery nein.2.5a'!P41+'Transfery nein.2.5a'!X41+'Transfery nein.2.5a'!T41+'Transfery nein.2.5a'!AB41+'Transfery investiční'!D40+'Transfery investiční'!H40+'Transfery investiční'!L40+'Transfery investiční'!P40+'Transfery investiční'!T40+'Transfery investiční'!X40</f>
        <v>6696</v>
      </c>
      <c r="AH41" s="281">
        <f>'Transfery neinvestiční 2.5'!E40+'Transfery neinvestiční 2.5'!I40+'Transfery neinvestiční 2.5'!M40+'Transfery neinvestiční 2.5'!Q40+'Transfery nein.2.5a'!E41+'Transfery nein.2.5a'!Q41+'Transfery nein.2.5a'!Y41+'Transfery nein.2.5a'!U41+'Transfery investiční'!E40+'Transfery investiční'!I40+'Transfery investiční'!M40+'Transfery investiční'!Q40+'Transfery investiční'!U40+'Transfery investiční'!Y40+'Transfery investiční'!AC40+AC41</f>
        <v>6696</v>
      </c>
      <c r="AI41" s="290">
        <f>'Transfery investiční'!AJ40/1000*-1</f>
        <v>6695.5</v>
      </c>
      <c r="AJ41" s="288"/>
      <c r="AK41" s="288"/>
    </row>
    <row r="42" spans="1:37" ht="15" customHeight="1">
      <c r="A42" s="746" t="s">
        <v>270</v>
      </c>
      <c r="B42" s="603"/>
      <c r="C42" s="331">
        <v>2770</v>
      </c>
      <c r="D42" s="309">
        <v>2770</v>
      </c>
      <c r="E42" s="309">
        <v>2770</v>
      </c>
      <c r="F42" s="402">
        <f t="shared" si="0"/>
        <v>100</v>
      </c>
      <c r="G42" s="303">
        <f t="shared" si="1"/>
        <v>2770</v>
      </c>
      <c r="H42" s="304">
        <f t="shared" si="2"/>
        <v>2770</v>
      </c>
      <c r="I42" s="304">
        <f t="shared" si="3"/>
        <v>2770</v>
      </c>
      <c r="J42" s="402">
        <f t="shared" si="4"/>
        <v>100</v>
      </c>
      <c r="K42" s="303"/>
      <c r="L42" s="304"/>
      <c r="M42" s="304"/>
      <c r="N42" s="402"/>
      <c r="O42" s="303"/>
      <c r="P42" s="304"/>
      <c r="Q42" s="304"/>
      <c r="R42" s="667"/>
      <c r="S42" s="663"/>
      <c r="T42" s="304"/>
      <c r="U42" s="304"/>
      <c r="V42" s="662"/>
      <c r="W42" s="669"/>
      <c r="X42" s="256"/>
      <c r="Y42" s="256"/>
      <c r="Z42" s="654"/>
      <c r="AA42" s="663"/>
      <c r="AB42" s="304"/>
      <c r="AC42" s="304"/>
      <c r="AD42" s="662"/>
      <c r="AE42" s="259">
        <f t="shared" si="7"/>
        <v>-0.15579999999999927</v>
      </c>
      <c r="AF42" s="281">
        <f>'Transfery neinvestiční 2.5'!C41+'Transfery neinvestiční 2.5'!G41+'Transfery neinvestiční 2.5'!K41+'Transfery neinvestiční 2.5'!O41+'Transfery nein.2.5a'!C42+'Transfery nein.2.5a'!O42+'Transfery nein.2.5a'!W42+'Transfery nein.2.5a'!S42+'Transfery investiční'!C41+'Transfery investiční'!G41+'Transfery investiční'!K41+'Transfery investiční'!O41+'Transfery investiční'!S41+'Transfery investiční'!W41</f>
        <v>3079</v>
      </c>
      <c r="AG42" s="281">
        <f>'Transfery neinvestiční 2.5'!D41+'Transfery neinvestiční 2.5'!H41+'Transfery neinvestiční 2.5'!L41+'Transfery neinvestiční 2.5'!P41+'Transfery nein.2.5a'!D42+'Transfery nein.2.5a'!P42+'Transfery nein.2.5a'!X42+'Transfery nein.2.5a'!T42+'Transfery nein.2.5a'!AB42+'Transfery investiční'!D41+'Transfery investiční'!H41+'Transfery investiční'!L41+'Transfery investiční'!P41+'Transfery investiční'!T41+'Transfery investiční'!X41</f>
        <v>3732</v>
      </c>
      <c r="AH42" s="281">
        <f>'Transfery neinvestiční 2.5'!E41+'Transfery neinvestiční 2.5'!I41+'Transfery neinvestiční 2.5'!M41+'Transfery neinvestiční 2.5'!Q41+'Transfery nein.2.5a'!E42+'Transfery nein.2.5a'!Q42+'Transfery nein.2.5a'!Y42+'Transfery nein.2.5a'!U42+'Transfery investiční'!E41+'Transfery investiční'!I41+'Transfery investiční'!M41+'Transfery investiční'!Q41+'Transfery investiční'!U41+'Transfery investiční'!Y41+'Transfery investiční'!AC41+AC42</f>
        <v>3729</v>
      </c>
      <c r="AI42" s="290">
        <f>'Transfery investiční'!AJ41/1000*-1</f>
        <v>3728.8442</v>
      </c>
      <c r="AJ42" s="288"/>
      <c r="AK42" s="288"/>
    </row>
    <row r="43" spans="1:37" ht="15" customHeight="1">
      <c r="A43" s="746" t="s">
        <v>271</v>
      </c>
      <c r="B43" s="751"/>
      <c r="C43" s="331">
        <v>1975</v>
      </c>
      <c r="D43" s="309">
        <v>1975</v>
      </c>
      <c r="E43" s="309">
        <v>1975</v>
      </c>
      <c r="F43" s="402">
        <f t="shared" si="0"/>
        <v>100</v>
      </c>
      <c r="G43" s="303">
        <f t="shared" si="1"/>
        <v>1975</v>
      </c>
      <c r="H43" s="304">
        <f t="shared" si="2"/>
        <v>1975</v>
      </c>
      <c r="I43" s="304">
        <f t="shared" si="3"/>
        <v>1975</v>
      </c>
      <c r="J43" s="402">
        <f t="shared" si="4"/>
        <v>100</v>
      </c>
      <c r="K43" s="303"/>
      <c r="L43" s="304"/>
      <c r="M43" s="304"/>
      <c r="N43" s="402"/>
      <c r="O43" s="303"/>
      <c r="P43" s="304">
        <v>1</v>
      </c>
      <c r="Q43" s="304">
        <v>1</v>
      </c>
      <c r="R43" s="667">
        <f>Q43/P43*100</f>
        <v>100</v>
      </c>
      <c r="S43" s="663"/>
      <c r="T43" s="304"/>
      <c r="U43" s="304"/>
      <c r="V43" s="662"/>
      <c r="W43" s="670"/>
      <c r="X43" s="256"/>
      <c r="Y43" s="256"/>
      <c r="Z43" s="656"/>
      <c r="AA43" s="663"/>
      <c r="AB43" s="304"/>
      <c r="AC43" s="304"/>
      <c r="AD43" s="662"/>
      <c r="AE43" s="259">
        <f t="shared" si="7"/>
        <v>-0.45899999999983265</v>
      </c>
      <c r="AF43" s="281">
        <f>'Transfery neinvestiční 2.5'!C42+'Transfery neinvestiční 2.5'!G42+'Transfery neinvestiční 2.5'!K42+'Transfery neinvestiční 2.5'!O42+'Transfery nein.2.5a'!C43+'Transfery nein.2.5a'!O43+'Transfery nein.2.5a'!W43+'Transfery nein.2.5a'!S43+'Transfery investiční'!C42+'Transfery investiční'!G42+'Transfery investiční'!K42+'Transfery investiční'!O42+'Transfery investiční'!S42+'Transfery investiční'!W42</f>
        <v>2367</v>
      </c>
      <c r="AG43" s="281">
        <f>'Transfery neinvestiční 2.5'!D42+'Transfery neinvestiční 2.5'!H42+'Transfery neinvestiční 2.5'!L42+'Transfery neinvestiční 2.5'!P42+'Transfery nein.2.5a'!D43+'Transfery nein.2.5a'!P43+'Transfery nein.2.5a'!X43+'Transfery nein.2.5a'!T43+'Transfery nein.2.5a'!AB43+'Transfery investiční'!D42+'Transfery investiční'!H42+'Transfery investiční'!L42+'Transfery investiční'!P42+'Transfery investiční'!T42+'Transfery investiční'!X42</f>
        <v>2492</v>
      </c>
      <c r="AH43" s="281">
        <f>'Transfery neinvestiční 2.5'!E42+'Transfery neinvestiční 2.5'!I42+'Transfery neinvestiční 2.5'!M42+'Transfery neinvestiční 2.5'!Q42+'Transfery nein.2.5a'!E43+'Transfery nein.2.5a'!Q43+'Transfery nein.2.5a'!Y43+'Transfery nein.2.5a'!U43+'Transfery investiční'!E42+'Transfery investiční'!I42+'Transfery investiční'!M42+'Transfery investiční'!Q42+'Transfery investiční'!U42+'Transfery investiční'!Y42+'Transfery investiční'!AC42+AC43</f>
        <v>2512</v>
      </c>
      <c r="AI43" s="290">
        <f>'Transfery investiční'!AJ42/1000*-1</f>
        <v>2511.541</v>
      </c>
      <c r="AJ43" s="288"/>
      <c r="AK43" s="288"/>
    </row>
    <row r="44" spans="1:37" ht="15" customHeight="1" thickBot="1">
      <c r="A44" s="245"/>
      <c r="B44" s="652"/>
      <c r="C44" s="649"/>
      <c r="D44" s="363"/>
      <c r="E44" s="353"/>
      <c r="F44" s="354"/>
      <c r="G44" s="449"/>
      <c r="H44" s="363"/>
      <c r="I44" s="363"/>
      <c r="J44" s="350"/>
      <c r="K44" s="352"/>
      <c r="L44" s="363"/>
      <c r="M44" s="353"/>
      <c r="N44" s="312"/>
      <c r="O44" s="352"/>
      <c r="P44" s="363"/>
      <c r="Q44" s="353"/>
      <c r="R44" s="473"/>
      <c r="S44" s="664"/>
      <c r="T44" s="640"/>
      <c r="U44" s="665"/>
      <c r="V44" s="641"/>
      <c r="W44" s="671"/>
      <c r="X44" s="291"/>
      <c r="Y44" s="271"/>
      <c r="Z44" s="657"/>
      <c r="AA44" s="664"/>
      <c r="AB44" s="640"/>
      <c r="AC44" s="665"/>
      <c r="AD44" s="641"/>
      <c r="AF44" s="281">
        <f>'Transfery neinvestiční 2.5'!C43+'Transfery neinvestiční 2.5'!G43+'Transfery neinvestiční 2.5'!K43+'Transfery neinvestiční 2.5'!O43+'Transfery nein.2.5a'!C44+'Transfery nein.2.5a'!O44+'Transfery nein.2.5a'!W44+'Transfery nein.2.5a'!S44+'Transfery investiční'!C43+'Transfery investiční'!G43+'Transfery investiční'!K43+'Transfery investiční'!O43+'Transfery investiční'!S43+'Transfery investiční'!W43</f>
        <v>0</v>
      </c>
      <c r="AG44" s="281">
        <f>'Transfery neinvestiční 2.5'!D43+'Transfery neinvestiční 2.5'!H43+'Transfery neinvestiční 2.5'!L43+'Transfery neinvestiční 2.5'!P43+'Transfery nein.2.5a'!D44+'Transfery nein.2.5a'!P44+'Transfery nein.2.5a'!X44+'Transfery nein.2.5a'!T44+'Transfery nein.2.5a'!AB44+'Transfery investiční'!D43+'Transfery investiční'!H43+'Transfery investiční'!L43+'Transfery investiční'!P43+'Transfery investiční'!T43+'Transfery investiční'!X43</f>
        <v>0</v>
      </c>
      <c r="AH44" s="281">
        <f>'Transfery neinvestiční 2.5'!E43+'Transfery neinvestiční 2.5'!I43+'Transfery neinvestiční 2.5'!M43+'Transfery neinvestiční 2.5'!Q43+'Transfery nein.2.5a'!E44+'Transfery nein.2.5a'!Q44+'Transfery nein.2.5a'!Y44+'Transfery nein.2.5a'!U44+'Transfery investiční'!E43+'Transfery investiční'!I43+'Transfery investiční'!M43+'Transfery investiční'!Q43+'Transfery investiční'!U43+'Transfery investiční'!Y43+'Transfery investiční'!AC43+AC44</f>
        <v>0</v>
      </c>
      <c r="AI44" s="266"/>
      <c r="AJ44" s="288"/>
      <c r="AK44" s="288"/>
    </row>
    <row r="45" spans="1:37" ht="16.5">
      <c r="A45" s="6"/>
      <c r="B45" s="6"/>
      <c r="C45" s="6"/>
      <c r="D45" s="6"/>
      <c r="E45" s="6"/>
      <c r="F45" s="6"/>
      <c r="G45" s="60"/>
      <c r="H45" s="60"/>
      <c r="I45" s="60"/>
      <c r="J45" s="395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444"/>
      <c r="X45" s="444"/>
      <c r="Y45" s="444"/>
      <c r="Z45" s="444"/>
      <c r="AA45" s="6"/>
      <c r="AB45" s="6"/>
      <c r="AC45" s="6"/>
      <c r="AD45" s="6"/>
      <c r="AF45" s="281">
        <f>'Transfery neinvestiční 2.5'!C44+'Transfery neinvestiční 2.5'!G44+'Transfery neinvestiční 2.5'!K44+'Transfery neinvestiční 2.5'!O44+'Transfery nein.2.5a'!C45+'Transfery nein.2.5a'!O45+'Transfery nein.2.5a'!W45+'Transfery nein.2.5a'!S45+'Transfery investiční'!C44+'Transfery investiční'!G44+'Transfery investiční'!K44+'Transfery investiční'!O44+'Transfery investiční'!S44+'Transfery investiční'!W44</f>
        <v>0</v>
      </c>
      <c r="AG45" s="281">
        <f>'Transfery neinvestiční 2.5'!D44+'Transfery neinvestiční 2.5'!H44+'Transfery neinvestiční 2.5'!L44+'Transfery neinvestiční 2.5'!P44+'Transfery nein.2.5a'!D45+'Transfery nein.2.5a'!P45+'Transfery nein.2.5a'!X45+'Transfery nein.2.5a'!T45+'Transfery nein.2.5a'!AB45+'Transfery investiční'!D44+'Transfery investiční'!H44+'Transfery investiční'!L44+'Transfery investiční'!P44+'Transfery investiční'!T44+'Transfery investiční'!X44</f>
        <v>0</v>
      </c>
      <c r="AH45" s="281">
        <f>'Transfery neinvestiční 2.5'!E44+'Transfery neinvestiční 2.5'!I44+'Transfery neinvestiční 2.5'!M44+'Transfery neinvestiční 2.5'!Q44+'Transfery nein.2.5a'!E45+'Transfery nein.2.5a'!Q45+'Transfery nein.2.5a'!Y45+'Transfery nein.2.5a'!U45+'Transfery investiční'!E44+'Transfery investiční'!I44+'Transfery investiční'!M44+'Transfery investiční'!Q44+'Transfery investiční'!U44+'Transfery investiční'!Y44+'Transfery investiční'!AC44+AC45</f>
        <v>0</v>
      </c>
      <c r="AI45" s="266"/>
      <c r="AJ45" s="288"/>
      <c r="AK45" s="288"/>
    </row>
    <row r="46" spans="1:37" ht="17.25" thickBot="1">
      <c r="A46" s="6"/>
      <c r="B46" s="6"/>
      <c r="C46" s="6"/>
      <c r="D46" s="313"/>
      <c r="E46" s="313"/>
      <c r="F46" s="6"/>
      <c r="G46" s="60"/>
      <c r="H46" s="60"/>
      <c r="I46" s="60"/>
      <c r="J46" s="395"/>
      <c r="K46" s="6"/>
      <c r="L46" s="313"/>
      <c r="M46" s="313"/>
      <c r="N46" s="6"/>
      <c r="O46" s="6"/>
      <c r="P46" s="313"/>
      <c r="Q46" s="313"/>
      <c r="R46" s="24"/>
      <c r="S46" s="6"/>
      <c r="T46" s="313"/>
      <c r="U46" s="313"/>
      <c r="V46" s="24"/>
      <c r="W46" s="444"/>
      <c r="X46" s="444"/>
      <c r="Y46" s="444"/>
      <c r="Z46" s="444"/>
      <c r="AA46" s="6"/>
      <c r="AB46" s="313"/>
      <c r="AC46" s="313"/>
      <c r="AD46" s="24"/>
      <c r="AF46" s="281">
        <f>'Transfery neinvestiční 2.5'!C45+'Transfery neinvestiční 2.5'!G45+'Transfery neinvestiční 2.5'!K45+'Transfery neinvestiční 2.5'!O45+'Transfery nein.2.5a'!C46+'Transfery nein.2.5a'!O46+'Transfery nein.2.5a'!W46+'Transfery nein.2.5a'!S46+'Transfery investiční'!C45+'Transfery investiční'!G45+'Transfery investiční'!K45+'Transfery investiční'!O45+'Transfery investiční'!S45+'Transfery investiční'!W45</f>
        <v>0</v>
      </c>
      <c r="AG46" s="281">
        <f>'Transfery neinvestiční 2.5'!D45+'Transfery neinvestiční 2.5'!H45+'Transfery neinvestiční 2.5'!L45+'Transfery neinvestiční 2.5'!P45+'Transfery nein.2.5a'!D46+'Transfery nein.2.5a'!P46+'Transfery nein.2.5a'!X46+'Transfery nein.2.5a'!T46+'Transfery nein.2.5a'!AB46+'Transfery investiční'!D45+'Transfery investiční'!H45+'Transfery investiční'!L45+'Transfery investiční'!P45+'Transfery investiční'!T45+'Transfery investiční'!X45</f>
        <v>0</v>
      </c>
      <c r="AH46" s="281">
        <f>'Transfery neinvestiční 2.5'!E45+'Transfery neinvestiční 2.5'!I45+'Transfery neinvestiční 2.5'!M45+'Transfery neinvestiční 2.5'!Q45+'Transfery nein.2.5a'!E46+'Transfery nein.2.5a'!Q46+'Transfery nein.2.5a'!Y46+'Transfery nein.2.5a'!U46+'Transfery investiční'!E45+'Transfery investiční'!I45+'Transfery investiční'!M45+'Transfery investiční'!Q45+'Transfery investiční'!U45+'Transfery investiční'!Y45+'Transfery investiční'!AC45+AC46</f>
        <v>0</v>
      </c>
      <c r="AI46" s="266"/>
      <c r="AJ46" s="288"/>
      <c r="AK46" s="288"/>
    </row>
    <row r="47" spans="1:37" ht="16.5" thickBot="1">
      <c r="A47" s="37" t="s">
        <v>6</v>
      </c>
      <c r="B47" s="6"/>
      <c r="C47" s="426">
        <f>SUM(C15:C43)</f>
        <v>959493</v>
      </c>
      <c r="D47" s="427">
        <f>SUM(D15:D43)</f>
        <v>994535</v>
      </c>
      <c r="E47" s="427">
        <f>SUM(E15:E43)</f>
        <v>994493</v>
      </c>
      <c r="F47" s="645">
        <f>E47/D47*100</f>
        <v>99.99577692087257</v>
      </c>
      <c r="G47" s="646">
        <f>SUM(G15:G43)</f>
        <v>958755</v>
      </c>
      <c r="H47" s="427">
        <f>SUM(H15:H43)</f>
        <v>991851</v>
      </c>
      <c r="I47" s="427">
        <f>SUM(I15:I43)</f>
        <v>991818</v>
      </c>
      <c r="J47" s="645">
        <f>I47/H47*100</f>
        <v>99.99667288735908</v>
      </c>
      <c r="K47" s="646">
        <f>SUM(K14:K44)</f>
        <v>738</v>
      </c>
      <c r="L47" s="427">
        <f>SUM(L14:L44)</f>
        <v>2684</v>
      </c>
      <c r="M47" s="427">
        <f>SUM(M14:M44)</f>
        <v>2675</v>
      </c>
      <c r="N47" s="645">
        <f>M47/L47*100</f>
        <v>99.66467958271237</v>
      </c>
      <c r="O47" s="646"/>
      <c r="P47" s="427">
        <f>SUM(P14:P44)</f>
        <v>4172</v>
      </c>
      <c r="Q47" s="427">
        <f>SUM(Q14:Q44)</f>
        <v>4171</v>
      </c>
      <c r="R47" s="673">
        <f>Q47/P47*100</f>
        <v>99.97603068072867</v>
      </c>
      <c r="S47" s="426"/>
      <c r="T47" s="427">
        <f>SUM(T14:T44)</f>
        <v>381</v>
      </c>
      <c r="U47" s="427">
        <f>SUM(U14:U44)</f>
        <v>381</v>
      </c>
      <c r="V47" s="601">
        <f>U47/T47*100</f>
        <v>100</v>
      </c>
      <c r="W47" s="674"/>
      <c r="X47" s="647">
        <f>SUM(X15:X44)</f>
        <v>0</v>
      </c>
      <c r="Y47" s="427">
        <f>SUM(Y15:Y43)</f>
        <v>0</v>
      </c>
      <c r="Z47" s="645"/>
      <c r="AA47" s="646"/>
      <c r="AB47" s="427">
        <f>SUM(AB14:AB44)</f>
        <v>0</v>
      </c>
      <c r="AC47" s="427">
        <f>SUM(AC14:AC44)</f>
        <v>0</v>
      </c>
      <c r="AD47" s="601"/>
      <c r="AF47" s="281">
        <f>'Transfery neinvestiční 2.5'!C46+'Transfery neinvestiční 2.5'!G46+'Transfery neinvestiční 2.5'!K46+'Transfery neinvestiční 2.5'!O46+'Transfery nein.2.5a'!C47+'Transfery nein.2.5a'!O47+'Transfery nein.2.5a'!W47+'Transfery nein.2.5a'!S47+'Transfery investiční'!C46+'Transfery investiční'!G46+'Transfery investiční'!K46+'Transfery investiční'!O46+'Transfery investiční'!S46+'Transfery investiční'!W46</f>
        <v>1676389</v>
      </c>
      <c r="AG47" s="281">
        <f>'Transfery neinvestiční 2.5'!D46+'Transfery neinvestiční 2.5'!H46+'Transfery neinvestiční 2.5'!L46+'Transfery neinvestiční 2.5'!P46+'Transfery nein.2.5a'!D47+'Transfery nein.2.5a'!P47+'Transfery nein.2.5a'!X47+'Transfery nein.2.5a'!T47+'Transfery nein.2.5a'!AB47+'Transfery investiční'!D46+'Transfery investiční'!H46+'Transfery investiční'!L46+'Transfery investiční'!P46+'Transfery investiční'!T46+'Transfery investiční'!X46</f>
        <v>2199015</v>
      </c>
      <c r="AH47" s="281">
        <f>'Transfery neinvestiční 2.5'!E46+'Transfery neinvestiční 2.5'!I46+'Transfery neinvestiční 2.5'!M46+'Transfery neinvestiční 2.5'!Q46+'Transfery nein.2.5a'!E47+'Transfery nein.2.5a'!Q47+'Transfery nein.2.5a'!Y47+'Transfery nein.2.5a'!U47+'Transfery investiční'!E46+'Transfery investiční'!I46+'Transfery investiční'!M46+'Transfery investiční'!Q46+'Transfery investiční'!U46+'Transfery investiční'!Y46+'Transfery investiční'!AC46+AC47</f>
        <v>2163233</v>
      </c>
      <c r="AI47" s="266"/>
      <c r="AJ47" s="288"/>
      <c r="AK47" s="259"/>
    </row>
    <row r="48" spans="1:37" ht="16.5" thickBot="1">
      <c r="A48" s="6"/>
      <c r="B48" s="6"/>
      <c r="C48" s="6"/>
      <c r="D48" s="6"/>
      <c r="E48" s="6"/>
      <c r="F48" s="392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F48" s="292">
        <f>SUM(AF15:AF43)</f>
        <v>1676489</v>
      </c>
      <c r="AG48" s="293">
        <f>SUM(AG15:AG43)</f>
        <v>2199015</v>
      </c>
      <c r="AH48" s="294">
        <f>SUM(AH15:AH43)</f>
        <v>2163233</v>
      </c>
      <c r="AI48" s="294">
        <f>SUM(AI15:AI43)</f>
        <v>2163232.8027200005</v>
      </c>
      <c r="AJ48" s="294"/>
      <c r="AK48" s="294"/>
    </row>
    <row r="49" spans="1:36" s="274" customFormat="1" ht="12.75">
      <c r="A49" s="447"/>
      <c r="B49" s="447"/>
      <c r="C49" s="447"/>
      <c r="D49" s="447"/>
      <c r="E49" s="447"/>
      <c r="F49" s="450"/>
      <c r="G49" s="447"/>
      <c r="H49" s="447"/>
      <c r="I49" s="447"/>
      <c r="J49" s="447"/>
      <c r="M49" s="295"/>
      <c r="AJ49" s="296"/>
    </row>
    <row r="50" spans="1:36" ht="15.75">
      <c r="A50" s="6"/>
      <c r="B50" s="6"/>
      <c r="C50" s="422"/>
      <c r="D50" s="422"/>
      <c r="E50" s="422"/>
      <c r="F50" s="392"/>
      <c r="G50" s="6"/>
      <c r="H50" s="6"/>
      <c r="I50" s="343"/>
      <c r="J50" s="6"/>
      <c r="L50" s="262"/>
      <c r="M50" s="262"/>
      <c r="AF50" s="259"/>
      <c r="AG50" s="259"/>
      <c r="AH50" s="259"/>
      <c r="AI50" s="259"/>
      <c r="AJ50" s="288"/>
    </row>
    <row r="51" spans="2:35" s="275" customFormat="1" ht="15.75">
      <c r="B51" s="275" t="s">
        <v>179</v>
      </c>
      <c r="C51" s="446">
        <v>959493</v>
      </c>
      <c r="D51" s="446">
        <v>994535</v>
      </c>
      <c r="E51" s="446">
        <f>994492+1</f>
        <v>994493</v>
      </c>
      <c r="F51" s="451"/>
      <c r="G51" s="443">
        <v>958755</v>
      </c>
      <c r="H51" s="443">
        <v>991851</v>
      </c>
      <c r="I51" s="443">
        <v>991818</v>
      </c>
      <c r="J51" s="443"/>
      <c r="K51" s="443">
        <f>392+346</f>
        <v>738</v>
      </c>
      <c r="L51" s="443">
        <f>533+2151</f>
        <v>2684</v>
      </c>
      <c r="M51" s="443">
        <f>533+2142</f>
        <v>2675</v>
      </c>
      <c r="N51" s="443"/>
      <c r="O51" s="443"/>
      <c r="P51" s="443">
        <v>4172</v>
      </c>
      <c r="Q51" s="443">
        <v>4171</v>
      </c>
      <c r="R51" s="443"/>
      <c r="S51" s="443"/>
      <c r="T51" s="443">
        <v>381</v>
      </c>
      <c r="U51" s="443">
        <v>381</v>
      </c>
      <c r="V51" s="443"/>
      <c r="W51" s="272"/>
      <c r="X51" s="272"/>
      <c r="Y51" s="272"/>
      <c r="Z51" s="272"/>
      <c r="AA51" s="272"/>
      <c r="AB51" s="272"/>
      <c r="AC51" s="272"/>
      <c r="AD51" s="272"/>
      <c r="AE51" s="272"/>
      <c r="AF51" s="272">
        <v>1676489</v>
      </c>
      <c r="AG51" s="272">
        <v>2199014</v>
      </c>
      <c r="AH51" s="272">
        <v>2163233</v>
      </c>
      <c r="AI51" s="272"/>
    </row>
    <row r="52" spans="5:35" ht="15.75">
      <c r="E52" s="252">
        <v>994492428</v>
      </c>
      <c r="F52" s="268"/>
      <c r="AF52" s="259"/>
      <c r="AG52" s="259"/>
      <c r="AH52" s="259"/>
      <c r="AI52" s="259"/>
    </row>
    <row r="53" spans="6:15" ht="15.75">
      <c r="F53" s="268"/>
      <c r="N53" s="782">
        <f>2175859+8332</f>
        <v>2184191</v>
      </c>
      <c r="O53" s="782"/>
    </row>
    <row r="54" ht="15.75">
      <c r="F54" s="268"/>
    </row>
    <row r="55" spans="6:13" ht="15.75">
      <c r="F55" s="268"/>
      <c r="M55" s="262"/>
    </row>
    <row r="56" spans="6:9" ht="15.75">
      <c r="F56" s="268"/>
      <c r="I56" s="252">
        <f>991818/'Příjmy '!S45*100</f>
        <v>45.8488752714109</v>
      </c>
    </row>
    <row r="57" ht="15.75">
      <c r="F57" s="268"/>
    </row>
    <row r="58" spans="6:13" ht="15.75">
      <c r="F58" s="268"/>
      <c r="M58" s="272"/>
    </row>
    <row r="59" ht="15.75">
      <c r="F59" s="268"/>
    </row>
    <row r="60" ht="15.75">
      <c r="F60" s="268"/>
    </row>
    <row r="61" ht="15.75">
      <c r="F61" s="268"/>
    </row>
    <row r="62" ht="15.75">
      <c r="F62" s="268"/>
    </row>
    <row r="63" ht="15.75">
      <c r="F63" s="268"/>
    </row>
    <row r="64" ht="15.75">
      <c r="F64" s="268"/>
    </row>
    <row r="65" ht="15.75">
      <c r="F65" s="268"/>
    </row>
    <row r="66" ht="15.75">
      <c r="F66" s="268"/>
    </row>
    <row r="67" ht="15.75">
      <c r="F67" s="268"/>
    </row>
    <row r="68" ht="15.75">
      <c r="F68" s="268"/>
    </row>
    <row r="69" ht="15.75">
      <c r="F69" s="268"/>
    </row>
    <row r="70" ht="15.75">
      <c r="F70" s="268"/>
    </row>
    <row r="71" ht="15.75">
      <c r="F71" s="268"/>
    </row>
    <row r="72" ht="15.75">
      <c r="F72" s="268"/>
    </row>
    <row r="73" ht="15.75">
      <c r="F73" s="268"/>
    </row>
    <row r="74" ht="15.75">
      <c r="F74" s="268"/>
    </row>
    <row r="75" ht="15.75">
      <c r="F75" s="254"/>
    </row>
    <row r="76" ht="15.75">
      <c r="F76" s="254"/>
    </row>
    <row r="77" ht="15.75">
      <c r="F77" s="254"/>
    </row>
    <row r="78" ht="15.75">
      <c r="F78" s="254"/>
    </row>
    <row r="79" ht="15.75">
      <c r="F79" s="254"/>
    </row>
    <row r="80" ht="15.75">
      <c r="F80" s="254"/>
    </row>
    <row r="81" ht="15.75">
      <c r="F81" s="254"/>
    </row>
    <row r="82" ht="15.75">
      <c r="F82" s="254"/>
    </row>
    <row r="83" ht="15.75">
      <c r="F83" s="254"/>
    </row>
    <row r="84" ht="15.75">
      <c r="F84" s="254"/>
    </row>
    <row r="85" ht="15.75">
      <c r="F85" s="254"/>
    </row>
    <row r="86" ht="15.75">
      <c r="F86" s="254"/>
    </row>
    <row r="87" ht="15.75">
      <c r="F87" s="254"/>
    </row>
    <row r="88" ht="15.75">
      <c r="F88" s="254"/>
    </row>
    <row r="89" ht="15.75">
      <c r="F89" s="254"/>
    </row>
    <row r="90" ht="15.75">
      <c r="F90" s="254"/>
    </row>
    <row r="91" ht="15.75">
      <c r="F91" s="254"/>
    </row>
    <row r="92" ht="15.75">
      <c r="F92" s="254"/>
    </row>
    <row r="93" ht="15.75">
      <c r="F93" s="254"/>
    </row>
    <row r="94" ht="15.75">
      <c r="F94" s="254"/>
    </row>
    <row r="95" ht="15.75">
      <c r="F95" s="254"/>
    </row>
    <row r="96" ht="15.75">
      <c r="F96" s="254"/>
    </row>
    <row r="97" ht="15.75">
      <c r="F97" s="254"/>
    </row>
    <row r="98" ht="15.75">
      <c r="F98" s="254"/>
    </row>
    <row r="99" ht="15.75">
      <c r="F99" s="254"/>
    </row>
    <row r="100" ht="15.75">
      <c r="F100" s="254"/>
    </row>
    <row r="101" ht="15.75">
      <c r="F101" s="254"/>
    </row>
    <row r="102" ht="15.75">
      <c r="F102" s="254"/>
    </row>
    <row r="103" ht="15.75">
      <c r="F103" s="254"/>
    </row>
  </sheetData>
  <mergeCells count="25">
    <mergeCell ref="W12:Z12"/>
    <mergeCell ref="C12:F12"/>
    <mergeCell ref="K12:N12"/>
    <mergeCell ref="O12:R12"/>
    <mergeCell ref="S12:V12"/>
    <mergeCell ref="AH12:AI12"/>
    <mergeCell ref="A1:N1"/>
    <mergeCell ref="O7:R7"/>
    <mergeCell ref="O8:R8"/>
    <mergeCell ref="S8:V8"/>
    <mergeCell ref="S7:V7"/>
    <mergeCell ref="A3:Z4"/>
    <mergeCell ref="A2:Z2"/>
    <mergeCell ref="W7:Z7"/>
    <mergeCell ref="AA12:AD12"/>
    <mergeCell ref="AF10:AH10"/>
    <mergeCell ref="AA7:AD9"/>
    <mergeCell ref="W8:Z8"/>
    <mergeCell ref="C9:F9"/>
    <mergeCell ref="C7:N7"/>
    <mergeCell ref="A9:B9"/>
    <mergeCell ref="N53:O53"/>
    <mergeCell ref="G9:J9"/>
    <mergeCell ref="C8:N8"/>
    <mergeCell ref="K9:N9"/>
  </mergeCells>
  <printOptions horizontalCentered="1" verticalCentered="1"/>
  <pageMargins left="0.3937007874015748" right="0.3937007874015748" top="0.7480314960629921" bottom="0.7480314960629921" header="0.5118110236220472" footer="0.5118110236220472"/>
  <pageSetup horizontalDpi="600" verticalDpi="600" orientation="landscape" paperSize="9" scale="52" r:id="rId3"/>
  <colBreaks count="1" manualBreakCount="1">
    <brk id="30" max="47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AN97"/>
  <sheetViews>
    <sheetView view="pageBreakPreview" zoomScale="60" zoomScaleNormal="70" workbookViewId="0" topLeftCell="A1">
      <pane xSplit="2" ySplit="13" topLeftCell="C14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L39" sqref="L39"/>
    </sheetView>
  </sheetViews>
  <sheetFormatPr defaultColWidth="9.796875" defaultRowHeight="15"/>
  <cols>
    <col min="1" max="1" width="7.796875" style="252" customWidth="1"/>
    <col min="2" max="2" width="19.19921875" style="252" customWidth="1"/>
    <col min="3" max="4" width="7.796875" style="252" customWidth="1"/>
    <col min="5" max="5" width="7.59765625" style="252" customWidth="1"/>
    <col min="6" max="6" width="5.796875" style="252" customWidth="1"/>
    <col min="7" max="8" width="7.796875" style="252" hidden="1" customWidth="1"/>
    <col min="9" max="9" width="6.8984375" style="252" hidden="1" customWidth="1"/>
    <col min="10" max="10" width="5.796875" style="252" hidden="1" customWidth="1"/>
    <col min="11" max="13" width="7.796875" style="252" customWidth="1"/>
    <col min="14" max="14" width="5.796875" style="252" customWidth="1"/>
    <col min="15" max="17" width="7.796875" style="252" customWidth="1"/>
    <col min="18" max="18" width="5.796875" style="252" customWidth="1"/>
    <col min="19" max="21" width="7.796875" style="252" customWidth="1"/>
    <col min="22" max="22" width="5.796875" style="252" customWidth="1"/>
    <col min="23" max="23" width="7.796875" style="252" customWidth="1"/>
    <col min="24" max="25" width="8.09765625" style="252" customWidth="1"/>
    <col min="26" max="26" width="6.19921875" style="252" customWidth="1"/>
    <col min="27" max="29" width="7.796875" style="252" hidden="1" customWidth="1"/>
    <col min="30" max="30" width="6.19921875" style="252" hidden="1" customWidth="1"/>
    <col min="31" max="31" width="3.296875" style="252" customWidth="1"/>
    <col min="32" max="32" width="8.796875" style="252" customWidth="1"/>
    <col min="33" max="33" width="9" style="252" customWidth="1"/>
    <col min="34" max="34" width="8.3984375" style="252" customWidth="1"/>
    <col min="35" max="35" width="11.69921875" style="259" customWidth="1"/>
    <col min="36" max="36" width="14.8984375" style="252" customWidth="1"/>
    <col min="37" max="37" width="11.296875" style="252" customWidth="1"/>
    <col min="38" max="38" width="9.796875" style="252" customWidth="1"/>
    <col min="39" max="39" width="11" style="252" customWidth="1"/>
    <col min="40" max="16384" width="9.796875" style="252" customWidth="1"/>
  </cols>
  <sheetData>
    <row r="1" spans="1:35" s="6" customFormat="1" ht="17.25" customHeight="1">
      <c r="A1" s="6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I1" s="39"/>
    </row>
    <row r="2" spans="1:35" s="6" customFormat="1" ht="24" customHeight="1">
      <c r="A2" s="752" t="s">
        <v>233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752"/>
      <c r="Y2" s="752"/>
      <c r="Z2" s="752"/>
      <c r="AA2" s="7"/>
      <c r="AB2" s="7"/>
      <c r="AC2" s="7"/>
      <c r="AD2" s="7"/>
      <c r="AI2" s="39"/>
    </row>
    <row r="3" spans="7:35" s="6" customFormat="1" ht="15" customHeight="1">
      <c r="G3" s="8"/>
      <c r="AI3" s="39"/>
    </row>
    <row r="4" spans="1:35" s="6" customFormat="1" ht="21" customHeight="1">
      <c r="A4" s="9" t="s">
        <v>186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I4" s="39"/>
    </row>
    <row r="5" spans="1:40" s="6" customFormat="1" ht="22.5" customHeight="1">
      <c r="A5" s="11"/>
      <c r="B5" s="11"/>
      <c r="C5" s="86"/>
      <c r="D5" s="87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X5" s="11"/>
      <c r="Z5" s="36" t="s">
        <v>230</v>
      </c>
      <c r="AA5" s="11"/>
      <c r="AE5" s="11"/>
      <c r="AF5" s="11"/>
      <c r="AG5" s="11"/>
      <c r="AH5" s="11"/>
      <c r="AI5" s="110"/>
      <c r="AJ5" s="11"/>
      <c r="AK5" s="11"/>
      <c r="AL5" s="11"/>
      <c r="AM5" s="11"/>
      <c r="AN5" s="11"/>
    </row>
    <row r="6" spans="1:40" s="6" customFormat="1" ht="22.5" customHeight="1" thickBot="1">
      <c r="A6" s="11"/>
      <c r="B6" s="11"/>
      <c r="C6" s="86"/>
      <c r="D6" s="87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Z6" s="36" t="s">
        <v>99</v>
      </c>
      <c r="AA6" s="11"/>
      <c r="AB6" s="11"/>
      <c r="AC6" s="11"/>
      <c r="AD6" s="11"/>
      <c r="AE6" s="11"/>
      <c r="AF6" s="11"/>
      <c r="AG6" s="11"/>
      <c r="AH6" s="11"/>
      <c r="AI6" s="110"/>
      <c r="AJ6" s="11"/>
      <c r="AK6" s="11"/>
      <c r="AL6" s="11"/>
      <c r="AM6" s="11"/>
      <c r="AN6" s="11"/>
    </row>
    <row r="7" spans="1:40" s="6" customFormat="1" ht="18" customHeight="1">
      <c r="A7" s="16"/>
      <c r="B7" s="17"/>
      <c r="C7" s="814" t="s">
        <v>101</v>
      </c>
      <c r="D7" s="815"/>
      <c r="E7" s="815"/>
      <c r="F7" s="816"/>
      <c r="G7" s="758" t="s">
        <v>158</v>
      </c>
      <c r="H7" s="758"/>
      <c r="I7" s="758"/>
      <c r="J7" s="758"/>
      <c r="K7" s="759" t="s">
        <v>168</v>
      </c>
      <c r="L7" s="758"/>
      <c r="M7" s="758"/>
      <c r="N7" s="758"/>
      <c r="O7" s="806" t="s">
        <v>139</v>
      </c>
      <c r="P7" s="807"/>
      <c r="Q7" s="807"/>
      <c r="R7" s="808"/>
      <c r="S7" s="758" t="s">
        <v>187</v>
      </c>
      <c r="T7" s="766"/>
      <c r="U7" s="766"/>
      <c r="V7" s="766"/>
      <c r="W7" s="806" t="s">
        <v>160</v>
      </c>
      <c r="X7" s="807"/>
      <c r="Y7" s="807"/>
      <c r="Z7" s="808"/>
      <c r="AA7" s="758" t="s">
        <v>168</v>
      </c>
      <c r="AB7" s="766"/>
      <c r="AC7" s="766"/>
      <c r="AD7" s="811"/>
      <c r="AE7" s="11"/>
      <c r="AF7" s="11"/>
      <c r="AG7" s="11"/>
      <c r="AH7" s="11"/>
      <c r="AI7" s="110"/>
      <c r="AJ7" s="11"/>
      <c r="AK7" s="11"/>
      <c r="AL7" s="11"/>
      <c r="AM7" s="11"/>
      <c r="AN7" s="11"/>
    </row>
    <row r="8" spans="1:40" s="6" customFormat="1" ht="18" customHeight="1">
      <c r="A8" s="74"/>
      <c r="B8" s="24"/>
      <c r="C8" s="817" t="s">
        <v>103</v>
      </c>
      <c r="D8" s="818"/>
      <c r="E8" s="818"/>
      <c r="F8" s="819"/>
      <c r="G8" s="812" t="s">
        <v>104</v>
      </c>
      <c r="H8" s="812"/>
      <c r="I8" s="812"/>
      <c r="J8" s="812"/>
      <c r="K8" s="820" t="s">
        <v>91</v>
      </c>
      <c r="L8" s="812"/>
      <c r="M8" s="812"/>
      <c r="N8" s="812"/>
      <c r="O8" s="821" t="s">
        <v>159</v>
      </c>
      <c r="P8" s="822"/>
      <c r="Q8" s="822"/>
      <c r="R8" s="823"/>
      <c r="S8" s="824" t="s">
        <v>224</v>
      </c>
      <c r="T8" s="812"/>
      <c r="U8" s="812"/>
      <c r="V8" s="812"/>
      <c r="W8" s="676"/>
      <c r="X8" s="142"/>
      <c r="Y8" s="98"/>
      <c r="Z8" s="677"/>
      <c r="AA8" s="812" t="s">
        <v>198</v>
      </c>
      <c r="AB8" s="812"/>
      <c r="AC8" s="812"/>
      <c r="AD8" s="813"/>
      <c r="AE8" s="11"/>
      <c r="AF8" s="11"/>
      <c r="AG8" s="11"/>
      <c r="AH8" s="11"/>
      <c r="AI8" s="110"/>
      <c r="AJ8" s="11"/>
      <c r="AK8" s="11"/>
      <c r="AL8" s="11"/>
      <c r="AM8" s="11"/>
      <c r="AN8" s="11"/>
    </row>
    <row r="9" spans="1:35" s="6" customFormat="1" ht="18" customHeight="1">
      <c r="A9" s="756" t="s">
        <v>285</v>
      </c>
      <c r="B9" s="757"/>
      <c r="C9" s="101" t="s">
        <v>40</v>
      </c>
      <c r="D9" s="102"/>
      <c r="E9" s="103"/>
      <c r="F9" s="104" t="s">
        <v>2</v>
      </c>
      <c r="G9" s="101" t="s">
        <v>40</v>
      </c>
      <c r="H9" s="102"/>
      <c r="I9" s="103" t="s">
        <v>41</v>
      </c>
      <c r="J9" s="104" t="s">
        <v>2</v>
      </c>
      <c r="K9" s="97" t="s">
        <v>40</v>
      </c>
      <c r="L9" s="143"/>
      <c r="M9" s="103" t="s">
        <v>41</v>
      </c>
      <c r="N9" s="104" t="s">
        <v>2</v>
      </c>
      <c r="O9" s="101" t="s">
        <v>40</v>
      </c>
      <c r="P9" s="102"/>
      <c r="Q9" s="103" t="s">
        <v>41</v>
      </c>
      <c r="R9" s="104" t="s">
        <v>2</v>
      </c>
      <c r="S9" s="101" t="s">
        <v>40</v>
      </c>
      <c r="T9" s="102"/>
      <c r="U9" s="99" t="s">
        <v>41</v>
      </c>
      <c r="V9" s="153" t="s">
        <v>2</v>
      </c>
      <c r="W9" s="154" t="s">
        <v>40</v>
      </c>
      <c r="X9" s="102"/>
      <c r="Y9" s="99" t="s">
        <v>41</v>
      </c>
      <c r="Z9" s="155" t="s">
        <v>2</v>
      </c>
      <c r="AA9" s="675" t="s">
        <v>40</v>
      </c>
      <c r="AB9" s="102"/>
      <c r="AC9" s="99" t="s">
        <v>41</v>
      </c>
      <c r="AD9" s="100" t="s">
        <v>2</v>
      </c>
      <c r="AE9" s="128"/>
      <c r="AF9" s="762" t="s">
        <v>169</v>
      </c>
      <c r="AG9" s="762"/>
      <c r="AH9" s="762"/>
      <c r="AI9" s="39"/>
    </row>
    <row r="10" spans="1:35" s="6" customFormat="1" ht="18" customHeight="1" thickBot="1">
      <c r="A10" s="29"/>
      <c r="B10" s="30"/>
      <c r="C10" s="107" t="s">
        <v>42</v>
      </c>
      <c r="D10" s="108" t="s">
        <v>43</v>
      </c>
      <c r="E10" s="108" t="s">
        <v>200</v>
      </c>
      <c r="F10" s="109" t="s">
        <v>19</v>
      </c>
      <c r="G10" s="107" t="s">
        <v>42</v>
      </c>
      <c r="H10" s="108" t="s">
        <v>43</v>
      </c>
      <c r="I10" s="108" t="s">
        <v>200</v>
      </c>
      <c r="J10" s="109" t="s">
        <v>19</v>
      </c>
      <c r="K10" s="107" t="s">
        <v>42</v>
      </c>
      <c r="L10" s="108" t="s">
        <v>43</v>
      </c>
      <c r="M10" s="108" t="s">
        <v>194</v>
      </c>
      <c r="N10" s="109" t="s">
        <v>19</v>
      </c>
      <c r="O10" s="107" t="s">
        <v>42</v>
      </c>
      <c r="P10" s="108" t="s">
        <v>43</v>
      </c>
      <c r="Q10" s="108" t="s">
        <v>200</v>
      </c>
      <c r="R10" s="109" t="s">
        <v>19</v>
      </c>
      <c r="S10" s="31" t="s">
        <v>42</v>
      </c>
      <c r="T10" s="32" t="s">
        <v>43</v>
      </c>
      <c r="U10" s="108" t="s">
        <v>200</v>
      </c>
      <c r="V10" s="33" t="s">
        <v>19</v>
      </c>
      <c r="W10" s="125" t="s">
        <v>42</v>
      </c>
      <c r="X10" s="126" t="s">
        <v>43</v>
      </c>
      <c r="Y10" s="695" t="s">
        <v>200</v>
      </c>
      <c r="Z10" s="127" t="s">
        <v>19</v>
      </c>
      <c r="AA10" s="55" t="s">
        <v>42</v>
      </c>
      <c r="AB10" s="32" t="s">
        <v>43</v>
      </c>
      <c r="AC10" s="108" t="s">
        <v>200</v>
      </c>
      <c r="AD10" s="34" t="s">
        <v>19</v>
      </c>
      <c r="AE10" s="24"/>
      <c r="AF10" s="59"/>
      <c r="AG10" s="59"/>
      <c r="AH10" s="59"/>
      <c r="AI10" s="39"/>
    </row>
    <row r="11" spans="1:37" s="6" customFormat="1" ht="16.5" customHeight="1">
      <c r="A11" s="24"/>
      <c r="B11" s="75"/>
      <c r="C11" s="766" t="s">
        <v>100</v>
      </c>
      <c r="D11" s="766"/>
      <c r="E11" s="766"/>
      <c r="F11" s="766"/>
      <c r="G11" s="766" t="s">
        <v>107</v>
      </c>
      <c r="H11" s="766"/>
      <c r="I11" s="766"/>
      <c r="J11" s="766"/>
      <c r="K11" s="766" t="s">
        <v>108</v>
      </c>
      <c r="L11" s="766"/>
      <c r="M11" s="766"/>
      <c r="N11" s="766"/>
      <c r="O11" s="766" t="s">
        <v>138</v>
      </c>
      <c r="P11" s="766"/>
      <c r="Q11" s="766"/>
      <c r="R11" s="766"/>
      <c r="S11" s="766" t="s">
        <v>109</v>
      </c>
      <c r="T11" s="766"/>
      <c r="U11" s="766"/>
      <c r="V11" s="766"/>
      <c r="W11" s="772" t="s">
        <v>137</v>
      </c>
      <c r="X11" s="772"/>
      <c r="Y11" s="772"/>
      <c r="Z11" s="772"/>
      <c r="AA11" s="766" t="s">
        <v>197</v>
      </c>
      <c r="AB11" s="766"/>
      <c r="AC11" s="766"/>
      <c r="AD11" s="766"/>
      <c r="AE11" s="3"/>
      <c r="AF11" s="57" t="s">
        <v>20</v>
      </c>
      <c r="AG11" s="57" t="s">
        <v>21</v>
      </c>
      <c r="AH11" s="57" t="s">
        <v>105</v>
      </c>
      <c r="AI11" s="81"/>
      <c r="AJ11" s="79"/>
      <c r="AK11" s="79"/>
    </row>
    <row r="12" spans="1:37" s="6" customFormat="1" ht="13.5" customHeight="1" thickBot="1">
      <c r="A12" s="24"/>
      <c r="B12" s="75"/>
      <c r="M12" s="414"/>
      <c r="AF12" s="57"/>
      <c r="AG12" s="57"/>
      <c r="AH12" s="452" t="s">
        <v>170</v>
      </c>
      <c r="AJ12" s="79"/>
      <c r="AK12" s="79"/>
    </row>
    <row r="13" spans="1:36" s="6" customFormat="1" ht="16.5" customHeight="1">
      <c r="A13" s="611"/>
      <c r="B13" s="681"/>
      <c r="C13" s="678"/>
      <c r="D13" s="416"/>
      <c r="E13" s="416"/>
      <c r="F13" s="417"/>
      <c r="G13" s="348"/>
      <c r="H13" s="349"/>
      <c r="I13" s="349"/>
      <c r="J13" s="341"/>
      <c r="K13" s="348"/>
      <c r="L13" s="349"/>
      <c r="M13" s="349"/>
      <c r="N13" s="341"/>
      <c r="O13" s="415"/>
      <c r="P13" s="416"/>
      <c r="Q13" s="416"/>
      <c r="R13" s="436"/>
      <c r="S13" s="434"/>
      <c r="T13" s="435"/>
      <c r="U13" s="435"/>
      <c r="V13" s="682"/>
      <c r="W13" s="688"/>
      <c r="X13" s="689"/>
      <c r="Y13" s="689"/>
      <c r="Z13" s="690"/>
      <c r="AA13" s="685"/>
      <c r="AB13" s="435"/>
      <c r="AC13" s="435"/>
      <c r="AD13" s="436"/>
      <c r="AF13" s="59"/>
      <c r="AG13" s="59"/>
      <c r="AH13" s="59"/>
      <c r="AI13" s="81"/>
      <c r="AJ13" s="6" t="s">
        <v>274</v>
      </c>
    </row>
    <row r="14" spans="1:39" s="6" customFormat="1" ht="16.5" customHeight="1">
      <c r="A14" s="745" t="s">
        <v>243</v>
      </c>
      <c r="B14" s="603"/>
      <c r="C14" s="331">
        <v>60000</v>
      </c>
      <c r="D14" s="309">
        <v>45000</v>
      </c>
      <c r="E14" s="309">
        <v>36209</v>
      </c>
      <c r="F14" s="418">
        <f>E14/D14*100</f>
        <v>80.46444444444445</v>
      </c>
      <c r="G14" s="303"/>
      <c r="H14" s="304"/>
      <c r="I14" s="304"/>
      <c r="J14" s="418" t="e">
        <f aca="true" t="shared" si="0" ref="J14:J40">I14/H14*100</f>
        <v>#DIV/0!</v>
      </c>
      <c r="K14" s="303"/>
      <c r="L14" s="304"/>
      <c r="M14" s="304"/>
      <c r="N14" s="418"/>
      <c r="O14" s="303"/>
      <c r="P14" s="304"/>
      <c r="Q14" s="304"/>
      <c r="R14" s="418"/>
      <c r="S14" s="432"/>
      <c r="T14" s="309">
        <v>9482</v>
      </c>
      <c r="U14" s="309">
        <f>T14</f>
        <v>9482</v>
      </c>
      <c r="V14" s="683">
        <f aca="true" t="shared" si="1" ref="V14:V21">U14/T14*100</f>
        <v>100</v>
      </c>
      <c r="W14" s="691"/>
      <c r="X14" s="304"/>
      <c r="Y14" s="304"/>
      <c r="Z14" s="526"/>
      <c r="AA14" s="686"/>
      <c r="AB14" s="304"/>
      <c r="AC14" s="304"/>
      <c r="AD14" s="418"/>
      <c r="AE14" s="453"/>
      <c r="AF14" s="454">
        <f>'Transfery nein.2.5a'!AF15</f>
        <v>266156</v>
      </c>
      <c r="AG14" s="454">
        <f>'Transfery nein.2.5a'!AG15</f>
        <v>328556</v>
      </c>
      <c r="AH14" s="454">
        <f>'Transfery nein.2.5a'!AH15</f>
        <v>319680</v>
      </c>
      <c r="AI14" s="39">
        <f>-AH14-AJ14/1000</f>
        <v>0.5344700000132434</v>
      </c>
      <c r="AJ14" s="455">
        <v>-319680534.47</v>
      </c>
      <c r="AK14" s="456"/>
      <c r="AM14" s="456"/>
    </row>
    <row r="15" spans="1:39" s="6" customFormat="1" ht="16.5" customHeight="1">
      <c r="A15" s="745" t="s">
        <v>244</v>
      </c>
      <c r="B15" s="603"/>
      <c r="C15" s="334">
        <v>3500</v>
      </c>
      <c r="D15" s="304">
        <v>7900</v>
      </c>
      <c r="E15" s="304">
        <v>7900</v>
      </c>
      <c r="F15" s="418">
        <f>E15/D15*100</f>
        <v>100</v>
      </c>
      <c r="G15" s="303"/>
      <c r="H15" s="304"/>
      <c r="I15" s="304"/>
      <c r="J15" s="418" t="e">
        <f t="shared" si="0"/>
        <v>#DIV/0!</v>
      </c>
      <c r="K15" s="303"/>
      <c r="L15" s="304"/>
      <c r="M15" s="304"/>
      <c r="N15" s="418"/>
      <c r="O15" s="303"/>
      <c r="P15" s="304"/>
      <c r="Q15" s="304"/>
      <c r="R15" s="418"/>
      <c r="S15" s="432"/>
      <c r="T15" s="309">
        <v>3150</v>
      </c>
      <c r="U15" s="309">
        <f aca="true" t="shared" si="2" ref="U15:U40">T15</f>
        <v>3150</v>
      </c>
      <c r="V15" s="683">
        <f t="shared" si="1"/>
        <v>100</v>
      </c>
      <c r="W15" s="691"/>
      <c r="X15" s="304"/>
      <c r="Y15" s="304"/>
      <c r="Z15" s="526"/>
      <c r="AA15" s="686"/>
      <c r="AB15" s="304"/>
      <c r="AC15" s="304"/>
      <c r="AD15" s="418"/>
      <c r="AE15" s="457"/>
      <c r="AF15" s="454">
        <f>'Transfery nein.2.5a'!AF16</f>
        <v>43834</v>
      </c>
      <c r="AG15" s="454">
        <f>'Transfery nein.2.5a'!AG16</f>
        <v>60419</v>
      </c>
      <c r="AH15" s="454">
        <f>'Transfery nein.2.5a'!AH16</f>
        <v>60419</v>
      </c>
      <c r="AI15" s="39">
        <f aca="true" t="shared" si="3" ref="AI15:AI43">-AH15-AJ15/1000</f>
        <v>-0.21899999999732245</v>
      </c>
      <c r="AJ15" s="455">
        <v>-60418781</v>
      </c>
      <c r="AK15" s="456"/>
      <c r="AM15" s="456"/>
    </row>
    <row r="16" spans="1:39" s="6" customFormat="1" ht="16.5" customHeight="1">
      <c r="A16" s="745" t="s">
        <v>245</v>
      </c>
      <c r="B16" s="603"/>
      <c r="C16" s="331">
        <v>26683</v>
      </c>
      <c r="D16" s="309">
        <v>38694</v>
      </c>
      <c r="E16" s="309">
        <v>10817</v>
      </c>
      <c r="F16" s="418">
        <f aca="true" t="shared" si="4" ref="F16:F21">E16/D16*100</f>
        <v>27.955238538274667</v>
      </c>
      <c r="G16" s="303"/>
      <c r="H16" s="304"/>
      <c r="I16" s="304"/>
      <c r="J16" s="418" t="e">
        <f t="shared" si="0"/>
        <v>#DIV/0!</v>
      </c>
      <c r="K16" s="303"/>
      <c r="L16" s="304"/>
      <c r="M16" s="304"/>
      <c r="N16" s="418"/>
      <c r="O16" s="303"/>
      <c r="P16" s="304"/>
      <c r="Q16" s="304"/>
      <c r="R16" s="418"/>
      <c r="S16" s="432"/>
      <c r="T16" s="309">
        <v>20510</v>
      </c>
      <c r="U16" s="309">
        <f t="shared" si="2"/>
        <v>20510</v>
      </c>
      <c r="V16" s="683">
        <f t="shared" si="1"/>
        <v>100</v>
      </c>
      <c r="W16" s="691"/>
      <c r="X16" s="304"/>
      <c r="Y16" s="304"/>
      <c r="Z16" s="526"/>
      <c r="AA16" s="686"/>
      <c r="AB16" s="304"/>
      <c r="AC16" s="304"/>
      <c r="AD16" s="418"/>
      <c r="AE16" s="39"/>
      <c r="AF16" s="454">
        <f>'Transfery nein.2.5a'!AF17</f>
        <v>65916</v>
      </c>
      <c r="AG16" s="454">
        <f>'Transfery nein.2.5a'!AG17</f>
        <v>106318</v>
      </c>
      <c r="AH16" s="454">
        <f>'Transfery nein.2.5a'!AH17</f>
        <v>78419</v>
      </c>
      <c r="AI16" s="39">
        <f t="shared" si="3"/>
        <v>-0.7329999999928987</v>
      </c>
      <c r="AJ16" s="455">
        <v>-78418267</v>
      </c>
      <c r="AK16" s="456"/>
      <c r="AM16" s="456"/>
    </row>
    <row r="17" spans="1:39" s="6" customFormat="1" ht="16.5" customHeight="1">
      <c r="A17" s="745" t="s">
        <v>246</v>
      </c>
      <c r="B17" s="603"/>
      <c r="C17" s="331">
        <v>11500</v>
      </c>
      <c r="D17" s="309">
        <v>27282</v>
      </c>
      <c r="E17" s="309">
        <v>26544</v>
      </c>
      <c r="F17" s="418">
        <f t="shared" si="4"/>
        <v>97.29491972729272</v>
      </c>
      <c r="G17" s="303"/>
      <c r="H17" s="304"/>
      <c r="I17" s="304"/>
      <c r="J17" s="418" t="e">
        <f t="shared" si="0"/>
        <v>#DIV/0!</v>
      </c>
      <c r="K17" s="303"/>
      <c r="L17" s="304">
        <v>101</v>
      </c>
      <c r="M17" s="304">
        <v>101</v>
      </c>
      <c r="N17" s="418">
        <f>M17/L17*100</f>
        <v>100</v>
      </c>
      <c r="O17" s="303"/>
      <c r="P17" s="304"/>
      <c r="Q17" s="304"/>
      <c r="R17" s="418"/>
      <c r="S17" s="432"/>
      <c r="T17" s="309">
        <v>2620</v>
      </c>
      <c r="U17" s="309">
        <f t="shared" si="2"/>
        <v>2620</v>
      </c>
      <c r="V17" s="683">
        <f t="shared" si="1"/>
        <v>100</v>
      </c>
      <c r="W17" s="691"/>
      <c r="X17" s="304"/>
      <c r="Y17" s="304"/>
      <c r="Z17" s="526"/>
      <c r="AA17" s="686"/>
      <c r="AB17" s="304"/>
      <c r="AC17" s="304"/>
      <c r="AD17" s="418"/>
      <c r="AE17" s="39"/>
      <c r="AF17" s="454">
        <f>'Transfery nein.2.5a'!AF18</f>
        <v>40872</v>
      </c>
      <c r="AG17" s="454">
        <f>'Transfery nein.2.5a'!AG18</f>
        <v>64431</v>
      </c>
      <c r="AH17" s="454">
        <f>'Transfery nein.2.5a'!AH18</f>
        <v>63785</v>
      </c>
      <c r="AI17" s="39">
        <f t="shared" si="3"/>
        <v>1.0472700000027544</v>
      </c>
      <c r="AJ17" s="455">
        <v>-63786047.27</v>
      </c>
      <c r="AK17" s="456"/>
      <c r="AM17" s="456"/>
    </row>
    <row r="18" spans="1:39" s="6" customFormat="1" ht="16.5" customHeight="1">
      <c r="A18" s="745" t="s">
        <v>247</v>
      </c>
      <c r="B18" s="603"/>
      <c r="C18" s="331">
        <v>10394</v>
      </c>
      <c r="D18" s="309">
        <v>12334</v>
      </c>
      <c r="E18" s="309">
        <v>12334</v>
      </c>
      <c r="F18" s="418">
        <f t="shared" si="4"/>
        <v>100</v>
      </c>
      <c r="G18" s="303"/>
      <c r="H18" s="304"/>
      <c r="I18" s="304"/>
      <c r="J18" s="418" t="e">
        <f t="shared" si="0"/>
        <v>#DIV/0!</v>
      </c>
      <c r="K18" s="303"/>
      <c r="L18" s="304"/>
      <c r="M18" s="304"/>
      <c r="N18" s="418"/>
      <c r="O18" s="303"/>
      <c r="P18" s="304"/>
      <c r="Q18" s="304"/>
      <c r="R18" s="418"/>
      <c r="S18" s="432"/>
      <c r="T18" s="309"/>
      <c r="U18" s="309"/>
      <c r="V18" s="683"/>
      <c r="W18" s="691"/>
      <c r="X18" s="304"/>
      <c r="Y18" s="304"/>
      <c r="Z18" s="526"/>
      <c r="AA18" s="686"/>
      <c r="AB18" s="304"/>
      <c r="AC18" s="304"/>
      <c r="AD18" s="418"/>
      <c r="AE18" s="39"/>
      <c r="AF18" s="454">
        <f>'Transfery nein.2.5a'!AF19</f>
        <v>45969</v>
      </c>
      <c r="AG18" s="454">
        <f>'Transfery nein.2.5a'!AG19</f>
        <v>53718</v>
      </c>
      <c r="AH18" s="454">
        <f>'Transfery nein.2.5a'!AH19</f>
        <v>53719</v>
      </c>
      <c r="AI18" s="39">
        <f t="shared" si="3"/>
        <v>-0.75</v>
      </c>
      <c r="AJ18" s="455">
        <v>-53718250</v>
      </c>
      <c r="AK18" s="456"/>
      <c r="AM18" s="456"/>
    </row>
    <row r="19" spans="1:39" s="6" customFormat="1" ht="16.5" customHeight="1">
      <c r="A19" s="745" t="s">
        <v>248</v>
      </c>
      <c r="B19" s="603"/>
      <c r="C19" s="334"/>
      <c r="D19" s="304"/>
      <c r="E19" s="304"/>
      <c r="F19" s="418"/>
      <c r="G19" s="303"/>
      <c r="H19" s="304"/>
      <c r="I19" s="304"/>
      <c r="J19" s="418" t="e">
        <f t="shared" si="0"/>
        <v>#DIV/0!</v>
      </c>
      <c r="K19" s="303"/>
      <c r="L19" s="304"/>
      <c r="M19" s="304"/>
      <c r="N19" s="418"/>
      <c r="O19" s="303"/>
      <c r="P19" s="304"/>
      <c r="Q19" s="304"/>
      <c r="R19" s="418"/>
      <c r="S19" s="432"/>
      <c r="T19" s="304"/>
      <c r="U19" s="309"/>
      <c r="V19" s="683"/>
      <c r="W19" s="691"/>
      <c r="X19" s="304"/>
      <c r="Y19" s="304"/>
      <c r="Z19" s="526"/>
      <c r="AA19" s="686"/>
      <c r="AB19" s="304"/>
      <c r="AC19" s="304"/>
      <c r="AD19" s="418"/>
      <c r="AE19" s="39"/>
      <c r="AF19" s="454">
        <f>'Transfery nein.2.5a'!AF20</f>
        <v>10155</v>
      </c>
      <c r="AG19" s="454">
        <f>'Transfery nein.2.5a'!AG20</f>
        <v>10983</v>
      </c>
      <c r="AH19" s="454">
        <f>'Transfery nein.2.5a'!AH20</f>
        <v>10969</v>
      </c>
      <c r="AI19" s="39">
        <f t="shared" si="3"/>
        <v>0</v>
      </c>
      <c r="AJ19" s="455">
        <v>-10969000</v>
      </c>
      <c r="AK19" s="456"/>
      <c r="AM19" s="456"/>
    </row>
    <row r="20" spans="1:39" s="6" customFormat="1" ht="16.5" customHeight="1">
      <c r="A20" s="745" t="s">
        <v>249</v>
      </c>
      <c r="B20" s="603"/>
      <c r="C20" s="331">
        <v>11378</v>
      </c>
      <c r="D20" s="309">
        <v>27378</v>
      </c>
      <c r="E20" s="309">
        <f>33050</f>
        <v>33050</v>
      </c>
      <c r="F20" s="418">
        <f t="shared" si="4"/>
        <v>120.71736430710789</v>
      </c>
      <c r="G20" s="303"/>
      <c r="H20" s="304"/>
      <c r="I20" s="304"/>
      <c r="J20" s="418" t="e">
        <f t="shared" si="0"/>
        <v>#DIV/0!</v>
      </c>
      <c r="K20" s="303"/>
      <c r="L20" s="304"/>
      <c r="M20" s="304"/>
      <c r="N20" s="418"/>
      <c r="O20" s="303"/>
      <c r="P20" s="304"/>
      <c r="Q20" s="304"/>
      <c r="R20" s="418"/>
      <c r="S20" s="432"/>
      <c r="T20" s="309">
        <v>4280</v>
      </c>
      <c r="U20" s="309">
        <f t="shared" si="2"/>
        <v>4280</v>
      </c>
      <c r="V20" s="683">
        <f t="shared" si="1"/>
        <v>100</v>
      </c>
      <c r="W20" s="691"/>
      <c r="X20" s="304"/>
      <c r="Y20" s="304"/>
      <c r="Z20" s="526"/>
      <c r="AA20" s="686"/>
      <c r="AB20" s="304"/>
      <c r="AC20" s="304"/>
      <c r="AD20" s="418"/>
      <c r="AE20" s="39"/>
      <c r="AF20" s="454">
        <f>'Transfery nein.2.5a'!AF21</f>
        <v>81007</v>
      </c>
      <c r="AG20" s="454">
        <f>'Transfery nein.2.5a'!AG21</f>
        <v>119411</v>
      </c>
      <c r="AH20" s="454">
        <f>'Transfery nein.2.5a'!AH21</f>
        <v>125082</v>
      </c>
      <c r="AI20" s="39">
        <f t="shared" si="3"/>
        <v>0.873489999998128</v>
      </c>
      <c r="AJ20" s="455">
        <v>-125082873.49</v>
      </c>
      <c r="AK20" s="456"/>
      <c r="AM20" s="456"/>
    </row>
    <row r="21" spans="1:39" s="6" customFormat="1" ht="16.5" customHeight="1">
      <c r="A21" s="745" t="s">
        <v>250</v>
      </c>
      <c r="B21" s="603"/>
      <c r="C21" s="331">
        <v>54500</v>
      </c>
      <c r="D21" s="309">
        <v>43747</v>
      </c>
      <c r="E21" s="309">
        <v>43747</v>
      </c>
      <c r="F21" s="418">
        <f t="shared" si="4"/>
        <v>100</v>
      </c>
      <c r="G21" s="303"/>
      <c r="H21" s="304"/>
      <c r="I21" s="304"/>
      <c r="J21" s="418" t="e">
        <f t="shared" si="0"/>
        <v>#DIV/0!</v>
      </c>
      <c r="K21" s="303"/>
      <c r="L21" s="304">
        <v>76</v>
      </c>
      <c r="M21" s="304">
        <v>76</v>
      </c>
      <c r="N21" s="418">
        <f>M21/L21*100</f>
        <v>100</v>
      </c>
      <c r="O21" s="303"/>
      <c r="P21" s="304"/>
      <c r="Q21" s="304"/>
      <c r="R21" s="418"/>
      <c r="S21" s="432"/>
      <c r="T21" s="309">
        <v>12120</v>
      </c>
      <c r="U21" s="309">
        <f t="shared" si="2"/>
        <v>12120</v>
      </c>
      <c r="V21" s="683">
        <f t="shared" si="1"/>
        <v>100</v>
      </c>
      <c r="W21" s="691"/>
      <c r="X21" s="304"/>
      <c r="Y21" s="304"/>
      <c r="Z21" s="526"/>
      <c r="AA21" s="686"/>
      <c r="AB21" s="304"/>
      <c r="AC21" s="304"/>
      <c r="AD21" s="418"/>
      <c r="AE21" s="39"/>
      <c r="AF21" s="454">
        <f>'Transfery nein.2.5a'!AF22</f>
        <v>140544</v>
      </c>
      <c r="AG21" s="454">
        <f>'Transfery nein.2.5a'!AG22</f>
        <v>153420</v>
      </c>
      <c r="AH21" s="454">
        <f>'Transfery nein.2.5a'!AH22</f>
        <v>153399</v>
      </c>
      <c r="AI21" s="39">
        <f t="shared" si="3"/>
        <v>0.982929999998305</v>
      </c>
      <c r="AJ21" s="455">
        <v>-153399982.93</v>
      </c>
      <c r="AK21" s="456"/>
      <c r="AM21" s="456"/>
    </row>
    <row r="22" spans="1:39" s="6" customFormat="1" ht="16.5" customHeight="1">
      <c r="A22" s="745" t="s">
        <v>251</v>
      </c>
      <c r="B22" s="603"/>
      <c r="C22" s="334"/>
      <c r="D22" s="304"/>
      <c r="E22" s="304"/>
      <c r="F22" s="418"/>
      <c r="G22" s="303"/>
      <c r="H22" s="304"/>
      <c r="I22" s="304"/>
      <c r="J22" s="418" t="e">
        <f t="shared" si="0"/>
        <v>#DIV/0!</v>
      </c>
      <c r="K22" s="303"/>
      <c r="L22" s="304"/>
      <c r="M22" s="304"/>
      <c r="N22" s="418"/>
      <c r="O22" s="303"/>
      <c r="P22" s="304"/>
      <c r="Q22" s="304"/>
      <c r="R22" s="418"/>
      <c r="S22" s="432"/>
      <c r="T22" s="304"/>
      <c r="U22" s="309"/>
      <c r="V22" s="683"/>
      <c r="W22" s="691"/>
      <c r="X22" s="304"/>
      <c r="Y22" s="304"/>
      <c r="Z22" s="526"/>
      <c r="AA22" s="686"/>
      <c r="AB22" s="304"/>
      <c r="AC22" s="304"/>
      <c r="AD22" s="418"/>
      <c r="AE22" s="39"/>
      <c r="AF22" s="454">
        <f>'Transfery nein.2.5a'!AF23</f>
        <v>9411</v>
      </c>
      <c r="AG22" s="454">
        <f>'Transfery nein.2.5a'!AG23</f>
        <v>9553</v>
      </c>
      <c r="AH22" s="454">
        <f>'Transfery nein.2.5a'!AH23</f>
        <v>9553</v>
      </c>
      <c r="AI22" s="39">
        <f t="shared" si="3"/>
        <v>0</v>
      </c>
      <c r="AJ22" s="455">
        <v>-9553000</v>
      </c>
      <c r="AK22" s="456"/>
      <c r="AM22" s="456"/>
    </row>
    <row r="23" spans="1:39" s="6" customFormat="1" ht="16.5" customHeight="1">
      <c r="A23" s="745" t="s">
        <v>252</v>
      </c>
      <c r="B23" s="603"/>
      <c r="C23" s="331">
        <v>1600</v>
      </c>
      <c r="D23" s="309">
        <v>1600</v>
      </c>
      <c r="E23" s="309">
        <v>2103</v>
      </c>
      <c r="F23" s="418">
        <f>E23/D23*100</f>
        <v>131.4375</v>
      </c>
      <c r="G23" s="303"/>
      <c r="H23" s="304"/>
      <c r="I23" s="304"/>
      <c r="J23" s="418" t="e">
        <f t="shared" si="0"/>
        <v>#DIV/0!</v>
      </c>
      <c r="K23" s="303"/>
      <c r="L23" s="304"/>
      <c r="M23" s="304"/>
      <c r="N23" s="418"/>
      <c r="O23" s="303"/>
      <c r="P23" s="304"/>
      <c r="Q23" s="304"/>
      <c r="R23" s="418"/>
      <c r="S23" s="432"/>
      <c r="T23" s="309">
        <v>1853</v>
      </c>
      <c r="U23" s="309">
        <f t="shared" si="2"/>
        <v>1853</v>
      </c>
      <c r="V23" s="683">
        <f aca="true" t="shared" si="5" ref="V23:V31">U23/T23*100</f>
        <v>100</v>
      </c>
      <c r="W23" s="691"/>
      <c r="X23" s="304"/>
      <c r="Y23" s="304"/>
      <c r="Z23" s="526"/>
      <c r="AA23" s="686"/>
      <c r="AB23" s="304"/>
      <c r="AC23" s="304"/>
      <c r="AD23" s="418"/>
      <c r="AE23" s="39"/>
      <c r="AF23" s="454">
        <f>'Transfery nein.2.5a'!AF24</f>
        <v>24475</v>
      </c>
      <c r="AG23" s="454">
        <f>'Transfery nein.2.5a'!AG24</f>
        <v>29744</v>
      </c>
      <c r="AH23" s="454">
        <f>'Transfery nein.2.5a'!AH24</f>
        <v>30230</v>
      </c>
      <c r="AI23" s="39">
        <f t="shared" si="3"/>
        <v>0.37819999999919673</v>
      </c>
      <c r="AJ23" s="455">
        <v>-30230378.2</v>
      </c>
      <c r="AK23" s="456"/>
      <c r="AM23" s="456"/>
    </row>
    <row r="24" spans="1:39" s="6" customFormat="1" ht="16.5" customHeight="1">
      <c r="A24" s="745" t="s">
        <v>253</v>
      </c>
      <c r="B24" s="603"/>
      <c r="C24" s="331"/>
      <c r="D24" s="309">
        <v>4750</v>
      </c>
      <c r="E24" s="309">
        <v>3082</v>
      </c>
      <c r="F24" s="418">
        <f>E24/D24*100</f>
        <v>64.88421052631578</v>
      </c>
      <c r="G24" s="303"/>
      <c r="H24" s="304"/>
      <c r="I24" s="304"/>
      <c r="J24" s="418" t="e">
        <f t="shared" si="0"/>
        <v>#DIV/0!</v>
      </c>
      <c r="K24" s="303"/>
      <c r="L24" s="304"/>
      <c r="M24" s="304"/>
      <c r="N24" s="418"/>
      <c r="O24" s="303"/>
      <c r="P24" s="304"/>
      <c r="Q24" s="304"/>
      <c r="R24" s="418"/>
      <c r="S24" s="432"/>
      <c r="T24" s="309">
        <v>1399</v>
      </c>
      <c r="U24" s="309">
        <f t="shared" si="2"/>
        <v>1399</v>
      </c>
      <c r="V24" s="683">
        <f t="shared" si="5"/>
        <v>100</v>
      </c>
      <c r="W24" s="691"/>
      <c r="X24" s="304"/>
      <c r="Y24" s="304"/>
      <c r="Z24" s="526"/>
      <c r="AA24" s="686"/>
      <c r="AB24" s="304"/>
      <c r="AC24" s="304"/>
      <c r="AD24" s="418"/>
      <c r="AE24" s="39"/>
      <c r="AF24" s="454">
        <f>'Transfery nein.2.5a'!AF25</f>
        <v>11685</v>
      </c>
      <c r="AG24" s="454">
        <f>'Transfery nein.2.5a'!AG25</f>
        <v>20071</v>
      </c>
      <c r="AH24" s="454">
        <f>'Transfery nein.2.5a'!AH25</f>
        <v>18403</v>
      </c>
      <c r="AI24" s="39">
        <f t="shared" si="3"/>
        <v>-0.05400000000008731</v>
      </c>
      <c r="AJ24" s="455">
        <v>-18402946</v>
      </c>
      <c r="AK24" s="456"/>
      <c r="AM24" s="456"/>
    </row>
    <row r="25" spans="1:39" s="6" customFormat="1" ht="16.5" customHeight="1">
      <c r="A25" s="745" t="s">
        <v>254</v>
      </c>
      <c r="B25" s="603"/>
      <c r="C25" s="334"/>
      <c r="D25" s="304"/>
      <c r="E25" s="304"/>
      <c r="F25" s="418"/>
      <c r="G25" s="303"/>
      <c r="H25" s="304"/>
      <c r="I25" s="304"/>
      <c r="J25" s="418" t="e">
        <f t="shared" si="0"/>
        <v>#DIV/0!</v>
      </c>
      <c r="K25" s="303"/>
      <c r="L25" s="304"/>
      <c r="M25" s="304"/>
      <c r="N25" s="418"/>
      <c r="O25" s="303"/>
      <c r="P25" s="304"/>
      <c r="Q25" s="304"/>
      <c r="R25" s="418"/>
      <c r="S25" s="432"/>
      <c r="T25" s="433">
        <v>16860</v>
      </c>
      <c r="U25" s="309">
        <f t="shared" si="2"/>
        <v>16860</v>
      </c>
      <c r="V25" s="683"/>
      <c r="W25" s="691"/>
      <c r="X25" s="304"/>
      <c r="Y25" s="304"/>
      <c r="Z25" s="526"/>
      <c r="AA25" s="686"/>
      <c r="AB25" s="304"/>
      <c r="AC25" s="304"/>
      <c r="AD25" s="418"/>
      <c r="AE25" s="39"/>
      <c r="AF25" s="454">
        <f>'Transfery nein.2.5a'!AF26</f>
        <v>15340</v>
      </c>
      <c r="AG25" s="454">
        <f>'Transfery nein.2.5a'!AG26</f>
        <v>33390</v>
      </c>
      <c r="AH25" s="454">
        <f>'Transfery nein.2.5a'!AH26</f>
        <v>33379</v>
      </c>
      <c r="AI25" s="39">
        <f t="shared" si="3"/>
        <v>-0.5630000000019209</v>
      </c>
      <c r="AJ25" s="455">
        <v>-33378437</v>
      </c>
      <c r="AK25" s="456"/>
      <c r="AM25" s="456"/>
    </row>
    <row r="26" spans="1:39" s="6" customFormat="1" ht="16.5" customHeight="1">
      <c r="A26" s="745" t="s">
        <v>255</v>
      </c>
      <c r="B26" s="603"/>
      <c r="C26" s="331">
        <v>45975</v>
      </c>
      <c r="D26" s="309">
        <v>66406</v>
      </c>
      <c r="E26" s="309">
        <v>63786</v>
      </c>
      <c r="F26" s="418">
        <f aca="true" t="shared" si="6" ref="F26:F33">E26/D26*100</f>
        <v>96.05457338192332</v>
      </c>
      <c r="G26" s="303"/>
      <c r="H26" s="304"/>
      <c r="I26" s="304"/>
      <c r="J26" s="418" t="e">
        <f t="shared" si="0"/>
        <v>#DIV/0!</v>
      </c>
      <c r="K26" s="303"/>
      <c r="L26" s="304"/>
      <c r="M26" s="304"/>
      <c r="N26" s="418"/>
      <c r="O26" s="303"/>
      <c r="P26" s="304"/>
      <c r="Q26" s="304"/>
      <c r="R26" s="418"/>
      <c r="S26" s="432"/>
      <c r="T26" s="309">
        <v>27780</v>
      </c>
      <c r="U26" s="309">
        <f t="shared" si="2"/>
        <v>27780</v>
      </c>
      <c r="V26" s="683">
        <f t="shared" si="5"/>
        <v>100</v>
      </c>
      <c r="W26" s="691"/>
      <c r="X26" s="304">
        <v>53</v>
      </c>
      <c r="Y26" s="304">
        <v>53</v>
      </c>
      <c r="Z26" s="526">
        <f>Y26/X26*100</f>
        <v>100</v>
      </c>
      <c r="AA26" s="686"/>
      <c r="AB26" s="304"/>
      <c r="AC26" s="304"/>
      <c r="AD26" s="418"/>
      <c r="AE26" s="39"/>
      <c r="AF26" s="454">
        <f>'Transfery nein.2.5a'!AF27</f>
        <v>187756</v>
      </c>
      <c r="AG26" s="454">
        <f>'Transfery nein.2.5a'!AG27</f>
        <v>270146</v>
      </c>
      <c r="AH26" s="454">
        <f>'Transfery nein.2.5a'!AH27</f>
        <v>267524</v>
      </c>
      <c r="AI26" s="39">
        <f t="shared" si="3"/>
        <v>0.9176899999729358</v>
      </c>
      <c r="AJ26" s="455">
        <v>-267524917.69</v>
      </c>
      <c r="AK26" s="456"/>
      <c r="AM26" s="456"/>
    </row>
    <row r="27" spans="1:39" s="6" customFormat="1" ht="16.5" customHeight="1">
      <c r="A27" s="745" t="s">
        <v>256</v>
      </c>
      <c r="B27" s="603"/>
      <c r="C27" s="335">
        <v>556</v>
      </c>
      <c r="D27" s="307">
        <v>465</v>
      </c>
      <c r="E27" s="309">
        <v>465</v>
      </c>
      <c r="F27" s="418">
        <f t="shared" si="6"/>
        <v>100</v>
      </c>
      <c r="G27" s="303"/>
      <c r="H27" s="304"/>
      <c r="I27" s="304"/>
      <c r="J27" s="418" t="e">
        <f t="shared" si="0"/>
        <v>#DIV/0!</v>
      </c>
      <c r="K27" s="303"/>
      <c r="L27" s="304"/>
      <c r="M27" s="304"/>
      <c r="N27" s="418"/>
      <c r="O27" s="303"/>
      <c r="P27" s="304"/>
      <c r="Q27" s="304"/>
      <c r="R27" s="418"/>
      <c r="S27" s="432"/>
      <c r="T27" s="309">
        <v>1000</v>
      </c>
      <c r="U27" s="309">
        <f t="shared" si="2"/>
        <v>1000</v>
      </c>
      <c r="V27" s="683">
        <f t="shared" si="5"/>
        <v>100</v>
      </c>
      <c r="W27" s="691"/>
      <c r="X27" s="304"/>
      <c r="Y27" s="304"/>
      <c r="Z27" s="526"/>
      <c r="AA27" s="686"/>
      <c r="AB27" s="304"/>
      <c r="AC27" s="304"/>
      <c r="AD27" s="418"/>
      <c r="AE27" s="39"/>
      <c r="AF27" s="454">
        <f>'Transfery nein.2.5a'!AF28</f>
        <v>23199</v>
      </c>
      <c r="AG27" s="454">
        <f>'Transfery nein.2.5a'!AG28</f>
        <v>26329</v>
      </c>
      <c r="AH27" s="454">
        <f>'Transfery nein.2.5a'!AH28</f>
        <v>26299</v>
      </c>
      <c r="AI27" s="39">
        <f t="shared" si="3"/>
        <v>0.544000000001688</v>
      </c>
      <c r="AJ27" s="455">
        <v>-26299544</v>
      </c>
      <c r="AK27" s="456"/>
      <c r="AM27" s="456"/>
    </row>
    <row r="28" spans="1:39" s="6" customFormat="1" ht="16.5" customHeight="1">
      <c r="A28" s="745" t="s">
        <v>257</v>
      </c>
      <c r="B28" s="603"/>
      <c r="C28" s="331">
        <v>57316</v>
      </c>
      <c r="D28" s="309">
        <v>62883</v>
      </c>
      <c r="E28" s="309">
        <v>62883</v>
      </c>
      <c r="F28" s="418">
        <f t="shared" si="6"/>
        <v>100</v>
      </c>
      <c r="G28" s="303"/>
      <c r="H28" s="304"/>
      <c r="I28" s="304"/>
      <c r="J28" s="418" t="e">
        <f t="shared" si="0"/>
        <v>#DIV/0!</v>
      </c>
      <c r="K28" s="303"/>
      <c r="L28" s="304"/>
      <c r="M28" s="304"/>
      <c r="N28" s="418"/>
      <c r="O28" s="303"/>
      <c r="P28" s="304"/>
      <c r="Q28" s="304"/>
      <c r="R28" s="418"/>
      <c r="S28" s="432"/>
      <c r="T28" s="309">
        <v>6350</v>
      </c>
      <c r="U28" s="309">
        <f t="shared" si="2"/>
        <v>6350</v>
      </c>
      <c r="V28" s="683">
        <f t="shared" si="5"/>
        <v>100</v>
      </c>
      <c r="W28" s="691"/>
      <c r="X28" s="304"/>
      <c r="Y28" s="304"/>
      <c r="Z28" s="526"/>
      <c r="AA28" s="686"/>
      <c r="AB28" s="304"/>
      <c r="AC28" s="304"/>
      <c r="AD28" s="418"/>
      <c r="AE28" s="39"/>
      <c r="AF28" s="454">
        <f>'Transfery nein.2.5a'!AF29</f>
        <v>134815</v>
      </c>
      <c r="AG28" s="454">
        <f>'Transfery nein.2.5a'!AG29</f>
        <v>155618</v>
      </c>
      <c r="AH28" s="454">
        <f>'Transfery nein.2.5a'!AH29</f>
        <v>155618</v>
      </c>
      <c r="AI28" s="39">
        <f t="shared" si="3"/>
        <v>-1.1961100000189617</v>
      </c>
      <c r="AJ28" s="455">
        <v>-155616803.89</v>
      </c>
      <c r="AK28" s="456"/>
      <c r="AM28" s="456"/>
    </row>
    <row r="29" spans="1:39" s="6" customFormat="1" ht="16.5" customHeight="1">
      <c r="A29" s="745" t="s">
        <v>258</v>
      </c>
      <c r="B29" s="603"/>
      <c r="C29" s="331">
        <v>15186</v>
      </c>
      <c r="D29" s="309">
        <v>24465</v>
      </c>
      <c r="E29" s="309">
        <v>24075</v>
      </c>
      <c r="F29" s="418">
        <f t="shared" si="6"/>
        <v>98.40588595953402</v>
      </c>
      <c r="G29" s="303"/>
      <c r="H29" s="304"/>
      <c r="I29" s="304"/>
      <c r="J29" s="418" t="e">
        <f t="shared" si="0"/>
        <v>#DIV/0!</v>
      </c>
      <c r="K29" s="303"/>
      <c r="L29" s="304"/>
      <c r="M29" s="304"/>
      <c r="O29" s="303"/>
      <c r="P29" s="304"/>
      <c r="Q29" s="304"/>
      <c r="R29" s="418"/>
      <c r="S29" s="432"/>
      <c r="T29" s="304">
        <v>150</v>
      </c>
      <c r="U29" s="309">
        <f t="shared" si="2"/>
        <v>150</v>
      </c>
      <c r="V29" s="683">
        <f t="shared" si="5"/>
        <v>100</v>
      </c>
      <c r="W29" s="691"/>
      <c r="X29" s="304"/>
      <c r="Y29" s="304"/>
      <c r="Z29" s="526"/>
      <c r="AA29" s="686"/>
      <c r="AB29" s="304"/>
      <c r="AC29" s="304"/>
      <c r="AD29" s="418"/>
      <c r="AE29" s="39"/>
      <c r="AF29" s="454">
        <f>'Transfery nein.2.5a'!AF30</f>
        <v>41374</v>
      </c>
      <c r="AG29" s="454">
        <f>'Transfery nein.2.5a'!AG30</f>
        <v>57223</v>
      </c>
      <c r="AH29" s="454">
        <f>'Transfery nein.2.5a'!AH30</f>
        <v>56824</v>
      </c>
      <c r="AI29" s="39">
        <f t="shared" si="3"/>
        <v>0.16222999999445165</v>
      </c>
      <c r="AJ29" s="455">
        <v>-56824162.23</v>
      </c>
      <c r="AK29" s="456"/>
      <c r="AM29" s="456"/>
    </row>
    <row r="30" spans="1:39" s="6" customFormat="1" ht="16.5" customHeight="1">
      <c r="A30" s="746" t="s">
        <v>259</v>
      </c>
      <c r="B30" s="603"/>
      <c r="C30" s="331">
        <v>13000</v>
      </c>
      <c r="D30" s="309">
        <v>13000</v>
      </c>
      <c r="E30" s="309">
        <f>12743-1</f>
        <v>12742</v>
      </c>
      <c r="F30" s="418">
        <f t="shared" si="6"/>
        <v>98.01538461538462</v>
      </c>
      <c r="G30" s="303"/>
      <c r="H30" s="304"/>
      <c r="I30" s="304"/>
      <c r="J30" s="418" t="e">
        <f t="shared" si="0"/>
        <v>#DIV/0!</v>
      </c>
      <c r="K30" s="303"/>
      <c r="L30" s="304"/>
      <c r="M30" s="304"/>
      <c r="N30" s="418"/>
      <c r="O30" s="303"/>
      <c r="P30" s="304"/>
      <c r="Q30" s="304"/>
      <c r="R30" s="418"/>
      <c r="S30" s="432"/>
      <c r="T30" s="309">
        <v>1324</v>
      </c>
      <c r="U30" s="309">
        <v>1036</v>
      </c>
      <c r="V30" s="683">
        <f t="shared" si="5"/>
        <v>78.24773413897282</v>
      </c>
      <c r="W30" s="691"/>
      <c r="X30" s="304"/>
      <c r="Y30" s="304"/>
      <c r="Z30" s="526"/>
      <c r="AA30" s="686"/>
      <c r="AB30" s="304"/>
      <c r="AC30" s="304"/>
      <c r="AD30" s="418"/>
      <c r="AE30" s="39"/>
      <c r="AF30" s="454">
        <f>'Transfery nein.2.5a'!AF31</f>
        <v>50260</v>
      </c>
      <c r="AG30" s="454">
        <f>'Transfery nein.2.5a'!AG31</f>
        <v>56782</v>
      </c>
      <c r="AH30" s="454">
        <f>'Transfery nein.2.5a'!AH31</f>
        <v>56236</v>
      </c>
      <c r="AI30" s="39">
        <f t="shared" si="3"/>
        <v>0.6770000000033178</v>
      </c>
      <c r="AJ30" s="455">
        <v>-56236677</v>
      </c>
      <c r="AK30" s="456"/>
      <c r="AM30" s="456"/>
    </row>
    <row r="31" spans="1:39" s="6" customFormat="1" ht="15" customHeight="1">
      <c r="A31" s="745" t="s">
        <v>260</v>
      </c>
      <c r="B31" s="603"/>
      <c r="C31" s="331">
        <v>18200</v>
      </c>
      <c r="D31" s="309">
        <v>18685</v>
      </c>
      <c r="E31" s="309">
        <v>18845</v>
      </c>
      <c r="F31" s="418">
        <f t="shared" si="6"/>
        <v>100.85630184640087</v>
      </c>
      <c r="G31" s="303"/>
      <c r="H31" s="304"/>
      <c r="I31" s="304"/>
      <c r="J31" s="418" t="e">
        <f t="shared" si="0"/>
        <v>#DIV/0!</v>
      </c>
      <c r="K31" s="303"/>
      <c r="L31" s="304"/>
      <c r="M31" s="304"/>
      <c r="N31" s="418"/>
      <c r="O31" s="303"/>
      <c r="P31" s="304"/>
      <c r="Q31" s="304"/>
      <c r="R31" s="418"/>
      <c r="S31" s="432"/>
      <c r="T31" s="309">
        <v>15500</v>
      </c>
      <c r="U31" s="309">
        <f t="shared" si="2"/>
        <v>15500</v>
      </c>
      <c r="V31" s="683">
        <f t="shared" si="5"/>
        <v>100</v>
      </c>
      <c r="W31" s="691"/>
      <c r="X31" s="304"/>
      <c r="Y31" s="304"/>
      <c r="Z31" s="526"/>
      <c r="AA31" s="686"/>
      <c r="AB31" s="304"/>
      <c r="AC31" s="304"/>
      <c r="AD31" s="418"/>
      <c r="AE31" s="39"/>
      <c r="AF31" s="454">
        <f>'Transfery nein.2.5a'!AF32</f>
        <v>50260</v>
      </c>
      <c r="AG31" s="454">
        <f>'Transfery nein.2.5a'!AG32</f>
        <v>70881</v>
      </c>
      <c r="AH31" s="454">
        <f>'Transfery nein.2.5a'!AH32</f>
        <v>71038</v>
      </c>
      <c r="AI31" s="39">
        <f t="shared" si="3"/>
        <v>-0.7870600000023842</v>
      </c>
      <c r="AJ31" s="455">
        <v>-71037212.94</v>
      </c>
      <c r="AK31" s="456"/>
      <c r="AM31" s="456"/>
    </row>
    <row r="32" spans="1:39" s="6" customFormat="1" ht="16.5" customHeight="1">
      <c r="A32" s="745" t="s">
        <v>261</v>
      </c>
      <c r="B32" s="603"/>
      <c r="C32" s="331">
        <v>39500</v>
      </c>
      <c r="D32" s="309">
        <v>46721</v>
      </c>
      <c r="E32" s="309">
        <v>46721</v>
      </c>
      <c r="F32" s="418">
        <f t="shared" si="6"/>
        <v>100</v>
      </c>
      <c r="G32" s="303"/>
      <c r="H32" s="304"/>
      <c r="I32" s="304"/>
      <c r="J32" s="418" t="e">
        <f t="shared" si="0"/>
        <v>#DIV/0!</v>
      </c>
      <c r="K32" s="303"/>
      <c r="L32" s="304"/>
      <c r="M32" s="304"/>
      <c r="N32" s="418"/>
      <c r="O32" s="303"/>
      <c r="P32" s="304"/>
      <c r="Q32" s="304"/>
      <c r="R32" s="418"/>
      <c r="S32" s="432"/>
      <c r="T32" s="309">
        <v>1000</v>
      </c>
      <c r="U32" s="309">
        <f t="shared" si="2"/>
        <v>1000</v>
      </c>
      <c r="V32" s="683">
        <f aca="true" t="shared" si="7" ref="V32:V40">U32/T32*100</f>
        <v>100</v>
      </c>
      <c r="W32" s="691"/>
      <c r="X32" s="304"/>
      <c r="Y32" s="304"/>
      <c r="Z32" s="526"/>
      <c r="AA32" s="686"/>
      <c r="AB32" s="304"/>
      <c r="AC32" s="304"/>
      <c r="AD32" s="418"/>
      <c r="AE32" s="39"/>
      <c r="AF32" s="454">
        <f>'Transfery nein.2.5a'!AF33</f>
        <v>119186</v>
      </c>
      <c r="AG32" s="454">
        <f>'Transfery nein.2.5a'!AG33</f>
        <v>134381</v>
      </c>
      <c r="AH32" s="454">
        <f>'Transfery nein.2.5a'!AH33</f>
        <v>134374</v>
      </c>
      <c r="AI32" s="39">
        <f t="shared" si="3"/>
        <v>0.09103999999933876</v>
      </c>
      <c r="AJ32" s="455">
        <v>-134374091.04</v>
      </c>
      <c r="AK32" s="456"/>
      <c r="AM32" s="456"/>
    </row>
    <row r="33" spans="1:39" s="6" customFormat="1" ht="16.5" customHeight="1">
      <c r="A33" s="745" t="s">
        <v>262</v>
      </c>
      <c r="B33" s="603"/>
      <c r="C33" s="331">
        <v>19749</v>
      </c>
      <c r="D33" s="309">
        <v>15464</v>
      </c>
      <c r="E33" s="309">
        <v>16074</v>
      </c>
      <c r="F33" s="418">
        <f t="shared" si="6"/>
        <v>103.94464562855666</v>
      </c>
      <c r="G33" s="303"/>
      <c r="H33" s="304"/>
      <c r="I33" s="304"/>
      <c r="J33" s="418" t="e">
        <f t="shared" si="0"/>
        <v>#DIV/0!</v>
      </c>
      <c r="K33" s="303"/>
      <c r="L33" s="304"/>
      <c r="M33" s="304"/>
      <c r="N33" s="418"/>
      <c r="O33" s="303"/>
      <c r="P33" s="304">
        <v>2000</v>
      </c>
      <c r="Q33" s="304">
        <v>2000</v>
      </c>
      <c r="R33" s="418">
        <f>Q33/P33*100</f>
        <v>100</v>
      </c>
      <c r="S33" s="432"/>
      <c r="T33" s="309">
        <v>26080</v>
      </c>
      <c r="U33" s="309">
        <f t="shared" si="2"/>
        <v>26080</v>
      </c>
      <c r="V33" s="683">
        <f t="shared" si="7"/>
        <v>100</v>
      </c>
      <c r="W33" s="691"/>
      <c r="X33" s="304">
        <v>1000</v>
      </c>
      <c r="Y33" s="304">
        <v>1000</v>
      </c>
      <c r="Z33" s="526">
        <f>Y33/X33*100</f>
        <v>100</v>
      </c>
      <c r="AA33" s="686"/>
      <c r="AB33" s="304"/>
      <c r="AC33" s="304"/>
      <c r="AD33" s="418"/>
      <c r="AE33" s="39"/>
      <c r="AF33" s="454">
        <f>'Transfery nein.2.5a'!AF34</f>
        <v>49436</v>
      </c>
      <c r="AG33" s="454">
        <f>'Transfery nein.2.5a'!AG34</f>
        <v>78964</v>
      </c>
      <c r="AH33" s="454">
        <f>'Transfery nein.2.5a'!AH34</f>
        <v>79573</v>
      </c>
      <c r="AI33" s="39">
        <f t="shared" si="3"/>
        <v>-0.0701800000097137</v>
      </c>
      <c r="AJ33" s="455">
        <v>-79572929.82</v>
      </c>
      <c r="AK33" s="456"/>
      <c r="AM33" s="456"/>
    </row>
    <row r="34" spans="1:39" s="6" customFormat="1" ht="16.5" customHeight="1">
      <c r="A34" s="745" t="s">
        <v>263</v>
      </c>
      <c r="B34" s="603"/>
      <c r="C34" s="334"/>
      <c r="D34" s="304"/>
      <c r="E34" s="304"/>
      <c r="F34" s="418"/>
      <c r="G34" s="303"/>
      <c r="H34" s="304"/>
      <c r="I34" s="304"/>
      <c r="J34" s="418" t="e">
        <f t="shared" si="0"/>
        <v>#DIV/0!</v>
      </c>
      <c r="K34" s="303"/>
      <c r="L34" s="304"/>
      <c r="M34" s="304"/>
      <c r="N34" s="418"/>
      <c r="O34" s="303"/>
      <c r="P34" s="304">
        <v>2000</v>
      </c>
      <c r="Q34" s="304">
        <v>2000</v>
      </c>
      <c r="R34" s="418">
        <f>Q34/P34*100</f>
        <v>100</v>
      </c>
      <c r="S34" s="432"/>
      <c r="T34" s="309">
        <v>3800</v>
      </c>
      <c r="U34" s="309">
        <f t="shared" si="2"/>
        <v>3800</v>
      </c>
      <c r="V34" s="683">
        <f t="shared" si="7"/>
        <v>100</v>
      </c>
      <c r="W34" s="691"/>
      <c r="X34" s="304">
        <v>1000</v>
      </c>
      <c r="Y34" s="304">
        <v>1000</v>
      </c>
      <c r="Z34" s="526">
        <f>Y34/X34*100</f>
        <v>100</v>
      </c>
      <c r="AA34" s="686"/>
      <c r="AB34" s="304"/>
      <c r="AC34" s="304"/>
      <c r="AD34" s="418"/>
      <c r="AE34" s="39"/>
      <c r="AF34" s="454">
        <f>'Transfery nein.2.5a'!AF35</f>
        <v>27387</v>
      </c>
      <c r="AG34" s="454">
        <f>'Transfery nein.2.5a'!AG35</f>
        <v>35624</v>
      </c>
      <c r="AH34" s="454">
        <f>'Transfery nein.2.5a'!AH35</f>
        <v>35625</v>
      </c>
      <c r="AI34" s="39">
        <f t="shared" si="3"/>
        <v>-0.23300000000017462</v>
      </c>
      <c r="AJ34" s="455">
        <v>-35624767</v>
      </c>
      <c r="AK34" s="456"/>
      <c r="AM34" s="456"/>
    </row>
    <row r="35" spans="1:39" s="6" customFormat="1" ht="16.5" customHeight="1">
      <c r="A35" s="745" t="s">
        <v>264</v>
      </c>
      <c r="B35" s="603"/>
      <c r="C35" s="334"/>
      <c r="D35" s="304"/>
      <c r="E35" s="304"/>
      <c r="F35" s="418"/>
      <c r="G35" s="303"/>
      <c r="H35" s="304"/>
      <c r="I35" s="304"/>
      <c r="J35" s="418" t="e">
        <f t="shared" si="0"/>
        <v>#DIV/0!</v>
      </c>
      <c r="K35" s="303"/>
      <c r="L35" s="304"/>
      <c r="M35" s="304"/>
      <c r="N35" s="418"/>
      <c r="O35" s="303"/>
      <c r="P35" s="304"/>
      <c r="Q35" s="304"/>
      <c r="R35" s="418"/>
      <c r="S35" s="432"/>
      <c r="T35" s="304"/>
      <c r="U35" s="309"/>
      <c r="V35" s="683"/>
      <c r="W35" s="691"/>
      <c r="X35" s="304"/>
      <c r="Y35" s="304"/>
      <c r="Z35" s="526"/>
      <c r="AA35" s="686"/>
      <c r="AB35" s="304"/>
      <c r="AC35" s="304"/>
      <c r="AD35" s="418"/>
      <c r="AE35" s="39"/>
      <c r="AF35" s="454">
        <f>'Transfery nein.2.5a'!AF36</f>
        <v>15307</v>
      </c>
      <c r="AG35" s="454">
        <f>'Transfery nein.2.5a'!AG36</f>
        <v>18354</v>
      </c>
      <c r="AH35" s="454">
        <f>'Transfery nein.2.5a'!AH36</f>
        <v>18354</v>
      </c>
      <c r="AI35" s="39">
        <f t="shared" si="3"/>
        <v>0.21700000000055297</v>
      </c>
      <c r="AJ35" s="455">
        <v>-18354217</v>
      </c>
      <c r="AK35" s="456"/>
      <c r="AM35" s="456"/>
    </row>
    <row r="36" spans="1:39" s="6" customFormat="1" ht="16.5" customHeight="1">
      <c r="A36" s="745" t="s">
        <v>265</v>
      </c>
      <c r="B36" s="603"/>
      <c r="C36" s="331">
        <v>43700</v>
      </c>
      <c r="D36" s="309">
        <v>75672</v>
      </c>
      <c r="E36" s="309">
        <v>75672</v>
      </c>
      <c r="F36" s="418">
        <f>E36/D36*100</f>
        <v>100</v>
      </c>
      <c r="G36" s="303"/>
      <c r="H36" s="304"/>
      <c r="I36" s="304"/>
      <c r="J36" s="418" t="e">
        <f t="shared" si="0"/>
        <v>#DIV/0!</v>
      </c>
      <c r="K36" s="303"/>
      <c r="L36" s="304"/>
      <c r="M36" s="304"/>
      <c r="N36" s="418"/>
      <c r="O36" s="381"/>
      <c r="P36" s="378"/>
      <c r="Q36" s="378"/>
      <c r="R36" s="418"/>
      <c r="S36" s="432"/>
      <c r="T36" s="309">
        <v>5106</v>
      </c>
      <c r="U36" s="309">
        <f t="shared" si="2"/>
        <v>5106</v>
      </c>
      <c r="V36" s="683">
        <f t="shared" si="7"/>
        <v>100</v>
      </c>
      <c r="W36" s="691"/>
      <c r="X36" s="304">
        <v>246</v>
      </c>
      <c r="Y36" s="304">
        <v>246</v>
      </c>
      <c r="Z36" s="526">
        <f>Y36/X36*100</f>
        <v>100</v>
      </c>
      <c r="AA36" s="686"/>
      <c r="AB36" s="304"/>
      <c r="AC36" s="304"/>
      <c r="AD36" s="418"/>
      <c r="AE36" s="39"/>
      <c r="AF36" s="454">
        <f>'Transfery nein.2.5a'!AF37</f>
        <v>134888</v>
      </c>
      <c r="AG36" s="454">
        <f>'Transfery nein.2.5a'!AG37</f>
        <v>189320</v>
      </c>
      <c r="AH36" s="454">
        <f>'Transfery nein.2.5a'!AH37</f>
        <v>189321</v>
      </c>
      <c r="AI36" s="39">
        <f t="shared" si="3"/>
        <v>-0.5759600000164937</v>
      </c>
      <c r="AJ36" s="455">
        <v>-189320424.04</v>
      </c>
      <c r="AK36" s="456"/>
      <c r="AM36" s="456"/>
    </row>
    <row r="37" spans="1:39" s="6" customFormat="1" ht="16.5" customHeight="1">
      <c r="A37" s="745" t="s">
        <v>266</v>
      </c>
      <c r="B37" s="603"/>
      <c r="C37" s="335"/>
      <c r="D37" s="309"/>
      <c r="E37" s="309"/>
      <c r="F37" s="418"/>
      <c r="G37" s="303"/>
      <c r="H37" s="304"/>
      <c r="I37" s="304"/>
      <c r="J37" s="418" t="e">
        <f t="shared" si="0"/>
        <v>#DIV/0!</v>
      </c>
      <c r="K37" s="303"/>
      <c r="L37" s="304"/>
      <c r="M37" s="304"/>
      <c r="N37" s="418"/>
      <c r="O37" s="303"/>
      <c r="P37" s="304"/>
      <c r="Q37" s="304"/>
      <c r="R37" s="418"/>
      <c r="S37" s="432"/>
      <c r="T37" s="309">
        <v>1554</v>
      </c>
      <c r="U37" s="309">
        <f t="shared" si="2"/>
        <v>1554</v>
      </c>
      <c r="V37" s="683">
        <f t="shared" si="7"/>
        <v>100</v>
      </c>
      <c r="W37" s="691"/>
      <c r="X37" s="304"/>
      <c r="Y37" s="304"/>
      <c r="Z37" s="526"/>
      <c r="AA37" s="686"/>
      <c r="AB37" s="304"/>
      <c r="AC37" s="304"/>
      <c r="AD37" s="418"/>
      <c r="AE37" s="39"/>
      <c r="AF37" s="454">
        <f>'Transfery nein.2.5a'!AF38</f>
        <v>15183</v>
      </c>
      <c r="AG37" s="454">
        <f>'Transfery nein.2.5a'!AG38</f>
        <v>18428</v>
      </c>
      <c r="AH37" s="454">
        <f>'Transfery nein.2.5a'!AH38</f>
        <v>18453</v>
      </c>
      <c r="AI37" s="39">
        <f t="shared" si="3"/>
        <v>0.1790000000000873</v>
      </c>
      <c r="AJ37" s="455">
        <v>-18453179</v>
      </c>
      <c r="AK37" s="456"/>
      <c r="AM37" s="456"/>
    </row>
    <row r="38" spans="1:39" s="6" customFormat="1" ht="16.5" customHeight="1">
      <c r="A38" s="745" t="s">
        <v>267</v>
      </c>
      <c r="B38" s="603"/>
      <c r="C38" s="331">
        <v>12000</v>
      </c>
      <c r="D38" s="309">
        <v>18116</v>
      </c>
      <c r="E38" s="309">
        <v>18116</v>
      </c>
      <c r="F38" s="418">
        <f>E38/D38*100</f>
        <v>100</v>
      </c>
      <c r="G38" s="303"/>
      <c r="H38" s="304"/>
      <c r="I38" s="304"/>
      <c r="J38" s="418" t="e">
        <f t="shared" si="0"/>
        <v>#DIV/0!</v>
      </c>
      <c r="K38" s="303"/>
      <c r="L38" s="304"/>
      <c r="M38" s="304"/>
      <c r="N38" s="418"/>
      <c r="O38" s="303"/>
      <c r="P38" s="304">
        <v>3029</v>
      </c>
      <c r="Q38" s="304">
        <v>3029</v>
      </c>
      <c r="R38" s="418">
        <f>Q38/P38*100</f>
        <v>100</v>
      </c>
      <c r="S38" s="432"/>
      <c r="T38" s="309">
        <v>3000</v>
      </c>
      <c r="U38" s="309">
        <f t="shared" si="2"/>
        <v>3000</v>
      </c>
      <c r="V38" s="683">
        <f t="shared" si="7"/>
        <v>100</v>
      </c>
      <c r="W38" s="691"/>
      <c r="X38" s="304"/>
      <c r="Y38" s="304"/>
      <c r="Z38" s="526"/>
      <c r="AA38" s="686"/>
      <c r="AB38" s="304"/>
      <c r="AC38" s="304"/>
      <c r="AD38" s="418"/>
      <c r="AE38" s="39"/>
      <c r="AF38" s="454">
        <f>'Transfery nein.2.5a'!AF39</f>
        <v>55911</v>
      </c>
      <c r="AG38" s="454">
        <f>'Transfery nein.2.5a'!AG39</f>
        <v>78551</v>
      </c>
      <c r="AH38" s="454">
        <f>'Transfery nein.2.5a'!AH39</f>
        <v>78551</v>
      </c>
      <c r="AI38" s="39">
        <f t="shared" si="3"/>
        <v>0.10851000000548083</v>
      </c>
      <c r="AJ38" s="455">
        <v>-78551108.51</v>
      </c>
      <c r="AK38" s="456"/>
      <c r="AM38" s="456"/>
    </row>
    <row r="39" spans="1:39" s="6" customFormat="1" ht="16.5" customHeight="1">
      <c r="A39" s="745" t="s">
        <v>268</v>
      </c>
      <c r="B39" s="603"/>
      <c r="C39" s="334"/>
      <c r="D39" s="304"/>
      <c r="E39" s="304"/>
      <c r="F39" s="418"/>
      <c r="G39" s="303"/>
      <c r="H39" s="304"/>
      <c r="I39" s="304"/>
      <c r="J39" s="418" t="e">
        <f t="shared" si="0"/>
        <v>#DIV/0!</v>
      </c>
      <c r="K39" s="303"/>
      <c r="L39" s="304"/>
      <c r="M39" s="304"/>
      <c r="N39" s="418"/>
      <c r="O39" s="303"/>
      <c r="P39" s="304"/>
      <c r="Q39" s="304"/>
      <c r="R39" s="418"/>
      <c r="S39" s="432"/>
      <c r="T39" s="309"/>
      <c r="U39" s="309"/>
      <c r="V39" s="683"/>
      <c r="W39" s="691"/>
      <c r="X39" s="304"/>
      <c r="Y39" s="304"/>
      <c r="Z39" s="526"/>
      <c r="AA39" s="686"/>
      <c r="AB39" s="304"/>
      <c r="AC39" s="304"/>
      <c r="AD39" s="418"/>
      <c r="AE39" s="39"/>
      <c r="AF39" s="454">
        <f>'Transfery nein.2.5a'!AF40</f>
        <v>4717</v>
      </c>
      <c r="AG39" s="454">
        <f>'Transfery nein.2.5a'!AG40</f>
        <v>5480</v>
      </c>
      <c r="AH39" s="454">
        <f>'Transfery nein.2.5a'!AH40</f>
        <v>5469</v>
      </c>
      <c r="AI39" s="39">
        <f t="shared" si="3"/>
        <v>-0.613999999999578</v>
      </c>
      <c r="AJ39" s="455">
        <v>-5468386</v>
      </c>
      <c r="AK39" s="456"/>
      <c r="AM39" s="456"/>
    </row>
    <row r="40" spans="1:39" s="6" customFormat="1" ht="16.5" customHeight="1">
      <c r="A40" s="745" t="s">
        <v>269</v>
      </c>
      <c r="B40" s="603"/>
      <c r="C40" s="334"/>
      <c r="D40" s="304"/>
      <c r="E40" s="304"/>
      <c r="F40" s="418"/>
      <c r="G40" s="303"/>
      <c r="H40" s="304"/>
      <c r="I40" s="304"/>
      <c r="J40" s="418" t="e">
        <f t="shared" si="0"/>
        <v>#DIV/0!</v>
      </c>
      <c r="K40" s="303"/>
      <c r="L40" s="304"/>
      <c r="M40" s="304"/>
      <c r="N40" s="418"/>
      <c r="O40" s="303"/>
      <c r="P40" s="304"/>
      <c r="Q40" s="304"/>
      <c r="R40" s="418"/>
      <c r="S40" s="431">
        <v>100</v>
      </c>
      <c r="T40" s="309">
        <v>400</v>
      </c>
      <c r="U40" s="309">
        <f t="shared" si="2"/>
        <v>400</v>
      </c>
      <c r="V40" s="683">
        <f t="shared" si="7"/>
        <v>100</v>
      </c>
      <c r="W40" s="691"/>
      <c r="X40" s="304"/>
      <c r="Y40" s="304"/>
      <c r="Z40" s="526"/>
      <c r="AA40" s="686"/>
      <c r="AB40" s="304"/>
      <c r="AC40" s="304"/>
      <c r="AD40" s="418"/>
      <c r="AE40" s="39"/>
      <c r="AF40" s="454">
        <f>'Transfery nein.2.5a'!AF41</f>
        <v>6000</v>
      </c>
      <c r="AG40" s="454">
        <f>'Transfery nein.2.5a'!AG41</f>
        <v>6696</v>
      </c>
      <c r="AH40" s="454">
        <f>'Transfery nein.2.5a'!AH41</f>
        <v>6696</v>
      </c>
      <c r="AI40" s="39">
        <f t="shared" si="3"/>
        <v>-0.5</v>
      </c>
      <c r="AJ40" s="455">
        <v>-6695500</v>
      </c>
      <c r="AK40" s="456"/>
      <c r="AM40" s="456"/>
    </row>
    <row r="41" spans="1:39" s="6" customFormat="1" ht="16.5" customHeight="1">
      <c r="A41" s="745" t="s">
        <v>270</v>
      </c>
      <c r="B41" s="603"/>
      <c r="C41" s="679"/>
      <c r="D41" s="304"/>
      <c r="E41" s="366"/>
      <c r="F41" s="418"/>
      <c r="G41" s="365"/>
      <c r="H41" s="304"/>
      <c r="I41" s="366"/>
      <c r="J41" s="418" t="e">
        <f>I41/H41*100</f>
        <v>#DIV/0!</v>
      </c>
      <c r="K41" s="303"/>
      <c r="L41" s="304"/>
      <c r="M41" s="366"/>
      <c r="N41" s="418"/>
      <c r="O41" s="365"/>
      <c r="P41" s="304"/>
      <c r="Q41" s="366"/>
      <c r="R41" s="418"/>
      <c r="S41" s="432"/>
      <c r="T41" s="366"/>
      <c r="U41" s="366"/>
      <c r="V41" s="683"/>
      <c r="W41" s="691"/>
      <c r="X41" s="366">
        <v>200</v>
      </c>
      <c r="Y41" s="366">
        <v>200</v>
      </c>
      <c r="Z41" s="526">
        <f>Y41/X41*100</f>
        <v>100</v>
      </c>
      <c r="AA41" s="686"/>
      <c r="AB41" s="366"/>
      <c r="AC41" s="366"/>
      <c r="AD41" s="418"/>
      <c r="AE41" s="39"/>
      <c r="AF41" s="454">
        <f>'Transfery nein.2.5a'!AF42</f>
        <v>3079</v>
      </c>
      <c r="AG41" s="454">
        <f>'Transfery nein.2.5a'!AG42</f>
        <v>3732</v>
      </c>
      <c r="AH41" s="454">
        <f>'Transfery nein.2.5a'!AH42</f>
        <v>3729</v>
      </c>
      <c r="AI41" s="39">
        <f t="shared" si="3"/>
        <v>-0.15579999999999927</v>
      </c>
      <c r="AJ41" s="455">
        <v>-3728844.2</v>
      </c>
      <c r="AK41" s="456"/>
      <c r="AM41" s="456"/>
    </row>
    <row r="42" spans="1:39" s="6" customFormat="1" ht="15" customHeight="1">
      <c r="A42" s="745" t="s">
        <v>271</v>
      </c>
      <c r="B42" s="751"/>
      <c r="C42" s="334"/>
      <c r="D42" s="304"/>
      <c r="E42" s="304"/>
      <c r="F42" s="418"/>
      <c r="G42" s="381"/>
      <c r="H42" s="304"/>
      <c r="I42" s="378"/>
      <c r="J42" s="418" t="e">
        <f>I42/H42*100</f>
        <v>#DIV/0!</v>
      </c>
      <c r="K42" s="381"/>
      <c r="L42" s="304"/>
      <c r="M42" s="378"/>
      <c r="N42" s="418"/>
      <c r="O42" s="430"/>
      <c r="P42" s="304"/>
      <c r="Q42" s="378"/>
      <c r="R42" s="418"/>
      <c r="S42" s="432"/>
      <c r="T42" s="304"/>
      <c r="U42" s="304"/>
      <c r="V42" s="683"/>
      <c r="W42" s="691"/>
      <c r="X42" s="304"/>
      <c r="Y42" s="304"/>
      <c r="Z42" s="526"/>
      <c r="AA42" s="686"/>
      <c r="AB42" s="304"/>
      <c r="AC42" s="304"/>
      <c r="AD42" s="418"/>
      <c r="AE42" s="39"/>
      <c r="AF42" s="454">
        <f>'Transfery nein.2.5a'!AF43</f>
        <v>2367</v>
      </c>
      <c r="AG42" s="454">
        <f>'Transfery nein.2.5a'!AG43</f>
        <v>2492</v>
      </c>
      <c r="AH42" s="454">
        <f>'Transfery nein.2.5a'!AH43</f>
        <v>2512</v>
      </c>
      <c r="AI42" s="39">
        <f t="shared" si="3"/>
        <v>-0.45899999999983265</v>
      </c>
      <c r="AJ42" s="455">
        <v>-2511541</v>
      </c>
      <c r="AK42" s="456"/>
      <c r="AM42" s="456"/>
    </row>
    <row r="43" spans="1:35" s="6" customFormat="1" ht="15" customHeight="1" thickBot="1">
      <c r="A43" s="245"/>
      <c r="B43" s="652"/>
      <c r="C43" s="680"/>
      <c r="D43" s="419"/>
      <c r="E43" s="419"/>
      <c r="F43" s="420"/>
      <c r="G43" s="367"/>
      <c r="H43" s="363"/>
      <c r="I43" s="368"/>
      <c r="J43" s="421"/>
      <c r="K43" s="367"/>
      <c r="L43" s="363"/>
      <c r="M43" s="368"/>
      <c r="N43" s="421"/>
      <c r="O43" s="367"/>
      <c r="P43" s="368"/>
      <c r="Q43" s="368"/>
      <c r="R43" s="439"/>
      <c r="S43" s="437"/>
      <c r="T43" s="419"/>
      <c r="U43" s="419"/>
      <c r="V43" s="684"/>
      <c r="W43" s="692"/>
      <c r="X43" s="693"/>
      <c r="Y43" s="693"/>
      <c r="Z43" s="694"/>
      <c r="AA43" s="687"/>
      <c r="AB43" s="419"/>
      <c r="AC43" s="419"/>
      <c r="AD43" s="420"/>
      <c r="AE43" s="39"/>
      <c r="AF43" s="454">
        <f>'Transfery nein.2.5a'!AF44</f>
        <v>0</v>
      </c>
      <c r="AG43" s="454">
        <f>'Transfery nein.2.5a'!AG44</f>
        <v>0</v>
      </c>
      <c r="AH43" s="454">
        <f>'Transfery nein.2.5a'!AH44</f>
        <v>0</v>
      </c>
      <c r="AI43" s="39">
        <f t="shared" si="3"/>
        <v>0</v>
      </c>
    </row>
    <row r="44" spans="3:35" s="6" customFormat="1" ht="15" customHeight="1">
      <c r="C44" s="422"/>
      <c r="D44" s="422"/>
      <c r="E44" s="422"/>
      <c r="F44" s="423"/>
      <c r="G44" s="422"/>
      <c r="H44" s="422"/>
      <c r="I44" s="422"/>
      <c r="J44" s="424"/>
      <c r="K44" s="422"/>
      <c r="L44" s="422"/>
      <c r="M44" s="422"/>
      <c r="N44" s="424"/>
      <c r="O44" s="422"/>
      <c r="P44" s="422"/>
      <c r="Q44" s="422"/>
      <c r="R44" s="424"/>
      <c r="S44" s="424"/>
      <c r="T44" s="424"/>
      <c r="U44" s="424"/>
      <c r="V44" s="424"/>
      <c r="W44" s="422"/>
      <c r="X44" s="422"/>
      <c r="Y44" s="422"/>
      <c r="Z44" s="423"/>
      <c r="AA44" s="424"/>
      <c r="AB44" s="424"/>
      <c r="AC44" s="424"/>
      <c r="AD44" s="424"/>
      <c r="AF44" s="454"/>
      <c r="AG44" s="454"/>
      <c r="AH44" s="454">
        <f>'Transfery neinvestiční 2.5'!E44+'Transfery neinvestiční 2.5'!I44+'Transfery neinvestiční 2.5'!M44+'Transfery neinvestiční 2.5'!Q44+'Transfery nein.2.5a'!E45+'Transfery nein.2.5a'!Q45+'Transfery nein.2.5a'!Y45+'Transfery nein.2.5a'!U45+E44+I44+M44+Q44+U44+Y44+AC44</f>
        <v>0</v>
      </c>
      <c r="AI44" s="39"/>
    </row>
    <row r="45" spans="3:35" s="6" customFormat="1" ht="19.5" customHeight="1" thickBot="1">
      <c r="C45" s="422"/>
      <c r="D45" s="422"/>
      <c r="E45" s="422"/>
      <c r="F45" s="423"/>
      <c r="G45" s="422"/>
      <c r="H45" s="422"/>
      <c r="I45" s="422"/>
      <c r="J45" s="424"/>
      <c r="K45" s="422"/>
      <c r="L45" s="422"/>
      <c r="M45" s="422"/>
      <c r="N45" s="424"/>
      <c r="O45" s="422"/>
      <c r="P45" s="422"/>
      <c r="Q45" s="422"/>
      <c r="R45" s="424"/>
      <c r="S45" s="424"/>
      <c r="T45" s="424"/>
      <c r="U45" s="424"/>
      <c r="V45" s="424"/>
      <c r="W45" s="422"/>
      <c r="X45" s="422"/>
      <c r="Y45" s="422"/>
      <c r="Z45" s="423"/>
      <c r="AA45" s="424"/>
      <c r="AB45" s="424"/>
      <c r="AC45" s="424"/>
      <c r="AD45" s="424"/>
      <c r="AF45" s="454"/>
      <c r="AG45" s="454"/>
      <c r="AH45" s="454"/>
      <c r="AI45" s="39"/>
    </row>
    <row r="46" spans="1:39" s="6" customFormat="1" ht="18" customHeight="1" thickBot="1" thickTop="1">
      <c r="A46" s="37" t="s">
        <v>6</v>
      </c>
      <c r="C46" s="314">
        <f>SUM(C14:C42)</f>
        <v>444737</v>
      </c>
      <c r="D46" s="315">
        <f>SUM(D14:D42)</f>
        <v>550562</v>
      </c>
      <c r="E46" s="315">
        <f>SUM(E14:E42)</f>
        <v>515165</v>
      </c>
      <c r="F46" s="428">
        <f>E46/D46*100</f>
        <v>93.57075134135665</v>
      </c>
      <c r="G46" s="835"/>
      <c r="H46" s="427">
        <f>SUM(H13:H43)</f>
        <v>0</v>
      </c>
      <c r="I46" s="427">
        <f>SUM(I13:I43)</f>
        <v>0</v>
      </c>
      <c r="J46" s="428" t="e">
        <f>I46/H46*100</f>
        <v>#DIV/0!</v>
      </c>
      <c r="K46" s="429"/>
      <c r="L46" s="315">
        <f>SUM(L13:L43)</f>
        <v>177</v>
      </c>
      <c r="M46" s="315">
        <f>SUM(M13:M43)</f>
        <v>177</v>
      </c>
      <c r="N46" s="428">
        <f>M46/L46*100</f>
        <v>100</v>
      </c>
      <c r="O46" s="314"/>
      <c r="P46" s="315">
        <f>SUM(P14:P42)</f>
        <v>7029</v>
      </c>
      <c r="Q46" s="315">
        <f>SUM(Q14:Q42)</f>
        <v>7029</v>
      </c>
      <c r="R46" s="428">
        <f>Q46/P46*100</f>
        <v>100</v>
      </c>
      <c r="S46" s="438"/>
      <c r="T46" s="315">
        <f>SUM(T13:T43)</f>
        <v>165318</v>
      </c>
      <c r="U46" s="315">
        <f>SUM(U13:U43)</f>
        <v>165030</v>
      </c>
      <c r="V46" s="425">
        <f>U46/T46*100</f>
        <v>99.82579029506769</v>
      </c>
      <c r="W46" s="426"/>
      <c r="X46" s="427">
        <f>SUM(X14:X42)</f>
        <v>2499</v>
      </c>
      <c r="Y46" s="427">
        <f>SUM(Y14:Y42)</f>
        <v>2499</v>
      </c>
      <c r="Z46" s="697">
        <f>Y46/X46*100</f>
        <v>100</v>
      </c>
      <c r="AA46" s="696"/>
      <c r="AB46" s="315">
        <f>SUM(AB13:AB43)</f>
        <v>0</v>
      </c>
      <c r="AC46" s="315">
        <f>SUM(AC13:AC43)</f>
        <v>0</v>
      </c>
      <c r="AD46" s="428"/>
      <c r="AE46" s="60"/>
      <c r="AF46" s="458">
        <f>SUM(AF14:AF45)</f>
        <v>1676489</v>
      </c>
      <c r="AG46" s="458">
        <f>SUM(AG14:AG45)</f>
        <v>2199015</v>
      </c>
      <c r="AH46" s="458">
        <f>SUM(AH14:AH45)</f>
        <v>2163233</v>
      </c>
      <c r="AI46" s="458">
        <f>SUM(AI14:AI45)</f>
        <v>-0.19728000004988644</v>
      </c>
      <c r="AJ46" s="459">
        <f>SUM(AJ14:AJ42)*-1</f>
        <v>2163232802.72</v>
      </c>
      <c r="AK46" s="460"/>
      <c r="AL46" s="460"/>
      <c r="AM46" s="460"/>
    </row>
    <row r="47" spans="32:35" s="6" customFormat="1" ht="15.75">
      <c r="AF47" s="39"/>
      <c r="AG47" s="39"/>
      <c r="AH47" s="39"/>
      <c r="AI47" s="39"/>
    </row>
    <row r="48" s="317" customFormat="1" ht="15" customHeight="1"/>
    <row r="49" s="6" customFormat="1" ht="15.75">
      <c r="AI49" s="39"/>
    </row>
    <row r="50" spans="2:34" ht="15.75">
      <c r="B50" s="252" t="s">
        <v>179</v>
      </c>
      <c r="C50" s="322">
        <v>444737</v>
      </c>
      <c r="D50" s="322">
        <v>550562</v>
      </c>
      <c r="E50" s="322">
        <v>515165</v>
      </c>
      <c r="F50" s="322"/>
      <c r="G50" s="322"/>
      <c r="H50" s="322">
        <v>14900</v>
      </c>
      <c r="I50" s="322">
        <v>14900</v>
      </c>
      <c r="J50" s="322"/>
      <c r="K50" s="322"/>
      <c r="L50" s="322">
        <v>177</v>
      </c>
      <c r="M50" s="322">
        <v>177</v>
      </c>
      <c r="N50" s="322"/>
      <c r="O50" s="322"/>
      <c r="P50" s="322">
        <v>7029</v>
      </c>
      <c r="Q50" s="322">
        <v>7029</v>
      </c>
      <c r="R50" s="322"/>
      <c r="S50" s="322"/>
      <c r="T50" s="322">
        <v>165318</v>
      </c>
      <c r="U50" s="322">
        <v>165030</v>
      </c>
      <c r="V50" s="322"/>
      <c r="W50" s="322"/>
      <c r="X50" s="322">
        <v>2499</v>
      </c>
      <c r="Y50" s="322">
        <v>2499</v>
      </c>
      <c r="Z50" s="322"/>
      <c r="AA50" s="259"/>
      <c r="AB50" s="259"/>
      <c r="AC50" s="259">
        <v>6930</v>
      </c>
      <c r="AD50" s="259"/>
      <c r="AF50" s="443">
        <v>1676489</v>
      </c>
      <c r="AG50" s="443">
        <v>2199015</v>
      </c>
      <c r="AH50" s="443">
        <v>2163233</v>
      </c>
    </row>
    <row r="51" spans="20:34" ht="15.75">
      <c r="T51" s="6">
        <v>165318</v>
      </c>
      <c r="U51" s="6">
        <v>165030</v>
      </c>
      <c r="AF51" s="272"/>
      <c r="AG51" s="272"/>
      <c r="AH51" s="272"/>
    </row>
    <row r="52" spans="20:21" ht="15.75">
      <c r="T52" s="6" t="s">
        <v>272</v>
      </c>
      <c r="U52" s="6" t="s">
        <v>272</v>
      </c>
    </row>
    <row r="55" ht="15.75">
      <c r="M55" s="262">
        <f>M46+Q46+Y46</f>
        <v>9705</v>
      </c>
    </row>
    <row r="57" spans="20:21" ht="15.75">
      <c r="T57" s="252">
        <v>2009</v>
      </c>
      <c r="U57" s="252">
        <v>169796</v>
      </c>
    </row>
    <row r="60" spans="1:2" ht="15.75">
      <c r="A60" s="264"/>
      <c r="B60" s="264"/>
    </row>
    <row r="61" spans="1:2" ht="15.75">
      <c r="A61" s="282"/>
      <c r="B61" s="282"/>
    </row>
    <row r="96" ht="16.5" thickBot="1"/>
    <row r="97" spans="1:2" ht="16.5" thickBot="1">
      <c r="A97" s="261"/>
      <c r="B97" s="261"/>
    </row>
  </sheetData>
  <mergeCells count="23">
    <mergeCell ref="AF9:AH9"/>
    <mergeCell ref="O11:R11"/>
    <mergeCell ref="S11:V11"/>
    <mergeCell ref="W11:Z11"/>
    <mergeCell ref="A2:Z2"/>
    <mergeCell ref="C7:F7"/>
    <mergeCell ref="G7:J7"/>
    <mergeCell ref="C8:F8"/>
    <mergeCell ref="W7:Z7"/>
    <mergeCell ref="K8:N8"/>
    <mergeCell ref="O7:R7"/>
    <mergeCell ref="K7:N7"/>
    <mergeCell ref="O8:R8"/>
    <mergeCell ref="G8:J8"/>
    <mergeCell ref="A9:B9"/>
    <mergeCell ref="AA7:AD7"/>
    <mergeCell ref="AA11:AD11"/>
    <mergeCell ref="AA8:AD8"/>
    <mergeCell ref="S7:V7"/>
    <mergeCell ref="S8:V8"/>
    <mergeCell ref="C11:F11"/>
    <mergeCell ref="G11:J11"/>
    <mergeCell ref="K11:N11"/>
  </mergeCells>
  <printOptions horizontalCentered="1" verticalCentered="1"/>
  <pageMargins left="0.3937007874015748" right="0.3937007874015748" top="0.7480314960629921" bottom="0.7480314960629921" header="0.5118110236220472" footer="0.5118110236220472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trnecka</cp:lastModifiedBy>
  <cp:lastPrinted>2011-04-14T08:23:51Z</cp:lastPrinted>
  <dcterms:created xsi:type="dcterms:W3CDTF">1999-07-13T07:42:57Z</dcterms:created>
  <dcterms:modified xsi:type="dcterms:W3CDTF">2011-04-14T08:23:57Z</dcterms:modified>
  <cp:category/>
  <cp:version/>
  <cp:contentType/>
  <cp:contentStatus/>
</cp:coreProperties>
</file>