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tabRatio="594" activeTab="0"/>
  </bookViews>
  <sheets>
    <sheet name="Statut=Město+MČ" sheetId="1" r:id="rId1"/>
    <sheet name="Transfery" sheetId="2" r:id="rId2"/>
    <sheet name="Statut" sheetId="3" r:id="rId3"/>
    <sheet name="Město" sheetId="4" r:id="rId4"/>
    <sheet name="MČ" sheetId="5" r:id="rId5"/>
  </sheets>
  <definedNames>
    <definedName name="_xlnm.Print_Area" localSheetId="4">'MČ'!$A$1:$H$91</definedName>
    <definedName name="_xlnm.Print_Area" localSheetId="3">'Město'!$A$1:$H$100</definedName>
    <definedName name="_xlnm.Print_Area" localSheetId="2">'Statut'!$A$1:$R$115</definedName>
    <definedName name="_xlnm.Print_Area" localSheetId="0">'Statut=Město+MČ'!$A$1:$R$115</definedName>
    <definedName name="_xlnm.Print_Area" localSheetId="1">'Transfery'!$A$1:$D$73</definedName>
  </definedNames>
  <calcPr fullCalcOnLoad="1"/>
</workbook>
</file>

<file path=xl/sharedStrings.xml><?xml version="1.0" encoding="utf-8"?>
<sst xmlns="http://schemas.openxmlformats.org/spreadsheetml/2006/main" count="1098" uniqueCount="229">
  <si>
    <t>%</t>
  </si>
  <si>
    <t>č.ř.</t>
  </si>
  <si>
    <t>PŘÍJMY</t>
  </si>
  <si>
    <t xml:space="preserve">Daň z příjmů fyz.osob ze samostatné výdělečné činnosti  </t>
  </si>
  <si>
    <t xml:space="preserve">Daň z příjmů právnických osob </t>
  </si>
  <si>
    <t xml:space="preserve">Daň z nemovitostí  </t>
  </si>
  <si>
    <t xml:space="preserve">Daň z příjmů právnických osob za obce - VHČ </t>
  </si>
  <si>
    <t>Správní poplatky</t>
  </si>
  <si>
    <t xml:space="preserve">Příjmy z vlastní činnosti </t>
  </si>
  <si>
    <t xml:space="preserve">Příjmy z pronájmu majetku </t>
  </si>
  <si>
    <t xml:space="preserve">Přijaté sankční platby </t>
  </si>
  <si>
    <t>Jiné nedaňové příjmy</t>
  </si>
  <si>
    <t>VÝDAJE</t>
  </si>
  <si>
    <t>Rezerva rozpočtu</t>
  </si>
  <si>
    <t>Investiční transfery městským částem</t>
  </si>
  <si>
    <t>PŘEHLED HOSPODAŘENÍ</t>
  </si>
  <si>
    <t>Financování</t>
  </si>
  <si>
    <t>Neinvestiční příspěvky zřízeným příspěvkovým organizacím</t>
  </si>
  <si>
    <t>Investiční transfery neziskovým a podobným organizacím</t>
  </si>
  <si>
    <t>FINANCOVÁNÍ</t>
  </si>
  <si>
    <t>Změna stavu krátkodobých prostředků na bankovních účtech</t>
  </si>
  <si>
    <t>Aktivní krátkodobé operace řízení likvidity</t>
  </si>
  <si>
    <t>rozpočet</t>
  </si>
  <si>
    <t>Skutečnost</t>
  </si>
  <si>
    <t>522x</t>
  </si>
  <si>
    <t>521x mimo 5213</t>
  </si>
  <si>
    <t>533x mimo 5331</t>
  </si>
  <si>
    <t>Ostatní neinvestiční výdaje</t>
  </si>
  <si>
    <t>631x</t>
  </si>
  <si>
    <t>632x</t>
  </si>
  <si>
    <t>646x</t>
  </si>
  <si>
    <t>133x</t>
  </si>
  <si>
    <t>134x</t>
  </si>
  <si>
    <t>211x</t>
  </si>
  <si>
    <t>212x</t>
  </si>
  <si>
    <t>213x</t>
  </si>
  <si>
    <t>221x</t>
  </si>
  <si>
    <t xml:space="preserve">Ostatní kapitálové výdaje </t>
  </si>
  <si>
    <t>třída</t>
  </si>
  <si>
    <t>podseskupení</t>
  </si>
  <si>
    <t>položka</t>
  </si>
  <si>
    <t>městské části</t>
  </si>
  <si>
    <t>311x</t>
  </si>
  <si>
    <t>tř. 1</t>
  </si>
  <si>
    <t>tř. 3</t>
  </si>
  <si>
    <t>tř. 4</t>
  </si>
  <si>
    <t>tř. 5</t>
  </si>
  <si>
    <t>tř. 6</t>
  </si>
  <si>
    <t>tř. 1 až tř. 4</t>
  </si>
  <si>
    <t>tř. 5 + tř. 6</t>
  </si>
  <si>
    <t>tř. 8</t>
  </si>
  <si>
    <t>Saldo příjmů a výdajů (ř.1 mínus ř.2)</t>
  </si>
  <si>
    <t>*)</t>
  </si>
  <si>
    <t xml:space="preserve">Schválený </t>
  </si>
  <si>
    <t xml:space="preserve">Upravený </t>
  </si>
  <si>
    <t>Upravený</t>
  </si>
  <si>
    <t>2 mimo výše uved.</t>
  </si>
  <si>
    <t>Příjmy celkem</t>
  </si>
  <si>
    <t>Výdaje celkem</t>
  </si>
  <si>
    <t>Daň z příjmů fyz.osob z kapitálových výnosů (srážková daň)</t>
  </si>
  <si>
    <t>Daň z přidané hodnoty</t>
  </si>
  <si>
    <t>Daňové výnosy (ř.1 až ř.6)</t>
  </si>
  <si>
    <t>6 mimo výše uved.</t>
  </si>
  <si>
    <t>statutární město Brno</t>
  </si>
  <si>
    <t>město</t>
  </si>
  <si>
    <t>Odvody přebytků organizací s přímým vztahem</t>
  </si>
  <si>
    <t>S/SR</t>
  </si>
  <si>
    <t>S/UR</t>
  </si>
  <si>
    <t xml:space="preserve"> Bilance zdrojů a výdajů statutárního města Brna (v tis. Kč)</t>
  </si>
  <si>
    <t xml:space="preserve">Daň z příjmů fyz.osob ze závislé činnosti a funkčních požitků </t>
  </si>
  <si>
    <t>Poplatky a odvody v oblasti životního prostředí</t>
  </si>
  <si>
    <t>Zrušené daně, jejichž předmětem je příjem fyzických osob</t>
  </si>
  <si>
    <t>Daň z příjmů právnických osob za obce - rozpočtová činnost</t>
  </si>
  <si>
    <t>Místní poplatky z vybraných činností a služeb</t>
  </si>
  <si>
    <t>Převody z vlastních fondů hospodářské (podnikatelské) činnosti</t>
  </si>
  <si>
    <t>5 mimo výše uved.</t>
  </si>
  <si>
    <t>Dlouhodobé přijaté půjčené prostředky</t>
  </si>
  <si>
    <t>Dlouhodobé přijaté půjčené prostředky od města</t>
  </si>
  <si>
    <t>Úroky vlastní</t>
  </si>
  <si>
    <t>Neinvestiční transfery příspěvkovým a podobným organizacím</t>
  </si>
  <si>
    <t>Investiční půjčené prostředky městským částem</t>
  </si>
  <si>
    <t>Investiční půjčené prostředky obyvatelstvu</t>
  </si>
  <si>
    <t>Uhrazené splátky dlouhodobých přijatých půjčených prostředků</t>
  </si>
  <si>
    <t>8117-8118</t>
  </si>
  <si>
    <t>135x</t>
  </si>
  <si>
    <t>Ostatní odvody z vybraných činností a služeb</t>
  </si>
  <si>
    <t>Daňové příjmy celkem (ř.7 až ř.14)</t>
  </si>
  <si>
    <t>tř. 2</t>
  </si>
  <si>
    <t>tř. 5 a tř. 6</t>
  </si>
  <si>
    <t>Platy</t>
  </si>
  <si>
    <t>Ostatní platby za provedenou práci</t>
  </si>
  <si>
    <t>501x</t>
  </si>
  <si>
    <t>502x</t>
  </si>
  <si>
    <t xml:space="preserve">Převody z ostatních vlastních fondů </t>
  </si>
  <si>
    <t>sk.41</t>
  </si>
  <si>
    <t>sk.42</t>
  </si>
  <si>
    <t>Přehled transferů</t>
  </si>
  <si>
    <t>Jedná se o převody finančních prostředků, které se konsolidují na úrovni statutárního města Brna</t>
  </si>
  <si>
    <t>v tis. Kč</t>
  </si>
  <si>
    <t>transfery</t>
  </si>
  <si>
    <t>STATUTÁRNÍ MĚSTO  BRNO</t>
  </si>
  <si>
    <t>mezi</t>
  </si>
  <si>
    <t>městem a MČ *)</t>
  </si>
  <si>
    <t>MČ *)</t>
  </si>
  <si>
    <t>Příjmy z finančního vypořádání</t>
  </si>
  <si>
    <t xml:space="preserve">Neinvestiční transfery </t>
  </si>
  <si>
    <t>Výdaje z finančního vypořádání</t>
  </si>
  <si>
    <t>Investiční transfery</t>
  </si>
  <si>
    <t>Saldo příjmů a výdajů</t>
  </si>
  <si>
    <t>Dlouhodobé přijaté půjčky</t>
  </si>
  <si>
    <t>Financování celkem</t>
  </si>
  <si>
    <t xml:space="preserve">VÝSLEDEK KONSOLIDACE CELKEM </t>
  </si>
  <si>
    <t xml:space="preserve">*) konsolidace na úrovni statutárního města Brna </t>
  </si>
  <si>
    <t xml:space="preserve"> transfery</t>
  </si>
  <si>
    <t>MĚSTO</t>
  </si>
  <si>
    <t>městem a MČ</t>
  </si>
  <si>
    <t>Neinvestiční transfery MČ</t>
  </si>
  <si>
    <t>Investiční transfery MČ</t>
  </si>
  <si>
    <t>MĚSTSKÉ  ČÁSTI</t>
  </si>
  <si>
    <t>MČ</t>
  </si>
  <si>
    <t>214x</t>
  </si>
  <si>
    <t>Uhrazené splátky dlouh. přijatých půjč. prostředků městu</t>
  </si>
  <si>
    <t>Výdaje z finančního vypořádání městu</t>
  </si>
  <si>
    <t>Dlouhodobé přijaté půjčené prostředky - EIB</t>
  </si>
  <si>
    <t>Neinvestiční půjčky</t>
  </si>
  <si>
    <t>Neinvestiční přijaté transfery z Všeobecné pokladní správy SR</t>
  </si>
  <si>
    <t xml:space="preserve">Neinvestiční přijaté transfery v rámci souhrnného dotačního vztahu </t>
  </si>
  <si>
    <t>Neinvestiční přijaté transfery ze státních fondů</t>
  </si>
  <si>
    <t>Ostatní neinvestiční přijaté transfery ze státního rozpočtu</t>
  </si>
  <si>
    <t>Neinvestiční přijaté transfery od města</t>
  </si>
  <si>
    <t>Neinvestiční přijaté transfery od jiných městských částí</t>
  </si>
  <si>
    <t>Neinvestiční přijaté transfery od obcí z jiného okresu či kraje</t>
  </si>
  <si>
    <t>Neinvestiční přijaté transfery od krajů</t>
  </si>
  <si>
    <t>Investiční přijaté transfery ze státních fondů</t>
  </si>
  <si>
    <t>Investiční přijaté transfery od města</t>
  </si>
  <si>
    <t>Investiční přijaté transfery od krajů</t>
  </si>
  <si>
    <t>Neinvestiční transfer - DPmB a.s.</t>
  </si>
  <si>
    <t>Neinvestiční transfery nefin. podnikatelským sub. - právnickým osobám</t>
  </si>
  <si>
    <t>Neinvestiční transfery podnikatelským subjektům</t>
  </si>
  <si>
    <t>Neinvestiční transfery neziskovým a podobným organizacím</t>
  </si>
  <si>
    <t>Neinvestiční transfery městským částem</t>
  </si>
  <si>
    <t>Neinvestiční transfery obcím mimo okres či kraj</t>
  </si>
  <si>
    <t>Neinvestiční půjčené prostředky městským částem</t>
  </si>
  <si>
    <t>Investiční transfery podnikatelským subjektům</t>
  </si>
  <si>
    <t>Investiční transfery zřízeným příspěvkovým organizacím</t>
  </si>
  <si>
    <t>Neinvestiční přijaté transfery</t>
  </si>
  <si>
    <t>Investiční přijaté transfery</t>
  </si>
  <si>
    <t>Neinvestiční přijaté transfery od města a ostatních MČ</t>
  </si>
  <si>
    <t>Neinvestiční transfery jiným MČ</t>
  </si>
  <si>
    <t>Investiční transfery městu</t>
  </si>
  <si>
    <t>Investiční přijaté transfery od městských částí</t>
  </si>
  <si>
    <t>Splátky půjček od městských částí</t>
  </si>
  <si>
    <t>Uhrazené splátky krátkodobých přijatých půjčených prostředků</t>
  </si>
  <si>
    <t>Výnosy z finančního majetku</t>
  </si>
  <si>
    <t>Neinvestiční přijaté transfery od regionálních rad</t>
  </si>
  <si>
    <t>Splátky půjčených prostředků</t>
  </si>
  <si>
    <t>Uhrazené splátky půjčených prostředků</t>
  </si>
  <si>
    <t>Uhrazené splátky půjčených prostředků městu</t>
  </si>
  <si>
    <t>Příjmy z finančního vypořádání od města</t>
  </si>
  <si>
    <t>Výdaje z finančního vypořádání MČ</t>
  </si>
  <si>
    <t>Příjmy z finančního vypořádání od MČ</t>
  </si>
  <si>
    <t>Splátky půjčených prostředků od MČ</t>
  </si>
  <si>
    <t>Investiční půjčené prosředky</t>
  </si>
  <si>
    <t>Investiční půjčené prostředky MČ</t>
  </si>
  <si>
    <t>Neinvestiční půjčené prostředky MČ</t>
  </si>
  <si>
    <t>Výdaje z finančního vypořádání roku 2009 mezi krajem a obcemi</t>
  </si>
  <si>
    <t xml:space="preserve">Provozní výdaje celkem (ř.1 až ř.18) </t>
  </si>
  <si>
    <t xml:space="preserve">Kapitálové výdaje celkem (ř.20 až ř.27) </t>
  </si>
  <si>
    <t>Výdaje statutárního města Brna celkem (ř.19 + ř.28)</t>
  </si>
  <si>
    <t>Nedaňové příjmy celkem (ř.16 až ř.24)</t>
  </si>
  <si>
    <t>Příjmy z finančního vypořádání roku 2009 od města</t>
  </si>
  <si>
    <t>Příjmy z finančního vypořádání roku 2009 od městských částí</t>
  </si>
  <si>
    <t>Výdaje z finančního vypořádání roku 2009 městu</t>
  </si>
  <si>
    <t>Výdaje z finančního vypořádání roku 2009 městským částem</t>
  </si>
  <si>
    <t>312x</t>
  </si>
  <si>
    <t>Ostatní kapitálové příjmy</t>
  </si>
  <si>
    <t>Neinvestiční přijaté transfery od cizích států</t>
  </si>
  <si>
    <t>Ostatní investiční přijaté transfery ze státního rozpočtu</t>
  </si>
  <si>
    <t>Investiční přijaté transfery od regionálních rad</t>
  </si>
  <si>
    <t>Neinvestiční přijaté transfery od mezinárodních institucí</t>
  </si>
  <si>
    <t xml:space="preserve">Financování statutárního města Brna celkem (ř.1 až ř.9) </t>
  </si>
  <si>
    <t>Aktivní dlouhodobé operace řízení likvidity</t>
  </si>
  <si>
    <t>8127-8128</t>
  </si>
  <si>
    <t>Ostatní neinvestiční přijaté transfery od rozpočtů ústřední úrovně</t>
  </si>
  <si>
    <t>8115,8901</t>
  </si>
  <si>
    <t>Plnění rozpočtu k 31.12.2010</t>
  </si>
  <si>
    <t>k 31.12.2010</t>
  </si>
  <si>
    <t>Skutečnost k 31.12.2010</t>
  </si>
  <si>
    <t>Investiční přijaté transfery od města a ostatních MČ</t>
  </si>
  <si>
    <t>Investiční transfery jiným MČ</t>
  </si>
  <si>
    <t xml:space="preserve">Financování statutárního města Brna celkem (ř.1 až ř.7) </t>
  </si>
  <si>
    <t>Daňové příjmy celkem (ř.1 až ř.6)</t>
  </si>
  <si>
    <t>Nedaňové příjmy celkem (ř.8 až ř.14)</t>
  </si>
  <si>
    <t xml:space="preserve"> Bilance zdrojů a výdajů městských částí (v tis. Kč)</t>
  </si>
  <si>
    <t xml:space="preserve">Provozní výdaje celkem (ř.1 až ř.14) </t>
  </si>
  <si>
    <t xml:space="preserve">Kapitálové výdaje celkem (ř.16 až ř.20) </t>
  </si>
  <si>
    <t>Výdaje městských částí celkem (ř.15 + ř.21)</t>
  </si>
  <si>
    <t xml:space="preserve">Financování městských částí celkem (ř.1 až ř.7) </t>
  </si>
  <si>
    <t xml:space="preserve"> Bilance zdrojů a výdajů města Brna (v tis. Kč)</t>
  </si>
  <si>
    <t xml:space="preserve">Financování města Brna celkem (ř.1 až ř.5) </t>
  </si>
  <si>
    <t>Daňové příjmy celkem (ř.7 až ř.13)</t>
  </si>
  <si>
    <t>Nedaňové příjmy celkem (ř.15 až ř.22)</t>
  </si>
  <si>
    <t xml:space="preserve">Provozní výdaje celkem (ř.1 až ř.15) </t>
  </si>
  <si>
    <t xml:space="preserve">Kapitálové výdaje celkem (ř.17 až ř.23) </t>
  </si>
  <si>
    <t>Výdaje města Brna celkem (ř.16 + ř.24)</t>
  </si>
  <si>
    <t>Nedaňové příjmy celkem (ř.16 až ř.21)</t>
  </si>
  <si>
    <t>Příjmy z prodeje dlouhodobého majetku - bytové domy</t>
  </si>
  <si>
    <t>Příjmy z prodeje dlouhodobého majetku - ostatní</t>
  </si>
  <si>
    <t xml:space="preserve">Kapitálové příjmy celkem (ř.24 + ř.25) </t>
  </si>
  <si>
    <t>Vlastní příjmy (ř.14 + ř.23 + ř.26)</t>
  </si>
  <si>
    <t>Neinvestiční přijaté transfery (ř.28 až ř.39)</t>
  </si>
  <si>
    <t>Investiční přijaté transfery (ř.41 až ř.44)</t>
  </si>
  <si>
    <t>Přijaté transfery celkem (ř.40 + ř.45)</t>
  </si>
  <si>
    <t>Příjmy města Brna celkem (ř.27 + ř.46)</t>
  </si>
  <si>
    <t xml:space="preserve">Kapitálové příjmy celkem (ř.23 až ř.25) </t>
  </si>
  <si>
    <t>Vlastní příjmy (ř.15 + ř.22 + ř.26)</t>
  </si>
  <si>
    <t>Příjmy statutárního města Brna celkem (ř.27 + ř.46)</t>
  </si>
  <si>
    <t xml:space="preserve">Kapitálové příjmy celkem (ř.16 až ř.18) </t>
  </si>
  <si>
    <t>Vlastní příjmy (ř.7 + ř.15 + ř.19)</t>
  </si>
  <si>
    <t>Neinvestiční přijaté transfery (ř.21 až ř.30)</t>
  </si>
  <si>
    <t>Investiční přijaté transfery (ř.32 až ř.36)</t>
  </si>
  <si>
    <t>Přijaté transfery celkem (ř.31 + ř.37)</t>
  </si>
  <si>
    <t>Příjmy městských částí celkem (ř.20 + ř.38)</t>
  </si>
  <si>
    <t xml:space="preserve">Kapitálové příjmy celkem (ř.26 až ř.28) </t>
  </si>
  <si>
    <t>Vlastní příjmy (ř.15 + ř.25 + ř.29)</t>
  </si>
  <si>
    <t>Neinvestiční přijaté transfery (ř.31 až ř.44)</t>
  </si>
  <si>
    <t>Investiční přijaté transfery (ř.46 až ř.51)</t>
  </si>
  <si>
    <t>Přijaté transfery celkem (ř.45 + ř.52)</t>
  </si>
  <si>
    <t>Příjmy statutárního města Brna celkem (ř.30 + ř.53)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</si>
</sst>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  <numFmt numFmtId="171" formatCode="#,##0_ ;\-#,##0\ "/>
  </numFmts>
  <fonts count="19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sz val="14"/>
      <name val="Times New Roman CE"/>
      <family val="1"/>
    </font>
    <font>
      <b/>
      <sz val="20"/>
      <name val="Times New Roman CE"/>
      <family val="1"/>
    </font>
    <font>
      <sz val="16"/>
      <name val="Times New Roman CE"/>
      <family val="1"/>
    </font>
    <font>
      <i/>
      <sz val="12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i/>
      <sz val="13"/>
      <name val="Times New Roman CE"/>
      <family val="1"/>
    </font>
    <font>
      <b/>
      <sz val="8"/>
      <name val="Times New Roman CE"/>
      <family val="1"/>
    </font>
    <font>
      <b/>
      <u val="single"/>
      <sz val="18"/>
      <name val="Times New Roman CE"/>
      <family val="1"/>
    </font>
    <font>
      <u val="single"/>
      <sz val="10.2"/>
      <color indexed="12"/>
      <name val="Arial CE"/>
      <family val="0"/>
    </font>
    <font>
      <u val="single"/>
      <sz val="10.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" fontId="3" fillId="0" borderId="1" xfId="0" applyNumberFormat="1" applyFont="1" applyFill="1" applyBorder="1" applyAlignment="1" applyProtection="1">
      <alignment/>
      <protection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4" xfId="0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/>
    </xf>
    <xf numFmtId="1" fontId="3" fillId="0" borderId="6" xfId="0" applyNumberFormat="1" applyFont="1" applyFill="1" applyBorder="1" applyAlignment="1" applyProtection="1">
      <alignment/>
      <protection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 applyProtection="1">
      <alignment horizontal="right"/>
      <protection/>
    </xf>
    <xf numFmtId="1" fontId="3" fillId="0" borderId="4" xfId="0" applyNumberFormat="1" applyFont="1" applyFill="1" applyBorder="1" applyAlignment="1" applyProtection="1">
      <alignment horizontal="right"/>
      <protection/>
    </xf>
    <xf numFmtId="1" fontId="3" fillId="0" borderId="6" xfId="0" applyNumberFormat="1" applyFont="1" applyFill="1" applyBorder="1" applyAlignment="1" applyProtection="1">
      <alignment horizontal="right"/>
      <protection/>
    </xf>
    <xf numFmtId="1" fontId="3" fillId="0" borderId="7" xfId="0" applyNumberFormat="1" applyFont="1" applyFill="1" applyBorder="1" applyAlignment="1" applyProtection="1">
      <alignment horizontal="right"/>
      <protection/>
    </xf>
    <xf numFmtId="1" fontId="3" fillId="0" borderId="6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 applyProtection="1">
      <alignment/>
      <protection/>
    </xf>
    <xf numFmtId="1" fontId="3" fillId="0" borderId="7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1" fontId="3" fillId="0" borderId="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" fontId="3" fillId="0" borderId="16" xfId="0" applyNumberFormat="1" applyFont="1" applyFill="1" applyBorder="1" applyAlignment="1" applyProtection="1">
      <alignment/>
      <protection/>
    </xf>
    <xf numFmtId="0" fontId="4" fillId="0" borderId="3" xfId="0" applyFont="1" applyFill="1" applyBorder="1" applyAlignment="1">
      <alignment horizontal="center"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1" fontId="3" fillId="0" borderId="1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Fill="1" applyBorder="1" applyAlignment="1" applyProtection="1">
      <alignment horizontal="right"/>
      <protection/>
    </xf>
    <xf numFmtId="1" fontId="3" fillId="0" borderId="2" xfId="0" applyNumberFormat="1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3" fontId="6" fillId="2" borderId="4" xfId="0" applyNumberFormat="1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>
      <alignment horizontal="right"/>
    </xf>
    <xf numFmtId="1" fontId="3" fillId="2" borderId="4" xfId="0" applyNumberFormat="1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3" fontId="8" fillId="0" borderId="20" xfId="0" applyNumberFormat="1" applyFont="1" applyFill="1" applyBorder="1" applyAlignment="1" applyProtection="1">
      <alignment/>
      <protection/>
    </xf>
    <xf numFmtId="165" fontId="6" fillId="0" borderId="21" xfId="0" applyNumberFormat="1" applyFont="1" applyFill="1" applyBorder="1" applyAlignment="1" applyProtection="1">
      <alignment horizontal="left"/>
      <protection/>
    </xf>
    <xf numFmtId="165" fontId="8" fillId="0" borderId="22" xfId="0" applyNumberFormat="1" applyFont="1" applyFill="1" applyBorder="1" applyAlignment="1" applyProtection="1">
      <alignment horizontal="left"/>
      <protection/>
    </xf>
    <xf numFmtId="165" fontId="8" fillId="0" borderId="16" xfId="0" applyNumberFormat="1" applyFont="1" applyFill="1" applyBorder="1" applyAlignment="1" applyProtection="1">
      <alignment horizontal="left"/>
      <protection/>
    </xf>
    <xf numFmtId="166" fontId="8" fillId="0" borderId="16" xfId="0" applyNumberFormat="1" applyFont="1" applyFill="1" applyBorder="1" applyAlignment="1" applyProtection="1">
      <alignment horizontal="left"/>
      <protection/>
    </xf>
    <xf numFmtId="165" fontId="6" fillId="0" borderId="18" xfId="0" applyNumberFormat="1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3" fontId="8" fillId="0" borderId="6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 applyProtection="1">
      <alignment horizontal="right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1" fontId="3" fillId="0" borderId="2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 horizontal="centerContinuous"/>
    </xf>
    <xf numFmtId="3" fontId="8" fillId="0" borderId="6" xfId="0" applyNumberFormat="1" applyFont="1" applyFill="1" applyBorder="1" applyAlignment="1" applyProtection="1">
      <alignment/>
      <protection/>
    </xf>
    <xf numFmtId="1" fontId="3" fillId="0" borderId="17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3" fontId="8" fillId="0" borderId="26" xfId="0" applyNumberFormat="1" applyFont="1" applyFill="1" applyBorder="1" applyAlignment="1" applyProtection="1">
      <alignment horizontal="right"/>
      <protection/>
    </xf>
    <xf numFmtId="3" fontId="8" fillId="0" borderId="27" xfId="0" applyNumberFormat="1" applyFont="1" applyFill="1" applyBorder="1" applyAlignment="1" applyProtection="1">
      <alignment horizontal="right"/>
      <protection/>
    </xf>
    <xf numFmtId="3" fontId="8" fillId="0" borderId="28" xfId="0" applyNumberFormat="1" applyFont="1" applyFill="1" applyBorder="1" applyAlignment="1" applyProtection="1">
      <alignment horizontal="right"/>
      <protection/>
    </xf>
    <xf numFmtId="3" fontId="8" fillId="0" borderId="29" xfId="0" applyNumberFormat="1" applyFont="1" applyFill="1" applyBorder="1" applyAlignment="1" applyProtection="1">
      <alignment horizontal="right"/>
      <protection/>
    </xf>
    <xf numFmtId="3" fontId="8" fillId="0" borderId="27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 applyProtection="1">
      <alignment/>
      <protection/>
    </xf>
    <xf numFmtId="0" fontId="3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66" fontId="8" fillId="0" borderId="32" xfId="0" applyNumberFormat="1" applyFont="1" applyFill="1" applyBorder="1" applyAlignment="1" applyProtection="1">
      <alignment horizontal="left"/>
      <protection/>
    </xf>
    <xf numFmtId="165" fontId="8" fillId="0" borderId="33" xfId="0" applyNumberFormat="1" applyFont="1" applyFill="1" applyBorder="1" applyAlignment="1" applyProtection="1">
      <alignment horizontal="left"/>
      <protection/>
    </xf>
    <xf numFmtId="165" fontId="8" fillId="0" borderId="34" xfId="0" applyNumberFormat="1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>
      <alignment horizontal="left"/>
    </xf>
    <xf numFmtId="165" fontId="6" fillId="0" borderId="33" xfId="0" applyNumberFormat="1" applyFont="1" applyFill="1" applyBorder="1" applyAlignment="1" applyProtection="1">
      <alignment horizontal="left"/>
      <protection/>
    </xf>
    <xf numFmtId="165" fontId="8" fillId="0" borderId="32" xfId="0" applyNumberFormat="1" applyFont="1" applyFill="1" applyBorder="1" applyAlignment="1" applyProtection="1">
      <alignment horizontal="left"/>
      <protection/>
    </xf>
    <xf numFmtId="0" fontId="8" fillId="0" borderId="32" xfId="0" applyFont="1" applyFill="1" applyBorder="1" applyAlignment="1">
      <alignment horizontal="left"/>
    </xf>
    <xf numFmtId="165" fontId="6" fillId="2" borderId="33" xfId="0" applyNumberFormat="1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3" fontId="8" fillId="0" borderId="38" xfId="0" applyNumberFormat="1" applyFont="1" applyFill="1" applyBorder="1" applyAlignment="1" applyProtection="1">
      <alignment horizontal="right"/>
      <protection/>
    </xf>
    <xf numFmtId="3" fontId="8" fillId="0" borderId="39" xfId="0" applyNumberFormat="1" applyFont="1" applyFill="1" applyBorder="1" applyAlignment="1" applyProtection="1">
      <alignment horizontal="right"/>
      <protection/>
    </xf>
    <xf numFmtId="3" fontId="8" fillId="0" borderId="40" xfId="0" applyNumberFormat="1" applyFont="1" applyFill="1" applyBorder="1" applyAlignment="1" applyProtection="1">
      <alignment horizontal="right"/>
      <protection/>
    </xf>
    <xf numFmtId="3" fontId="8" fillId="0" borderId="41" xfId="0" applyNumberFormat="1" applyFont="1" applyFill="1" applyBorder="1" applyAlignment="1" applyProtection="1">
      <alignment horizontal="right"/>
      <protection/>
    </xf>
    <xf numFmtId="3" fontId="8" fillId="0" borderId="41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/>
    </xf>
    <xf numFmtId="3" fontId="8" fillId="0" borderId="41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 applyProtection="1">
      <alignment horizontal="right"/>
      <protection/>
    </xf>
    <xf numFmtId="3" fontId="6" fillId="2" borderId="39" xfId="0" applyNumberFormat="1" applyFont="1" applyFill="1" applyBorder="1" applyAlignment="1" applyProtection="1">
      <alignment horizontal="right"/>
      <protection/>
    </xf>
    <xf numFmtId="166" fontId="8" fillId="0" borderId="31" xfId="0" applyNumberFormat="1" applyFont="1" applyFill="1" applyBorder="1" applyAlignment="1" applyProtection="1">
      <alignment horizontal="left"/>
      <protection/>
    </xf>
    <xf numFmtId="166" fontId="8" fillId="0" borderId="34" xfId="0" applyNumberFormat="1" applyFont="1" applyFill="1" applyBorder="1" applyAlignment="1" applyProtection="1">
      <alignment horizontal="left"/>
      <protection/>
    </xf>
    <xf numFmtId="3" fontId="8" fillId="0" borderId="42" xfId="0" applyNumberFormat="1" applyFont="1" applyFill="1" applyBorder="1" applyAlignment="1" applyProtection="1">
      <alignment/>
      <protection/>
    </xf>
    <xf numFmtId="3" fontId="8" fillId="0" borderId="42" xfId="0" applyNumberFormat="1" applyFont="1" applyFill="1" applyBorder="1" applyAlignment="1" applyProtection="1">
      <alignment horizontal="right"/>
      <protection/>
    </xf>
    <xf numFmtId="3" fontId="8" fillId="0" borderId="42" xfId="0" applyNumberFormat="1" applyFont="1" applyFill="1" applyBorder="1" applyAlignment="1" applyProtection="1">
      <alignment horizontal="center"/>
      <protection/>
    </xf>
    <xf numFmtId="3" fontId="8" fillId="0" borderId="41" xfId="0" applyNumberFormat="1" applyFont="1" applyFill="1" applyBorder="1" applyAlignment="1" applyProtection="1">
      <alignment horizontal="center"/>
      <protection/>
    </xf>
    <xf numFmtId="1" fontId="8" fillId="0" borderId="22" xfId="0" applyNumberFormat="1" applyFont="1" applyFill="1" applyBorder="1" applyAlignment="1" applyProtection="1">
      <alignment/>
      <protection/>
    </xf>
    <xf numFmtId="1" fontId="8" fillId="0" borderId="32" xfId="0" applyNumberFormat="1" applyFont="1" applyFill="1" applyBorder="1" applyAlignment="1" applyProtection="1">
      <alignment/>
      <protection/>
    </xf>
    <xf numFmtId="1" fontId="8" fillId="0" borderId="33" xfId="0" applyNumberFormat="1" applyFont="1" applyFill="1" applyBorder="1" applyAlignment="1" applyProtection="1">
      <alignment/>
      <protection/>
    </xf>
    <xf numFmtId="1" fontId="8" fillId="0" borderId="43" xfId="0" applyNumberFormat="1" applyFont="1" applyFill="1" applyBorder="1" applyAlignment="1" applyProtection="1">
      <alignment/>
      <protection/>
    </xf>
    <xf numFmtId="3" fontId="8" fillId="0" borderId="40" xfId="0" applyNumberFormat="1" applyFont="1" applyFill="1" applyBorder="1" applyAlignment="1" applyProtection="1">
      <alignment/>
      <protection/>
    </xf>
    <xf numFmtId="3" fontId="8" fillId="0" borderId="38" xfId="0" applyNumberFormat="1" applyFont="1" applyFill="1" applyBorder="1" applyAlignment="1" applyProtection="1">
      <alignment/>
      <protection/>
    </xf>
    <xf numFmtId="3" fontId="8" fillId="0" borderId="39" xfId="0" applyNumberFormat="1" applyFont="1" applyFill="1" applyBorder="1" applyAlignment="1" applyProtection="1">
      <alignment/>
      <protection/>
    </xf>
    <xf numFmtId="3" fontId="8" fillId="0" borderId="4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>
      <alignment horizontal="left"/>
    </xf>
    <xf numFmtId="167" fontId="8" fillId="0" borderId="6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8" fillId="0" borderId="17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>
      <alignment horizontal="right"/>
    </xf>
    <xf numFmtId="167" fontId="8" fillId="0" borderId="6" xfId="0" applyNumberFormat="1" applyFont="1" applyFill="1" applyBorder="1" applyAlignment="1">
      <alignment horizontal="right"/>
    </xf>
    <xf numFmtId="167" fontId="6" fillId="0" borderId="8" xfId="0" applyNumberFormat="1" applyFont="1" applyFill="1" applyBorder="1" applyAlignment="1" applyProtection="1">
      <alignment horizontal="right"/>
      <protection/>
    </xf>
    <xf numFmtId="167" fontId="3" fillId="0" borderId="0" xfId="0" applyNumberFormat="1" applyFont="1" applyFill="1" applyBorder="1" applyAlignment="1">
      <alignment horizontal="left"/>
    </xf>
    <xf numFmtId="167" fontId="4" fillId="0" borderId="23" xfId="0" applyNumberFormat="1" applyFont="1" applyFill="1" applyBorder="1" applyAlignment="1">
      <alignment horizontal="centerContinuous"/>
    </xf>
    <xf numFmtId="167" fontId="4" fillId="0" borderId="3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7" fontId="8" fillId="0" borderId="7" xfId="0" applyNumberFormat="1" applyFont="1" applyFill="1" applyBorder="1" applyAlignment="1" applyProtection="1">
      <alignment/>
      <protection/>
    </xf>
    <xf numFmtId="167" fontId="8" fillId="0" borderId="7" xfId="0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Fill="1" applyBorder="1" applyAlignment="1" applyProtection="1">
      <alignment horizontal="left"/>
      <protection/>
    </xf>
    <xf numFmtId="167" fontId="3" fillId="0" borderId="0" xfId="0" applyNumberFormat="1" applyFont="1" applyFill="1" applyAlignment="1">
      <alignment horizontal="left"/>
    </xf>
    <xf numFmtId="167" fontId="8" fillId="0" borderId="17" xfId="0" applyNumberFormat="1" applyFont="1" applyFill="1" applyBorder="1" applyAlignment="1" applyProtection="1">
      <alignment/>
      <protection/>
    </xf>
    <xf numFmtId="167" fontId="8" fillId="0" borderId="6" xfId="0" applyNumberFormat="1" applyFont="1" applyFill="1" applyBorder="1" applyAlignment="1" applyProtection="1">
      <alignment/>
      <protection/>
    </xf>
    <xf numFmtId="167" fontId="8" fillId="0" borderId="20" xfId="0" applyNumberFormat="1" applyFont="1" applyFill="1" applyBorder="1" applyAlignment="1" applyProtection="1">
      <alignment/>
      <protection/>
    </xf>
    <xf numFmtId="167" fontId="4" fillId="0" borderId="2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left"/>
    </xf>
    <xf numFmtId="167" fontId="6" fillId="2" borderId="4" xfId="0" applyNumberFormat="1" applyFont="1" applyFill="1" applyBorder="1" applyAlignment="1" applyProtection="1">
      <alignment horizontal="right"/>
      <protection/>
    </xf>
    <xf numFmtId="167" fontId="8" fillId="0" borderId="4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centerContinuous"/>
    </xf>
    <xf numFmtId="167" fontId="5" fillId="0" borderId="0" xfId="0" applyNumberFormat="1" applyFont="1" applyFill="1" applyAlignment="1">
      <alignment horizontal="centerContinuous"/>
    </xf>
    <xf numFmtId="167" fontId="4" fillId="0" borderId="45" xfId="0" applyNumberFormat="1" applyFont="1" applyFill="1" applyBorder="1" applyAlignment="1">
      <alignment horizontal="centerContinuous"/>
    </xf>
    <xf numFmtId="167" fontId="4" fillId="0" borderId="46" xfId="0" applyNumberFormat="1" applyFont="1" applyFill="1" applyBorder="1" applyAlignment="1">
      <alignment horizontal="center"/>
    </xf>
    <xf numFmtId="167" fontId="4" fillId="0" borderId="47" xfId="0" applyNumberFormat="1" applyFont="1" applyFill="1" applyBorder="1" applyAlignment="1">
      <alignment horizontal="center"/>
    </xf>
    <xf numFmtId="167" fontId="8" fillId="0" borderId="48" xfId="0" applyNumberFormat="1" applyFont="1" applyFill="1" applyBorder="1" applyAlignment="1" applyProtection="1">
      <alignment horizontal="right"/>
      <protection/>
    </xf>
    <xf numFmtId="167" fontId="8" fillId="0" borderId="49" xfId="0" applyNumberFormat="1" applyFont="1" applyFill="1" applyBorder="1" applyAlignment="1" applyProtection="1">
      <alignment horizontal="right"/>
      <protection/>
    </xf>
    <xf numFmtId="167" fontId="8" fillId="0" borderId="50" xfId="0" applyNumberFormat="1" applyFont="1" applyFill="1" applyBorder="1" applyAlignment="1" applyProtection="1">
      <alignment horizontal="right"/>
      <protection/>
    </xf>
    <xf numFmtId="167" fontId="6" fillId="0" borderId="49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>
      <alignment horizontal="center"/>
    </xf>
    <xf numFmtId="167" fontId="6" fillId="0" borderId="47" xfId="0" applyNumberFormat="1" applyFont="1" applyFill="1" applyBorder="1" applyAlignment="1" applyProtection="1">
      <alignment horizontal="right"/>
      <protection/>
    </xf>
    <xf numFmtId="167" fontId="8" fillId="0" borderId="6" xfId="0" applyNumberFormat="1" applyFont="1" applyFill="1" applyBorder="1" applyAlignment="1">
      <alignment horizontal="center"/>
    </xf>
    <xf numFmtId="167" fontId="6" fillId="2" borderId="49" xfId="0" applyNumberFormat="1" applyFont="1" applyFill="1" applyBorder="1" applyAlignment="1" applyProtection="1">
      <alignment horizontal="right"/>
      <protection/>
    </xf>
    <xf numFmtId="167" fontId="8" fillId="0" borderId="51" xfId="0" applyNumberFormat="1" applyFont="1" applyFill="1" applyBorder="1" applyAlignment="1" applyProtection="1">
      <alignment/>
      <protection/>
    </xf>
    <xf numFmtId="167" fontId="8" fillId="0" borderId="51" xfId="0" applyNumberFormat="1" applyFont="1" applyFill="1" applyBorder="1" applyAlignment="1" applyProtection="1">
      <alignment horizontal="right"/>
      <protection/>
    </xf>
    <xf numFmtId="167" fontId="8" fillId="0" borderId="7" xfId="0" applyNumberFormat="1" applyFont="1" applyFill="1" applyBorder="1" applyAlignment="1" applyProtection="1">
      <alignment horizontal="center"/>
      <protection/>
    </xf>
    <xf numFmtId="167" fontId="8" fillId="0" borderId="51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Alignment="1">
      <alignment horizontal="centerContinuous"/>
    </xf>
    <xf numFmtId="167" fontId="4" fillId="0" borderId="0" xfId="0" applyNumberFormat="1" applyFont="1" applyFill="1" applyAlignment="1">
      <alignment/>
    </xf>
    <xf numFmtId="167" fontId="8" fillId="0" borderId="52" xfId="0" applyNumberFormat="1" applyFont="1" applyFill="1" applyBorder="1" applyAlignment="1" applyProtection="1">
      <alignment/>
      <protection/>
    </xf>
    <xf numFmtId="167" fontId="8" fillId="0" borderId="48" xfId="0" applyNumberFormat="1" applyFont="1" applyFill="1" applyBorder="1" applyAlignment="1" applyProtection="1">
      <alignment/>
      <protection/>
    </xf>
    <xf numFmtId="167" fontId="8" fillId="0" borderId="53" xfId="0" applyNumberFormat="1" applyFont="1" applyFill="1" applyBorder="1" applyAlignment="1" applyProtection="1">
      <alignment/>
      <protection/>
    </xf>
    <xf numFmtId="167" fontId="6" fillId="0" borderId="53" xfId="0" applyNumberFormat="1" applyFont="1" applyFill="1" applyBorder="1" applyAlignment="1" applyProtection="1">
      <alignment horizontal="right"/>
      <protection/>
    </xf>
    <xf numFmtId="167" fontId="6" fillId="0" borderId="51" xfId="0" applyNumberFormat="1" applyFont="1" applyFill="1" applyBorder="1" applyAlignment="1" applyProtection="1">
      <alignment horizontal="right"/>
      <protection/>
    </xf>
    <xf numFmtId="167" fontId="6" fillId="0" borderId="20" xfId="0" applyNumberFormat="1" applyFont="1" applyFill="1" applyBorder="1" applyAlignment="1" applyProtection="1">
      <alignment horizontal="right"/>
      <protection/>
    </xf>
    <xf numFmtId="167" fontId="6" fillId="2" borderId="20" xfId="0" applyNumberFormat="1" applyFont="1" applyFill="1" applyBorder="1" applyAlignment="1" applyProtection="1">
      <alignment horizontal="right"/>
      <protection/>
    </xf>
    <xf numFmtId="167" fontId="6" fillId="2" borderId="53" xfId="0" applyNumberFormat="1" applyFont="1" applyFill="1" applyBorder="1" applyAlignment="1" applyProtection="1">
      <alignment horizontal="right"/>
      <protection/>
    </xf>
    <xf numFmtId="167" fontId="6" fillId="0" borderId="7" xfId="0" applyNumberFormat="1" applyFont="1" applyFill="1" applyBorder="1" applyAlignment="1" applyProtection="1">
      <alignment horizontal="right"/>
      <protection/>
    </xf>
    <xf numFmtId="167" fontId="8" fillId="0" borderId="23" xfId="0" applyNumberFormat="1" applyFont="1" applyFill="1" applyBorder="1" applyAlignment="1" applyProtection="1">
      <alignment horizontal="right"/>
      <protection/>
    </xf>
    <xf numFmtId="165" fontId="4" fillId="0" borderId="23" xfId="0" applyNumberFormat="1" applyFont="1" applyFill="1" applyBorder="1" applyAlignment="1" applyProtection="1">
      <alignment horizontal="left"/>
      <protection/>
    </xf>
    <xf numFmtId="167" fontId="8" fillId="0" borderId="2" xfId="0" applyNumberFormat="1" applyFont="1" applyFill="1" applyBorder="1" applyAlignment="1" applyProtection="1">
      <alignment horizontal="right"/>
      <protection/>
    </xf>
    <xf numFmtId="167" fontId="8" fillId="0" borderId="2" xfId="0" applyNumberFormat="1" applyFont="1" applyFill="1" applyBorder="1" applyAlignment="1" applyProtection="1">
      <alignment/>
      <protection/>
    </xf>
    <xf numFmtId="3" fontId="6" fillId="2" borderId="20" xfId="0" applyNumberFormat="1" applyFont="1" applyFill="1" applyBorder="1" applyAlignment="1" applyProtection="1">
      <alignment horizontal="right"/>
      <protection/>
    </xf>
    <xf numFmtId="3" fontId="8" fillId="0" borderId="54" xfId="0" applyNumberFormat="1" applyFont="1" applyFill="1" applyBorder="1" applyAlignment="1" applyProtection="1">
      <alignment horizontal="right"/>
      <protection/>
    </xf>
    <xf numFmtId="3" fontId="8" fillId="0" borderId="54" xfId="0" applyNumberFormat="1" applyFont="1" applyFill="1" applyBorder="1" applyAlignment="1" applyProtection="1">
      <alignment horizontal="center"/>
      <protection/>
    </xf>
    <xf numFmtId="3" fontId="8" fillId="0" borderId="29" xfId="0" applyNumberFormat="1" applyFont="1" applyFill="1" applyBorder="1" applyAlignment="1" applyProtection="1">
      <alignment horizontal="center"/>
      <protection/>
    </xf>
    <xf numFmtId="3" fontId="8" fillId="0" borderId="55" xfId="0" applyNumberFormat="1" applyFont="1" applyFill="1" applyBorder="1" applyAlignment="1">
      <alignment horizontal="right"/>
    </xf>
    <xf numFmtId="3" fontId="8" fillId="0" borderId="55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56" xfId="0" applyNumberFormat="1" applyFont="1" applyFill="1" applyBorder="1" applyAlignment="1" applyProtection="1">
      <alignment horizontal="right"/>
      <protection/>
    </xf>
    <xf numFmtId="3" fontId="8" fillId="0" borderId="2" xfId="0" applyNumberFormat="1" applyFont="1" applyFill="1" applyBorder="1" applyAlignment="1" applyProtection="1">
      <alignment horizontal="right"/>
      <protection/>
    </xf>
    <xf numFmtId="3" fontId="8" fillId="0" borderId="57" xfId="0" applyNumberFormat="1" applyFont="1" applyFill="1" applyBorder="1" applyAlignment="1" applyProtection="1">
      <alignment horizontal="right"/>
      <protection/>
    </xf>
    <xf numFmtId="165" fontId="6" fillId="0" borderId="32" xfId="0" applyNumberFormat="1" applyFont="1" applyFill="1" applyBorder="1" applyAlignment="1" applyProtection="1">
      <alignment horizontal="left"/>
      <protection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6" xfId="0" applyNumberFormat="1" applyFont="1" applyFill="1" applyBorder="1" applyAlignment="1" applyProtection="1">
      <alignment horizontal="right"/>
      <protection/>
    </xf>
    <xf numFmtId="167" fontId="6" fillId="0" borderId="1" xfId="0" applyNumberFormat="1" applyFont="1" applyFill="1" applyBorder="1" applyAlignment="1" applyProtection="1">
      <alignment horizontal="right"/>
      <protection/>
    </xf>
    <xf numFmtId="167" fontId="6" fillId="0" borderId="50" xfId="0" applyNumberFormat="1" applyFont="1" applyFill="1" applyBorder="1" applyAlignment="1" applyProtection="1">
      <alignment horizontal="right"/>
      <protection/>
    </xf>
    <xf numFmtId="167" fontId="8" fillId="0" borderId="58" xfId="0" applyNumberFormat="1" applyFont="1" applyFill="1" applyBorder="1" applyAlignment="1" applyProtection="1">
      <alignment horizontal="right"/>
      <protection/>
    </xf>
    <xf numFmtId="3" fontId="6" fillId="0" borderId="26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8" fillId="0" borderId="31" xfId="0" applyFont="1" applyFill="1" applyBorder="1" applyAlignment="1">
      <alignment horizontal="left"/>
    </xf>
    <xf numFmtId="165" fontId="6" fillId="0" borderId="16" xfId="0" applyNumberFormat="1" applyFont="1" applyFill="1" applyBorder="1" applyAlignment="1" applyProtection="1">
      <alignment horizontal="left"/>
      <protection/>
    </xf>
    <xf numFmtId="3" fontId="6" fillId="0" borderId="41" xfId="0" applyNumberFormat="1" applyFont="1" applyFill="1" applyBorder="1" applyAlignment="1">
      <alignment horizontal="center"/>
    </xf>
    <xf numFmtId="3" fontId="6" fillId="0" borderId="59" xfId="0" applyNumberFormat="1" applyFont="1" applyFill="1" applyBorder="1" applyAlignment="1" applyProtection="1">
      <alignment horizontal="right"/>
      <protection/>
    </xf>
    <xf numFmtId="3" fontId="6" fillId="0" borderId="38" xfId="0" applyNumberFormat="1" applyFont="1" applyFill="1" applyBorder="1" applyAlignment="1" applyProtection="1">
      <alignment/>
      <protection/>
    </xf>
    <xf numFmtId="167" fontId="8" fillId="0" borderId="1" xfId="0" applyNumberFormat="1" applyFont="1" applyFill="1" applyBorder="1" applyAlignment="1" applyProtection="1">
      <alignment horizontal="center"/>
      <protection/>
    </xf>
    <xf numFmtId="167" fontId="8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4" fillId="0" borderId="0" xfId="0" applyNumberFormat="1" applyFont="1" applyAlignment="1" applyProtection="1">
      <alignment horizontal="centerContinuous"/>
      <protection/>
    </xf>
    <xf numFmtId="166" fontId="11" fillId="0" borderId="0" xfId="0" applyNumberFormat="1" applyFont="1" applyAlignment="1" applyProtection="1">
      <alignment horizontal="right"/>
      <protection/>
    </xf>
    <xf numFmtId="0" fontId="12" fillId="0" borderId="60" xfId="0" applyFont="1" applyBorder="1" applyAlignment="1">
      <alignment/>
    </xf>
    <xf numFmtId="166" fontId="13" fillId="0" borderId="61" xfId="0" applyNumberFormat="1" applyFont="1" applyBorder="1" applyAlignment="1" applyProtection="1">
      <alignment horizontal="centerContinuous"/>
      <protection/>
    </xf>
    <xf numFmtId="0" fontId="12" fillId="0" borderId="62" xfId="0" applyFont="1" applyBorder="1" applyAlignment="1">
      <alignment horizontal="centerContinuous"/>
    </xf>
    <xf numFmtId="166" fontId="13" fillId="0" borderId="63" xfId="0" applyNumberFormat="1" applyFont="1" applyBorder="1" applyAlignment="1" applyProtection="1">
      <alignment horizontal="center"/>
      <protection/>
    </xf>
    <xf numFmtId="0" fontId="13" fillId="0" borderId="64" xfId="0" applyFont="1" applyBorder="1" applyAlignment="1">
      <alignment horizontal="center"/>
    </xf>
    <xf numFmtId="0" fontId="12" fillId="0" borderId="65" xfId="0" applyFont="1" applyBorder="1" applyAlignment="1">
      <alignment/>
    </xf>
    <xf numFmtId="166" fontId="13" fillId="0" borderId="66" xfId="0" applyNumberFormat="1" applyFont="1" applyBorder="1" applyAlignment="1" applyProtection="1">
      <alignment horizontal="center"/>
      <protection/>
    </xf>
    <xf numFmtId="166" fontId="13" fillId="0" borderId="65" xfId="0" applyNumberFormat="1" applyFont="1" applyBorder="1" applyAlignment="1" applyProtection="1">
      <alignment horizontal="center"/>
      <protection/>
    </xf>
    <xf numFmtId="0" fontId="12" fillId="0" borderId="63" xfId="0" applyFont="1" applyBorder="1" applyAlignment="1">
      <alignment/>
    </xf>
    <xf numFmtId="3" fontId="12" fillId="0" borderId="63" xfId="0" applyNumberFormat="1" applyFont="1" applyBorder="1" applyAlignment="1" applyProtection="1">
      <alignment/>
      <protection/>
    </xf>
    <xf numFmtId="0" fontId="13" fillId="0" borderId="63" xfId="0" applyFont="1" applyBorder="1" applyAlignment="1">
      <alignment/>
    </xf>
    <xf numFmtId="0" fontId="12" fillId="0" borderId="63" xfId="0" applyFont="1" applyBorder="1" applyAlignment="1">
      <alignment horizontal="right"/>
    </xf>
    <xf numFmtId="3" fontId="12" fillId="0" borderId="64" xfId="0" applyNumberFormat="1" applyFont="1" applyBorder="1" applyAlignment="1" applyProtection="1">
      <alignment/>
      <protection/>
    </xf>
    <xf numFmtId="0" fontId="14" fillId="0" borderId="67" xfId="0" applyFont="1" applyBorder="1" applyAlignment="1">
      <alignment horizontal="right"/>
    </xf>
    <xf numFmtId="0" fontId="14" fillId="0" borderId="67" xfId="0" applyFont="1" applyBorder="1" applyAlignment="1">
      <alignment/>
    </xf>
    <xf numFmtId="3" fontId="14" fillId="0" borderId="62" xfId="0" applyNumberFormat="1" applyFont="1" applyBorder="1" applyAlignment="1" applyProtection="1">
      <alignment/>
      <protection/>
    </xf>
    <xf numFmtId="0" fontId="13" fillId="0" borderId="63" xfId="0" applyFont="1" applyBorder="1" applyAlignment="1">
      <alignment horizontal="right"/>
    </xf>
    <xf numFmtId="0" fontId="12" fillId="0" borderId="63" xfId="0" applyFont="1" applyBorder="1" applyAlignment="1">
      <alignment horizontal="left"/>
    </xf>
    <xf numFmtId="3" fontId="14" fillId="0" borderId="67" xfId="0" applyNumberFormat="1" applyFont="1" applyBorder="1" applyAlignment="1" applyProtection="1">
      <alignment/>
      <protection/>
    </xf>
    <xf numFmtId="0" fontId="14" fillId="0" borderId="65" xfId="0" applyFont="1" applyBorder="1" applyAlignment="1">
      <alignment horizontal="right"/>
    </xf>
    <xf numFmtId="0" fontId="14" fillId="0" borderId="65" xfId="0" applyFont="1" applyBorder="1" applyAlignment="1">
      <alignment/>
    </xf>
    <xf numFmtId="3" fontId="14" fillId="0" borderId="65" xfId="0" applyNumberFormat="1" applyFont="1" applyBorder="1" applyAlignment="1" applyProtection="1">
      <alignment/>
      <protection/>
    </xf>
    <xf numFmtId="3" fontId="13" fillId="0" borderId="63" xfId="0" applyNumberFormat="1" applyFont="1" applyBorder="1" applyAlignment="1" applyProtection="1">
      <alignment/>
      <protection/>
    </xf>
    <xf numFmtId="0" fontId="12" fillId="0" borderId="65" xfId="0" applyFont="1" applyBorder="1" applyAlignment="1">
      <alignment horizontal="right"/>
    </xf>
    <xf numFmtId="3" fontId="12" fillId="0" borderId="65" xfId="0" applyNumberFormat="1" applyFont="1" applyBorder="1" applyAlignment="1" applyProtection="1">
      <alignment/>
      <protection/>
    </xf>
    <xf numFmtId="3" fontId="13" fillId="0" borderId="65" xfId="0" applyNumberFormat="1" applyFont="1" applyBorder="1" applyAlignment="1" applyProtection="1">
      <alignment/>
      <protection/>
    </xf>
    <xf numFmtId="0" fontId="13" fillId="0" borderId="65" xfId="0" applyFont="1" applyBorder="1" applyAlignment="1">
      <alignment horizontal="right"/>
    </xf>
    <xf numFmtId="0" fontId="13" fillId="0" borderId="65" xfId="0" applyFont="1" applyBorder="1" applyAlignment="1">
      <alignment/>
    </xf>
    <xf numFmtId="0" fontId="8" fillId="0" borderId="0" xfId="0" applyFont="1" applyAlignment="1">
      <alignment/>
    </xf>
    <xf numFmtId="0" fontId="12" fillId="0" borderId="68" xfId="0" applyFont="1" applyBorder="1" applyAlignment="1">
      <alignment/>
    </xf>
    <xf numFmtId="166" fontId="13" fillId="0" borderId="68" xfId="0" applyNumberFormat="1" applyFont="1" applyBorder="1" applyAlignment="1" applyProtection="1">
      <alignment horizontal="center"/>
      <protection/>
    </xf>
    <xf numFmtId="0" fontId="13" fillId="0" borderId="69" xfId="0" applyFont="1" applyBorder="1" applyAlignment="1">
      <alignment horizontal="center"/>
    </xf>
    <xf numFmtId="0" fontId="12" fillId="0" borderId="70" xfId="0" applyFont="1" applyBorder="1" applyAlignment="1">
      <alignment/>
    </xf>
    <xf numFmtId="166" fontId="13" fillId="0" borderId="69" xfId="0" applyNumberFormat="1" applyFont="1" applyBorder="1" applyAlignment="1" applyProtection="1">
      <alignment horizontal="center"/>
      <protection/>
    </xf>
    <xf numFmtId="3" fontId="12" fillId="0" borderId="65" xfId="0" applyNumberFormat="1" applyFont="1" applyFill="1" applyBorder="1" applyAlignment="1" applyProtection="1">
      <alignment/>
      <protection/>
    </xf>
    <xf numFmtId="3" fontId="14" fillId="0" borderId="65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166" fontId="8" fillId="0" borderId="33" xfId="0" applyNumberFormat="1" applyFont="1" applyFill="1" applyBorder="1" applyAlignment="1" applyProtection="1">
      <alignment horizontal="left"/>
      <protection/>
    </xf>
    <xf numFmtId="167" fontId="15" fillId="0" borderId="0" xfId="0" applyNumberFormat="1" applyFont="1" applyFill="1" applyAlignment="1">
      <alignment/>
    </xf>
    <xf numFmtId="167" fontId="8" fillId="0" borderId="47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12" fillId="0" borderId="63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horizontal="centerContinuous"/>
    </xf>
    <xf numFmtId="167" fontId="8" fillId="0" borderId="58" xfId="0" applyNumberFormat="1" applyFont="1" applyFill="1" applyBorder="1" applyAlignment="1" applyProtection="1">
      <alignment/>
      <protection/>
    </xf>
    <xf numFmtId="49" fontId="3" fillId="0" borderId="1" xfId="0" applyNumberFormat="1" applyFont="1" applyFill="1" applyBorder="1" applyAlignment="1">
      <alignment horizontal="right"/>
    </xf>
    <xf numFmtId="167" fontId="8" fillId="0" borderId="16" xfId="0" applyNumberFormat="1" applyFont="1" applyFill="1" applyBorder="1" applyAlignment="1" applyProtection="1">
      <alignment horizontal="right"/>
      <protection/>
    </xf>
    <xf numFmtId="3" fontId="8" fillId="0" borderId="59" xfId="0" applyNumberFormat="1" applyFont="1" applyFill="1" applyBorder="1" applyAlignment="1" applyProtection="1">
      <alignment horizontal="right"/>
      <protection/>
    </xf>
    <xf numFmtId="3" fontId="8" fillId="0" borderId="56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167" fontId="8" fillId="0" borderId="2" xfId="0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 applyProtection="1">
      <alignment horizontal="right" shrinkToFit="1"/>
      <protection/>
    </xf>
    <xf numFmtId="1" fontId="3" fillId="2" borderId="20" xfId="0" applyNumberFormat="1" applyFont="1" applyFill="1" applyBorder="1" applyAlignment="1" applyProtection="1">
      <alignment horizontal="right"/>
      <protection/>
    </xf>
    <xf numFmtId="166" fontId="6" fillId="2" borderId="43" xfId="0" applyNumberFormat="1" applyFont="1" applyFill="1" applyBorder="1" applyAlignment="1" applyProtection="1">
      <alignment horizontal="left"/>
      <protection/>
    </xf>
    <xf numFmtId="3" fontId="6" fillId="2" borderId="44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167" fontId="4" fillId="0" borderId="53" xfId="0" applyNumberFormat="1" applyFont="1" applyFill="1" applyBorder="1" applyAlignment="1">
      <alignment horizontal="centerContinuous"/>
    </xf>
    <xf numFmtId="167" fontId="8" fillId="0" borderId="50" xfId="0" applyNumberFormat="1" applyFont="1" applyFill="1" applyBorder="1" applyAlignment="1">
      <alignment horizontal="right"/>
    </xf>
    <xf numFmtId="167" fontId="6" fillId="0" borderId="48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7" fontId="8" fillId="0" borderId="48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showZeros="0" tabSelected="1" zoomScale="85" zoomScaleNormal="85" zoomScaleSheetLayoutView="5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8.796875" defaultRowHeight="15"/>
  <cols>
    <col min="1" max="1" width="3.69921875" style="4" bestFit="1" customWidth="1"/>
    <col min="2" max="2" width="14.69921875" style="4" customWidth="1"/>
    <col min="3" max="3" width="59.59765625" style="5" bestFit="1" customWidth="1"/>
    <col min="4" max="6" width="10.59765625" style="5" customWidth="1"/>
    <col min="7" max="8" width="8.3984375" style="139" customWidth="1"/>
    <col min="9" max="11" width="10.59765625" style="7" customWidth="1"/>
    <col min="12" max="13" width="8.3984375" style="167" customWidth="1"/>
    <col min="14" max="16" width="10.59765625" style="7" customWidth="1"/>
    <col min="17" max="18" width="8.3984375" style="167" customWidth="1"/>
    <col min="19" max="19" width="10.19921875" style="148" bestFit="1" customWidth="1"/>
    <col min="20" max="20" width="9.796875" style="148" bestFit="1" customWidth="1"/>
    <col min="21" max="16384" width="8.8984375" style="4" customWidth="1"/>
  </cols>
  <sheetData>
    <row r="1" spans="1:20" ht="22.5">
      <c r="A1" s="254" t="s">
        <v>68</v>
      </c>
      <c r="B1" s="147"/>
      <c r="C1" s="147"/>
      <c r="D1" s="147"/>
      <c r="E1" s="147"/>
      <c r="F1" s="147"/>
      <c r="G1" s="149"/>
      <c r="H1" s="149"/>
      <c r="I1" s="3"/>
      <c r="J1" s="3"/>
      <c r="K1" s="3"/>
      <c r="L1" s="166"/>
      <c r="M1" s="166"/>
      <c r="N1" s="3"/>
      <c r="O1" s="3"/>
      <c r="P1" s="3"/>
      <c r="Q1" s="166"/>
      <c r="R1" s="166"/>
      <c r="T1" s="4"/>
    </row>
    <row r="2" spans="1:20" ht="20.25">
      <c r="A2" s="76" t="s">
        <v>185</v>
      </c>
      <c r="B2" s="2"/>
      <c r="C2" s="8"/>
      <c r="D2" s="8"/>
      <c r="E2" s="8"/>
      <c r="F2" s="8"/>
      <c r="G2" s="150"/>
      <c r="H2" s="150"/>
      <c r="I2" s="3"/>
      <c r="J2" s="3"/>
      <c r="K2" s="3"/>
      <c r="L2" s="166"/>
      <c r="M2" s="166"/>
      <c r="N2" s="3"/>
      <c r="O2" s="3"/>
      <c r="P2" s="3"/>
      <c r="Q2" s="166"/>
      <c r="R2" s="166"/>
      <c r="T2" s="4"/>
    </row>
    <row r="3" spans="1:20" ht="21" thickBot="1">
      <c r="A3" s="2"/>
      <c r="B3" s="2"/>
      <c r="C3" s="8"/>
      <c r="D3" s="8"/>
      <c r="E3" s="8"/>
      <c r="F3" s="8"/>
      <c r="G3" s="150"/>
      <c r="H3" s="150"/>
      <c r="M3" s="250"/>
      <c r="T3" s="4"/>
    </row>
    <row r="4" spans="1:20" ht="16.5" thickBot="1">
      <c r="A4" s="24"/>
      <c r="B4" s="11" t="s">
        <v>40</v>
      </c>
      <c r="C4" s="86"/>
      <c r="D4" s="97" t="s">
        <v>63</v>
      </c>
      <c r="E4" s="58"/>
      <c r="F4" s="58"/>
      <c r="G4" s="133"/>
      <c r="H4" s="151"/>
      <c r="I4" s="97" t="s">
        <v>64</v>
      </c>
      <c r="J4" s="58"/>
      <c r="K4" s="58"/>
      <c r="L4" s="133"/>
      <c r="M4" s="151"/>
      <c r="N4" s="97" t="s">
        <v>41</v>
      </c>
      <c r="O4" s="58"/>
      <c r="P4" s="59"/>
      <c r="Q4" s="143"/>
      <c r="R4" s="269"/>
      <c r="T4" s="4"/>
    </row>
    <row r="5" spans="1:20" ht="15.75">
      <c r="A5" s="25" t="s">
        <v>1</v>
      </c>
      <c r="B5" s="10" t="s">
        <v>39</v>
      </c>
      <c r="C5" s="87" t="s">
        <v>2</v>
      </c>
      <c r="D5" s="98" t="s">
        <v>53</v>
      </c>
      <c r="E5" s="34" t="s">
        <v>54</v>
      </c>
      <c r="F5" s="34" t="s">
        <v>23</v>
      </c>
      <c r="G5" s="134" t="s">
        <v>0</v>
      </c>
      <c r="H5" s="152" t="s">
        <v>0</v>
      </c>
      <c r="I5" s="98" t="s">
        <v>53</v>
      </c>
      <c r="J5" s="34" t="s">
        <v>54</v>
      </c>
      <c r="K5" s="34" t="s">
        <v>23</v>
      </c>
      <c r="L5" s="134" t="s">
        <v>0</v>
      </c>
      <c r="M5" s="152" t="s">
        <v>0</v>
      </c>
      <c r="N5" s="98" t="s">
        <v>53</v>
      </c>
      <c r="O5" s="34" t="s">
        <v>54</v>
      </c>
      <c r="P5" s="34" t="s">
        <v>23</v>
      </c>
      <c r="Q5" s="134" t="s">
        <v>0</v>
      </c>
      <c r="R5" s="152" t="s">
        <v>0</v>
      </c>
      <c r="T5" s="4"/>
    </row>
    <row r="6" spans="1:20" ht="16.5" thickBot="1">
      <c r="A6" s="42"/>
      <c r="B6" s="31" t="s">
        <v>38</v>
      </c>
      <c r="C6" s="88"/>
      <c r="D6" s="99" t="s">
        <v>22</v>
      </c>
      <c r="E6" s="43" t="s">
        <v>22</v>
      </c>
      <c r="F6" s="43" t="s">
        <v>186</v>
      </c>
      <c r="G6" s="135" t="s">
        <v>66</v>
      </c>
      <c r="H6" s="153" t="s">
        <v>67</v>
      </c>
      <c r="I6" s="99" t="s">
        <v>22</v>
      </c>
      <c r="J6" s="43" t="s">
        <v>22</v>
      </c>
      <c r="K6" s="43" t="s">
        <v>186</v>
      </c>
      <c r="L6" s="135" t="s">
        <v>66</v>
      </c>
      <c r="M6" s="153" t="s">
        <v>67</v>
      </c>
      <c r="N6" s="99" t="s">
        <v>22</v>
      </c>
      <c r="O6" s="43" t="s">
        <v>22</v>
      </c>
      <c r="P6" s="43" t="s">
        <v>186</v>
      </c>
      <c r="Q6" s="135" t="s">
        <v>66</v>
      </c>
      <c r="R6" s="153" t="s">
        <v>67</v>
      </c>
      <c r="T6" s="4"/>
    </row>
    <row r="7" spans="1:20" ht="18.75">
      <c r="A7" s="26">
        <v>1</v>
      </c>
      <c r="B7" s="14">
        <v>1111</v>
      </c>
      <c r="C7" s="89" t="s">
        <v>69</v>
      </c>
      <c r="D7" s="103">
        <f aca="true" t="shared" si="0" ref="D7:D12">+I7+N7</f>
        <v>1350000</v>
      </c>
      <c r="E7" s="61">
        <f aca="true" t="shared" si="1" ref="E7:E12">+J7+O7</f>
        <v>1350000</v>
      </c>
      <c r="F7" s="61">
        <f aca="true" t="shared" si="2" ref="D7:F20">+K7+P7</f>
        <v>1454760</v>
      </c>
      <c r="G7" s="125">
        <f>+F7/D7*100</f>
        <v>107.75999999999999</v>
      </c>
      <c r="H7" s="154">
        <f>+F7/E7*100</f>
        <v>107.75999999999999</v>
      </c>
      <c r="I7" s="100">
        <v>1350000</v>
      </c>
      <c r="J7" s="60">
        <v>1350000</v>
      </c>
      <c r="K7" s="60">
        <v>1454760</v>
      </c>
      <c r="L7" s="125">
        <f aca="true" t="shared" si="3" ref="L7:L13">+K7/I7*100</f>
        <v>107.75999999999999</v>
      </c>
      <c r="M7" s="154">
        <f aca="true" t="shared" si="4" ref="M7:M13">+K7/J7*100</f>
        <v>107.75999999999999</v>
      </c>
      <c r="N7" s="100"/>
      <c r="O7" s="60"/>
      <c r="P7" s="60"/>
      <c r="Q7" s="125"/>
      <c r="R7" s="154"/>
      <c r="T7" s="4"/>
    </row>
    <row r="8" spans="1:20" ht="18.75">
      <c r="A8" s="13">
        <v>2</v>
      </c>
      <c r="B8" s="9">
        <v>1112</v>
      </c>
      <c r="C8" s="56" t="s">
        <v>3</v>
      </c>
      <c r="D8" s="103">
        <f t="shared" si="0"/>
        <v>205000</v>
      </c>
      <c r="E8" s="61">
        <f t="shared" si="1"/>
        <v>205000</v>
      </c>
      <c r="F8" s="61">
        <f t="shared" si="2"/>
        <v>213091</v>
      </c>
      <c r="G8" s="125">
        <f aca="true" t="shared" si="5" ref="G8:G60">+F8/D8*100</f>
        <v>103.94682926829269</v>
      </c>
      <c r="H8" s="154">
        <f aca="true" t="shared" si="6" ref="H8:H60">+F8/E8*100</f>
        <v>103.94682926829269</v>
      </c>
      <c r="I8" s="100">
        <v>205000</v>
      </c>
      <c r="J8" s="60">
        <v>205000</v>
      </c>
      <c r="K8" s="60">
        <v>213091</v>
      </c>
      <c r="L8" s="128">
        <f t="shared" si="3"/>
        <v>103.94682926829269</v>
      </c>
      <c r="M8" s="156">
        <f t="shared" si="4"/>
        <v>103.94682926829269</v>
      </c>
      <c r="N8" s="103"/>
      <c r="O8" s="61"/>
      <c r="P8" s="61"/>
      <c r="Q8" s="128"/>
      <c r="R8" s="156"/>
      <c r="T8" s="4"/>
    </row>
    <row r="9" spans="1:20" ht="18.75">
      <c r="A9" s="26">
        <v>3</v>
      </c>
      <c r="B9" s="9">
        <v>1113</v>
      </c>
      <c r="C9" s="56" t="s">
        <v>59</v>
      </c>
      <c r="D9" s="103">
        <f t="shared" si="0"/>
        <v>100000</v>
      </c>
      <c r="E9" s="61">
        <f t="shared" si="1"/>
        <v>100000</v>
      </c>
      <c r="F9" s="61">
        <f t="shared" si="2"/>
        <v>124238</v>
      </c>
      <c r="G9" s="125">
        <f t="shared" si="5"/>
        <v>124.238</v>
      </c>
      <c r="H9" s="154">
        <f t="shared" si="6"/>
        <v>124.238</v>
      </c>
      <c r="I9" s="100">
        <v>100000</v>
      </c>
      <c r="J9" s="60">
        <v>100000</v>
      </c>
      <c r="K9" s="60">
        <v>124238</v>
      </c>
      <c r="L9" s="128">
        <f t="shared" si="3"/>
        <v>124.238</v>
      </c>
      <c r="M9" s="156">
        <f t="shared" si="4"/>
        <v>124.238</v>
      </c>
      <c r="N9" s="103"/>
      <c r="O9" s="61"/>
      <c r="P9" s="61"/>
      <c r="Q9" s="128"/>
      <c r="R9" s="156"/>
      <c r="T9" s="4"/>
    </row>
    <row r="10" spans="1:20" ht="18.75">
      <c r="A10" s="13">
        <v>4</v>
      </c>
      <c r="B10" s="9">
        <v>1121</v>
      </c>
      <c r="C10" s="56" t="s">
        <v>4</v>
      </c>
      <c r="D10" s="103">
        <f t="shared" si="0"/>
        <v>1620000</v>
      </c>
      <c r="E10" s="61">
        <f t="shared" si="1"/>
        <v>1620000</v>
      </c>
      <c r="F10" s="61">
        <f t="shared" si="2"/>
        <v>1513559</v>
      </c>
      <c r="G10" s="125">
        <f t="shared" si="5"/>
        <v>93.42956790123456</v>
      </c>
      <c r="H10" s="154">
        <f t="shared" si="6"/>
        <v>93.42956790123456</v>
      </c>
      <c r="I10" s="100">
        <v>1620000</v>
      </c>
      <c r="J10" s="60">
        <v>1620000</v>
      </c>
      <c r="K10" s="60">
        <v>1513559</v>
      </c>
      <c r="L10" s="128">
        <f t="shared" si="3"/>
        <v>93.42956790123456</v>
      </c>
      <c r="M10" s="156">
        <f t="shared" si="4"/>
        <v>93.42956790123456</v>
      </c>
      <c r="N10" s="103"/>
      <c r="O10" s="61"/>
      <c r="P10" s="61"/>
      <c r="Q10" s="128"/>
      <c r="R10" s="156"/>
      <c r="T10" s="4"/>
    </row>
    <row r="11" spans="1:20" ht="18.75">
      <c r="A11" s="26">
        <v>5</v>
      </c>
      <c r="B11" s="9">
        <v>1211</v>
      </c>
      <c r="C11" s="56" t="s">
        <v>60</v>
      </c>
      <c r="D11" s="103">
        <f t="shared" si="0"/>
        <v>3220000</v>
      </c>
      <c r="E11" s="61">
        <f t="shared" si="1"/>
        <v>3220000</v>
      </c>
      <c r="F11" s="61">
        <f t="shared" si="2"/>
        <v>3250170</v>
      </c>
      <c r="G11" s="125">
        <f t="shared" si="5"/>
        <v>100.93695652173913</v>
      </c>
      <c r="H11" s="154">
        <f t="shared" si="6"/>
        <v>100.93695652173913</v>
      </c>
      <c r="I11" s="103">
        <v>3220000</v>
      </c>
      <c r="J11" s="61">
        <v>3220000</v>
      </c>
      <c r="K11" s="60">
        <v>3250170</v>
      </c>
      <c r="L11" s="128">
        <f t="shared" si="3"/>
        <v>100.93695652173913</v>
      </c>
      <c r="M11" s="156">
        <f t="shared" si="4"/>
        <v>100.93695652173913</v>
      </c>
      <c r="N11" s="103"/>
      <c r="O11" s="61"/>
      <c r="P11" s="61"/>
      <c r="Q11" s="128"/>
      <c r="R11" s="156"/>
      <c r="T11" s="4"/>
    </row>
    <row r="12" spans="1:20" ht="18.75">
      <c r="A12" s="13">
        <v>6</v>
      </c>
      <c r="B12" s="9">
        <v>1511</v>
      </c>
      <c r="C12" s="55" t="s">
        <v>5</v>
      </c>
      <c r="D12" s="103">
        <f t="shared" si="0"/>
        <v>236000</v>
      </c>
      <c r="E12" s="61">
        <f t="shared" si="1"/>
        <v>236000</v>
      </c>
      <c r="F12" s="61">
        <f t="shared" si="2"/>
        <v>202860</v>
      </c>
      <c r="G12" s="125">
        <f t="shared" si="5"/>
        <v>85.95762711864407</v>
      </c>
      <c r="H12" s="154">
        <f t="shared" si="6"/>
        <v>85.95762711864407</v>
      </c>
      <c r="I12" s="103">
        <v>236000</v>
      </c>
      <c r="J12" s="61">
        <v>236000</v>
      </c>
      <c r="K12" s="60">
        <v>202860</v>
      </c>
      <c r="L12" s="128">
        <f t="shared" si="3"/>
        <v>85.95762711864407</v>
      </c>
      <c r="M12" s="156">
        <f t="shared" si="4"/>
        <v>85.95762711864407</v>
      </c>
      <c r="N12" s="103"/>
      <c r="O12" s="61"/>
      <c r="P12" s="61"/>
      <c r="Q12" s="128"/>
      <c r="R12" s="156"/>
      <c r="T12" s="4"/>
    </row>
    <row r="13" spans="1:20" ht="19.5" thickBot="1">
      <c r="A13" s="26">
        <v>7</v>
      </c>
      <c r="B13" s="12"/>
      <c r="C13" s="90" t="s">
        <v>61</v>
      </c>
      <c r="D13" s="101">
        <f>SUM(D7:D12)</f>
        <v>6731000</v>
      </c>
      <c r="E13" s="62">
        <f>SUM(E7:E12)</f>
        <v>6731000</v>
      </c>
      <c r="F13" s="62">
        <f>SUM(F7:F12)</f>
        <v>6758678</v>
      </c>
      <c r="G13" s="146">
        <f t="shared" si="5"/>
        <v>100.4112019016491</v>
      </c>
      <c r="H13" s="155">
        <f t="shared" si="6"/>
        <v>100.4112019016491</v>
      </c>
      <c r="I13" s="101">
        <f>SUM(I7:I12)</f>
        <v>6731000</v>
      </c>
      <c r="J13" s="62">
        <f>SUM(J7:J12)</f>
        <v>6731000</v>
      </c>
      <c r="K13" s="62">
        <f>SUM(K7:K12)</f>
        <v>6758678</v>
      </c>
      <c r="L13" s="146">
        <f t="shared" si="3"/>
        <v>100.4112019016491</v>
      </c>
      <c r="M13" s="155">
        <f t="shared" si="4"/>
        <v>100.4112019016491</v>
      </c>
      <c r="N13" s="101"/>
      <c r="O13" s="82"/>
      <c r="P13" s="62"/>
      <c r="Q13" s="146"/>
      <c r="R13" s="155"/>
      <c r="S13" s="266"/>
      <c r="T13" s="4"/>
    </row>
    <row r="14" spans="1:20" ht="18.75">
      <c r="A14" s="13">
        <v>8</v>
      </c>
      <c r="B14" s="23">
        <v>1119</v>
      </c>
      <c r="C14" s="91" t="s">
        <v>71</v>
      </c>
      <c r="D14" s="102"/>
      <c r="E14" s="70"/>
      <c r="F14" s="70">
        <f t="shared" si="2"/>
        <v>6</v>
      </c>
      <c r="G14" s="127"/>
      <c r="H14" s="154"/>
      <c r="I14" s="113"/>
      <c r="J14" s="68"/>
      <c r="K14" s="68">
        <v>6</v>
      </c>
      <c r="L14" s="125"/>
      <c r="M14" s="154"/>
      <c r="N14" s="113"/>
      <c r="O14" s="68"/>
      <c r="P14" s="68"/>
      <c r="Q14" s="137"/>
      <c r="R14" s="196"/>
      <c r="S14" s="266"/>
      <c r="T14" s="4"/>
    </row>
    <row r="15" spans="1:20" ht="18.75">
      <c r="A15" s="26">
        <v>9</v>
      </c>
      <c r="B15" s="9">
        <v>1122</v>
      </c>
      <c r="C15" s="56" t="s">
        <v>6</v>
      </c>
      <c r="D15" s="100">
        <f t="shared" si="2"/>
        <v>42077</v>
      </c>
      <c r="E15" s="60">
        <f t="shared" si="2"/>
        <v>68633</v>
      </c>
      <c r="F15" s="60">
        <f t="shared" si="2"/>
        <v>68633</v>
      </c>
      <c r="G15" s="125">
        <f t="shared" si="5"/>
        <v>163.11286451030253</v>
      </c>
      <c r="H15" s="154">
        <f t="shared" si="6"/>
        <v>100</v>
      </c>
      <c r="I15" s="103"/>
      <c r="J15" s="61"/>
      <c r="K15" s="61"/>
      <c r="L15" s="128"/>
      <c r="M15" s="156"/>
      <c r="N15" s="103">
        <v>42077</v>
      </c>
      <c r="O15" s="81">
        <v>68633</v>
      </c>
      <c r="P15" s="61">
        <f>92041-P16</f>
        <v>68633</v>
      </c>
      <c r="Q15" s="128">
        <f aca="true" t="shared" si="7" ref="Q15:Q21">+P15/N15*100</f>
        <v>163.11286451030253</v>
      </c>
      <c r="R15" s="156">
        <f aca="true" t="shared" si="8" ref="R15:R27">+P15/O15*100</f>
        <v>100</v>
      </c>
      <c r="S15" s="266"/>
      <c r="T15" s="4"/>
    </row>
    <row r="16" spans="1:20" ht="18.75">
      <c r="A16" s="13">
        <v>10</v>
      </c>
      <c r="B16" s="9">
        <v>1122</v>
      </c>
      <c r="C16" s="56" t="s">
        <v>72</v>
      </c>
      <c r="D16" s="103">
        <f t="shared" si="2"/>
        <v>109726</v>
      </c>
      <c r="E16" s="61">
        <f t="shared" si="2"/>
        <v>254441</v>
      </c>
      <c r="F16" s="61">
        <f t="shared" si="2"/>
        <v>254441</v>
      </c>
      <c r="G16" s="125">
        <f t="shared" si="5"/>
        <v>231.88761095820502</v>
      </c>
      <c r="H16" s="154">
        <f t="shared" si="6"/>
        <v>100</v>
      </c>
      <c r="I16" s="103">
        <v>100000</v>
      </c>
      <c r="J16" s="61">
        <v>231033</v>
      </c>
      <c r="K16" s="61">
        <v>231033</v>
      </c>
      <c r="L16" s="128">
        <f>+K16/I16*100</f>
        <v>231.033</v>
      </c>
      <c r="M16" s="156">
        <f aca="true" t="shared" si="9" ref="M16:M28">+K16/J16*100</f>
        <v>100</v>
      </c>
      <c r="N16" s="103">
        <v>9726</v>
      </c>
      <c r="O16" s="81">
        <v>23408</v>
      </c>
      <c r="P16" s="61">
        <v>23408</v>
      </c>
      <c r="Q16" s="128">
        <f t="shared" si="7"/>
        <v>240.67448077318528</v>
      </c>
      <c r="R16" s="156">
        <f t="shared" si="8"/>
        <v>100</v>
      </c>
      <c r="S16" s="267"/>
      <c r="T16" s="4"/>
    </row>
    <row r="17" spans="1:20" ht="18.75">
      <c r="A17" s="26">
        <v>11</v>
      </c>
      <c r="B17" s="15" t="s">
        <v>31</v>
      </c>
      <c r="C17" s="92" t="s">
        <v>70</v>
      </c>
      <c r="D17" s="104">
        <f t="shared" si="2"/>
        <v>183514</v>
      </c>
      <c r="E17" s="63">
        <f t="shared" si="2"/>
        <v>183614</v>
      </c>
      <c r="F17" s="63">
        <f t="shared" si="2"/>
        <v>180123</v>
      </c>
      <c r="G17" s="129">
        <f t="shared" si="5"/>
        <v>98.15218457447388</v>
      </c>
      <c r="H17" s="154">
        <f t="shared" si="6"/>
        <v>98.09872885509819</v>
      </c>
      <c r="I17" s="104">
        <v>183467</v>
      </c>
      <c r="J17" s="63">
        <v>183467</v>
      </c>
      <c r="K17" s="63">
        <v>179981</v>
      </c>
      <c r="L17" s="128">
        <f>+K17/I17*100</f>
        <v>98.09993077774205</v>
      </c>
      <c r="M17" s="156">
        <f t="shared" si="9"/>
        <v>98.09993077774205</v>
      </c>
      <c r="N17" s="104">
        <v>47</v>
      </c>
      <c r="O17" s="84">
        <v>147</v>
      </c>
      <c r="P17" s="63">
        <v>142</v>
      </c>
      <c r="Q17" s="129">
        <f t="shared" si="7"/>
        <v>302.1276595744681</v>
      </c>
      <c r="R17" s="270">
        <f t="shared" si="8"/>
        <v>96.5986394557823</v>
      </c>
      <c r="S17" s="268"/>
      <c r="T17" s="4"/>
    </row>
    <row r="18" spans="1:20" ht="18.75">
      <c r="A18" s="13">
        <v>12</v>
      </c>
      <c r="B18" s="16" t="s">
        <v>32</v>
      </c>
      <c r="C18" s="55" t="s">
        <v>73</v>
      </c>
      <c r="D18" s="103">
        <f t="shared" si="2"/>
        <v>114258</v>
      </c>
      <c r="E18" s="61">
        <f t="shared" si="2"/>
        <v>112959</v>
      </c>
      <c r="F18" s="61">
        <f t="shared" si="2"/>
        <v>126466</v>
      </c>
      <c r="G18" s="128">
        <f t="shared" si="5"/>
        <v>110.68459101332073</v>
      </c>
      <c r="H18" s="154">
        <f t="shared" si="6"/>
        <v>111.95743588381626</v>
      </c>
      <c r="I18" s="103">
        <v>6000</v>
      </c>
      <c r="J18" s="61">
        <v>6000</v>
      </c>
      <c r="K18" s="61">
        <v>4750</v>
      </c>
      <c r="L18" s="128">
        <f>+K18/I18*100</f>
        <v>79.16666666666666</v>
      </c>
      <c r="M18" s="156">
        <f t="shared" si="9"/>
        <v>79.16666666666666</v>
      </c>
      <c r="N18" s="103">
        <v>108258</v>
      </c>
      <c r="O18" s="81">
        <v>106959</v>
      </c>
      <c r="P18" s="61">
        <v>121716</v>
      </c>
      <c r="Q18" s="128">
        <f t="shared" si="7"/>
        <v>112.43141384470432</v>
      </c>
      <c r="R18" s="156">
        <f t="shared" si="8"/>
        <v>113.79687543825203</v>
      </c>
      <c r="S18" s="268"/>
      <c r="T18" s="4"/>
    </row>
    <row r="19" spans="1:20" ht="18.75">
      <c r="A19" s="26">
        <v>13</v>
      </c>
      <c r="B19" s="19" t="s">
        <v>84</v>
      </c>
      <c r="C19" s="55" t="s">
        <v>85</v>
      </c>
      <c r="D19" s="103">
        <f t="shared" si="2"/>
        <v>32040</v>
      </c>
      <c r="E19" s="61">
        <f t="shared" si="2"/>
        <v>25418</v>
      </c>
      <c r="F19" s="61">
        <f t="shared" si="2"/>
        <v>22973</v>
      </c>
      <c r="G19" s="128">
        <f t="shared" si="5"/>
        <v>71.70099875156055</v>
      </c>
      <c r="H19" s="154">
        <f t="shared" si="6"/>
        <v>90.38083248091904</v>
      </c>
      <c r="I19" s="113">
        <v>7000</v>
      </c>
      <c r="J19" s="68">
        <v>7500</v>
      </c>
      <c r="K19" s="68">
        <f>500+6718-509</f>
        <v>6709</v>
      </c>
      <c r="L19" s="128">
        <f>+K19/I19*100</f>
        <v>95.84285714285714</v>
      </c>
      <c r="M19" s="156">
        <f t="shared" si="9"/>
        <v>89.45333333333333</v>
      </c>
      <c r="N19" s="113">
        <v>25040</v>
      </c>
      <c r="O19" s="83">
        <v>17918</v>
      </c>
      <c r="P19" s="68">
        <v>16264</v>
      </c>
      <c r="Q19" s="128">
        <f t="shared" si="7"/>
        <v>64.9520766773163</v>
      </c>
      <c r="R19" s="156">
        <f t="shared" si="8"/>
        <v>90.7690590467686</v>
      </c>
      <c r="S19" s="266"/>
      <c r="T19" s="4"/>
    </row>
    <row r="20" spans="1:20" ht="18.75">
      <c r="A20" s="13">
        <v>14</v>
      </c>
      <c r="B20" s="19">
        <v>1361</v>
      </c>
      <c r="C20" s="55" t="s">
        <v>7</v>
      </c>
      <c r="D20" s="103">
        <f t="shared" si="2"/>
        <v>111351</v>
      </c>
      <c r="E20" s="61">
        <f t="shared" si="2"/>
        <v>90796</v>
      </c>
      <c r="F20" s="61">
        <f t="shared" si="2"/>
        <v>78033</v>
      </c>
      <c r="G20" s="128">
        <f>+F20/D20*100</f>
        <v>70.07840073281784</v>
      </c>
      <c r="H20" s="154">
        <f>+F20/E20*100</f>
        <v>85.94321335741662</v>
      </c>
      <c r="I20" s="113">
        <v>69010</v>
      </c>
      <c r="J20" s="68">
        <v>69010</v>
      </c>
      <c r="K20" s="68">
        <v>63467</v>
      </c>
      <c r="L20" s="128">
        <f aca="true" t="shared" si="10" ref="L20:L26">+K20/I20*100</f>
        <v>91.9678307491668</v>
      </c>
      <c r="M20" s="163">
        <f t="shared" si="9"/>
        <v>91.9678307491668</v>
      </c>
      <c r="N20" s="113">
        <v>42341</v>
      </c>
      <c r="O20" s="83">
        <v>21786</v>
      </c>
      <c r="P20" s="68">
        <v>14566</v>
      </c>
      <c r="Q20" s="128">
        <f t="shared" si="7"/>
        <v>34.401643796792705</v>
      </c>
      <c r="R20" s="156">
        <f t="shared" si="8"/>
        <v>66.85945102359312</v>
      </c>
      <c r="S20" s="267"/>
      <c r="T20" s="4"/>
    </row>
    <row r="21" spans="1:20" ht="19.5" thickBot="1">
      <c r="A21" s="26">
        <v>15</v>
      </c>
      <c r="B21" s="17" t="s">
        <v>43</v>
      </c>
      <c r="C21" s="93" t="s">
        <v>86</v>
      </c>
      <c r="D21" s="105">
        <f>SUM(D13:D20)</f>
        <v>7323966</v>
      </c>
      <c r="E21" s="64">
        <f>SUM(E13:E20)</f>
        <v>7466861</v>
      </c>
      <c r="F21" s="64">
        <f>SUM(F13:F20)</f>
        <v>7489353</v>
      </c>
      <c r="G21" s="126">
        <f t="shared" si="5"/>
        <v>102.25816176645277</v>
      </c>
      <c r="H21" s="157">
        <f t="shared" si="6"/>
        <v>100.30122430295675</v>
      </c>
      <c r="I21" s="105">
        <f>SUM(I13:I20)</f>
        <v>7096477</v>
      </c>
      <c r="J21" s="64">
        <f>SUM(J13:J20)</f>
        <v>7228010</v>
      </c>
      <c r="K21" s="64">
        <f>SUM(K13:K20)</f>
        <v>7244624</v>
      </c>
      <c r="L21" s="126">
        <f t="shared" si="10"/>
        <v>102.08761333264378</v>
      </c>
      <c r="M21" s="157">
        <f t="shared" si="9"/>
        <v>100.22985579710044</v>
      </c>
      <c r="N21" s="105">
        <f>SUM(N13:N20)</f>
        <v>227489</v>
      </c>
      <c r="O21" s="64">
        <f>SUM(O13:O20)</f>
        <v>238851</v>
      </c>
      <c r="P21" s="64">
        <f>SUM(P13:P20)</f>
        <v>244729</v>
      </c>
      <c r="Q21" s="126">
        <f t="shared" si="7"/>
        <v>107.57838840559324</v>
      </c>
      <c r="R21" s="157">
        <f t="shared" si="8"/>
        <v>102.4609484574065</v>
      </c>
      <c r="S21" s="266"/>
      <c r="T21" s="4"/>
    </row>
    <row r="22" spans="1:20" ht="18.75">
      <c r="A22" s="13">
        <v>16</v>
      </c>
      <c r="B22" s="18" t="s">
        <v>33</v>
      </c>
      <c r="C22" s="94" t="s">
        <v>8</v>
      </c>
      <c r="D22" s="100">
        <f aca="true" t="shared" si="11" ref="D22:F26">+I22+N22</f>
        <v>55175</v>
      </c>
      <c r="E22" s="60">
        <f t="shared" si="11"/>
        <v>60018</v>
      </c>
      <c r="F22" s="60">
        <f t="shared" si="11"/>
        <v>63587</v>
      </c>
      <c r="G22" s="125">
        <f t="shared" si="5"/>
        <v>115.24603534209335</v>
      </c>
      <c r="H22" s="154">
        <f t="shared" si="6"/>
        <v>105.94654936852277</v>
      </c>
      <c r="I22" s="100">
        <v>24586</v>
      </c>
      <c r="J22" s="60">
        <v>25816</v>
      </c>
      <c r="K22" s="60">
        <v>28190</v>
      </c>
      <c r="L22" s="125">
        <f t="shared" si="10"/>
        <v>114.65874888147727</v>
      </c>
      <c r="M22" s="154">
        <f t="shared" si="9"/>
        <v>109.19584753641152</v>
      </c>
      <c r="N22" s="100">
        <v>30589</v>
      </c>
      <c r="O22" s="80">
        <v>34202</v>
      </c>
      <c r="P22" s="60">
        <v>35397</v>
      </c>
      <c r="Q22" s="125">
        <f>+P22/N22*100</f>
        <v>115.71806858674687</v>
      </c>
      <c r="R22" s="154">
        <f t="shared" si="8"/>
        <v>103.49394772235543</v>
      </c>
      <c r="T22" s="4"/>
    </row>
    <row r="23" spans="1:20" ht="18.75">
      <c r="A23" s="26">
        <v>17</v>
      </c>
      <c r="B23" s="18" t="s">
        <v>34</v>
      </c>
      <c r="C23" s="94" t="s">
        <v>65</v>
      </c>
      <c r="D23" s="100">
        <f t="shared" si="11"/>
        <v>104103</v>
      </c>
      <c r="E23" s="60">
        <f t="shared" si="11"/>
        <v>111803</v>
      </c>
      <c r="F23" s="60">
        <f t="shared" si="11"/>
        <v>111112</v>
      </c>
      <c r="G23" s="125">
        <f t="shared" si="5"/>
        <v>106.73275505989261</v>
      </c>
      <c r="H23" s="154">
        <f t="shared" si="6"/>
        <v>99.38194860603025</v>
      </c>
      <c r="I23" s="100">
        <v>101589</v>
      </c>
      <c r="J23" s="60">
        <v>102485</v>
      </c>
      <c r="K23" s="60">
        <v>101656</v>
      </c>
      <c r="L23" s="128">
        <f t="shared" si="10"/>
        <v>100.06595202236464</v>
      </c>
      <c r="M23" s="156">
        <f t="shared" si="9"/>
        <v>99.19110113675173</v>
      </c>
      <c r="N23" s="100">
        <v>2514</v>
      </c>
      <c r="O23" s="80">
        <v>9318</v>
      </c>
      <c r="P23" s="60">
        <v>9456</v>
      </c>
      <c r="Q23" s="129">
        <f>+P23/N23*100</f>
        <v>376.13365155131265</v>
      </c>
      <c r="R23" s="154">
        <f t="shared" si="8"/>
        <v>101.48100450740503</v>
      </c>
      <c r="T23" s="4"/>
    </row>
    <row r="24" spans="1:20" ht="18.75">
      <c r="A24" s="13">
        <v>18</v>
      </c>
      <c r="B24" s="15" t="s">
        <v>35</v>
      </c>
      <c r="C24" s="92" t="s">
        <v>9</v>
      </c>
      <c r="D24" s="104">
        <f t="shared" si="11"/>
        <v>211424</v>
      </c>
      <c r="E24" s="63">
        <f t="shared" si="11"/>
        <v>215470</v>
      </c>
      <c r="F24" s="63">
        <f t="shared" si="11"/>
        <v>241370</v>
      </c>
      <c r="G24" s="129">
        <f t="shared" si="5"/>
        <v>114.16395489632207</v>
      </c>
      <c r="H24" s="154">
        <f t="shared" si="6"/>
        <v>112.02023483547595</v>
      </c>
      <c r="I24" s="104">
        <v>132563</v>
      </c>
      <c r="J24" s="63">
        <v>131901</v>
      </c>
      <c r="K24" s="63">
        <v>155216</v>
      </c>
      <c r="L24" s="128">
        <f t="shared" si="10"/>
        <v>117.08847868560608</v>
      </c>
      <c r="M24" s="156">
        <f t="shared" si="9"/>
        <v>117.67613588979613</v>
      </c>
      <c r="N24" s="104">
        <v>78861</v>
      </c>
      <c r="O24" s="84">
        <v>83569</v>
      </c>
      <c r="P24" s="63">
        <v>86154</v>
      </c>
      <c r="Q24" s="129">
        <f>+P24/N24*100</f>
        <v>109.24791722144025</v>
      </c>
      <c r="R24" s="154">
        <f t="shared" si="8"/>
        <v>103.09325228254495</v>
      </c>
      <c r="T24" s="4"/>
    </row>
    <row r="25" spans="1:20" ht="18.75">
      <c r="A25" s="26">
        <v>19</v>
      </c>
      <c r="B25" s="15" t="s">
        <v>120</v>
      </c>
      <c r="C25" s="92" t="s">
        <v>153</v>
      </c>
      <c r="D25" s="185">
        <f t="shared" si="11"/>
        <v>40544</v>
      </c>
      <c r="E25" s="63">
        <f t="shared" si="11"/>
        <v>163829</v>
      </c>
      <c r="F25" s="84">
        <f t="shared" si="11"/>
        <v>175106</v>
      </c>
      <c r="G25" s="129">
        <f t="shared" si="5"/>
        <v>431.89127861089185</v>
      </c>
      <c r="H25" s="154">
        <f t="shared" si="6"/>
        <v>106.88339671242576</v>
      </c>
      <c r="I25" s="104">
        <v>33078</v>
      </c>
      <c r="J25" s="63">
        <v>157034</v>
      </c>
      <c r="K25" s="63">
        <v>167477</v>
      </c>
      <c r="L25" s="128">
        <f t="shared" si="10"/>
        <v>506.3093294636919</v>
      </c>
      <c r="M25" s="156">
        <f t="shared" si="9"/>
        <v>106.65015219633965</v>
      </c>
      <c r="N25" s="104">
        <v>7466</v>
      </c>
      <c r="O25" s="84">
        <v>6795</v>
      </c>
      <c r="P25" s="63">
        <v>7629</v>
      </c>
      <c r="Q25" s="129">
        <f>+P25/N25*100</f>
        <v>102.18323064559335</v>
      </c>
      <c r="R25" s="154">
        <f t="shared" si="8"/>
        <v>112.27373068432671</v>
      </c>
      <c r="T25" s="4"/>
    </row>
    <row r="26" spans="1:20" ht="18.75">
      <c r="A26" s="13">
        <v>20</v>
      </c>
      <c r="B26" s="15" t="s">
        <v>36</v>
      </c>
      <c r="C26" s="92" t="s">
        <v>10</v>
      </c>
      <c r="D26" s="185">
        <f t="shared" si="11"/>
        <v>49813</v>
      </c>
      <c r="E26" s="63">
        <f t="shared" si="11"/>
        <v>51910</v>
      </c>
      <c r="F26" s="84">
        <f t="shared" si="11"/>
        <v>57449</v>
      </c>
      <c r="G26" s="129">
        <f t="shared" si="5"/>
        <v>115.3293317005601</v>
      </c>
      <c r="H26" s="154">
        <f t="shared" si="6"/>
        <v>110.6703910614525</v>
      </c>
      <c r="I26" s="104">
        <v>45427</v>
      </c>
      <c r="J26" s="63">
        <v>45438</v>
      </c>
      <c r="K26" s="63">
        <v>53494</v>
      </c>
      <c r="L26" s="128">
        <f t="shared" si="10"/>
        <v>117.75816144583618</v>
      </c>
      <c r="M26" s="156">
        <f t="shared" si="9"/>
        <v>117.7296535939082</v>
      </c>
      <c r="N26" s="104">
        <v>4386</v>
      </c>
      <c r="O26" s="84">
        <v>6472</v>
      </c>
      <c r="P26" s="63">
        <v>3955</v>
      </c>
      <c r="Q26" s="129">
        <f>+P26/N26*100</f>
        <v>90.17327861377109</v>
      </c>
      <c r="R26" s="270">
        <f t="shared" si="8"/>
        <v>61.109394313967854</v>
      </c>
      <c r="T26" s="4"/>
    </row>
    <row r="27" spans="1:20" ht="18.75">
      <c r="A27" s="26">
        <v>21</v>
      </c>
      <c r="B27" s="15">
        <v>2226</v>
      </c>
      <c r="C27" s="92" t="s">
        <v>170</v>
      </c>
      <c r="D27" s="186" t="s">
        <v>52</v>
      </c>
      <c r="E27" s="65" t="s">
        <v>52</v>
      </c>
      <c r="F27" s="187" t="s">
        <v>52</v>
      </c>
      <c r="G27" s="129"/>
      <c r="H27" s="154"/>
      <c r="I27" s="104"/>
      <c r="J27" s="63"/>
      <c r="K27" s="63"/>
      <c r="L27" s="128"/>
      <c r="M27" s="156"/>
      <c r="N27" s="104"/>
      <c r="O27" s="84">
        <v>122680</v>
      </c>
      <c r="P27" s="63">
        <v>122679</v>
      </c>
      <c r="Q27" s="129"/>
      <c r="R27" s="154">
        <f t="shared" si="8"/>
        <v>99.99918487120965</v>
      </c>
      <c r="T27" s="4"/>
    </row>
    <row r="28" spans="1:20" ht="18.75">
      <c r="A28" s="13">
        <v>22</v>
      </c>
      <c r="B28" s="15">
        <v>2226</v>
      </c>
      <c r="C28" s="92" t="s">
        <v>171</v>
      </c>
      <c r="D28" s="186" t="s">
        <v>52</v>
      </c>
      <c r="E28" s="65" t="s">
        <v>52</v>
      </c>
      <c r="F28" s="187" t="s">
        <v>52</v>
      </c>
      <c r="G28" s="158"/>
      <c r="H28" s="154"/>
      <c r="I28" s="104"/>
      <c r="J28" s="63">
        <v>16350</v>
      </c>
      <c r="K28" s="63">
        <v>16350</v>
      </c>
      <c r="L28" s="128"/>
      <c r="M28" s="156">
        <f t="shared" si="9"/>
        <v>100</v>
      </c>
      <c r="N28" s="104"/>
      <c r="O28" s="84"/>
      <c r="P28" s="63"/>
      <c r="Q28" s="129"/>
      <c r="R28" s="270"/>
      <c r="T28" s="4"/>
    </row>
    <row r="29" spans="1:20" ht="18.75">
      <c r="A29" s="26">
        <v>23</v>
      </c>
      <c r="B29" s="15">
        <v>2441</v>
      </c>
      <c r="C29" s="92" t="s">
        <v>151</v>
      </c>
      <c r="D29" s="186" t="s">
        <v>52</v>
      </c>
      <c r="E29" s="65" t="s">
        <v>52</v>
      </c>
      <c r="F29" s="187" t="s">
        <v>52</v>
      </c>
      <c r="G29" s="158"/>
      <c r="H29" s="154"/>
      <c r="I29" s="104">
        <v>51717</v>
      </c>
      <c r="J29" s="63">
        <v>51717</v>
      </c>
      <c r="K29" s="63">
        <v>51655</v>
      </c>
      <c r="L29" s="128">
        <f aca="true" t="shared" si="12" ref="L29:L36">+K29/I29*100</f>
        <v>99.88011678945028</v>
      </c>
      <c r="M29" s="156">
        <f aca="true" t="shared" si="13" ref="M29:M39">+K29/J29*100</f>
        <v>99.88011678945028</v>
      </c>
      <c r="N29" s="104"/>
      <c r="O29" s="84"/>
      <c r="P29" s="63"/>
      <c r="Q29" s="129"/>
      <c r="R29" s="270"/>
      <c r="T29" s="4"/>
    </row>
    <row r="30" spans="1:20" ht="18.75">
      <c r="A30" s="13">
        <v>24</v>
      </c>
      <c r="B30" s="16" t="s">
        <v>56</v>
      </c>
      <c r="C30" s="55" t="s">
        <v>11</v>
      </c>
      <c r="D30" s="103">
        <f>+I30+N30</f>
        <v>75516</v>
      </c>
      <c r="E30" s="61">
        <f>+J30+O30</f>
        <v>120494</v>
      </c>
      <c r="F30" s="61">
        <f>+K30+P30</f>
        <v>157264</v>
      </c>
      <c r="G30" s="128">
        <f t="shared" si="5"/>
        <v>208.25255574977487</v>
      </c>
      <c r="H30" s="154">
        <f t="shared" si="6"/>
        <v>130.51604229256228</v>
      </c>
      <c r="I30" s="103">
        <f>449816-I22-I23-I24-I25-I26-I29</f>
        <v>60856</v>
      </c>
      <c r="J30" s="61">
        <f>633097-J22-J23-J24-J25-J26-J28-J29</f>
        <v>102356</v>
      </c>
      <c r="K30" s="61">
        <f>713968-K22-K23-K24-K25-K26-K28-K29</f>
        <v>139930</v>
      </c>
      <c r="L30" s="128">
        <f t="shared" si="12"/>
        <v>229.9362429341396</v>
      </c>
      <c r="M30" s="156">
        <f t="shared" si="13"/>
        <v>136.7091328305131</v>
      </c>
      <c r="N30" s="103">
        <v>14660</v>
      </c>
      <c r="O30" s="81">
        <f>281174-O22-O23-O24-O25-O26-O27</f>
        <v>18138</v>
      </c>
      <c r="P30" s="61">
        <f>282604-P22-P23-P24-P25-P26-P27</f>
        <v>17334</v>
      </c>
      <c r="Q30" s="128">
        <f>+P30/N30*100</f>
        <v>118.24010914051841</v>
      </c>
      <c r="R30" s="156">
        <f>+P30/O30*100</f>
        <v>95.56731723453524</v>
      </c>
      <c r="T30" s="4"/>
    </row>
    <row r="31" spans="1:20" ht="19.5" thickBot="1">
      <c r="A31" s="26">
        <v>25</v>
      </c>
      <c r="B31" s="17" t="s">
        <v>87</v>
      </c>
      <c r="C31" s="93" t="s">
        <v>169</v>
      </c>
      <c r="D31" s="105">
        <f>SUM(D22:D30)</f>
        <v>536575</v>
      </c>
      <c r="E31" s="64">
        <f>SUM(E22:E30)</f>
        <v>723524</v>
      </c>
      <c r="F31" s="64">
        <f>SUM(F22:F30)</f>
        <v>805888</v>
      </c>
      <c r="G31" s="126">
        <f t="shared" si="5"/>
        <v>150.1911196011741</v>
      </c>
      <c r="H31" s="157">
        <f t="shared" si="6"/>
        <v>111.38372742300187</v>
      </c>
      <c r="I31" s="105">
        <f>SUM(I22:I30)</f>
        <v>449816</v>
      </c>
      <c r="J31" s="64">
        <f>SUM(J22:J30)</f>
        <v>633097</v>
      </c>
      <c r="K31" s="64">
        <f>SUM(K22:K30)</f>
        <v>713968</v>
      </c>
      <c r="L31" s="126">
        <f t="shared" si="12"/>
        <v>158.7244562220997</v>
      </c>
      <c r="M31" s="157">
        <f t="shared" si="13"/>
        <v>112.77387193431653</v>
      </c>
      <c r="N31" s="105">
        <f>SUM(N22:N30)</f>
        <v>138476</v>
      </c>
      <c r="O31" s="64">
        <f>SUM(O22:O30)</f>
        <v>281174</v>
      </c>
      <c r="P31" s="64">
        <f>SUM(P22:P30)</f>
        <v>282604</v>
      </c>
      <c r="Q31" s="126">
        <f>+P31/N31*100</f>
        <v>204.0815737023022</v>
      </c>
      <c r="R31" s="157">
        <f>+P31/O31*100</f>
        <v>100.50858187456878</v>
      </c>
      <c r="T31" s="4"/>
    </row>
    <row r="32" spans="1:20" ht="18.75">
      <c r="A32" s="13">
        <v>26</v>
      </c>
      <c r="B32" s="20" t="s">
        <v>42</v>
      </c>
      <c r="C32" s="95" t="s">
        <v>206</v>
      </c>
      <c r="D32" s="107">
        <f>+I32+N32</f>
        <v>969000</v>
      </c>
      <c r="E32" s="66">
        <f>+J32+O32</f>
        <v>969000</v>
      </c>
      <c r="F32" s="66">
        <f>+K32+P32</f>
        <v>1458271</v>
      </c>
      <c r="G32" s="130">
        <f t="shared" si="5"/>
        <v>150.4923632610939</v>
      </c>
      <c r="H32" s="154">
        <f t="shared" si="6"/>
        <v>150.4923632610939</v>
      </c>
      <c r="I32" s="107">
        <v>969000</v>
      </c>
      <c r="J32" s="66">
        <v>969000</v>
      </c>
      <c r="K32" s="66">
        <v>1458728</v>
      </c>
      <c r="L32" s="125">
        <f t="shared" si="12"/>
        <v>150.53952528379773</v>
      </c>
      <c r="M32" s="154">
        <f t="shared" si="13"/>
        <v>150.53952528379773</v>
      </c>
      <c r="N32" s="107"/>
      <c r="O32" s="66"/>
      <c r="P32" s="66">
        <v>-457</v>
      </c>
      <c r="Q32" s="130"/>
      <c r="R32" s="270"/>
      <c r="T32" s="4"/>
    </row>
    <row r="33" spans="1:20" ht="18.75">
      <c r="A33" s="26">
        <v>27</v>
      </c>
      <c r="B33" s="71" t="s">
        <v>42</v>
      </c>
      <c r="C33" s="92" t="s">
        <v>207</v>
      </c>
      <c r="D33" s="104">
        <f>+I33+N33</f>
        <v>160950</v>
      </c>
      <c r="E33" s="63">
        <f>+J33+O33</f>
        <v>161739</v>
      </c>
      <c r="F33" s="63">
        <f>+K33+P33</f>
        <v>114859</v>
      </c>
      <c r="G33" s="129">
        <f>+F33/D33*100</f>
        <v>71.36315625970798</v>
      </c>
      <c r="H33" s="156">
        <f>+F33/E33*100</f>
        <v>71.01503038846538</v>
      </c>
      <c r="I33" s="107">
        <f>1129950-I32</f>
        <v>160950</v>
      </c>
      <c r="J33" s="66">
        <f>1129950-J32</f>
        <v>160950</v>
      </c>
      <c r="K33" s="66">
        <f>1572850-K32</f>
        <v>114122</v>
      </c>
      <c r="L33" s="125">
        <f>+K33/I33*100</f>
        <v>70.90525007766388</v>
      </c>
      <c r="M33" s="154">
        <f>+K33/J33*100</f>
        <v>70.90525007766388</v>
      </c>
      <c r="N33" s="104"/>
      <c r="O33" s="63">
        <v>789</v>
      </c>
      <c r="P33" s="63">
        <f>22-457+522+193+457</f>
        <v>737</v>
      </c>
      <c r="Q33" s="129"/>
      <c r="R33" s="277">
        <f>+P33/O33*100</f>
        <v>93.40937896070976</v>
      </c>
      <c r="T33" s="4"/>
    </row>
    <row r="34" spans="1:20" ht="18.75">
      <c r="A34" s="13">
        <v>28</v>
      </c>
      <c r="B34" s="71" t="s">
        <v>174</v>
      </c>
      <c r="C34" s="95" t="s">
        <v>175</v>
      </c>
      <c r="D34" s="259">
        <f>+I34+N34</f>
        <v>0</v>
      </c>
      <c r="E34" s="66">
        <f>+J34+O34</f>
        <v>2791</v>
      </c>
      <c r="F34" s="66">
        <f>+K34+P34</f>
        <v>2813</v>
      </c>
      <c r="G34" s="261"/>
      <c r="H34" s="154">
        <f>+F34/E34*100</f>
        <v>100.78824793980652</v>
      </c>
      <c r="I34" s="259"/>
      <c r="J34" s="260"/>
      <c r="K34" s="260"/>
      <c r="L34" s="179"/>
      <c r="M34" s="154"/>
      <c r="N34" s="104"/>
      <c r="O34" s="63">
        <v>2791</v>
      </c>
      <c r="P34" s="63">
        <v>2813</v>
      </c>
      <c r="Q34" s="261"/>
      <c r="R34" s="277">
        <f>+P34/O34*100</f>
        <v>100.78824793980652</v>
      </c>
      <c r="T34" s="4"/>
    </row>
    <row r="35" spans="1:20" ht="19.5" thickBot="1">
      <c r="A35" s="26">
        <v>29</v>
      </c>
      <c r="B35" s="21" t="s">
        <v>44</v>
      </c>
      <c r="C35" s="93" t="s">
        <v>223</v>
      </c>
      <c r="D35" s="105">
        <f>SUM(D32:D34)</f>
        <v>1129950</v>
      </c>
      <c r="E35" s="64">
        <f>SUM(E32:E34)</f>
        <v>1133530</v>
      </c>
      <c r="F35" s="64">
        <f>SUM(F32:F34)</f>
        <v>1575943</v>
      </c>
      <c r="G35" s="126">
        <f>+F35/D35*100</f>
        <v>139.47015354661713</v>
      </c>
      <c r="H35" s="157">
        <f>+F35/E35*100</f>
        <v>139.02966838107506</v>
      </c>
      <c r="I35" s="105">
        <f>SUM(I32:I34)</f>
        <v>1129950</v>
      </c>
      <c r="J35" s="64">
        <f>SUM(J32:J34)</f>
        <v>1129950</v>
      </c>
      <c r="K35" s="64">
        <f>SUM(K32:K34)</f>
        <v>1572850</v>
      </c>
      <c r="L35" s="176">
        <f>+K35/I35*100</f>
        <v>139.19642462055845</v>
      </c>
      <c r="M35" s="172">
        <f>+K35/J35*100</f>
        <v>139.19642462055845</v>
      </c>
      <c r="N35" s="105">
        <f>SUM(N32:N34)</f>
        <v>0</v>
      </c>
      <c r="O35" s="64">
        <f>SUM(O32:O34)</f>
        <v>3580</v>
      </c>
      <c r="P35" s="64">
        <f>SUM(P32:P34)</f>
        <v>3093</v>
      </c>
      <c r="Q35" s="126"/>
      <c r="R35" s="157">
        <f>+P35/O35*100</f>
        <v>86.39664804469274</v>
      </c>
      <c r="T35" s="4"/>
    </row>
    <row r="36" spans="1:20" ht="19.5" thickBot="1">
      <c r="A36" s="13">
        <v>30</v>
      </c>
      <c r="B36" s="22"/>
      <c r="C36" s="57" t="s">
        <v>224</v>
      </c>
      <c r="D36" s="108">
        <f>+D21+D31+D35</f>
        <v>8990491</v>
      </c>
      <c r="E36" s="67">
        <f>+E21+E31+E35</f>
        <v>9323915</v>
      </c>
      <c r="F36" s="67">
        <f>+F21+F31+F35</f>
        <v>9871184</v>
      </c>
      <c r="G36" s="131">
        <f t="shared" si="5"/>
        <v>109.79582761386446</v>
      </c>
      <c r="H36" s="171">
        <f t="shared" si="6"/>
        <v>105.86951940252564</v>
      </c>
      <c r="I36" s="108">
        <f>+I21+I31+I35</f>
        <v>8676243</v>
      </c>
      <c r="J36" s="67">
        <f>+J21+J31+J35</f>
        <v>8991057</v>
      </c>
      <c r="K36" s="67">
        <f>+K21+K31+K35</f>
        <v>9531442</v>
      </c>
      <c r="L36" s="173">
        <f t="shared" si="12"/>
        <v>109.8567893960554</v>
      </c>
      <c r="M36" s="171">
        <f t="shared" si="13"/>
        <v>106.01024996282418</v>
      </c>
      <c r="N36" s="108">
        <f>+N21+N31+N35</f>
        <v>365965</v>
      </c>
      <c r="O36" s="67">
        <f>+O21+O31+O35</f>
        <v>523605</v>
      </c>
      <c r="P36" s="67">
        <f>+P21+P31+P35</f>
        <v>530426</v>
      </c>
      <c r="Q36" s="131">
        <f>+P36/N36*100</f>
        <v>144.93899689861053</v>
      </c>
      <c r="R36" s="159">
        <f aca="true" t="shared" si="14" ref="R36:R45">+P36/O36*100</f>
        <v>101.30269955405315</v>
      </c>
      <c r="T36" s="4"/>
    </row>
    <row r="37" spans="1:20" ht="18.75">
      <c r="A37" s="26">
        <v>31</v>
      </c>
      <c r="B37" s="78">
        <v>4111</v>
      </c>
      <c r="C37" s="54" t="s">
        <v>125</v>
      </c>
      <c r="D37" s="102"/>
      <c r="E37" s="79">
        <f aca="true" t="shared" si="15" ref="D37:F41">+J37+O37</f>
        <v>57887</v>
      </c>
      <c r="F37" s="70">
        <f>+K37+P37</f>
        <v>57887</v>
      </c>
      <c r="G37" s="125"/>
      <c r="H37" s="154">
        <f>+F37/E37*100</f>
        <v>100</v>
      </c>
      <c r="I37" s="102"/>
      <c r="J37" s="70">
        <v>12864</v>
      </c>
      <c r="K37" s="70">
        <v>12864</v>
      </c>
      <c r="L37" s="125"/>
      <c r="M37" s="156">
        <f t="shared" si="13"/>
        <v>100</v>
      </c>
      <c r="N37" s="102"/>
      <c r="O37" s="70">
        <v>45023</v>
      </c>
      <c r="P37" s="70">
        <v>45023</v>
      </c>
      <c r="Q37" s="125"/>
      <c r="R37" s="270">
        <f t="shared" si="14"/>
        <v>100</v>
      </c>
      <c r="T37" s="4"/>
    </row>
    <row r="38" spans="1:20" ht="18.75">
      <c r="A38" s="13">
        <v>32</v>
      </c>
      <c r="B38" s="14">
        <v>4112</v>
      </c>
      <c r="C38" s="94" t="s">
        <v>126</v>
      </c>
      <c r="D38" s="100">
        <f t="shared" si="15"/>
        <v>452485</v>
      </c>
      <c r="E38" s="77">
        <f t="shared" si="15"/>
        <v>452377</v>
      </c>
      <c r="F38" s="60">
        <f>+K38+P38</f>
        <v>452377</v>
      </c>
      <c r="G38" s="125">
        <f t="shared" si="5"/>
        <v>99.97613180547421</v>
      </c>
      <c r="H38" s="154">
        <f t="shared" si="6"/>
        <v>100</v>
      </c>
      <c r="I38" s="100">
        <v>184055</v>
      </c>
      <c r="J38" s="60">
        <v>184363</v>
      </c>
      <c r="K38" s="60">
        <v>184363</v>
      </c>
      <c r="L38" s="128">
        <f>+K38/I38*100</f>
        <v>100.16734128385536</v>
      </c>
      <c r="M38" s="156">
        <f t="shared" si="13"/>
        <v>100</v>
      </c>
      <c r="N38" s="100">
        <v>268430</v>
      </c>
      <c r="O38" s="80">
        <v>268014</v>
      </c>
      <c r="P38" s="60">
        <v>268014</v>
      </c>
      <c r="Q38" s="125">
        <f>+P38/N38*100</f>
        <v>99.84502477368402</v>
      </c>
      <c r="R38" s="270">
        <f t="shared" si="14"/>
        <v>100</v>
      </c>
      <c r="T38" s="4"/>
    </row>
    <row r="39" spans="1:20" ht="18.75">
      <c r="A39" s="26">
        <v>33</v>
      </c>
      <c r="B39" s="14">
        <v>4113</v>
      </c>
      <c r="C39" s="94" t="s">
        <v>127</v>
      </c>
      <c r="D39" s="100">
        <f t="shared" si="15"/>
        <v>3729</v>
      </c>
      <c r="E39" s="77">
        <f t="shared" si="15"/>
        <v>11392</v>
      </c>
      <c r="F39" s="60">
        <f>+K39+P39</f>
        <v>11392</v>
      </c>
      <c r="G39" s="125">
        <f t="shared" si="5"/>
        <v>305.4974524001073</v>
      </c>
      <c r="H39" s="154">
        <f t="shared" si="6"/>
        <v>100</v>
      </c>
      <c r="I39" s="100"/>
      <c r="J39" s="60">
        <v>42</v>
      </c>
      <c r="K39" s="60">
        <v>42</v>
      </c>
      <c r="L39" s="128"/>
      <c r="M39" s="156">
        <f t="shared" si="13"/>
        <v>100</v>
      </c>
      <c r="N39" s="100">
        <v>3729</v>
      </c>
      <c r="O39" s="80">
        <v>11350</v>
      </c>
      <c r="P39" s="60">
        <v>11350</v>
      </c>
      <c r="Q39" s="125">
        <f>+P39/N39*100</f>
        <v>304.3711450791097</v>
      </c>
      <c r="R39" s="270">
        <f t="shared" si="14"/>
        <v>100</v>
      </c>
      <c r="T39" s="4"/>
    </row>
    <row r="40" spans="1:20" ht="18.75">
      <c r="A40" s="13">
        <v>34</v>
      </c>
      <c r="B40" s="18">
        <v>4116</v>
      </c>
      <c r="C40" s="94" t="s">
        <v>128</v>
      </c>
      <c r="D40" s="100">
        <f t="shared" si="15"/>
        <v>0</v>
      </c>
      <c r="E40" s="77">
        <f t="shared" si="15"/>
        <v>1039314</v>
      </c>
      <c r="F40" s="60">
        <f t="shared" si="15"/>
        <v>1036254</v>
      </c>
      <c r="G40" s="125"/>
      <c r="H40" s="154">
        <f t="shared" si="6"/>
        <v>99.70557502352513</v>
      </c>
      <c r="I40" s="100"/>
      <c r="J40" s="60">
        <v>889359</v>
      </c>
      <c r="K40" s="60">
        <v>886353</v>
      </c>
      <c r="L40" s="128"/>
      <c r="M40" s="156">
        <f>+K40/J40*100</f>
        <v>99.66200375776262</v>
      </c>
      <c r="N40" s="100"/>
      <c r="O40" s="80">
        <v>149955</v>
      </c>
      <c r="P40" s="60">
        <v>149901</v>
      </c>
      <c r="Q40" s="125"/>
      <c r="R40" s="270">
        <f t="shared" si="14"/>
        <v>99.96398919675903</v>
      </c>
      <c r="T40" s="4"/>
    </row>
    <row r="41" spans="1:20" ht="18.75">
      <c r="A41" s="26">
        <v>35</v>
      </c>
      <c r="B41" s="18">
        <v>4119</v>
      </c>
      <c r="C41" s="94" t="s">
        <v>183</v>
      </c>
      <c r="D41" s="100"/>
      <c r="E41" s="77">
        <f t="shared" si="15"/>
        <v>215</v>
      </c>
      <c r="F41" s="60">
        <f t="shared" si="15"/>
        <v>215</v>
      </c>
      <c r="G41" s="125"/>
      <c r="H41" s="154">
        <f t="shared" si="6"/>
        <v>100</v>
      </c>
      <c r="I41" s="100"/>
      <c r="J41" s="60">
        <v>215</v>
      </c>
      <c r="K41" s="60">
        <v>215</v>
      </c>
      <c r="L41" s="128"/>
      <c r="M41" s="156">
        <f>+K41/J41*100</f>
        <v>100</v>
      </c>
      <c r="N41" s="100"/>
      <c r="O41" s="190"/>
      <c r="P41" s="189"/>
      <c r="Q41" s="125"/>
      <c r="R41" s="270"/>
      <c r="T41" s="4"/>
    </row>
    <row r="42" spans="1:20" ht="18.75">
      <c r="A42" s="13">
        <v>36</v>
      </c>
      <c r="B42" s="14">
        <v>4121</v>
      </c>
      <c r="C42" s="94" t="s">
        <v>129</v>
      </c>
      <c r="D42" s="106" t="s">
        <v>52</v>
      </c>
      <c r="E42" s="65" t="s">
        <v>52</v>
      </c>
      <c r="F42" s="73" t="s">
        <v>52</v>
      </c>
      <c r="G42" s="160"/>
      <c r="H42" s="154"/>
      <c r="I42" s="100"/>
      <c r="J42" s="60"/>
      <c r="K42" s="60"/>
      <c r="L42" s="128"/>
      <c r="M42" s="156"/>
      <c r="N42" s="100">
        <v>958755</v>
      </c>
      <c r="O42" s="68">
        <v>991851</v>
      </c>
      <c r="P42" s="68">
        <v>991818</v>
      </c>
      <c r="Q42" s="125">
        <f>+P42/N42*100</f>
        <v>103.44853481859286</v>
      </c>
      <c r="R42" s="270">
        <f t="shared" si="14"/>
        <v>99.99667288735908</v>
      </c>
      <c r="T42" s="4"/>
    </row>
    <row r="43" spans="1:20" ht="18.75">
      <c r="A43" s="26">
        <v>37</v>
      </c>
      <c r="B43" s="14">
        <v>4121</v>
      </c>
      <c r="C43" s="94" t="s">
        <v>130</v>
      </c>
      <c r="D43" s="106" t="s">
        <v>52</v>
      </c>
      <c r="E43" s="65" t="s">
        <v>52</v>
      </c>
      <c r="F43" s="73" t="s">
        <v>52</v>
      </c>
      <c r="G43" s="160"/>
      <c r="H43" s="154"/>
      <c r="I43" s="100"/>
      <c r="J43" s="60"/>
      <c r="K43" s="60"/>
      <c r="L43" s="128"/>
      <c r="M43" s="156"/>
      <c r="N43" s="100">
        <v>392</v>
      </c>
      <c r="O43" s="61">
        <v>533</v>
      </c>
      <c r="P43" s="61">
        <v>533</v>
      </c>
      <c r="Q43" s="125">
        <f>+P43/N43*100</f>
        <v>135.96938775510205</v>
      </c>
      <c r="R43" s="270">
        <f t="shared" si="14"/>
        <v>100</v>
      </c>
      <c r="T43" s="4"/>
    </row>
    <row r="44" spans="1:20" ht="18.75">
      <c r="A44" s="13">
        <v>38</v>
      </c>
      <c r="B44" s="14">
        <v>4121</v>
      </c>
      <c r="C44" s="94" t="s">
        <v>131</v>
      </c>
      <c r="D44" s="100">
        <f aca="true" t="shared" si="16" ref="D44:F46">+I44+N44</f>
        <v>376</v>
      </c>
      <c r="E44" s="77">
        <f t="shared" si="16"/>
        <v>2181</v>
      </c>
      <c r="F44" s="60">
        <f t="shared" si="16"/>
        <v>2198</v>
      </c>
      <c r="G44" s="125">
        <f t="shared" si="5"/>
        <v>584.5744680851064</v>
      </c>
      <c r="H44" s="154">
        <f t="shared" si="6"/>
        <v>100.7794589637781</v>
      </c>
      <c r="I44" s="100">
        <v>30</v>
      </c>
      <c r="J44" s="60">
        <v>30</v>
      </c>
      <c r="K44" s="60">
        <v>56</v>
      </c>
      <c r="L44" s="128">
        <f>+K44/I44*100</f>
        <v>186.66666666666666</v>
      </c>
      <c r="M44" s="156">
        <f aca="true" t="shared" si="17" ref="M44:M53">+K44/J44*100</f>
        <v>186.66666666666666</v>
      </c>
      <c r="N44" s="100">
        <v>346</v>
      </c>
      <c r="O44" s="80">
        <v>2151</v>
      </c>
      <c r="P44" s="60">
        <f>2124+18</f>
        <v>2142</v>
      </c>
      <c r="Q44" s="125">
        <f>+P44/N44*100</f>
        <v>619.0751445086705</v>
      </c>
      <c r="R44" s="270">
        <f t="shared" si="14"/>
        <v>99.581589958159</v>
      </c>
      <c r="T44" s="4"/>
    </row>
    <row r="45" spans="1:20" ht="18.75">
      <c r="A45" s="26">
        <v>39</v>
      </c>
      <c r="B45" s="14">
        <v>4122</v>
      </c>
      <c r="C45" s="94" t="s">
        <v>132</v>
      </c>
      <c r="D45" s="100">
        <f t="shared" si="16"/>
        <v>0</v>
      </c>
      <c r="E45" s="77">
        <f t="shared" si="16"/>
        <v>33776</v>
      </c>
      <c r="F45" s="60">
        <f t="shared" si="16"/>
        <v>33775</v>
      </c>
      <c r="G45" s="125"/>
      <c r="H45" s="154">
        <f t="shared" si="6"/>
        <v>99.99703931785884</v>
      </c>
      <c r="I45" s="100"/>
      <c r="J45" s="60">
        <v>29604</v>
      </c>
      <c r="K45" s="60">
        <v>29604</v>
      </c>
      <c r="L45" s="128"/>
      <c r="M45" s="156">
        <f t="shared" si="17"/>
        <v>100</v>
      </c>
      <c r="N45" s="100"/>
      <c r="O45" s="80">
        <v>4172</v>
      </c>
      <c r="P45" s="60">
        <v>4171</v>
      </c>
      <c r="Q45" s="125"/>
      <c r="R45" s="154">
        <f t="shared" si="14"/>
        <v>99.97603068072867</v>
      </c>
      <c r="T45" s="4"/>
    </row>
    <row r="46" spans="1:20" ht="18.75">
      <c r="A46" s="13">
        <v>40</v>
      </c>
      <c r="B46" s="14">
        <v>4123</v>
      </c>
      <c r="C46" s="94" t="s">
        <v>154</v>
      </c>
      <c r="D46" s="100"/>
      <c r="E46" s="77">
        <f t="shared" si="16"/>
        <v>2945</v>
      </c>
      <c r="F46" s="60">
        <f>+K46+P46</f>
        <v>2945</v>
      </c>
      <c r="G46" s="125"/>
      <c r="H46" s="154">
        <f t="shared" si="6"/>
        <v>100</v>
      </c>
      <c r="I46" s="100"/>
      <c r="J46" s="60">
        <v>2945</v>
      </c>
      <c r="K46" s="60">
        <v>2945</v>
      </c>
      <c r="L46" s="128"/>
      <c r="M46" s="156">
        <f t="shared" si="17"/>
        <v>100</v>
      </c>
      <c r="N46" s="100"/>
      <c r="O46" s="80"/>
      <c r="P46" s="60"/>
      <c r="Q46" s="125"/>
      <c r="R46" s="154"/>
      <c r="T46" s="4"/>
    </row>
    <row r="47" spans="1:20" ht="18.75">
      <c r="A47" s="26">
        <v>41</v>
      </c>
      <c r="B47" s="18">
        <v>4131</v>
      </c>
      <c r="C47" s="94" t="s">
        <v>74</v>
      </c>
      <c r="D47" s="100">
        <f>+I47+N47</f>
        <v>866527</v>
      </c>
      <c r="E47" s="77">
        <f>+J47+O47</f>
        <v>1151416</v>
      </c>
      <c r="F47" s="60">
        <f>+K47+P47</f>
        <v>1022615</v>
      </c>
      <c r="G47" s="125">
        <f t="shared" si="5"/>
        <v>118.01305671952518</v>
      </c>
      <c r="H47" s="154">
        <f t="shared" si="6"/>
        <v>88.81368679955811</v>
      </c>
      <c r="I47" s="100">
        <v>421790</v>
      </c>
      <c r="J47" s="60">
        <v>600854</v>
      </c>
      <c r="K47" s="60">
        <v>507450</v>
      </c>
      <c r="L47" s="128">
        <f>+K47/I47*100</f>
        <v>120.30868441641576</v>
      </c>
      <c r="M47" s="156">
        <f t="shared" si="17"/>
        <v>84.45479267842104</v>
      </c>
      <c r="N47" s="258">
        <v>444737</v>
      </c>
      <c r="O47" s="61">
        <v>550562</v>
      </c>
      <c r="P47" s="60">
        <v>515165</v>
      </c>
      <c r="Q47" s="125">
        <f>+P47/N47*100</f>
        <v>115.83587603460022</v>
      </c>
      <c r="R47" s="270">
        <f>+P47/O47*100</f>
        <v>93.57075134135665</v>
      </c>
      <c r="T47" s="4"/>
    </row>
    <row r="48" spans="1:20" ht="18.75">
      <c r="A48" s="13">
        <v>42</v>
      </c>
      <c r="B48" s="18">
        <v>4132</v>
      </c>
      <c r="C48" s="94" t="s">
        <v>93</v>
      </c>
      <c r="D48" s="100">
        <f>+I48+N48</f>
        <v>0</v>
      </c>
      <c r="E48" s="77">
        <f>+J48+O48</f>
        <v>3414</v>
      </c>
      <c r="F48" s="60">
        <f>+K48+P48</f>
        <v>4139</v>
      </c>
      <c r="G48" s="125"/>
      <c r="H48" s="154">
        <f t="shared" si="6"/>
        <v>121.23608670181605</v>
      </c>
      <c r="I48" s="100"/>
      <c r="J48" s="60">
        <v>3414</v>
      </c>
      <c r="K48" s="60">
        <v>4139</v>
      </c>
      <c r="L48" s="128"/>
      <c r="M48" s="156">
        <f t="shared" si="17"/>
        <v>121.23608670181605</v>
      </c>
      <c r="N48" s="258"/>
      <c r="O48" s="60"/>
      <c r="P48" s="60"/>
      <c r="Q48" s="125"/>
      <c r="R48" s="156"/>
      <c r="T48" s="4"/>
    </row>
    <row r="49" spans="1:20" ht="18.75">
      <c r="A49" s="26">
        <v>43</v>
      </c>
      <c r="B49" s="18">
        <v>4151</v>
      </c>
      <c r="C49" s="94" t="s">
        <v>176</v>
      </c>
      <c r="D49" s="100"/>
      <c r="E49" s="77">
        <f>+J49+O49</f>
        <v>2719</v>
      </c>
      <c r="F49" s="60">
        <f>+K49+P49</f>
        <v>2719</v>
      </c>
      <c r="G49" s="125"/>
      <c r="H49" s="154">
        <f>+F49/E49*100</f>
        <v>100</v>
      </c>
      <c r="I49" s="258"/>
      <c r="J49" s="60">
        <v>2719</v>
      </c>
      <c r="K49" s="80">
        <v>2719</v>
      </c>
      <c r="L49" s="128"/>
      <c r="M49" s="156">
        <f>+K49/J49*100</f>
        <v>100</v>
      </c>
      <c r="N49" s="258"/>
      <c r="O49" s="60"/>
      <c r="P49" s="80"/>
      <c r="Q49" s="125"/>
      <c r="R49" s="270"/>
      <c r="T49" s="4"/>
    </row>
    <row r="50" spans="1:20" ht="18.75">
      <c r="A50" s="13">
        <v>44</v>
      </c>
      <c r="B50" s="18">
        <v>4152</v>
      </c>
      <c r="C50" s="94" t="s">
        <v>179</v>
      </c>
      <c r="D50" s="100"/>
      <c r="E50" s="77">
        <f>+J50+O50</f>
        <v>381</v>
      </c>
      <c r="F50" s="60">
        <f>+K50+P50</f>
        <v>2158</v>
      </c>
      <c r="G50" s="125"/>
      <c r="H50" s="154">
        <f>+F50/E50*100</f>
        <v>566.4041994750656</v>
      </c>
      <c r="I50" s="258"/>
      <c r="J50" s="60"/>
      <c r="K50" s="80">
        <v>1777</v>
      </c>
      <c r="L50" s="128"/>
      <c r="M50" s="156"/>
      <c r="N50" s="258"/>
      <c r="O50" s="60">
        <v>381</v>
      </c>
      <c r="P50" s="80">
        <v>381</v>
      </c>
      <c r="Q50" s="125"/>
      <c r="R50" s="270">
        <f aca="true" t="shared" si="18" ref="R50:R56">+P50/O50*100</f>
        <v>100</v>
      </c>
      <c r="T50" s="4"/>
    </row>
    <row r="51" spans="1:20" ht="18.75">
      <c r="A51" s="26">
        <v>45</v>
      </c>
      <c r="B51" s="18" t="s">
        <v>94</v>
      </c>
      <c r="C51" s="191" t="s">
        <v>225</v>
      </c>
      <c r="D51" s="203">
        <f>SUM(D37:D50)</f>
        <v>1323117</v>
      </c>
      <c r="E51" s="192">
        <f>SUM(E37:E50)</f>
        <v>2758017</v>
      </c>
      <c r="F51" s="192">
        <f>SUM(F37:F50)</f>
        <v>2628674</v>
      </c>
      <c r="G51" s="194">
        <f>+F51/D51*100</f>
        <v>198.67283089855243</v>
      </c>
      <c r="H51" s="195">
        <f>+F51/E51*100</f>
        <v>95.31028996558034</v>
      </c>
      <c r="I51" s="202">
        <f>SUM(I37:I50)</f>
        <v>605875</v>
      </c>
      <c r="J51" s="193">
        <f>SUM(J37:J50)</f>
        <v>1726409</v>
      </c>
      <c r="K51" s="197">
        <f>SUM(K37:K50)</f>
        <v>1632527</v>
      </c>
      <c r="L51" s="194">
        <f>+K51/I51*100</f>
        <v>269.4494739013823</v>
      </c>
      <c r="M51" s="195">
        <f>+K51/J51*100</f>
        <v>94.56200703309587</v>
      </c>
      <c r="N51" s="202">
        <f>SUM(N37:N50)</f>
        <v>1676389</v>
      </c>
      <c r="O51" s="193">
        <f>SUM(O37:O50)</f>
        <v>2023992</v>
      </c>
      <c r="P51" s="197">
        <f>SUM(P37:P50)</f>
        <v>1988498</v>
      </c>
      <c r="Q51" s="194">
        <f>+P51/N51*100</f>
        <v>118.6179341429704</v>
      </c>
      <c r="R51" s="195">
        <f t="shared" si="18"/>
        <v>98.24633694204324</v>
      </c>
      <c r="T51" s="4"/>
    </row>
    <row r="52" spans="1:20" ht="18.75">
      <c r="A52" s="13">
        <v>46</v>
      </c>
      <c r="B52" s="18">
        <v>4213</v>
      </c>
      <c r="C52" s="94" t="s">
        <v>133</v>
      </c>
      <c r="D52" s="100"/>
      <c r="E52" s="77">
        <f>+J52+O52</f>
        <v>5643</v>
      </c>
      <c r="F52" s="60">
        <f>+K52+P52</f>
        <v>5643</v>
      </c>
      <c r="G52" s="128"/>
      <c r="H52" s="154">
        <f t="shared" si="6"/>
        <v>100</v>
      </c>
      <c r="I52" s="100"/>
      <c r="J52" s="60">
        <v>5466</v>
      </c>
      <c r="K52" s="60">
        <v>5466</v>
      </c>
      <c r="L52" s="257"/>
      <c r="M52" s="156">
        <f t="shared" si="17"/>
        <v>100</v>
      </c>
      <c r="N52" s="100"/>
      <c r="O52" s="60">
        <v>177</v>
      </c>
      <c r="P52" s="60">
        <v>177</v>
      </c>
      <c r="Q52" s="125"/>
      <c r="R52" s="270">
        <f t="shared" si="18"/>
        <v>100</v>
      </c>
      <c r="T52" s="4"/>
    </row>
    <row r="53" spans="1:20" ht="18.75">
      <c r="A53" s="26">
        <v>47</v>
      </c>
      <c r="B53" s="18">
        <v>4216</v>
      </c>
      <c r="C53" s="94" t="s">
        <v>177</v>
      </c>
      <c r="D53" s="100"/>
      <c r="E53" s="77">
        <f>+J53+O53</f>
        <v>71765</v>
      </c>
      <c r="F53" s="60">
        <f>+K53+P53</f>
        <v>53645</v>
      </c>
      <c r="G53" s="128"/>
      <c r="H53" s="154">
        <f t="shared" si="6"/>
        <v>74.7509231519543</v>
      </c>
      <c r="I53" s="100"/>
      <c r="J53" s="60">
        <v>64736</v>
      </c>
      <c r="K53" s="60">
        <v>46616</v>
      </c>
      <c r="L53" s="257"/>
      <c r="M53" s="156">
        <f t="shared" si="17"/>
        <v>72.00939199209095</v>
      </c>
      <c r="N53" s="100"/>
      <c r="O53" s="60">
        <v>7029</v>
      </c>
      <c r="P53" s="60">
        <v>7029</v>
      </c>
      <c r="Q53" s="125"/>
      <c r="R53" s="270">
        <f t="shared" si="18"/>
        <v>100</v>
      </c>
      <c r="T53" s="4"/>
    </row>
    <row r="54" spans="1:20" ht="18.75">
      <c r="A54" s="13">
        <v>48</v>
      </c>
      <c r="B54" s="14">
        <v>4221</v>
      </c>
      <c r="C54" s="94" t="s">
        <v>134</v>
      </c>
      <c r="D54" s="106" t="s">
        <v>52</v>
      </c>
      <c r="E54" s="65" t="s">
        <v>52</v>
      </c>
      <c r="F54" s="74" t="s">
        <v>52</v>
      </c>
      <c r="G54" s="204"/>
      <c r="H54" s="156"/>
      <c r="I54" s="100"/>
      <c r="J54" s="60"/>
      <c r="K54" s="60"/>
      <c r="L54" s="128"/>
      <c r="M54" s="156"/>
      <c r="N54" s="100"/>
      <c r="O54" s="60">
        <v>165218</v>
      </c>
      <c r="P54" s="60">
        <v>164930</v>
      </c>
      <c r="Q54" s="125"/>
      <c r="R54" s="270">
        <f t="shared" si="18"/>
        <v>99.82568485274001</v>
      </c>
      <c r="T54" s="4"/>
    </row>
    <row r="55" spans="1:20" ht="18.75">
      <c r="A55" s="26">
        <v>49</v>
      </c>
      <c r="B55" s="14">
        <v>4221</v>
      </c>
      <c r="C55" s="94" t="s">
        <v>150</v>
      </c>
      <c r="D55" s="106" t="s">
        <v>52</v>
      </c>
      <c r="E55" s="65" t="s">
        <v>52</v>
      </c>
      <c r="F55" s="74" t="s">
        <v>52</v>
      </c>
      <c r="G55" s="204"/>
      <c r="H55" s="154"/>
      <c r="I55" s="100"/>
      <c r="J55" s="60"/>
      <c r="K55" s="60"/>
      <c r="L55" s="128"/>
      <c r="M55" s="156"/>
      <c r="N55" s="100">
        <v>100</v>
      </c>
      <c r="O55" s="60">
        <v>100</v>
      </c>
      <c r="P55" s="60">
        <v>100</v>
      </c>
      <c r="Q55" s="125"/>
      <c r="R55" s="270">
        <f t="shared" si="18"/>
        <v>100</v>
      </c>
      <c r="T55" s="4"/>
    </row>
    <row r="56" spans="1:20" ht="18.75">
      <c r="A56" s="13">
        <v>50</v>
      </c>
      <c r="B56" s="9">
        <v>4222</v>
      </c>
      <c r="C56" s="55" t="s">
        <v>135</v>
      </c>
      <c r="D56" s="106"/>
      <c r="E56" s="77">
        <f>+J56+O56</f>
        <v>83250</v>
      </c>
      <c r="F56" s="60">
        <f>+K56+P56</f>
        <v>83250</v>
      </c>
      <c r="G56" s="204"/>
      <c r="H56" s="154">
        <f t="shared" si="6"/>
        <v>100</v>
      </c>
      <c r="I56" s="103"/>
      <c r="J56" s="61">
        <v>80751</v>
      </c>
      <c r="K56" s="61">
        <v>80751</v>
      </c>
      <c r="L56" s="128"/>
      <c r="M56" s="156">
        <f>+K56/J56*100</f>
        <v>100</v>
      </c>
      <c r="N56" s="103"/>
      <c r="O56" s="61">
        <v>2499</v>
      </c>
      <c r="P56" s="61">
        <v>2499</v>
      </c>
      <c r="Q56" s="128"/>
      <c r="R56" s="270">
        <f t="shared" si="18"/>
        <v>100</v>
      </c>
      <c r="T56" s="4"/>
    </row>
    <row r="57" spans="1:20" ht="18.75">
      <c r="A57" s="26">
        <v>51</v>
      </c>
      <c r="B57" s="9">
        <v>4223</v>
      </c>
      <c r="C57" s="94" t="s">
        <v>178</v>
      </c>
      <c r="D57" s="106"/>
      <c r="E57" s="77">
        <f>+J57+O57</f>
        <v>110930</v>
      </c>
      <c r="F57" s="60">
        <f>+K57+P57</f>
        <v>110930</v>
      </c>
      <c r="G57" s="204"/>
      <c r="H57" s="154">
        <f>+F57/E57*100</f>
        <v>100</v>
      </c>
      <c r="I57" s="258"/>
      <c r="J57" s="60">
        <v>110930</v>
      </c>
      <c r="K57" s="80">
        <v>110930</v>
      </c>
      <c r="L57" s="128"/>
      <c r="M57" s="156">
        <f>+K57/J57*100</f>
        <v>100</v>
      </c>
      <c r="N57" s="258"/>
      <c r="O57" s="60"/>
      <c r="P57" s="80"/>
      <c r="Q57" s="128"/>
      <c r="R57" s="270"/>
      <c r="T57" s="4"/>
    </row>
    <row r="58" spans="1:20" ht="18.75">
      <c r="A58" s="13">
        <v>52</v>
      </c>
      <c r="B58" s="16" t="s">
        <v>95</v>
      </c>
      <c r="C58" s="200" t="s">
        <v>226</v>
      </c>
      <c r="D58" s="201"/>
      <c r="E58" s="192">
        <f>SUM(E52:E57)</f>
        <v>271588</v>
      </c>
      <c r="F58" s="192">
        <f>SUM(F52:F57)</f>
        <v>253468</v>
      </c>
      <c r="G58" s="194"/>
      <c r="H58" s="195">
        <f>+F58/E58*100</f>
        <v>93.32812937243176</v>
      </c>
      <c r="I58" s="202"/>
      <c r="J58" s="193">
        <f>SUM(J52:J57)</f>
        <v>261883</v>
      </c>
      <c r="K58" s="197">
        <f>SUM(K52:K57)</f>
        <v>243763</v>
      </c>
      <c r="L58" s="194"/>
      <c r="M58" s="195">
        <f>+K58/J58*100</f>
        <v>93.08087962945285</v>
      </c>
      <c r="N58" s="202">
        <f>SUM(N52:N57)</f>
        <v>100</v>
      </c>
      <c r="O58" s="193">
        <f>SUM(O52:O57)</f>
        <v>175023</v>
      </c>
      <c r="P58" s="197">
        <f>SUM(P52:P57)</f>
        <v>174735</v>
      </c>
      <c r="Q58" s="262">
        <f>+P58/N58*100</f>
        <v>174735</v>
      </c>
      <c r="R58" s="271">
        <f>+P58/O58*100</f>
        <v>99.83545019797398</v>
      </c>
      <c r="T58" s="4"/>
    </row>
    <row r="59" spans="1:20" ht="19.5" thickBot="1">
      <c r="A59" s="26">
        <v>53</v>
      </c>
      <c r="B59" s="17" t="s">
        <v>45</v>
      </c>
      <c r="C59" s="93" t="s">
        <v>227</v>
      </c>
      <c r="D59" s="105">
        <f>D51+D58</f>
        <v>1323117</v>
      </c>
      <c r="E59" s="64">
        <f>E51+E58</f>
        <v>3029605</v>
      </c>
      <c r="F59" s="64">
        <f>F51+F58</f>
        <v>2882142</v>
      </c>
      <c r="G59" s="131">
        <f>+F59/D59*100</f>
        <v>217.8297157394244</v>
      </c>
      <c r="H59" s="159">
        <f>+F59/E59*100</f>
        <v>95.13259979436263</v>
      </c>
      <c r="I59" s="105">
        <f>I51+I58</f>
        <v>605875</v>
      </c>
      <c r="J59" s="64">
        <f>J51+J58</f>
        <v>1988292</v>
      </c>
      <c r="K59" s="64">
        <f>K51+K58</f>
        <v>1876290</v>
      </c>
      <c r="L59" s="176">
        <f>+K59/I59*100</f>
        <v>309.6826903239117</v>
      </c>
      <c r="M59" s="172">
        <f>+K59/J59*100</f>
        <v>94.36692397293757</v>
      </c>
      <c r="N59" s="105">
        <f>N51+N58</f>
        <v>1676489</v>
      </c>
      <c r="O59" s="64">
        <f>O51+O58</f>
        <v>2199015</v>
      </c>
      <c r="P59" s="64">
        <f>P51+P58</f>
        <v>2163233</v>
      </c>
      <c r="Q59" s="126">
        <f>+P59/N59*100</f>
        <v>129.0335337720677</v>
      </c>
      <c r="R59" s="157">
        <f>+P59/O59*100</f>
        <v>98.37281692030295</v>
      </c>
      <c r="T59" s="4"/>
    </row>
    <row r="60" spans="1:20" ht="19.5" thickBot="1">
      <c r="A60" s="27">
        <v>54</v>
      </c>
      <c r="B60" s="48" t="s">
        <v>48</v>
      </c>
      <c r="C60" s="96" t="s">
        <v>228</v>
      </c>
      <c r="D60" s="109">
        <f>+D36+D59</f>
        <v>10313608</v>
      </c>
      <c r="E60" s="46">
        <f>+E36+E59</f>
        <v>12353520</v>
      </c>
      <c r="F60" s="46">
        <f>+F36+F59</f>
        <v>12753326</v>
      </c>
      <c r="G60" s="145">
        <f t="shared" si="5"/>
        <v>123.65532992915766</v>
      </c>
      <c r="H60" s="161">
        <f t="shared" si="6"/>
        <v>103.23637311470739</v>
      </c>
      <c r="I60" s="109">
        <f>+I36+I59</f>
        <v>9282118</v>
      </c>
      <c r="J60" s="181">
        <f>+J36+J59</f>
        <v>10979349</v>
      </c>
      <c r="K60" s="181">
        <f>+K36+K59</f>
        <v>11407732</v>
      </c>
      <c r="L60" s="174">
        <f>+K60/I60*100</f>
        <v>122.90009672361415</v>
      </c>
      <c r="M60" s="175">
        <f>+K60/J60*100</f>
        <v>103.9017158485444</v>
      </c>
      <c r="N60" s="265">
        <f>+N59+N36</f>
        <v>2042454</v>
      </c>
      <c r="O60" s="46">
        <f>+O59+O36</f>
        <v>2722620</v>
      </c>
      <c r="P60" s="46">
        <f>+P59+P36</f>
        <v>2693659</v>
      </c>
      <c r="Q60" s="145">
        <f>+P60/N60*100</f>
        <v>131.8834597988498</v>
      </c>
      <c r="R60" s="161">
        <f>+P60/O60*100</f>
        <v>98.93628196369674</v>
      </c>
      <c r="T60" s="4"/>
    </row>
    <row r="61" spans="1:20" ht="19.5" thickBot="1">
      <c r="A61" s="1"/>
      <c r="B61" s="6"/>
      <c r="C61" s="29"/>
      <c r="D61" s="29"/>
      <c r="E61" s="29"/>
      <c r="F61" s="144"/>
      <c r="G61" s="132"/>
      <c r="H61" s="132"/>
      <c r="I61" s="29"/>
      <c r="J61" s="29"/>
      <c r="K61" s="144"/>
      <c r="L61" s="205"/>
      <c r="M61" s="205"/>
      <c r="N61" s="29"/>
      <c r="O61" s="29"/>
      <c r="P61" s="29"/>
      <c r="Q61" s="132"/>
      <c r="R61" s="132"/>
      <c r="T61" s="4"/>
    </row>
    <row r="62" spans="1:20" ht="16.5" thickBot="1">
      <c r="A62" s="24"/>
      <c r="B62" s="11" t="s">
        <v>40</v>
      </c>
      <c r="C62" s="86"/>
      <c r="D62" s="97" t="s">
        <v>63</v>
      </c>
      <c r="E62" s="58"/>
      <c r="F62" s="58"/>
      <c r="G62" s="133"/>
      <c r="H62" s="151"/>
      <c r="I62" s="272" t="s">
        <v>64</v>
      </c>
      <c r="J62" s="273"/>
      <c r="K62" s="273"/>
      <c r="L62" s="273"/>
      <c r="M62" s="274"/>
      <c r="N62" s="97" t="s">
        <v>41</v>
      </c>
      <c r="O62" s="58"/>
      <c r="P62" s="59"/>
      <c r="Q62" s="143"/>
      <c r="R62" s="269"/>
      <c r="T62" s="4"/>
    </row>
    <row r="63" spans="1:20" ht="15.75">
      <c r="A63" s="25" t="s">
        <v>1</v>
      </c>
      <c r="B63" s="10" t="s">
        <v>39</v>
      </c>
      <c r="C63" s="87" t="s">
        <v>12</v>
      </c>
      <c r="D63" s="98" t="s">
        <v>53</v>
      </c>
      <c r="E63" s="34" t="s">
        <v>55</v>
      </c>
      <c r="F63" s="34" t="s">
        <v>23</v>
      </c>
      <c r="G63" s="134" t="s">
        <v>0</v>
      </c>
      <c r="H63" s="152" t="s">
        <v>0</v>
      </c>
      <c r="I63" s="98" t="s">
        <v>53</v>
      </c>
      <c r="J63" s="34" t="s">
        <v>55</v>
      </c>
      <c r="K63" s="34" t="s">
        <v>23</v>
      </c>
      <c r="L63" s="134" t="s">
        <v>0</v>
      </c>
      <c r="M63" s="152" t="s">
        <v>0</v>
      </c>
      <c r="N63" s="98" t="s">
        <v>53</v>
      </c>
      <c r="O63" s="34" t="s">
        <v>55</v>
      </c>
      <c r="P63" s="34" t="s">
        <v>23</v>
      </c>
      <c r="Q63" s="134" t="s">
        <v>0</v>
      </c>
      <c r="R63" s="152" t="s">
        <v>0</v>
      </c>
      <c r="T63" s="4"/>
    </row>
    <row r="64" spans="1:20" ht="16.5" thickBot="1">
      <c r="A64" s="42"/>
      <c r="B64" s="31" t="s">
        <v>38</v>
      </c>
      <c r="C64" s="88"/>
      <c r="D64" s="99" t="s">
        <v>22</v>
      </c>
      <c r="E64" s="43" t="s">
        <v>22</v>
      </c>
      <c r="F64" s="43" t="s">
        <v>186</v>
      </c>
      <c r="G64" s="135" t="s">
        <v>66</v>
      </c>
      <c r="H64" s="153" t="s">
        <v>67</v>
      </c>
      <c r="I64" s="99" t="s">
        <v>22</v>
      </c>
      <c r="J64" s="43" t="s">
        <v>22</v>
      </c>
      <c r="K64" s="43" t="s">
        <v>186</v>
      </c>
      <c r="L64" s="135" t="s">
        <v>66</v>
      </c>
      <c r="M64" s="153" t="s">
        <v>67</v>
      </c>
      <c r="N64" s="99" t="s">
        <v>22</v>
      </c>
      <c r="O64" s="43" t="s">
        <v>22</v>
      </c>
      <c r="P64" s="43" t="s">
        <v>186</v>
      </c>
      <c r="Q64" s="135" t="s">
        <v>66</v>
      </c>
      <c r="R64" s="153" t="s">
        <v>67</v>
      </c>
      <c r="T64" s="4"/>
    </row>
    <row r="65" spans="1:20" ht="18.75" customHeight="1">
      <c r="A65" s="198">
        <v>1</v>
      </c>
      <c r="B65" s="71" t="s">
        <v>91</v>
      </c>
      <c r="C65" s="199" t="s">
        <v>89</v>
      </c>
      <c r="D65" s="188">
        <f aca="true" t="shared" si="19" ref="D65:F71">+I65+N65</f>
        <v>902017</v>
      </c>
      <c r="E65" s="189">
        <f t="shared" si="19"/>
        <v>972902</v>
      </c>
      <c r="F65" s="189">
        <f t="shared" si="19"/>
        <v>956459</v>
      </c>
      <c r="G65" s="179">
        <f aca="true" t="shared" si="20" ref="G65:G93">+F65/D65*100</f>
        <v>106.03558469518867</v>
      </c>
      <c r="H65" s="196">
        <f aca="true" t="shared" si="21" ref="H65:H93">+F65/E65*100</f>
        <v>98.30990171671968</v>
      </c>
      <c r="I65" s="188">
        <v>561040</v>
      </c>
      <c r="J65" s="189">
        <v>601628</v>
      </c>
      <c r="K65" s="189">
        <v>593962</v>
      </c>
      <c r="L65" s="179">
        <f aca="true" t="shared" si="22" ref="L65:L72">+K65/I65*100</f>
        <v>105.86803079994296</v>
      </c>
      <c r="M65" s="196">
        <f aca="true" t="shared" si="23" ref="M65:M72">+K65/J65*100</f>
        <v>98.72579068793341</v>
      </c>
      <c r="N65" s="188">
        <v>340977</v>
      </c>
      <c r="O65" s="190">
        <v>371274</v>
      </c>
      <c r="P65" s="189">
        <v>362497</v>
      </c>
      <c r="Q65" s="179">
        <f>+P65/N65*100</f>
        <v>106.3112761271288</v>
      </c>
      <c r="R65" s="196">
        <f>+P65/O65*100</f>
        <v>97.63597774150628</v>
      </c>
      <c r="T65" s="4"/>
    </row>
    <row r="66" spans="1:20" ht="18.75" customHeight="1">
      <c r="A66" s="13">
        <v>2</v>
      </c>
      <c r="B66" s="15" t="s">
        <v>92</v>
      </c>
      <c r="C66" s="92" t="s">
        <v>90</v>
      </c>
      <c r="D66" s="103">
        <f t="shared" si="19"/>
        <v>109638</v>
      </c>
      <c r="E66" s="61">
        <f t="shared" si="19"/>
        <v>126345</v>
      </c>
      <c r="F66" s="61">
        <f t="shared" si="19"/>
        <v>116047</v>
      </c>
      <c r="G66" s="128">
        <f t="shared" si="20"/>
        <v>105.84560097776318</v>
      </c>
      <c r="H66" s="156">
        <f t="shared" si="21"/>
        <v>91.84930151569117</v>
      </c>
      <c r="I66" s="103">
        <v>28597</v>
      </c>
      <c r="J66" s="61">
        <v>29133</v>
      </c>
      <c r="K66" s="61">
        <v>23436</v>
      </c>
      <c r="L66" s="128">
        <f t="shared" si="22"/>
        <v>81.95265237612337</v>
      </c>
      <c r="M66" s="156">
        <f t="shared" si="23"/>
        <v>80.44485634847081</v>
      </c>
      <c r="N66" s="103">
        <v>81041</v>
      </c>
      <c r="O66" s="81">
        <v>97212</v>
      </c>
      <c r="P66" s="61">
        <v>92611</v>
      </c>
      <c r="Q66" s="128">
        <f>+P66/N66*100</f>
        <v>114.27672412729359</v>
      </c>
      <c r="R66" s="156">
        <f>+P66/O66*100</f>
        <v>95.26704522075464</v>
      </c>
      <c r="T66" s="4"/>
    </row>
    <row r="67" spans="1:20" ht="18.75">
      <c r="A67" s="26">
        <v>3</v>
      </c>
      <c r="B67" s="41">
        <v>5141</v>
      </c>
      <c r="C67" s="110" t="s">
        <v>78</v>
      </c>
      <c r="D67" s="188">
        <f t="shared" si="19"/>
        <v>322315</v>
      </c>
      <c r="E67" s="189">
        <f t="shared" si="19"/>
        <v>325922</v>
      </c>
      <c r="F67" s="61">
        <f t="shared" si="19"/>
        <v>135988</v>
      </c>
      <c r="G67" s="179">
        <f t="shared" si="20"/>
        <v>42.19102430851807</v>
      </c>
      <c r="H67" s="196">
        <f t="shared" si="21"/>
        <v>41.72409349476255</v>
      </c>
      <c r="I67" s="188">
        <v>299368</v>
      </c>
      <c r="J67" s="189">
        <v>299368</v>
      </c>
      <c r="K67" s="189">
        <v>111509</v>
      </c>
      <c r="L67" s="125">
        <f t="shared" si="22"/>
        <v>37.24813607332781</v>
      </c>
      <c r="M67" s="154">
        <f t="shared" si="23"/>
        <v>37.24813607332781</v>
      </c>
      <c r="N67" s="188">
        <v>22947</v>
      </c>
      <c r="O67" s="190">
        <v>26554</v>
      </c>
      <c r="P67" s="189">
        <v>24479</v>
      </c>
      <c r="Q67" s="179">
        <f>+P67/N67*100</f>
        <v>106.67625397655468</v>
      </c>
      <c r="R67" s="196">
        <f>+P67/O67*100</f>
        <v>92.185734729231</v>
      </c>
      <c r="T67" s="4"/>
    </row>
    <row r="68" spans="1:20" ht="18.75" customHeight="1">
      <c r="A68" s="13">
        <v>4</v>
      </c>
      <c r="B68" s="19">
        <v>5213</v>
      </c>
      <c r="C68" s="111" t="s">
        <v>136</v>
      </c>
      <c r="D68" s="112">
        <f t="shared" si="19"/>
        <v>1564654</v>
      </c>
      <c r="E68" s="37">
        <f t="shared" si="19"/>
        <v>1568394</v>
      </c>
      <c r="F68" s="61">
        <f t="shared" si="19"/>
        <v>1568394</v>
      </c>
      <c r="G68" s="136">
        <f t="shared" si="20"/>
        <v>100.23903048213853</v>
      </c>
      <c r="H68" s="162">
        <f t="shared" si="21"/>
        <v>100</v>
      </c>
      <c r="I68" s="112">
        <f>1568504-3850</f>
        <v>1564654</v>
      </c>
      <c r="J68" s="37">
        <f>1572244-3850</f>
        <v>1568394</v>
      </c>
      <c r="K68" s="37">
        <f>1572244-3850</f>
        <v>1568394</v>
      </c>
      <c r="L68" s="128">
        <f t="shared" si="22"/>
        <v>100.23903048213853</v>
      </c>
      <c r="M68" s="156">
        <f t="shared" si="23"/>
        <v>100</v>
      </c>
      <c r="N68" s="112"/>
      <c r="O68" s="85"/>
      <c r="P68" s="37"/>
      <c r="Q68" s="136"/>
      <c r="R68" s="156"/>
      <c r="T68" s="4"/>
    </row>
    <row r="69" spans="1:20" ht="18.75" customHeight="1">
      <c r="A69" s="26">
        <v>5</v>
      </c>
      <c r="B69" s="19">
        <v>5213</v>
      </c>
      <c r="C69" s="91" t="s">
        <v>137</v>
      </c>
      <c r="D69" s="113">
        <f t="shared" si="19"/>
        <v>142067</v>
      </c>
      <c r="E69" s="68">
        <f t="shared" si="19"/>
        <v>166493</v>
      </c>
      <c r="F69" s="61">
        <f t="shared" si="19"/>
        <v>107985</v>
      </c>
      <c r="G69" s="137">
        <f t="shared" si="20"/>
        <v>76.00991081672733</v>
      </c>
      <c r="H69" s="163">
        <f t="shared" si="21"/>
        <v>64.85858264311413</v>
      </c>
      <c r="I69" s="113">
        <f>1705061-I68</f>
        <v>140407</v>
      </c>
      <c r="J69" s="68">
        <f>1733227-J68</f>
        <v>164833</v>
      </c>
      <c r="K69" s="68">
        <f>1675259-K68</f>
        <v>106865</v>
      </c>
      <c r="L69" s="128">
        <f t="shared" si="22"/>
        <v>76.11087766279458</v>
      </c>
      <c r="M69" s="156">
        <f t="shared" si="23"/>
        <v>64.83228479734034</v>
      </c>
      <c r="N69" s="113">
        <v>1660</v>
      </c>
      <c r="O69" s="83">
        <v>1660</v>
      </c>
      <c r="P69" s="68">
        <v>1120</v>
      </c>
      <c r="Q69" s="137">
        <f>+P69/N69*100</f>
        <v>67.46987951807229</v>
      </c>
      <c r="R69" s="196">
        <f>+P69/O69*100</f>
        <v>67.46987951807229</v>
      </c>
      <c r="T69" s="4"/>
    </row>
    <row r="70" spans="1:20" ht="18.75">
      <c r="A70" s="13">
        <v>6</v>
      </c>
      <c r="B70" s="19" t="s">
        <v>25</v>
      </c>
      <c r="C70" s="111" t="s">
        <v>138</v>
      </c>
      <c r="D70" s="113">
        <f t="shared" si="19"/>
        <v>30</v>
      </c>
      <c r="E70" s="68">
        <f t="shared" si="19"/>
        <v>1483</v>
      </c>
      <c r="F70" s="60">
        <f t="shared" si="19"/>
        <v>1473</v>
      </c>
      <c r="G70" s="137">
        <f t="shared" si="20"/>
        <v>4910</v>
      </c>
      <c r="H70" s="163">
        <f t="shared" si="21"/>
        <v>99.3256911665543</v>
      </c>
      <c r="I70" s="113"/>
      <c r="J70" s="68">
        <v>1365</v>
      </c>
      <c r="K70" s="68">
        <v>1355</v>
      </c>
      <c r="L70" s="128"/>
      <c r="M70" s="156">
        <f t="shared" si="23"/>
        <v>99.26739926739927</v>
      </c>
      <c r="N70" s="113">
        <v>30</v>
      </c>
      <c r="O70" s="83">
        <v>118</v>
      </c>
      <c r="P70" s="68">
        <v>118</v>
      </c>
      <c r="Q70" s="137">
        <f aca="true" t="shared" si="24" ref="Q70:Q76">+P70/N70*100</f>
        <v>393.3333333333333</v>
      </c>
      <c r="R70" s="163">
        <f aca="true" t="shared" si="25" ref="R70:R78">+P70/O70*100</f>
        <v>100</v>
      </c>
      <c r="T70" s="4"/>
    </row>
    <row r="71" spans="1:20" ht="18.75">
      <c r="A71" s="26">
        <v>7</v>
      </c>
      <c r="B71" s="19" t="s">
        <v>24</v>
      </c>
      <c r="C71" s="111" t="s">
        <v>139</v>
      </c>
      <c r="D71" s="113">
        <f t="shared" si="19"/>
        <v>416365</v>
      </c>
      <c r="E71" s="68">
        <f t="shared" si="19"/>
        <v>391455</v>
      </c>
      <c r="F71" s="61">
        <f t="shared" si="19"/>
        <v>368361</v>
      </c>
      <c r="G71" s="137">
        <f t="shared" si="20"/>
        <v>88.47069278157386</v>
      </c>
      <c r="H71" s="163">
        <f t="shared" si="21"/>
        <v>94.10047131854236</v>
      </c>
      <c r="I71" s="113">
        <v>405782</v>
      </c>
      <c r="J71" s="68">
        <v>379376</v>
      </c>
      <c r="K71" s="68">
        <v>356639</v>
      </c>
      <c r="L71" s="128">
        <f t="shared" si="22"/>
        <v>87.88931002360873</v>
      </c>
      <c r="M71" s="156">
        <f t="shared" si="23"/>
        <v>94.00673737927544</v>
      </c>
      <c r="N71" s="113">
        <v>10583</v>
      </c>
      <c r="O71" s="83">
        <v>12079</v>
      </c>
      <c r="P71" s="68">
        <v>11722</v>
      </c>
      <c r="Q71" s="137">
        <f t="shared" si="24"/>
        <v>110.76254370216385</v>
      </c>
      <c r="R71" s="163">
        <f t="shared" si="25"/>
        <v>97.04445732262604</v>
      </c>
      <c r="T71" s="4"/>
    </row>
    <row r="72" spans="1:20" ht="18.75">
      <c r="A72" s="13">
        <v>8</v>
      </c>
      <c r="B72" s="19">
        <v>5321</v>
      </c>
      <c r="C72" s="111" t="s">
        <v>140</v>
      </c>
      <c r="D72" s="114" t="s">
        <v>52</v>
      </c>
      <c r="E72" s="69" t="s">
        <v>52</v>
      </c>
      <c r="F72" s="69" t="s">
        <v>52</v>
      </c>
      <c r="G72" s="164"/>
      <c r="H72" s="165"/>
      <c r="I72" s="113">
        <v>958755</v>
      </c>
      <c r="J72" s="68">
        <v>991851</v>
      </c>
      <c r="K72" s="68">
        <v>991818</v>
      </c>
      <c r="L72" s="128">
        <f t="shared" si="22"/>
        <v>103.44853481859286</v>
      </c>
      <c r="M72" s="156">
        <f t="shared" si="23"/>
        <v>99.99667288735908</v>
      </c>
      <c r="N72" s="113">
        <v>392</v>
      </c>
      <c r="O72" s="83">
        <v>533</v>
      </c>
      <c r="P72" s="68">
        <v>533</v>
      </c>
      <c r="Q72" s="137">
        <f t="shared" si="24"/>
        <v>135.96938775510205</v>
      </c>
      <c r="R72" s="163">
        <f t="shared" si="25"/>
        <v>100</v>
      </c>
      <c r="T72" s="4"/>
    </row>
    <row r="73" spans="1:18" ht="18.75">
      <c r="A73" s="26">
        <v>9</v>
      </c>
      <c r="B73" s="19">
        <v>5321</v>
      </c>
      <c r="C73" s="111" t="s">
        <v>141</v>
      </c>
      <c r="D73" s="113">
        <f aca="true" t="shared" si="26" ref="D73:F77">+I73+N73</f>
        <v>15</v>
      </c>
      <c r="E73" s="68">
        <f t="shared" si="26"/>
        <v>149</v>
      </c>
      <c r="F73" s="68">
        <f t="shared" si="26"/>
        <v>148</v>
      </c>
      <c r="G73" s="137">
        <f>+F73/D73*100</f>
        <v>986.6666666666667</v>
      </c>
      <c r="H73" s="163">
        <f>+F73/E73*100</f>
        <v>99.32885906040269</v>
      </c>
      <c r="I73" s="113"/>
      <c r="J73" s="68"/>
      <c r="K73" s="68"/>
      <c r="L73" s="128"/>
      <c r="M73" s="156"/>
      <c r="N73" s="113">
        <v>15</v>
      </c>
      <c r="O73" s="83">
        <v>149</v>
      </c>
      <c r="P73" s="68">
        <v>148</v>
      </c>
      <c r="Q73" s="137">
        <f t="shared" si="24"/>
        <v>986.6666666666667</v>
      </c>
      <c r="R73" s="163">
        <f t="shared" si="25"/>
        <v>99.32885906040269</v>
      </c>
    </row>
    <row r="74" spans="1:18" ht="18.75">
      <c r="A74" s="13">
        <v>10</v>
      </c>
      <c r="B74" s="23">
        <v>5331</v>
      </c>
      <c r="C74" s="111" t="s">
        <v>17</v>
      </c>
      <c r="D74" s="113">
        <f t="shared" si="26"/>
        <v>1568180</v>
      </c>
      <c r="E74" s="68">
        <f t="shared" si="26"/>
        <v>1635464</v>
      </c>
      <c r="F74" s="68">
        <f t="shared" si="26"/>
        <v>1631957</v>
      </c>
      <c r="G74" s="137">
        <f t="shared" si="20"/>
        <v>104.06694384573198</v>
      </c>
      <c r="H74" s="163">
        <f t="shared" si="21"/>
        <v>99.78556544197855</v>
      </c>
      <c r="I74" s="113">
        <v>1214856</v>
      </c>
      <c r="J74" s="68">
        <v>1268360</v>
      </c>
      <c r="K74" s="68">
        <v>1266395</v>
      </c>
      <c r="L74" s="128">
        <f>+K74/I74*100</f>
        <v>104.24239580658119</v>
      </c>
      <c r="M74" s="156">
        <f>+K74/J74*100</f>
        <v>99.84507553060645</v>
      </c>
      <c r="N74" s="113">
        <v>353324</v>
      </c>
      <c r="O74" s="83">
        <v>367104</v>
      </c>
      <c r="P74" s="68">
        <v>365562</v>
      </c>
      <c r="Q74" s="137">
        <f t="shared" si="24"/>
        <v>103.46367639899923</v>
      </c>
      <c r="R74" s="163">
        <f t="shared" si="25"/>
        <v>99.57995554393305</v>
      </c>
    </row>
    <row r="75" spans="1:18" ht="18.75">
      <c r="A75" s="26">
        <v>11</v>
      </c>
      <c r="B75" s="19" t="s">
        <v>26</v>
      </c>
      <c r="C75" s="111" t="s">
        <v>79</v>
      </c>
      <c r="D75" s="113">
        <f t="shared" si="26"/>
        <v>28245</v>
      </c>
      <c r="E75" s="68">
        <f t="shared" si="26"/>
        <v>112989</v>
      </c>
      <c r="F75" s="68">
        <f t="shared" si="26"/>
        <v>112889</v>
      </c>
      <c r="G75" s="137">
        <f t="shared" si="20"/>
        <v>399.67781908302356</v>
      </c>
      <c r="H75" s="163">
        <f t="shared" si="21"/>
        <v>99.91149580932657</v>
      </c>
      <c r="I75" s="113">
        <f>610+0+27475</f>
        <v>28085</v>
      </c>
      <c r="J75" s="68">
        <f>1121+63293+28110</f>
        <v>92524</v>
      </c>
      <c r="K75" s="68">
        <f>1121+63293+28012</f>
        <v>92426</v>
      </c>
      <c r="L75" s="128">
        <f>+K75/I75*100</f>
        <v>329.09382232508455</v>
      </c>
      <c r="M75" s="156">
        <f>+K75/J75*100</f>
        <v>99.89408153560157</v>
      </c>
      <c r="N75" s="113">
        <f>0+0+160</f>
        <v>160</v>
      </c>
      <c r="O75" s="83">
        <v>20465</v>
      </c>
      <c r="P75" s="68">
        <f>2+20048+413</f>
        <v>20463</v>
      </c>
      <c r="Q75" s="137">
        <f t="shared" si="24"/>
        <v>12789.375</v>
      </c>
      <c r="R75" s="163">
        <f t="shared" si="25"/>
        <v>99.9902272172001</v>
      </c>
    </row>
    <row r="76" spans="1:18" ht="18.75">
      <c r="A76" s="13">
        <v>12</v>
      </c>
      <c r="B76" s="19">
        <v>5362</v>
      </c>
      <c r="C76" s="111" t="s">
        <v>72</v>
      </c>
      <c r="D76" s="182">
        <f>+I76+N76</f>
        <v>109726</v>
      </c>
      <c r="E76" s="68">
        <f>+J76+O76</f>
        <v>254441</v>
      </c>
      <c r="F76" s="68">
        <f t="shared" si="26"/>
        <v>254441</v>
      </c>
      <c r="G76" s="137">
        <f t="shared" si="20"/>
        <v>231.88761095820502</v>
      </c>
      <c r="H76" s="163">
        <f t="shared" si="21"/>
        <v>100</v>
      </c>
      <c r="I76" s="113">
        <v>100000</v>
      </c>
      <c r="J76" s="68">
        <v>231033</v>
      </c>
      <c r="K76" s="61">
        <v>231033</v>
      </c>
      <c r="L76" s="128">
        <f>+K76/I76*100</f>
        <v>231.033</v>
      </c>
      <c r="M76" s="156">
        <f>+K76/J76*100</f>
        <v>100</v>
      </c>
      <c r="N76" s="103">
        <v>9726</v>
      </c>
      <c r="O76" s="81">
        <v>23408</v>
      </c>
      <c r="P76" s="61">
        <v>23408</v>
      </c>
      <c r="Q76" s="137">
        <f t="shared" si="24"/>
        <v>240.67448077318528</v>
      </c>
      <c r="R76" s="163">
        <f t="shared" si="25"/>
        <v>100</v>
      </c>
    </row>
    <row r="77" spans="1:18" ht="18.75">
      <c r="A77" s="26">
        <v>13</v>
      </c>
      <c r="B77" s="19">
        <v>5366</v>
      </c>
      <c r="C77" s="111" t="s">
        <v>165</v>
      </c>
      <c r="D77" s="182">
        <f>+I77+N77</f>
        <v>0</v>
      </c>
      <c r="E77" s="68">
        <f>+J77+O77</f>
        <v>14748</v>
      </c>
      <c r="F77" s="68">
        <f t="shared" si="26"/>
        <v>14748</v>
      </c>
      <c r="G77" s="137"/>
      <c r="H77" s="163">
        <f t="shared" si="21"/>
        <v>100</v>
      </c>
      <c r="I77" s="113"/>
      <c r="J77" s="68">
        <v>14748</v>
      </c>
      <c r="K77" s="68">
        <v>14748</v>
      </c>
      <c r="L77" s="128"/>
      <c r="M77" s="156">
        <f>+K77/J77*100</f>
        <v>100</v>
      </c>
      <c r="N77" s="113"/>
      <c r="O77" s="83"/>
      <c r="P77" s="68"/>
      <c r="Q77" s="137"/>
      <c r="R77" s="163"/>
    </row>
    <row r="78" spans="1:18" ht="18.75">
      <c r="A78" s="13">
        <v>14</v>
      </c>
      <c r="B78" s="19">
        <v>5367</v>
      </c>
      <c r="C78" s="111" t="s">
        <v>172</v>
      </c>
      <c r="D78" s="183" t="s">
        <v>52</v>
      </c>
      <c r="E78" s="69" t="s">
        <v>52</v>
      </c>
      <c r="F78" s="184" t="s">
        <v>52</v>
      </c>
      <c r="G78" s="164"/>
      <c r="H78" s="165"/>
      <c r="I78" s="113"/>
      <c r="J78" s="68"/>
      <c r="K78" s="68"/>
      <c r="L78" s="128"/>
      <c r="M78" s="156"/>
      <c r="N78" s="113"/>
      <c r="O78" s="83">
        <v>16350</v>
      </c>
      <c r="P78" s="68">
        <v>16350</v>
      </c>
      <c r="Q78" s="137"/>
      <c r="R78" s="163">
        <f t="shared" si="25"/>
        <v>100</v>
      </c>
    </row>
    <row r="79" spans="1:18" ht="18.75">
      <c r="A79" s="26">
        <v>15</v>
      </c>
      <c r="B79" s="19">
        <v>5367</v>
      </c>
      <c r="C79" s="111" t="s">
        <v>173</v>
      </c>
      <c r="D79" s="183" t="s">
        <v>52</v>
      </c>
      <c r="E79" s="69" t="s">
        <v>52</v>
      </c>
      <c r="F79" s="184" t="s">
        <v>52</v>
      </c>
      <c r="G79" s="164"/>
      <c r="H79" s="165"/>
      <c r="I79" s="113"/>
      <c r="J79" s="68">
        <v>122680</v>
      </c>
      <c r="K79" s="68">
        <v>122679</v>
      </c>
      <c r="L79" s="128"/>
      <c r="M79" s="156">
        <f>+K79/J79*100</f>
        <v>99.99918487120965</v>
      </c>
      <c r="N79" s="113"/>
      <c r="O79" s="83"/>
      <c r="P79" s="68"/>
      <c r="Q79" s="137"/>
      <c r="R79" s="163"/>
    </row>
    <row r="80" spans="1:18" ht="18.75">
      <c r="A80" s="13">
        <v>16</v>
      </c>
      <c r="B80" s="19">
        <v>5641</v>
      </c>
      <c r="C80" s="111" t="s">
        <v>142</v>
      </c>
      <c r="D80" s="183" t="s">
        <v>52</v>
      </c>
      <c r="E80" s="69" t="s">
        <v>52</v>
      </c>
      <c r="F80" s="184" t="s">
        <v>52</v>
      </c>
      <c r="G80" s="164"/>
      <c r="H80" s="165"/>
      <c r="I80" s="113"/>
      <c r="J80" s="68"/>
      <c r="K80" s="68"/>
      <c r="L80" s="128"/>
      <c r="M80" s="156"/>
      <c r="N80" s="113"/>
      <c r="O80" s="83"/>
      <c r="P80" s="68"/>
      <c r="Q80" s="137"/>
      <c r="R80" s="163"/>
    </row>
    <row r="81" spans="1:18" ht="18.75">
      <c r="A81" s="26">
        <v>17</v>
      </c>
      <c r="B81" s="19">
        <v>5901</v>
      </c>
      <c r="C81" s="91" t="s">
        <v>13</v>
      </c>
      <c r="D81" s="182">
        <f aca="true" t="shared" si="27" ref="D81:F82">+I81+N81</f>
        <v>67947</v>
      </c>
      <c r="E81" s="61">
        <f t="shared" si="27"/>
        <v>14695</v>
      </c>
      <c r="F81" s="61">
        <f t="shared" si="27"/>
        <v>0</v>
      </c>
      <c r="G81" s="137"/>
      <c r="H81" s="163"/>
      <c r="I81" s="113">
        <v>55551</v>
      </c>
      <c r="J81" s="68">
        <v>5950</v>
      </c>
      <c r="K81" s="68"/>
      <c r="L81" s="128"/>
      <c r="M81" s="156"/>
      <c r="N81" s="113">
        <v>12396</v>
      </c>
      <c r="O81" s="83">
        <v>8745</v>
      </c>
      <c r="P81" s="68"/>
      <c r="Q81" s="137"/>
      <c r="R81" s="163"/>
    </row>
    <row r="82" spans="1:18" ht="18.75">
      <c r="A82" s="13">
        <v>18</v>
      </c>
      <c r="B82" s="19" t="s">
        <v>75</v>
      </c>
      <c r="C82" s="91" t="s">
        <v>27</v>
      </c>
      <c r="D82" s="113">
        <f t="shared" si="27"/>
        <v>3045002</v>
      </c>
      <c r="E82" s="68">
        <f t="shared" si="27"/>
        <v>4455589</v>
      </c>
      <c r="F82" s="68">
        <f t="shared" si="27"/>
        <v>3986107</v>
      </c>
      <c r="G82" s="137">
        <f t="shared" si="20"/>
        <v>130.90654784463197</v>
      </c>
      <c r="H82" s="163">
        <f t="shared" si="21"/>
        <v>89.46307659885147</v>
      </c>
      <c r="I82" s="113">
        <f>7608360-I65-I66-I67-I68-I69-I70-I71-I72-I74-I75-I76-I81</f>
        <v>2251265</v>
      </c>
      <c r="J82" s="68">
        <f>9127698-J65-J66-J67-J68-J69-J70-J71-J72-J73-J74-J75-J76-J77-J78-J79-J80-J81</f>
        <v>3356455</v>
      </c>
      <c r="K82" s="68">
        <f>30306603-35701-280893-19473154-1974914-K65-K66-K67-K68-K69-K70-K71-K72-K73-K74-K75-K76-K77-K78-K79-K80-K81</f>
        <v>3060682</v>
      </c>
      <c r="L82" s="128">
        <f>+K82/I82*100</f>
        <v>135.95387482148925</v>
      </c>
      <c r="M82" s="156">
        <f aca="true" t="shared" si="28" ref="M82:M93">+K82/J82*100</f>
        <v>91.18793488963803</v>
      </c>
      <c r="N82" s="113">
        <v>793737</v>
      </c>
      <c r="O82" s="68">
        <f>2044785-O65-O66-O67-O69-O70-O71-O72-O73-O74-O75-O76-O78-O81</f>
        <v>1099134</v>
      </c>
      <c r="P82" s="68">
        <f>4686135-14085-71968-2717092-38554-P65-P66-P67-P69-P70-P71-P72-P73-P74-P75-P76-P78</f>
        <v>925425</v>
      </c>
      <c r="Q82" s="137">
        <f>+P82/N82*100</f>
        <v>116.59088589797378</v>
      </c>
      <c r="R82" s="163">
        <f>+P82/O82*100</f>
        <v>84.19583053567627</v>
      </c>
    </row>
    <row r="83" spans="1:18" ht="19.5" thickBot="1">
      <c r="A83" s="26">
        <v>19</v>
      </c>
      <c r="B83" s="17" t="s">
        <v>46</v>
      </c>
      <c r="C83" s="53" t="s">
        <v>166</v>
      </c>
      <c r="D83" s="105">
        <f>SUM(D65:D82)</f>
        <v>8276201</v>
      </c>
      <c r="E83" s="64">
        <f>SUM(E65:E82)</f>
        <v>10041069</v>
      </c>
      <c r="F83" s="64">
        <f>SUM(F65:F82)</f>
        <v>9254997</v>
      </c>
      <c r="G83" s="126">
        <f t="shared" si="20"/>
        <v>111.82663398339407</v>
      </c>
      <c r="H83" s="157">
        <f t="shared" si="21"/>
        <v>92.17143114941247</v>
      </c>
      <c r="I83" s="105">
        <f>SUM(I65:I82)</f>
        <v>7608360</v>
      </c>
      <c r="J83" s="64">
        <f>SUM(J65:J82)</f>
        <v>9127698</v>
      </c>
      <c r="K83" s="64">
        <f>SUM(K65:K82)</f>
        <v>8541941</v>
      </c>
      <c r="L83" s="126">
        <f>+K83/I83*100</f>
        <v>112.2704630169971</v>
      </c>
      <c r="M83" s="157">
        <f t="shared" si="28"/>
        <v>93.58264263344384</v>
      </c>
      <c r="N83" s="105">
        <f>SUM(N65:N82)</f>
        <v>1626988</v>
      </c>
      <c r="O83" s="64">
        <f>SUM(O65:O82)</f>
        <v>2044785</v>
      </c>
      <c r="P83" s="64">
        <f>SUM(P65:P82)</f>
        <v>1844436</v>
      </c>
      <c r="Q83" s="126">
        <f>+P83/N83*100</f>
        <v>113.36506476999216</v>
      </c>
      <c r="R83" s="157">
        <f>+P83/O83*100</f>
        <v>90.20195277254088</v>
      </c>
    </row>
    <row r="84" spans="1:20" ht="18.75">
      <c r="A84" s="13">
        <v>20</v>
      </c>
      <c r="B84" s="39" t="s">
        <v>28</v>
      </c>
      <c r="C84" s="54" t="s">
        <v>143</v>
      </c>
      <c r="D84" s="102">
        <f aca="true" t="shared" si="29" ref="D84:F85">+I84+N84</f>
        <v>8000</v>
      </c>
      <c r="E84" s="70">
        <f t="shared" si="29"/>
        <v>39688</v>
      </c>
      <c r="F84" s="70">
        <f t="shared" si="29"/>
        <v>31688</v>
      </c>
      <c r="G84" s="128">
        <f t="shared" si="20"/>
        <v>396.09999999999997</v>
      </c>
      <c r="H84" s="156">
        <f t="shared" si="21"/>
        <v>79.84277363434792</v>
      </c>
      <c r="I84" s="102">
        <v>8000</v>
      </c>
      <c r="J84" s="70">
        <v>22578</v>
      </c>
      <c r="K84" s="70">
        <v>22578</v>
      </c>
      <c r="L84" s="125">
        <f>+K84/I84*100</f>
        <v>282.22499999999997</v>
      </c>
      <c r="M84" s="154">
        <f t="shared" si="28"/>
        <v>100</v>
      </c>
      <c r="N84" s="102"/>
      <c r="O84" s="70">
        <v>17110</v>
      </c>
      <c r="P84" s="70">
        <v>9110</v>
      </c>
      <c r="Q84" s="127"/>
      <c r="R84" s="163">
        <f>+P84/O84*100</f>
        <v>53.2437171244886</v>
      </c>
      <c r="T84" s="252"/>
    </row>
    <row r="85" spans="1:20" ht="18.75">
      <c r="A85" s="26">
        <v>21</v>
      </c>
      <c r="B85" s="39" t="s">
        <v>29</v>
      </c>
      <c r="C85" s="55" t="s">
        <v>18</v>
      </c>
      <c r="D85" s="103">
        <f t="shared" si="29"/>
        <v>34350</v>
      </c>
      <c r="E85" s="61">
        <f t="shared" si="29"/>
        <v>31490</v>
      </c>
      <c r="F85" s="61">
        <f t="shared" si="29"/>
        <v>31140</v>
      </c>
      <c r="G85" s="128">
        <f t="shared" si="20"/>
        <v>90.65502183406113</v>
      </c>
      <c r="H85" s="156">
        <f t="shared" si="21"/>
        <v>98.88853604318831</v>
      </c>
      <c r="I85" s="103">
        <v>34000</v>
      </c>
      <c r="J85" s="61">
        <v>30140</v>
      </c>
      <c r="K85" s="61">
        <v>30140</v>
      </c>
      <c r="L85" s="125">
        <f>+K85/I85*100</f>
        <v>88.6470588235294</v>
      </c>
      <c r="M85" s="154">
        <f t="shared" si="28"/>
        <v>100</v>
      </c>
      <c r="N85" s="103">
        <v>350</v>
      </c>
      <c r="O85" s="61">
        <v>1350</v>
      </c>
      <c r="P85" s="61">
        <v>1000</v>
      </c>
      <c r="Q85" s="137">
        <f>+P85/N85*100</f>
        <v>285.7142857142857</v>
      </c>
      <c r="R85" s="163">
        <f>+P85/O85*100</f>
        <v>74.07407407407408</v>
      </c>
      <c r="T85" s="252"/>
    </row>
    <row r="86" spans="1:18" ht="18.75">
      <c r="A86" s="13">
        <v>22</v>
      </c>
      <c r="B86" s="39">
        <v>6341</v>
      </c>
      <c r="C86" s="55" t="s">
        <v>14</v>
      </c>
      <c r="D86" s="115" t="s">
        <v>52</v>
      </c>
      <c r="E86" s="75" t="s">
        <v>52</v>
      </c>
      <c r="F86" s="75" t="s">
        <v>52</v>
      </c>
      <c r="G86" s="128"/>
      <c r="H86" s="156"/>
      <c r="I86" s="103"/>
      <c r="J86" s="61">
        <v>165218</v>
      </c>
      <c r="K86" s="61">
        <v>164930</v>
      </c>
      <c r="L86" s="128"/>
      <c r="M86" s="154">
        <f t="shared" si="28"/>
        <v>99.82568485274001</v>
      </c>
      <c r="N86" s="103">
        <v>100</v>
      </c>
      <c r="O86" s="61">
        <v>100</v>
      </c>
      <c r="P86" s="61">
        <v>100</v>
      </c>
      <c r="Q86" s="137">
        <f>+P86/N86*100</f>
        <v>100</v>
      </c>
      <c r="R86" s="163">
        <f>+P86/O86*100</f>
        <v>100</v>
      </c>
    </row>
    <row r="87" spans="1:18" ht="18.75">
      <c r="A87" s="26">
        <v>23</v>
      </c>
      <c r="B87" s="39">
        <v>6341</v>
      </c>
      <c r="C87" s="55" t="s">
        <v>149</v>
      </c>
      <c r="D87" s="115" t="s">
        <v>52</v>
      </c>
      <c r="E87" s="75" t="s">
        <v>52</v>
      </c>
      <c r="F87" s="75" t="s">
        <v>52</v>
      </c>
      <c r="G87" s="128"/>
      <c r="H87" s="156"/>
      <c r="I87" s="103"/>
      <c r="J87" s="61"/>
      <c r="K87" s="61"/>
      <c r="L87" s="128"/>
      <c r="M87" s="156"/>
      <c r="N87" s="103"/>
      <c r="O87" s="61"/>
      <c r="P87" s="61"/>
      <c r="Q87" s="137"/>
      <c r="R87" s="163"/>
    </row>
    <row r="88" spans="1:18" ht="18.75">
      <c r="A88" s="13">
        <v>24</v>
      </c>
      <c r="B88" s="33">
        <v>6351</v>
      </c>
      <c r="C88" s="55" t="s">
        <v>144</v>
      </c>
      <c r="D88" s="103">
        <f aca="true" t="shared" si="30" ref="D88:F91">+I88+N88</f>
        <v>1058</v>
      </c>
      <c r="E88" s="61">
        <f t="shared" si="30"/>
        <v>42867</v>
      </c>
      <c r="F88" s="61">
        <f t="shared" si="30"/>
        <v>42618</v>
      </c>
      <c r="G88" s="128">
        <f t="shared" si="20"/>
        <v>4028.166351606805</v>
      </c>
      <c r="H88" s="156">
        <f t="shared" si="21"/>
        <v>99.41913359927217</v>
      </c>
      <c r="I88" s="103"/>
      <c r="J88" s="61">
        <v>38398</v>
      </c>
      <c r="K88" s="61">
        <v>38153</v>
      </c>
      <c r="L88" s="128"/>
      <c r="M88" s="156">
        <f>+K88/J88*100</f>
        <v>99.36194593468409</v>
      </c>
      <c r="N88" s="103">
        <v>1058</v>
      </c>
      <c r="O88" s="61">
        <v>4469</v>
      </c>
      <c r="P88" s="61">
        <v>4465</v>
      </c>
      <c r="Q88" s="137">
        <f>+P88/N88*100</f>
        <v>422.0226843100189</v>
      </c>
      <c r="R88" s="163">
        <f>+P88/O88*100</f>
        <v>99.91049451778922</v>
      </c>
    </row>
    <row r="89" spans="1:18" ht="18.75">
      <c r="A89" s="26">
        <v>25</v>
      </c>
      <c r="B89" s="33">
        <v>6441</v>
      </c>
      <c r="C89" s="55" t="s">
        <v>80</v>
      </c>
      <c r="D89" s="115" t="s">
        <v>52</v>
      </c>
      <c r="E89" s="75" t="s">
        <v>52</v>
      </c>
      <c r="F89" s="75" t="s">
        <v>52</v>
      </c>
      <c r="G89" s="128"/>
      <c r="H89" s="156"/>
      <c r="I89" s="103"/>
      <c r="J89" s="61">
        <v>37719</v>
      </c>
      <c r="K89" s="61">
        <v>37719</v>
      </c>
      <c r="L89" s="128"/>
      <c r="M89" s="156">
        <f>+K89/J89*100</f>
        <v>100</v>
      </c>
      <c r="N89" s="103"/>
      <c r="O89" s="61"/>
      <c r="P89" s="61"/>
      <c r="Q89" s="128"/>
      <c r="R89" s="156"/>
    </row>
    <row r="90" spans="1:18" ht="18.75">
      <c r="A90" s="13">
        <v>26</v>
      </c>
      <c r="B90" s="39" t="s">
        <v>30</v>
      </c>
      <c r="C90" s="56" t="s">
        <v>81</v>
      </c>
      <c r="D90" s="103">
        <f t="shared" si="30"/>
        <v>1000</v>
      </c>
      <c r="E90" s="61">
        <f t="shared" si="30"/>
        <v>2750</v>
      </c>
      <c r="F90" s="61">
        <f t="shared" si="30"/>
        <v>2230</v>
      </c>
      <c r="G90" s="128">
        <f t="shared" si="20"/>
        <v>223</v>
      </c>
      <c r="H90" s="156">
        <f>+F90/E90*100</f>
        <v>81.0909090909091</v>
      </c>
      <c r="I90" s="103">
        <v>1000</v>
      </c>
      <c r="J90" s="61">
        <v>2750</v>
      </c>
      <c r="K90" s="61">
        <v>2230</v>
      </c>
      <c r="L90" s="128">
        <f>+K90/I90*100</f>
        <v>223</v>
      </c>
      <c r="M90" s="156">
        <f t="shared" si="28"/>
        <v>81.0909090909091</v>
      </c>
      <c r="N90" s="103"/>
      <c r="O90" s="61"/>
      <c r="P90" s="61"/>
      <c r="Q90" s="137"/>
      <c r="R90" s="156"/>
    </row>
    <row r="91" spans="1:18" ht="18.75">
      <c r="A91" s="26">
        <v>27</v>
      </c>
      <c r="B91" s="39" t="s">
        <v>62</v>
      </c>
      <c r="C91" s="56" t="s">
        <v>37</v>
      </c>
      <c r="D91" s="103">
        <f t="shared" si="30"/>
        <v>3887395</v>
      </c>
      <c r="E91" s="61">
        <f t="shared" si="30"/>
        <v>3579987</v>
      </c>
      <c r="F91" s="61">
        <f>+K91+P91</f>
        <v>2852072</v>
      </c>
      <c r="G91" s="128">
        <f t="shared" si="20"/>
        <v>73.36717776300067</v>
      </c>
      <c r="H91" s="156">
        <f t="shared" si="21"/>
        <v>79.66710493641457</v>
      </c>
      <c r="I91" s="103">
        <f>3479405-I84-I85-I86-I88-I89-I90</f>
        <v>3436405</v>
      </c>
      <c r="J91" s="61">
        <f>2872135-J84-J85-J86-J87-J88-J89-J90</f>
        <v>2575332</v>
      </c>
      <c r="K91" s="61">
        <f>2523982-K84-K85-K86-K87-K88-K89-K90</f>
        <v>2228232</v>
      </c>
      <c r="L91" s="128">
        <f>+K91/I91*100</f>
        <v>64.84194965378062</v>
      </c>
      <c r="M91" s="156">
        <f t="shared" si="28"/>
        <v>86.52212607927832</v>
      </c>
      <c r="N91" s="103">
        <f>452498-N85-N86-N88</f>
        <v>450990</v>
      </c>
      <c r="O91" s="61">
        <f>1027684-O84-O85-O86-O88</f>
        <v>1004655</v>
      </c>
      <c r="P91" s="61">
        <f>638515-P84-P85-P86-P88</f>
        <v>623840</v>
      </c>
      <c r="Q91" s="128">
        <f>+P91/N91*100</f>
        <v>138.32679216834077</v>
      </c>
      <c r="R91" s="156">
        <f>+P91/O91*100</f>
        <v>62.09494801698096</v>
      </c>
    </row>
    <row r="92" spans="1:18" ht="19.5" thickBot="1">
      <c r="A92" s="13">
        <v>28</v>
      </c>
      <c r="B92" s="40" t="s">
        <v>47</v>
      </c>
      <c r="C92" s="57" t="s">
        <v>167</v>
      </c>
      <c r="D92" s="108">
        <f>SUM(D84:D91)</f>
        <v>3931803</v>
      </c>
      <c r="E92" s="67">
        <f>SUM(E84:E91)</f>
        <v>3696782</v>
      </c>
      <c r="F92" s="67">
        <f>SUM(F84:F91)</f>
        <v>2959748</v>
      </c>
      <c r="G92" s="131">
        <f t="shared" si="20"/>
        <v>75.27711841106994</v>
      </c>
      <c r="H92" s="159">
        <f t="shared" si="21"/>
        <v>80.06282220590774</v>
      </c>
      <c r="I92" s="108">
        <f>SUM(I84:I91)</f>
        <v>3479405</v>
      </c>
      <c r="J92" s="67">
        <f>SUM(J84:J91)</f>
        <v>2872135</v>
      </c>
      <c r="K92" s="67">
        <f>SUM(K84:K91)</f>
        <v>2523982</v>
      </c>
      <c r="L92" s="176">
        <f>+K92/I92*100</f>
        <v>72.54062116942409</v>
      </c>
      <c r="M92" s="172">
        <f t="shared" si="28"/>
        <v>87.87825084823659</v>
      </c>
      <c r="N92" s="108">
        <f>SUM(N84:N91)</f>
        <v>452498</v>
      </c>
      <c r="O92" s="67">
        <f>SUM(O84:O91)</f>
        <v>1027684</v>
      </c>
      <c r="P92" s="67">
        <f>SUM(P84:P91)</f>
        <v>638515</v>
      </c>
      <c r="Q92" s="131">
        <f>+P92/N92*100</f>
        <v>141.10891097861207</v>
      </c>
      <c r="R92" s="159">
        <f>+P92/O92*100</f>
        <v>62.131452859050064</v>
      </c>
    </row>
    <row r="93" spans="1:18" ht="19.5" thickBot="1">
      <c r="A93" s="27">
        <v>29</v>
      </c>
      <c r="B93" s="48" t="s">
        <v>49</v>
      </c>
      <c r="C93" s="96" t="s">
        <v>168</v>
      </c>
      <c r="D93" s="109">
        <f>+D83+D92</f>
        <v>12208004</v>
      </c>
      <c r="E93" s="46">
        <f>+E83+E92</f>
        <v>13737851</v>
      </c>
      <c r="F93" s="46">
        <f>+F83+F92</f>
        <v>12214745</v>
      </c>
      <c r="G93" s="145">
        <f t="shared" si="20"/>
        <v>100.0552178718159</v>
      </c>
      <c r="H93" s="161">
        <f t="shared" si="21"/>
        <v>88.91306944586893</v>
      </c>
      <c r="I93" s="109">
        <f>+I83+I92</f>
        <v>11087765</v>
      </c>
      <c r="J93" s="46">
        <f>+J83+J92</f>
        <v>11999833</v>
      </c>
      <c r="K93" s="46">
        <f>+K83+K92</f>
        <v>11065923</v>
      </c>
      <c r="L93" s="174">
        <f>+K93/I93*100</f>
        <v>99.80300809044925</v>
      </c>
      <c r="M93" s="175">
        <f t="shared" si="28"/>
        <v>92.2173083575413</v>
      </c>
      <c r="N93" s="109">
        <f>+N83+N92</f>
        <v>2079486</v>
      </c>
      <c r="O93" s="46">
        <f>+O83+O92</f>
        <v>3072469</v>
      </c>
      <c r="P93" s="46">
        <f>+P83+P92</f>
        <v>2482951</v>
      </c>
      <c r="Q93" s="145">
        <f>+P93/N93*100</f>
        <v>119.40215033907418</v>
      </c>
      <c r="R93" s="161">
        <f>+P93/O93*100</f>
        <v>80.81289021955958</v>
      </c>
    </row>
    <row r="94" spans="1:18" ht="19.5" thickBot="1">
      <c r="A94" s="1"/>
      <c r="B94" s="44"/>
      <c r="C94" s="45"/>
      <c r="D94" s="45"/>
      <c r="E94" s="45"/>
      <c r="F94" s="45"/>
      <c r="G94" s="138"/>
      <c r="H94" s="138"/>
      <c r="I94" s="45"/>
      <c r="J94" s="45"/>
      <c r="K94" s="45"/>
      <c r="L94" s="177"/>
      <c r="M94" s="177"/>
      <c r="N94" s="178"/>
      <c r="O94" s="45"/>
      <c r="P94" s="45"/>
      <c r="Q94" s="138"/>
      <c r="R94" s="138"/>
    </row>
    <row r="95" spans="1:18" ht="16.5" thickBot="1">
      <c r="A95" s="24"/>
      <c r="B95" s="11" t="s">
        <v>40</v>
      </c>
      <c r="C95" s="86"/>
      <c r="D95" s="97" t="s">
        <v>63</v>
      </c>
      <c r="E95" s="58"/>
      <c r="F95" s="58"/>
      <c r="G95" s="133"/>
      <c r="H95" s="151"/>
      <c r="I95" s="272" t="s">
        <v>64</v>
      </c>
      <c r="J95" s="273"/>
      <c r="K95" s="273"/>
      <c r="L95" s="273"/>
      <c r="M95" s="274"/>
      <c r="N95" s="97" t="s">
        <v>41</v>
      </c>
      <c r="O95" s="58"/>
      <c r="P95" s="59"/>
      <c r="Q95" s="143"/>
      <c r="R95" s="269"/>
    </row>
    <row r="96" spans="1:18" ht="15.75">
      <c r="A96" s="25" t="s">
        <v>1</v>
      </c>
      <c r="B96" s="10" t="s">
        <v>38</v>
      </c>
      <c r="C96" s="87" t="s">
        <v>19</v>
      </c>
      <c r="D96" s="98" t="s">
        <v>53</v>
      </c>
      <c r="E96" s="34" t="s">
        <v>54</v>
      </c>
      <c r="F96" s="34" t="s">
        <v>23</v>
      </c>
      <c r="G96" s="134" t="s">
        <v>0</v>
      </c>
      <c r="H96" s="152" t="s">
        <v>0</v>
      </c>
      <c r="I96" s="98" t="s">
        <v>53</v>
      </c>
      <c r="J96" s="34" t="s">
        <v>55</v>
      </c>
      <c r="K96" s="34" t="s">
        <v>23</v>
      </c>
      <c r="L96" s="134" t="s">
        <v>0</v>
      </c>
      <c r="M96" s="152" t="s">
        <v>0</v>
      </c>
      <c r="N96" s="98" t="s">
        <v>53</v>
      </c>
      <c r="O96" s="34" t="s">
        <v>55</v>
      </c>
      <c r="P96" s="34" t="s">
        <v>23</v>
      </c>
      <c r="Q96" s="134" t="s">
        <v>0</v>
      </c>
      <c r="R96" s="152" t="s">
        <v>0</v>
      </c>
    </row>
    <row r="97" spans="1:18" ht="16.5" thickBot="1">
      <c r="A97" s="42"/>
      <c r="B97" s="31"/>
      <c r="C97" s="88"/>
      <c r="D97" s="99" t="s">
        <v>22</v>
      </c>
      <c r="E97" s="43" t="s">
        <v>22</v>
      </c>
      <c r="F97" s="43" t="s">
        <v>186</v>
      </c>
      <c r="G97" s="135" t="s">
        <v>66</v>
      </c>
      <c r="H97" s="153" t="s">
        <v>67</v>
      </c>
      <c r="I97" s="99" t="s">
        <v>22</v>
      </c>
      <c r="J97" s="43" t="s">
        <v>22</v>
      </c>
      <c r="K97" s="43" t="s">
        <v>186</v>
      </c>
      <c r="L97" s="135" t="s">
        <v>66</v>
      </c>
      <c r="M97" s="153" t="s">
        <v>67</v>
      </c>
      <c r="N97" s="99" t="s">
        <v>22</v>
      </c>
      <c r="O97" s="43" t="s">
        <v>22</v>
      </c>
      <c r="P97" s="43" t="s">
        <v>186</v>
      </c>
      <c r="Q97" s="135" t="s">
        <v>66</v>
      </c>
      <c r="R97" s="153" t="s">
        <v>67</v>
      </c>
    </row>
    <row r="98" spans="1:18" ht="18.75">
      <c r="A98" s="13">
        <v>1</v>
      </c>
      <c r="B98" s="15">
        <v>8114</v>
      </c>
      <c r="C98" s="56" t="s">
        <v>152</v>
      </c>
      <c r="D98" s="112">
        <f aca="true" t="shared" si="31" ref="D98:F100">+I98+N98</f>
        <v>-1450000</v>
      </c>
      <c r="E98" s="37">
        <f t="shared" si="31"/>
        <v>-1450000</v>
      </c>
      <c r="F98" s="68">
        <f t="shared" si="31"/>
        <v>-1450000</v>
      </c>
      <c r="G98" s="137">
        <f>+F98/D98*100</f>
        <v>100</v>
      </c>
      <c r="H98" s="163">
        <f>+F98/E98*100</f>
        <v>100</v>
      </c>
      <c r="I98" s="112">
        <v>-1450000</v>
      </c>
      <c r="J98" s="37">
        <v>-1450000</v>
      </c>
      <c r="K98" s="37">
        <v>-1450000</v>
      </c>
      <c r="L98" s="128">
        <f>+K98/I98*100</f>
        <v>100</v>
      </c>
      <c r="M98" s="156">
        <f>+K98/J98*100</f>
        <v>100</v>
      </c>
      <c r="N98" s="112"/>
      <c r="O98" s="37"/>
      <c r="P98" s="37"/>
      <c r="Q98" s="128"/>
      <c r="R98" s="156"/>
    </row>
    <row r="99" spans="1:18" ht="18.75">
      <c r="A99" s="13">
        <v>2</v>
      </c>
      <c r="B99" s="256" t="s">
        <v>184</v>
      </c>
      <c r="C99" s="111" t="s">
        <v>20</v>
      </c>
      <c r="D99" s="112">
        <f t="shared" si="31"/>
        <v>1633634</v>
      </c>
      <c r="E99" s="37">
        <f t="shared" si="31"/>
        <v>1032679</v>
      </c>
      <c r="F99" s="68">
        <f t="shared" si="31"/>
        <v>-562510</v>
      </c>
      <c r="G99" s="137"/>
      <c r="H99" s="163"/>
      <c r="I99" s="112">
        <v>1496647</v>
      </c>
      <c r="J99" s="37">
        <v>711484</v>
      </c>
      <c r="K99" s="37">
        <v>-388789</v>
      </c>
      <c r="L99" s="128"/>
      <c r="M99" s="156"/>
      <c r="N99" s="112">
        <v>136987</v>
      </c>
      <c r="O99" s="85">
        <v>321195</v>
      </c>
      <c r="P99" s="37">
        <f>-173821+100</f>
        <v>-173721</v>
      </c>
      <c r="Q99" s="128"/>
      <c r="R99" s="156"/>
    </row>
    <row r="100" spans="1:18" ht="18.75">
      <c r="A100" s="13">
        <v>3</v>
      </c>
      <c r="B100" s="15" t="s">
        <v>83</v>
      </c>
      <c r="C100" s="111" t="s">
        <v>21</v>
      </c>
      <c r="D100" s="112"/>
      <c r="E100" s="37">
        <f t="shared" si="31"/>
        <v>0</v>
      </c>
      <c r="F100" s="68">
        <f>+K100+P100</f>
        <v>2009</v>
      </c>
      <c r="G100" s="137"/>
      <c r="H100" s="163"/>
      <c r="I100" s="112"/>
      <c r="J100" s="37"/>
      <c r="K100" s="37"/>
      <c r="L100" s="128"/>
      <c r="M100" s="156"/>
      <c r="N100" s="112"/>
      <c r="O100" s="85"/>
      <c r="P100" s="37">
        <f>2667771-2665762</f>
        <v>2009</v>
      </c>
      <c r="Q100" s="128"/>
      <c r="R100" s="156"/>
    </row>
    <row r="101" spans="1:18" ht="18.75">
      <c r="A101" s="26">
        <v>4</v>
      </c>
      <c r="B101" s="71">
        <v>8123</v>
      </c>
      <c r="C101" s="91" t="s">
        <v>77</v>
      </c>
      <c r="D101" s="114" t="s">
        <v>52</v>
      </c>
      <c r="E101" s="69" t="s">
        <v>52</v>
      </c>
      <c r="F101" s="69" t="s">
        <v>52</v>
      </c>
      <c r="G101" s="137"/>
      <c r="H101" s="163"/>
      <c r="I101" s="112"/>
      <c r="J101" s="37"/>
      <c r="K101" s="37"/>
      <c r="L101" s="128"/>
      <c r="M101" s="156"/>
      <c r="N101" s="112"/>
      <c r="O101" s="85">
        <v>37719</v>
      </c>
      <c r="P101" s="37">
        <v>37719</v>
      </c>
      <c r="Q101" s="128"/>
      <c r="R101" s="156">
        <f>+P101/O101*100</f>
        <v>100</v>
      </c>
    </row>
    <row r="102" spans="1:18" ht="18.75">
      <c r="A102" s="26">
        <v>5</v>
      </c>
      <c r="B102" s="23">
        <v>8123</v>
      </c>
      <c r="C102" s="91" t="s">
        <v>76</v>
      </c>
      <c r="D102" s="113">
        <f>+I102+N102</f>
        <v>28500</v>
      </c>
      <c r="E102" s="68">
        <f>+J102+O102</f>
        <v>117181</v>
      </c>
      <c r="F102" s="68">
        <f>+K102+P102</f>
        <v>104284</v>
      </c>
      <c r="G102" s="137">
        <f>+F102/D102*100</f>
        <v>365.9087719298246</v>
      </c>
      <c r="H102" s="163">
        <f>+F102/E102*100</f>
        <v>88.99394953106732</v>
      </c>
      <c r="I102" s="113"/>
      <c r="J102" s="68"/>
      <c r="K102" s="68"/>
      <c r="L102" s="128"/>
      <c r="M102" s="156"/>
      <c r="N102" s="113">
        <v>28500</v>
      </c>
      <c r="O102" s="83">
        <f>130900-O101+24000</f>
        <v>117181</v>
      </c>
      <c r="P102" s="68">
        <f>142003-P101</f>
        <v>104284</v>
      </c>
      <c r="Q102" s="128">
        <f>+P102/N102*100</f>
        <v>365.9087719298246</v>
      </c>
      <c r="R102" s="156">
        <f>+P102/O102*100</f>
        <v>88.99394953106732</v>
      </c>
    </row>
    <row r="103" spans="1:18" ht="18.75">
      <c r="A103" s="26">
        <v>6</v>
      </c>
      <c r="B103" s="23">
        <v>8124</v>
      </c>
      <c r="C103" s="56" t="s">
        <v>121</v>
      </c>
      <c r="D103" s="114" t="s">
        <v>52</v>
      </c>
      <c r="E103" s="69" t="s">
        <v>52</v>
      </c>
      <c r="F103" s="69" t="s">
        <v>52</v>
      </c>
      <c r="G103" s="137"/>
      <c r="H103" s="163"/>
      <c r="I103" s="113"/>
      <c r="J103" s="68"/>
      <c r="K103" s="68"/>
      <c r="L103" s="128"/>
      <c r="M103" s="156"/>
      <c r="N103" s="113">
        <v>-51717</v>
      </c>
      <c r="O103" s="83">
        <v>-51717</v>
      </c>
      <c r="P103" s="63">
        <v>-51655</v>
      </c>
      <c r="Q103" s="128">
        <f>+P103/N103*100</f>
        <v>99.88011678945028</v>
      </c>
      <c r="R103" s="156">
        <f>+P103/O103*100</f>
        <v>99.88011678945028</v>
      </c>
    </row>
    <row r="104" spans="1:18" ht="18.75">
      <c r="A104" s="26">
        <v>7</v>
      </c>
      <c r="B104" s="9">
        <v>8124</v>
      </c>
      <c r="C104" s="56" t="s">
        <v>82</v>
      </c>
      <c r="D104" s="103">
        <f aca="true" t="shared" si="32" ref="D104:F106">+I104+N104</f>
        <v>-89738</v>
      </c>
      <c r="E104" s="61">
        <f t="shared" si="32"/>
        <v>-87529</v>
      </c>
      <c r="F104" s="61">
        <f t="shared" si="32"/>
        <v>-87344</v>
      </c>
      <c r="G104" s="137">
        <f>+F104/D104*100</f>
        <v>97.33223383627895</v>
      </c>
      <c r="H104" s="163">
        <f>+F104/E104*100</f>
        <v>99.78864147882416</v>
      </c>
      <c r="I104" s="103">
        <v>-13000</v>
      </c>
      <c r="J104" s="61">
        <v>-13000</v>
      </c>
      <c r="K104" s="61">
        <v>-13000</v>
      </c>
      <c r="L104" s="128">
        <f>+K104/I104*100</f>
        <v>100</v>
      </c>
      <c r="M104" s="156">
        <f>+K104/J104*100</f>
        <v>100</v>
      </c>
      <c r="N104" s="103">
        <v>-76738</v>
      </c>
      <c r="O104" s="81">
        <v>-74529</v>
      </c>
      <c r="P104" s="61">
        <f>-125999-P103</f>
        <v>-74344</v>
      </c>
      <c r="Q104" s="128">
        <f>+P104/N104*100</f>
        <v>96.88029398733352</v>
      </c>
      <c r="R104" s="156">
        <f>+P104/O104*100</f>
        <v>99.75177447704921</v>
      </c>
    </row>
    <row r="105" spans="1:18" ht="18.75">
      <c r="A105" s="198">
        <v>8</v>
      </c>
      <c r="B105" s="19" t="s">
        <v>182</v>
      </c>
      <c r="C105" s="111" t="s">
        <v>181</v>
      </c>
      <c r="D105" s="113"/>
      <c r="E105" s="68"/>
      <c r="F105" s="61">
        <f t="shared" si="32"/>
        <v>-45020</v>
      </c>
      <c r="G105" s="137"/>
      <c r="H105" s="163"/>
      <c r="I105" s="113"/>
      <c r="J105" s="68"/>
      <c r="K105" s="68">
        <v>9980</v>
      </c>
      <c r="L105" s="128"/>
      <c r="M105" s="156"/>
      <c r="N105" s="113"/>
      <c r="O105" s="83"/>
      <c r="P105" s="68">
        <v>-55000</v>
      </c>
      <c r="Q105" s="137"/>
      <c r="R105" s="163"/>
    </row>
    <row r="106" spans="1:18" ht="19.5" thickBot="1">
      <c r="A106" s="27">
        <v>9</v>
      </c>
      <c r="B106" s="17">
        <v>8223</v>
      </c>
      <c r="C106" s="249" t="s">
        <v>123</v>
      </c>
      <c r="D106" s="101">
        <f>+I106+N106</f>
        <v>1772000</v>
      </c>
      <c r="E106" s="62">
        <f>+J106+O106</f>
        <v>1772000</v>
      </c>
      <c r="F106" s="61">
        <f t="shared" si="32"/>
        <v>1500000</v>
      </c>
      <c r="G106" s="146">
        <f>+F106/D106*100</f>
        <v>84.65011286681715</v>
      </c>
      <c r="H106" s="155">
        <f>+F106/E106*100</f>
        <v>84.65011286681715</v>
      </c>
      <c r="I106" s="101">
        <v>1772000</v>
      </c>
      <c r="J106" s="62">
        <v>1772000</v>
      </c>
      <c r="K106" s="62">
        <v>1500000</v>
      </c>
      <c r="L106" s="128">
        <f>+K106/I106*100</f>
        <v>84.65011286681715</v>
      </c>
      <c r="M106" s="156">
        <f>+K106/J106*100</f>
        <v>84.65011286681715</v>
      </c>
      <c r="N106" s="101"/>
      <c r="O106" s="62"/>
      <c r="P106" s="62"/>
      <c r="Q106" s="137"/>
      <c r="R106" s="155"/>
    </row>
    <row r="107" spans="1:18" ht="19.5" thickBot="1">
      <c r="A107" s="72">
        <v>10</v>
      </c>
      <c r="B107" s="263" t="s">
        <v>50</v>
      </c>
      <c r="C107" s="264" t="s">
        <v>180</v>
      </c>
      <c r="D107" s="265">
        <f>SUM(D98:D106)</f>
        <v>1894396</v>
      </c>
      <c r="E107" s="181">
        <f>SUM(E98:E106)</f>
        <v>1384331</v>
      </c>
      <c r="F107" s="181">
        <f>SUM(F98:F106)</f>
        <v>-538581</v>
      </c>
      <c r="G107" s="174"/>
      <c r="H107" s="175"/>
      <c r="I107" s="265">
        <f>SUM(I98:I106)</f>
        <v>1805647</v>
      </c>
      <c r="J107" s="181">
        <f>SUM(J98:J106)</f>
        <v>1020484</v>
      </c>
      <c r="K107" s="181">
        <f>SUM(K98:K106)</f>
        <v>-341809</v>
      </c>
      <c r="L107" s="174"/>
      <c r="M107" s="175"/>
      <c r="N107" s="265">
        <f>SUM(N98:N106)</f>
        <v>37032</v>
      </c>
      <c r="O107" s="181">
        <f>SUM(O98:O106)</f>
        <v>349849</v>
      </c>
      <c r="P107" s="181">
        <f>SUM(P98:P106)</f>
        <v>-210708</v>
      </c>
      <c r="Q107" s="174"/>
      <c r="R107" s="175"/>
    </row>
    <row r="108" spans="4:18" ht="16.5" thickBot="1">
      <c r="D108" s="124"/>
      <c r="F108" s="124"/>
      <c r="I108" s="5"/>
      <c r="J108" s="5"/>
      <c r="K108" s="5"/>
      <c r="L108" s="139"/>
      <c r="M108" s="139"/>
      <c r="N108" s="5"/>
      <c r="O108" s="5"/>
      <c r="P108" s="5"/>
      <c r="Q108" s="139"/>
      <c r="R108" s="139"/>
    </row>
    <row r="109" spans="1:18" ht="16.5" thickBot="1">
      <c r="A109" s="24"/>
      <c r="B109" s="11" t="s">
        <v>38</v>
      </c>
      <c r="C109" s="86"/>
      <c r="D109" s="97" t="s">
        <v>63</v>
      </c>
      <c r="E109" s="58"/>
      <c r="F109" s="58"/>
      <c r="G109" s="133"/>
      <c r="H109" s="151"/>
      <c r="I109" s="97" t="s">
        <v>64</v>
      </c>
      <c r="J109" s="58"/>
      <c r="K109" s="58"/>
      <c r="L109" s="133"/>
      <c r="M109" s="151"/>
      <c r="N109" s="97" t="s">
        <v>41</v>
      </c>
      <c r="O109" s="58"/>
      <c r="P109" s="59"/>
      <c r="Q109" s="143"/>
      <c r="R109" s="269"/>
    </row>
    <row r="110" spans="1:18" ht="15.75">
      <c r="A110" s="28" t="s">
        <v>1</v>
      </c>
      <c r="B110" s="10"/>
      <c r="C110" s="87" t="s">
        <v>15</v>
      </c>
      <c r="D110" s="98" t="s">
        <v>53</v>
      </c>
      <c r="E110" s="34" t="s">
        <v>55</v>
      </c>
      <c r="F110" s="34" t="s">
        <v>23</v>
      </c>
      <c r="G110" s="134" t="s">
        <v>0</v>
      </c>
      <c r="H110" s="152" t="s">
        <v>0</v>
      </c>
      <c r="I110" s="98" t="s">
        <v>53</v>
      </c>
      <c r="J110" s="34" t="s">
        <v>55</v>
      </c>
      <c r="K110" s="34" t="s">
        <v>23</v>
      </c>
      <c r="L110" s="134" t="s">
        <v>0</v>
      </c>
      <c r="M110" s="152" t="s">
        <v>0</v>
      </c>
      <c r="N110" s="98" t="s">
        <v>53</v>
      </c>
      <c r="O110" s="34" t="s">
        <v>55</v>
      </c>
      <c r="P110" s="34" t="s">
        <v>23</v>
      </c>
      <c r="Q110" s="134" t="s">
        <v>0</v>
      </c>
      <c r="R110" s="152" t="s">
        <v>0</v>
      </c>
    </row>
    <row r="111" spans="1:18" ht="16.5" thickBot="1">
      <c r="A111" s="30"/>
      <c r="B111" s="31"/>
      <c r="C111" s="88"/>
      <c r="D111" s="99" t="s">
        <v>22</v>
      </c>
      <c r="E111" s="43" t="s">
        <v>22</v>
      </c>
      <c r="F111" s="43" t="s">
        <v>186</v>
      </c>
      <c r="G111" s="135" t="s">
        <v>66</v>
      </c>
      <c r="H111" s="153" t="s">
        <v>67</v>
      </c>
      <c r="I111" s="99" t="s">
        <v>22</v>
      </c>
      <c r="J111" s="43" t="s">
        <v>22</v>
      </c>
      <c r="K111" s="43" t="s">
        <v>186</v>
      </c>
      <c r="L111" s="135" t="s">
        <v>66</v>
      </c>
      <c r="M111" s="153" t="s">
        <v>67</v>
      </c>
      <c r="N111" s="99" t="s">
        <v>22</v>
      </c>
      <c r="O111" s="43" t="s">
        <v>22</v>
      </c>
      <c r="P111" s="43" t="s">
        <v>186</v>
      </c>
      <c r="Q111" s="135" t="s">
        <v>66</v>
      </c>
      <c r="R111" s="153" t="s">
        <v>67</v>
      </c>
    </row>
    <row r="112" spans="1:20" ht="18.75">
      <c r="A112" s="32">
        <v>1</v>
      </c>
      <c r="B112" s="47" t="s">
        <v>48</v>
      </c>
      <c r="C112" s="116" t="s">
        <v>57</v>
      </c>
      <c r="D112" s="120">
        <f>+D60</f>
        <v>10313608</v>
      </c>
      <c r="E112" s="38">
        <f>+E60</f>
        <v>12353520</v>
      </c>
      <c r="F112" s="38">
        <f>+F60</f>
        <v>12753326</v>
      </c>
      <c r="G112" s="140">
        <f>+F112/D112*100</f>
        <v>123.65532992915766</v>
      </c>
      <c r="H112" s="168">
        <f>+F112/E112*100</f>
        <v>103.23637311470739</v>
      </c>
      <c r="I112" s="120">
        <f>+I60</f>
        <v>9282118</v>
      </c>
      <c r="J112" s="38">
        <f>+J60</f>
        <v>10979349</v>
      </c>
      <c r="K112" s="38">
        <f>+K60</f>
        <v>11407732</v>
      </c>
      <c r="L112" s="140">
        <f>+K112/I112*100</f>
        <v>122.90009672361415</v>
      </c>
      <c r="M112" s="168">
        <f>+K112/J112*100</f>
        <v>103.9017158485444</v>
      </c>
      <c r="N112" s="120">
        <f>+N60</f>
        <v>2042454</v>
      </c>
      <c r="O112" s="38">
        <f>+O60</f>
        <v>2722620</v>
      </c>
      <c r="P112" s="38">
        <f>+P60</f>
        <v>2693659</v>
      </c>
      <c r="Q112" s="140">
        <f>+P112/N112*100</f>
        <v>131.8834597988498</v>
      </c>
      <c r="R112" s="168">
        <f>+P112/O112*100</f>
        <v>98.93628196369674</v>
      </c>
      <c r="T112" s="252"/>
    </row>
    <row r="113" spans="1:18" ht="18.75">
      <c r="A113" s="26">
        <v>2</v>
      </c>
      <c r="B113" s="49" t="s">
        <v>88</v>
      </c>
      <c r="C113" s="117" t="s">
        <v>58</v>
      </c>
      <c r="D113" s="121">
        <f>+D93</f>
        <v>12208004</v>
      </c>
      <c r="E113" s="36">
        <f>+E93</f>
        <v>13737851</v>
      </c>
      <c r="F113" s="36">
        <f>+F93</f>
        <v>12214745</v>
      </c>
      <c r="G113" s="141">
        <f>+F113/D113*100</f>
        <v>100.0552178718159</v>
      </c>
      <c r="H113" s="169">
        <f>+F113/E113*100</f>
        <v>88.91306944586893</v>
      </c>
      <c r="I113" s="121">
        <f>+I93</f>
        <v>11087765</v>
      </c>
      <c r="J113" s="36">
        <f>+J93</f>
        <v>11999833</v>
      </c>
      <c r="K113" s="36">
        <f>+K93</f>
        <v>11065923</v>
      </c>
      <c r="L113" s="141">
        <f>+K113/I113*100</f>
        <v>99.80300809044925</v>
      </c>
      <c r="M113" s="169">
        <f>+K113/J113*100</f>
        <v>92.2173083575413</v>
      </c>
      <c r="N113" s="121">
        <f>+N93</f>
        <v>2079486</v>
      </c>
      <c r="O113" s="36">
        <f>+O93</f>
        <v>3072469</v>
      </c>
      <c r="P113" s="36">
        <f>+P93</f>
        <v>2482951</v>
      </c>
      <c r="Q113" s="141">
        <f>+P113/N113*100</f>
        <v>119.40215033907418</v>
      </c>
      <c r="R113" s="169">
        <f>+P113/O113*100</f>
        <v>80.81289021955958</v>
      </c>
    </row>
    <row r="114" spans="1:18" ht="19.5" thickBot="1">
      <c r="A114" s="27">
        <v>3</v>
      </c>
      <c r="B114" s="50"/>
      <c r="C114" s="118" t="s">
        <v>51</v>
      </c>
      <c r="D114" s="122">
        <f>+D112-D113</f>
        <v>-1894396</v>
      </c>
      <c r="E114" s="35">
        <f>+E112-E113</f>
        <v>-1384331</v>
      </c>
      <c r="F114" s="35">
        <f>+F112-F113</f>
        <v>538581</v>
      </c>
      <c r="G114" s="180"/>
      <c r="H114" s="255"/>
      <c r="I114" s="122">
        <f>+I112-I113</f>
        <v>-1805647</v>
      </c>
      <c r="J114" s="35">
        <f>+J112-J113</f>
        <v>-1020484</v>
      </c>
      <c r="K114" s="35">
        <f>+K112-K113</f>
        <v>341809</v>
      </c>
      <c r="L114" s="180"/>
      <c r="M114" s="251"/>
      <c r="N114" s="122">
        <f>+N112-N113</f>
        <v>-37032</v>
      </c>
      <c r="O114" s="35">
        <f>+O112-O113</f>
        <v>-349849</v>
      </c>
      <c r="P114" s="35">
        <f>+P112-P113</f>
        <v>210708</v>
      </c>
      <c r="Q114" s="180"/>
      <c r="R114" s="255"/>
    </row>
    <row r="115" spans="1:20" ht="19.5" thickBot="1">
      <c r="A115" s="72">
        <v>4</v>
      </c>
      <c r="B115" s="51" t="s">
        <v>50</v>
      </c>
      <c r="C115" s="119" t="s">
        <v>16</v>
      </c>
      <c r="D115" s="123">
        <f>+D107</f>
        <v>1894396</v>
      </c>
      <c r="E115" s="52">
        <f>+E107</f>
        <v>1384331</v>
      </c>
      <c r="F115" s="52">
        <f>+F107</f>
        <v>-538581</v>
      </c>
      <c r="G115" s="142"/>
      <c r="H115" s="170"/>
      <c r="I115" s="123">
        <f>+I107</f>
        <v>1805647</v>
      </c>
      <c r="J115" s="52">
        <f>+J107</f>
        <v>1020484</v>
      </c>
      <c r="K115" s="52">
        <f>+K107</f>
        <v>-341809</v>
      </c>
      <c r="L115" s="142"/>
      <c r="M115" s="170"/>
      <c r="N115" s="123">
        <f>+N107</f>
        <v>37032</v>
      </c>
      <c r="O115" s="52">
        <f>+O107</f>
        <v>349849</v>
      </c>
      <c r="P115" s="52">
        <f>+P107</f>
        <v>-210708</v>
      </c>
      <c r="Q115" s="142"/>
      <c r="R115" s="170"/>
      <c r="T115" s="252"/>
    </row>
    <row r="116" spans="6:11" ht="15.75">
      <c r="F116" s="124"/>
      <c r="K116" s="206"/>
    </row>
    <row r="117" spans="5:11" ht="15.75">
      <c r="E117" s="124"/>
      <c r="F117" s="124"/>
      <c r="G117" s="124"/>
      <c r="K117" s="206"/>
    </row>
    <row r="118" spans="5:6" ht="15.75">
      <c r="E118" s="124"/>
      <c r="F118" s="124"/>
    </row>
    <row r="119" ht="15.75">
      <c r="E119" s="124"/>
    </row>
    <row r="123" ht="15.75">
      <c r="E123" s="124"/>
    </row>
  </sheetData>
  <mergeCells count="2">
    <mergeCell ref="I62:M62"/>
    <mergeCell ref="I95:M95"/>
  </mergeCells>
  <printOptions horizontalCentered="1"/>
  <pageMargins left="0.1968503937007874" right="0.1968503937007874" top="0.43" bottom="0.3937007874015748" header="0" footer="0"/>
  <pageSetup fitToHeight="2" horizontalDpi="600" verticalDpi="600" orientation="landscape" paperSize="9" scale="48" r:id="rId1"/>
  <rowBreaks count="1" manualBreakCount="1">
    <brk id="6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showZeros="0" zoomScale="75" zoomScaleNormal="75" workbookViewId="0" topLeftCell="A1">
      <selection activeCell="D17" sqref="D17"/>
    </sheetView>
  </sheetViews>
  <sheetFormatPr defaultColWidth="8.796875" defaultRowHeight="15"/>
  <cols>
    <col min="1" max="1" width="8.8984375" style="207" customWidth="1"/>
    <col min="2" max="2" width="49.69921875" style="207" customWidth="1"/>
    <col min="3" max="3" width="19.59765625" style="207" bestFit="1" customWidth="1"/>
    <col min="4" max="4" width="18.19921875" style="207" customWidth="1"/>
    <col min="5" max="16384" width="8.8984375" style="207" customWidth="1"/>
  </cols>
  <sheetData>
    <row r="1" spans="1:4" ht="28.5" customHeight="1">
      <c r="A1" s="275" t="s">
        <v>96</v>
      </c>
      <c r="B1" s="275"/>
      <c r="C1" s="275"/>
      <c r="D1" s="275"/>
    </row>
    <row r="2" spans="1:4" ht="18.75" customHeight="1">
      <c r="A2" s="276" t="s">
        <v>187</v>
      </c>
      <c r="B2" s="276"/>
      <c r="C2" s="276"/>
      <c r="D2" s="276"/>
    </row>
    <row r="3" ht="6.75" customHeight="1"/>
    <row r="4" spans="1:4" ht="20.25">
      <c r="A4" s="208" t="s">
        <v>97</v>
      </c>
      <c r="B4" s="209"/>
      <c r="C4" s="209"/>
      <c r="D4" s="210"/>
    </row>
    <row r="5" ht="5.25" customHeight="1"/>
    <row r="6" ht="16.5" thickBot="1">
      <c r="D6" s="211" t="s">
        <v>98</v>
      </c>
    </row>
    <row r="7" spans="1:4" ht="17.25" thickBot="1">
      <c r="A7" s="212"/>
      <c r="B7" s="212"/>
      <c r="C7" s="213" t="s">
        <v>99</v>
      </c>
      <c r="D7" s="214"/>
    </row>
    <row r="8" spans="1:4" ht="16.5">
      <c r="A8" s="215" t="s">
        <v>40</v>
      </c>
      <c r="B8" s="215" t="s">
        <v>100</v>
      </c>
      <c r="C8" s="216" t="s">
        <v>101</v>
      </c>
      <c r="D8" s="216" t="s">
        <v>101</v>
      </c>
    </row>
    <row r="9" spans="1:4" ht="17.25" thickBot="1">
      <c r="A9" s="217"/>
      <c r="B9" s="217"/>
      <c r="C9" s="218" t="s">
        <v>102</v>
      </c>
      <c r="D9" s="219" t="s">
        <v>103</v>
      </c>
    </row>
    <row r="10" spans="1:4" ht="11.25" customHeight="1">
      <c r="A10" s="220"/>
      <c r="B10" s="220"/>
      <c r="C10" s="221"/>
      <c r="D10" s="221"/>
    </row>
    <row r="11" spans="1:4" ht="16.5">
      <c r="A11" s="222"/>
      <c r="B11" s="222" t="s">
        <v>2</v>
      </c>
      <c r="C11" s="221"/>
      <c r="D11" s="221"/>
    </row>
    <row r="12" spans="1:4" ht="16.5">
      <c r="A12" s="220">
        <v>2226</v>
      </c>
      <c r="B12" s="220" t="s">
        <v>104</v>
      </c>
      <c r="C12" s="221">
        <f>C40+C58</f>
        <v>139029</v>
      </c>
      <c r="D12" s="221"/>
    </row>
    <row r="13" spans="1:4" ht="16.5">
      <c r="A13" s="223">
        <v>2441</v>
      </c>
      <c r="B13" s="220" t="s">
        <v>155</v>
      </c>
      <c r="C13" s="221">
        <f>+C41</f>
        <v>51655</v>
      </c>
      <c r="D13" s="221"/>
    </row>
    <row r="14" spans="1:4" ht="16.5">
      <c r="A14" s="223">
        <v>4121</v>
      </c>
      <c r="B14" s="220" t="s">
        <v>145</v>
      </c>
      <c r="C14" s="221">
        <f>+C59</f>
        <v>991818</v>
      </c>
      <c r="D14" s="221">
        <f>D59</f>
        <v>533</v>
      </c>
    </row>
    <row r="15" spans="1:4" ht="17.25" thickBot="1">
      <c r="A15" s="223">
        <v>4221</v>
      </c>
      <c r="B15" s="220" t="s">
        <v>146</v>
      </c>
      <c r="C15" s="224">
        <f>+C60</f>
        <v>164930</v>
      </c>
      <c r="D15" s="224">
        <f>D60</f>
        <v>100</v>
      </c>
    </row>
    <row r="16" spans="1:4" ht="18" thickBot="1">
      <c r="A16" s="225"/>
      <c r="B16" s="226" t="s">
        <v>57</v>
      </c>
      <c r="C16" s="227">
        <f>SUM(C12:C15)</f>
        <v>1347432</v>
      </c>
      <c r="D16" s="227">
        <f>SUM(D10:D15)</f>
        <v>633</v>
      </c>
    </row>
    <row r="17" spans="1:4" ht="11.25" customHeight="1">
      <c r="A17" s="223"/>
      <c r="B17" s="220"/>
      <c r="C17" s="221"/>
      <c r="D17" s="221"/>
    </row>
    <row r="18" spans="1:4" ht="16.5">
      <c r="A18" s="228"/>
      <c r="B18" s="222" t="s">
        <v>12</v>
      </c>
      <c r="C18" s="221"/>
      <c r="D18" s="221"/>
    </row>
    <row r="19" spans="1:4" ht="16.5">
      <c r="A19" s="223">
        <v>5321</v>
      </c>
      <c r="B19" s="229" t="s">
        <v>105</v>
      </c>
      <c r="C19" s="221">
        <f>+C45</f>
        <v>991818</v>
      </c>
      <c r="D19" s="253">
        <f>D64</f>
        <v>533</v>
      </c>
    </row>
    <row r="20" spans="1:4" ht="16.5">
      <c r="A20" s="223">
        <v>5367</v>
      </c>
      <c r="B20" s="229" t="s">
        <v>106</v>
      </c>
      <c r="C20" s="221">
        <f>C65+C46</f>
        <v>139029</v>
      </c>
      <c r="D20" s="221"/>
    </row>
    <row r="21" spans="1:4" ht="16.5" hidden="1">
      <c r="A21" s="223">
        <v>5641</v>
      </c>
      <c r="B21" s="220" t="s">
        <v>124</v>
      </c>
      <c r="C21" s="221">
        <f>C47</f>
        <v>0</v>
      </c>
      <c r="D21" s="221"/>
    </row>
    <row r="22" spans="1:4" ht="16.5">
      <c r="A22" s="223">
        <v>6341</v>
      </c>
      <c r="B22" s="229" t="s">
        <v>107</v>
      </c>
      <c r="C22" s="221">
        <f>+C48</f>
        <v>164930</v>
      </c>
      <c r="D22" s="221">
        <f>D66</f>
        <v>100</v>
      </c>
    </row>
    <row r="23" spans="1:4" ht="17.25" thickBot="1">
      <c r="A23" s="223">
        <v>6441</v>
      </c>
      <c r="B23" s="229" t="s">
        <v>162</v>
      </c>
      <c r="C23" s="221">
        <f>C49</f>
        <v>37719</v>
      </c>
      <c r="D23" s="221"/>
    </row>
    <row r="24" spans="1:4" ht="18" thickBot="1">
      <c r="A24" s="225"/>
      <c r="B24" s="226" t="s">
        <v>58</v>
      </c>
      <c r="C24" s="230">
        <f>SUM(C19:C23)</f>
        <v>1333496</v>
      </c>
      <c r="D24" s="230">
        <f>SUM(D17:D23)</f>
        <v>633</v>
      </c>
    </row>
    <row r="25" spans="1:4" ht="18" thickBot="1">
      <c r="A25" s="231"/>
      <c r="B25" s="232" t="s">
        <v>108</v>
      </c>
      <c r="C25" s="233">
        <f>C16-C24</f>
        <v>13936</v>
      </c>
      <c r="D25" s="233">
        <f>D16-D24</f>
        <v>0</v>
      </c>
    </row>
    <row r="26" spans="1:4" ht="11.25" customHeight="1">
      <c r="A26" s="223"/>
      <c r="B26" s="220"/>
      <c r="C26" s="221"/>
      <c r="D26" s="221"/>
    </row>
    <row r="27" spans="1:4" ht="16.5">
      <c r="A27" s="228"/>
      <c r="B27" s="222" t="s">
        <v>19</v>
      </c>
      <c r="C27" s="234"/>
      <c r="D27" s="221"/>
    </row>
    <row r="28" spans="1:4" ht="16.5">
      <c r="A28" s="223">
        <v>8123</v>
      </c>
      <c r="B28" s="220" t="s">
        <v>109</v>
      </c>
      <c r="C28" s="221">
        <f>+C71</f>
        <v>37719</v>
      </c>
      <c r="D28" s="221"/>
    </row>
    <row r="29" spans="1:4" ht="17.25" thickBot="1">
      <c r="A29" s="235">
        <v>8124</v>
      </c>
      <c r="B29" s="217" t="s">
        <v>156</v>
      </c>
      <c r="C29" s="236">
        <f>+C72</f>
        <v>-51655</v>
      </c>
      <c r="D29" s="236"/>
    </row>
    <row r="30" spans="1:4" ht="18" thickBot="1">
      <c r="A30" s="231"/>
      <c r="B30" s="232" t="s">
        <v>110</v>
      </c>
      <c r="C30" s="233">
        <f>SUM(C28:C29)</f>
        <v>-13936</v>
      </c>
      <c r="D30" s="233">
        <f>SUM(D29)</f>
        <v>0</v>
      </c>
    </row>
    <row r="31" spans="1:4" ht="12.75" customHeight="1" thickBot="1">
      <c r="A31" s="231"/>
      <c r="B31" s="232"/>
      <c r="C31" s="237"/>
      <c r="D31" s="237"/>
    </row>
    <row r="32" spans="1:4" ht="17.25" thickBot="1">
      <c r="A32" s="238"/>
      <c r="B32" s="239" t="s">
        <v>111</v>
      </c>
      <c r="C32" s="237">
        <f>C16-C24+C30</f>
        <v>0</v>
      </c>
      <c r="D32" s="237">
        <f>D16-D24+D30</f>
        <v>0</v>
      </c>
    </row>
    <row r="33" ht="18.75">
      <c r="B33" s="240" t="s">
        <v>112</v>
      </c>
    </row>
    <row r="34" ht="16.5" thickBot="1">
      <c r="C34" s="211" t="s">
        <v>98</v>
      </c>
    </row>
    <row r="35" spans="1:3" ht="16.5">
      <c r="A35" s="241"/>
      <c r="B35" s="241"/>
      <c r="C35" s="242" t="s">
        <v>113</v>
      </c>
    </row>
    <row r="36" spans="1:3" ht="16.5">
      <c r="A36" s="215" t="s">
        <v>40</v>
      </c>
      <c r="B36" s="243" t="s">
        <v>114</v>
      </c>
      <c r="C36" s="215" t="s">
        <v>101</v>
      </c>
    </row>
    <row r="37" spans="1:3" ht="17.25" thickBot="1">
      <c r="A37" s="217"/>
      <c r="B37" s="217"/>
      <c r="C37" s="219" t="s">
        <v>115</v>
      </c>
    </row>
    <row r="38" spans="1:3" ht="11.25" customHeight="1">
      <c r="A38" s="220"/>
      <c r="B38" s="220"/>
      <c r="C38" s="221"/>
    </row>
    <row r="39" spans="1:3" ht="16.5">
      <c r="A39" s="222"/>
      <c r="B39" s="222" t="s">
        <v>2</v>
      </c>
      <c r="C39" s="221"/>
    </row>
    <row r="40" spans="1:3" ht="16.5">
      <c r="A40" s="220">
        <v>2226</v>
      </c>
      <c r="B40" s="220" t="s">
        <v>160</v>
      </c>
      <c r="C40" s="221">
        <f>'Statut=Město+MČ'!K28</f>
        <v>16350</v>
      </c>
    </row>
    <row r="41" spans="1:3" ht="17.25" thickBot="1">
      <c r="A41" s="220">
        <v>2441</v>
      </c>
      <c r="B41" s="220" t="s">
        <v>161</v>
      </c>
      <c r="C41" s="221">
        <f>'Statut=Město+MČ'!K29</f>
        <v>51655</v>
      </c>
    </row>
    <row r="42" spans="1:3" ht="18" thickBot="1">
      <c r="A42" s="226"/>
      <c r="B42" s="226" t="s">
        <v>57</v>
      </c>
      <c r="C42" s="230">
        <f>SUM(C40:C41)</f>
        <v>68005</v>
      </c>
    </row>
    <row r="43" spans="1:3" ht="11.25" customHeight="1">
      <c r="A43" s="220"/>
      <c r="B43" s="220"/>
      <c r="C43" s="221"/>
    </row>
    <row r="44" spans="1:3" ht="16.5">
      <c r="A44" s="222"/>
      <c r="B44" s="222" t="s">
        <v>12</v>
      </c>
      <c r="C44" s="221"/>
    </row>
    <row r="45" spans="1:3" ht="16.5">
      <c r="A45" s="220">
        <v>5321</v>
      </c>
      <c r="B45" s="220" t="s">
        <v>116</v>
      </c>
      <c r="C45" s="221">
        <f>'Statut=Město+MČ'!K72</f>
        <v>991818</v>
      </c>
    </row>
    <row r="46" spans="1:3" ht="16.5">
      <c r="A46" s="220">
        <v>5367</v>
      </c>
      <c r="B46" s="220" t="s">
        <v>159</v>
      </c>
      <c r="C46" s="221">
        <f>'Statut=Město+MČ'!K79</f>
        <v>122679</v>
      </c>
    </row>
    <row r="47" spans="1:3" ht="16.5" hidden="1">
      <c r="A47" s="220">
        <v>5641</v>
      </c>
      <c r="B47" s="220" t="s">
        <v>164</v>
      </c>
      <c r="C47" s="221">
        <f>'Statut=Město+MČ'!K80</f>
        <v>0</v>
      </c>
    </row>
    <row r="48" spans="1:3" ht="16.5">
      <c r="A48" s="220">
        <v>6341</v>
      </c>
      <c r="B48" s="220" t="s">
        <v>117</v>
      </c>
      <c r="C48" s="221">
        <f>'Statut=Město+MČ'!K86</f>
        <v>164930</v>
      </c>
    </row>
    <row r="49" spans="1:3" ht="17.25" thickBot="1">
      <c r="A49" s="220">
        <v>6441</v>
      </c>
      <c r="B49" s="220" t="s">
        <v>163</v>
      </c>
      <c r="C49" s="221">
        <f>'Statut=Město+MČ'!K89</f>
        <v>37719</v>
      </c>
    </row>
    <row r="50" spans="1:3" ht="18" thickBot="1">
      <c r="A50" s="226"/>
      <c r="B50" s="226" t="s">
        <v>58</v>
      </c>
      <c r="C50" s="230">
        <f>SUM(C45:C49)</f>
        <v>1317146</v>
      </c>
    </row>
    <row r="51" spans="1:3" ht="18" thickBot="1">
      <c r="A51" s="232"/>
      <c r="B51" s="232" t="s">
        <v>108</v>
      </c>
      <c r="C51" s="233">
        <f>C42-C50</f>
        <v>-1249141</v>
      </c>
    </row>
    <row r="52" ht="16.5" thickBot="1">
      <c r="D52" s="211" t="s">
        <v>98</v>
      </c>
    </row>
    <row r="53" spans="1:4" ht="17.25" thickBot="1">
      <c r="A53" s="244"/>
      <c r="B53" s="244"/>
      <c r="C53" s="213" t="s">
        <v>99</v>
      </c>
      <c r="D53" s="214"/>
    </row>
    <row r="54" spans="1:4" ht="16.5">
      <c r="A54" s="245" t="s">
        <v>40</v>
      </c>
      <c r="B54" s="245" t="s">
        <v>118</v>
      </c>
      <c r="C54" s="242" t="s">
        <v>101</v>
      </c>
      <c r="D54" s="242" t="s">
        <v>101</v>
      </c>
    </row>
    <row r="55" spans="1:4" ht="17.25" thickBot="1">
      <c r="A55" s="217"/>
      <c r="B55" s="217"/>
      <c r="C55" s="219" t="s">
        <v>115</v>
      </c>
      <c r="D55" s="219" t="s">
        <v>119</v>
      </c>
    </row>
    <row r="56" spans="1:4" ht="11.25" customHeight="1">
      <c r="A56" s="220"/>
      <c r="B56" s="220"/>
      <c r="C56" s="221"/>
      <c r="D56" s="221"/>
    </row>
    <row r="57" spans="1:4" ht="16.5">
      <c r="A57" s="222"/>
      <c r="B57" s="222" t="s">
        <v>2</v>
      </c>
      <c r="C57" s="221"/>
      <c r="D57" s="221"/>
    </row>
    <row r="58" spans="1:4" ht="16.5">
      <c r="A58" s="220">
        <v>2226</v>
      </c>
      <c r="B58" s="220" t="s">
        <v>158</v>
      </c>
      <c r="C58" s="221">
        <f>'Statut=Město+MČ'!P27</f>
        <v>122679</v>
      </c>
      <c r="D58" s="221"/>
    </row>
    <row r="59" spans="1:4" ht="16.5">
      <c r="A59" s="220">
        <v>4121</v>
      </c>
      <c r="B59" s="220" t="s">
        <v>147</v>
      </c>
      <c r="C59" s="221">
        <f>'Statut=Město+MČ'!P42</f>
        <v>991818</v>
      </c>
      <c r="D59" s="221">
        <f>'Statut=Město+MČ'!P43</f>
        <v>533</v>
      </c>
    </row>
    <row r="60" spans="1:4" ht="17.25" thickBot="1">
      <c r="A60" s="220">
        <v>4221</v>
      </c>
      <c r="B60" s="220" t="s">
        <v>188</v>
      </c>
      <c r="C60" s="221">
        <f>'Statut=Město+MČ'!P54</f>
        <v>164930</v>
      </c>
      <c r="D60" s="221">
        <f>'Statut=Město+MČ'!P55</f>
        <v>100</v>
      </c>
    </row>
    <row r="61" spans="1:4" ht="18" thickBot="1">
      <c r="A61" s="226"/>
      <c r="B61" s="226" t="s">
        <v>57</v>
      </c>
      <c r="C61" s="230">
        <f>SUM(C58:C60)</f>
        <v>1279427</v>
      </c>
      <c r="D61" s="230">
        <f>SUM(D56:D60)</f>
        <v>633</v>
      </c>
    </row>
    <row r="62" spans="1:4" ht="11.25" customHeight="1">
      <c r="A62" s="220"/>
      <c r="B62" s="220"/>
      <c r="C62" s="221"/>
      <c r="D62" s="221"/>
    </row>
    <row r="63" spans="1:4" ht="16.5">
      <c r="A63" s="222"/>
      <c r="B63" s="222" t="s">
        <v>12</v>
      </c>
      <c r="C63" s="221"/>
      <c r="D63" s="221"/>
    </row>
    <row r="64" spans="1:4" ht="16.5">
      <c r="A64" s="220">
        <v>5321</v>
      </c>
      <c r="B64" s="220" t="s">
        <v>148</v>
      </c>
      <c r="C64" s="221"/>
      <c r="D64" s="253">
        <f>'Statut=Město+MČ'!P72</f>
        <v>533</v>
      </c>
    </row>
    <row r="65" spans="1:4" ht="16.5">
      <c r="A65" s="220">
        <v>5367</v>
      </c>
      <c r="B65" s="220" t="s">
        <v>122</v>
      </c>
      <c r="C65" s="221">
        <f>'Statut=Město+MČ'!P78</f>
        <v>16350</v>
      </c>
      <c r="D65" s="221"/>
    </row>
    <row r="66" spans="1:4" ht="17.25" thickBot="1">
      <c r="A66" s="220">
        <v>6341</v>
      </c>
      <c r="B66" s="220" t="s">
        <v>189</v>
      </c>
      <c r="C66" s="221"/>
      <c r="D66" s="221">
        <f>'Statut=Město+MČ'!P86</f>
        <v>100</v>
      </c>
    </row>
    <row r="67" spans="1:4" ht="18" thickBot="1">
      <c r="A67" s="226"/>
      <c r="B67" s="226" t="s">
        <v>58</v>
      </c>
      <c r="C67" s="230">
        <f>SUM(C64:C66)</f>
        <v>16350</v>
      </c>
      <c r="D67" s="230">
        <f>SUM(D64:D66)</f>
        <v>633</v>
      </c>
    </row>
    <row r="68" spans="1:4" ht="18" thickBot="1">
      <c r="A68" s="232"/>
      <c r="B68" s="232" t="s">
        <v>108</v>
      </c>
      <c r="C68" s="233">
        <f>C61-C67</f>
        <v>1263077</v>
      </c>
      <c r="D68" s="233">
        <f>D61-D67</f>
        <v>0</v>
      </c>
    </row>
    <row r="69" spans="1:4" ht="11.25" customHeight="1">
      <c r="A69" s="220"/>
      <c r="B69" s="220"/>
      <c r="C69" s="221"/>
      <c r="D69" s="221"/>
    </row>
    <row r="70" spans="1:4" ht="16.5">
      <c r="A70" s="222"/>
      <c r="B70" s="222" t="s">
        <v>19</v>
      </c>
      <c r="C70" s="234"/>
      <c r="D70" s="221"/>
    </row>
    <row r="71" spans="1:4" ht="16.5">
      <c r="A71" s="220">
        <v>8123</v>
      </c>
      <c r="B71" s="220" t="s">
        <v>77</v>
      </c>
      <c r="C71" s="221">
        <f>'Statut=Město+MČ'!P101</f>
        <v>37719</v>
      </c>
      <c r="D71" s="221"/>
    </row>
    <row r="72" spans="1:4" ht="17.25" thickBot="1">
      <c r="A72" s="217">
        <v>8124</v>
      </c>
      <c r="B72" s="217" t="s">
        <v>157</v>
      </c>
      <c r="C72" s="246">
        <f>'Statut=Město+MČ'!P103</f>
        <v>-51655</v>
      </c>
      <c r="D72" s="246"/>
    </row>
    <row r="73" spans="1:4" ht="18" thickBot="1">
      <c r="A73" s="232"/>
      <c r="B73" s="232" t="s">
        <v>110</v>
      </c>
      <c r="C73" s="247">
        <f>SUM(C71:C72)</f>
        <v>-13936</v>
      </c>
      <c r="D73" s="233">
        <f>SUM(D72)</f>
        <v>0</v>
      </c>
    </row>
    <row r="75" ht="15.75">
      <c r="C75" s="248"/>
    </row>
  </sheetData>
  <mergeCells count="2">
    <mergeCell ref="A1:D1"/>
    <mergeCell ref="A2:D2"/>
  </mergeCells>
  <printOptions horizontalCentered="1" verticalCentered="1"/>
  <pageMargins left="0.7874015748031497" right="0.7874015748031497" top="0.42" bottom="0.56" header="0.33" footer="0.4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3"/>
  <sheetViews>
    <sheetView showZeros="0" zoomScale="85" zoomScaleNormal="85" zoomScaleSheetLayoutView="50" workbookViewId="0" topLeftCell="A13">
      <pane xSplit="2" topLeftCell="C1" activePane="topRight" state="frozen"/>
      <selection pane="topLeft" activeCell="A1" sqref="A1"/>
      <selection pane="topRight" activeCell="C32" sqref="C32:C34"/>
    </sheetView>
  </sheetViews>
  <sheetFormatPr defaultColWidth="8.796875" defaultRowHeight="15"/>
  <cols>
    <col min="1" max="1" width="3.69921875" style="4" bestFit="1" customWidth="1"/>
    <col min="2" max="2" width="14.69921875" style="4" customWidth="1"/>
    <col min="3" max="3" width="59.59765625" style="5" bestFit="1" customWidth="1"/>
    <col min="4" max="6" width="10.59765625" style="5" customWidth="1"/>
    <col min="7" max="8" width="8.3984375" style="139" customWidth="1"/>
    <col min="9" max="11" width="10.59765625" style="7" hidden="1" customWidth="1"/>
    <col min="12" max="13" width="8.3984375" style="167" hidden="1" customWidth="1"/>
    <col min="14" max="16" width="10.59765625" style="7" hidden="1" customWidth="1"/>
    <col min="17" max="18" width="8.3984375" style="167" hidden="1" customWidth="1"/>
    <col min="19" max="19" width="10.19921875" style="148" bestFit="1" customWidth="1"/>
    <col min="20" max="20" width="9.796875" style="148" bestFit="1" customWidth="1"/>
    <col min="21" max="16384" width="8.8984375" style="4" customWidth="1"/>
  </cols>
  <sheetData>
    <row r="1" spans="1:20" ht="22.5">
      <c r="A1" s="254" t="s">
        <v>68</v>
      </c>
      <c r="B1" s="147"/>
      <c r="C1" s="147"/>
      <c r="D1" s="147"/>
      <c r="E1" s="147"/>
      <c r="F1" s="147"/>
      <c r="G1" s="149"/>
      <c r="H1" s="149"/>
      <c r="I1" s="3"/>
      <c r="J1" s="3"/>
      <c r="K1" s="3"/>
      <c r="L1" s="166"/>
      <c r="M1" s="166"/>
      <c r="N1" s="3"/>
      <c r="O1" s="3"/>
      <c r="P1" s="3"/>
      <c r="Q1" s="166"/>
      <c r="R1" s="166"/>
      <c r="T1" s="4"/>
    </row>
    <row r="2" spans="1:20" ht="20.25">
      <c r="A2" s="76" t="s">
        <v>185</v>
      </c>
      <c r="B2" s="2"/>
      <c r="C2" s="8"/>
      <c r="D2" s="8"/>
      <c r="E2" s="8"/>
      <c r="F2" s="8"/>
      <c r="G2" s="150"/>
      <c r="H2" s="150"/>
      <c r="I2" s="3"/>
      <c r="J2" s="3"/>
      <c r="K2" s="3"/>
      <c r="L2" s="166"/>
      <c r="M2" s="166"/>
      <c r="N2" s="3"/>
      <c r="O2" s="3"/>
      <c r="P2" s="3"/>
      <c r="Q2" s="166"/>
      <c r="R2" s="166"/>
      <c r="T2" s="4"/>
    </row>
    <row r="3" spans="1:20" ht="21" thickBot="1">
      <c r="A3" s="2"/>
      <c r="B3" s="2"/>
      <c r="C3" s="8"/>
      <c r="D3" s="8"/>
      <c r="E3" s="8"/>
      <c r="F3" s="8"/>
      <c r="G3" s="150"/>
      <c r="H3" s="150"/>
      <c r="M3" s="250"/>
      <c r="T3" s="4"/>
    </row>
    <row r="4" spans="1:20" ht="16.5" thickBot="1">
      <c r="A4" s="24"/>
      <c r="B4" s="11" t="s">
        <v>40</v>
      </c>
      <c r="C4" s="86"/>
      <c r="D4" s="97" t="s">
        <v>63</v>
      </c>
      <c r="E4" s="58"/>
      <c r="F4" s="58"/>
      <c r="G4" s="133"/>
      <c r="H4" s="151"/>
      <c r="I4" s="97" t="s">
        <v>64</v>
      </c>
      <c r="J4" s="58"/>
      <c r="K4" s="58"/>
      <c r="L4" s="133"/>
      <c r="M4" s="151"/>
      <c r="N4" s="97" t="s">
        <v>41</v>
      </c>
      <c r="O4" s="58"/>
      <c r="P4" s="59"/>
      <c r="Q4" s="143"/>
      <c r="R4" s="269"/>
      <c r="T4" s="4"/>
    </row>
    <row r="5" spans="1:20" ht="15.75">
      <c r="A5" s="25" t="s">
        <v>1</v>
      </c>
      <c r="B5" s="10" t="s">
        <v>39</v>
      </c>
      <c r="C5" s="87" t="s">
        <v>2</v>
      </c>
      <c r="D5" s="98" t="s">
        <v>53</v>
      </c>
      <c r="E5" s="34" t="s">
        <v>54</v>
      </c>
      <c r="F5" s="34" t="s">
        <v>23</v>
      </c>
      <c r="G5" s="134" t="s">
        <v>0</v>
      </c>
      <c r="H5" s="152" t="s">
        <v>0</v>
      </c>
      <c r="I5" s="98" t="s">
        <v>53</v>
      </c>
      <c r="J5" s="34" t="s">
        <v>54</v>
      </c>
      <c r="K5" s="34" t="s">
        <v>23</v>
      </c>
      <c r="L5" s="134" t="s">
        <v>0</v>
      </c>
      <c r="M5" s="152" t="s">
        <v>0</v>
      </c>
      <c r="N5" s="98" t="s">
        <v>53</v>
      </c>
      <c r="O5" s="34" t="s">
        <v>54</v>
      </c>
      <c r="P5" s="34" t="s">
        <v>23</v>
      </c>
      <c r="Q5" s="134" t="s">
        <v>0</v>
      </c>
      <c r="R5" s="152" t="s">
        <v>0</v>
      </c>
      <c r="T5" s="4"/>
    </row>
    <row r="6" spans="1:20" ht="16.5" thickBot="1">
      <c r="A6" s="42"/>
      <c r="B6" s="31" t="s">
        <v>38</v>
      </c>
      <c r="C6" s="88"/>
      <c r="D6" s="99" t="s">
        <v>22</v>
      </c>
      <c r="E6" s="43" t="s">
        <v>22</v>
      </c>
      <c r="F6" s="43" t="s">
        <v>186</v>
      </c>
      <c r="G6" s="135" t="s">
        <v>66</v>
      </c>
      <c r="H6" s="153" t="s">
        <v>67</v>
      </c>
      <c r="I6" s="99" t="s">
        <v>22</v>
      </c>
      <c r="J6" s="43" t="s">
        <v>22</v>
      </c>
      <c r="K6" s="43" t="s">
        <v>186</v>
      </c>
      <c r="L6" s="135" t="s">
        <v>66</v>
      </c>
      <c r="M6" s="153" t="s">
        <v>67</v>
      </c>
      <c r="N6" s="99" t="s">
        <v>22</v>
      </c>
      <c r="O6" s="43" t="s">
        <v>22</v>
      </c>
      <c r="P6" s="43" t="s">
        <v>186</v>
      </c>
      <c r="Q6" s="135" t="s">
        <v>66</v>
      </c>
      <c r="R6" s="153" t="s">
        <v>67</v>
      </c>
      <c r="T6" s="4"/>
    </row>
    <row r="7" spans="1:20" ht="18.75">
      <c r="A7" s="26">
        <v>1</v>
      </c>
      <c r="B7" s="14">
        <v>1111</v>
      </c>
      <c r="C7" s="89" t="s">
        <v>69</v>
      </c>
      <c r="D7" s="103">
        <f aca="true" t="shared" si="0" ref="D7:F12">+I7+N7</f>
        <v>1350000</v>
      </c>
      <c r="E7" s="61">
        <f t="shared" si="0"/>
        <v>1350000</v>
      </c>
      <c r="F7" s="61">
        <f t="shared" si="0"/>
        <v>1454760</v>
      </c>
      <c r="G7" s="125">
        <f aca="true" t="shared" si="1" ref="G7:G13">+F7/D7*100</f>
        <v>107.75999999999999</v>
      </c>
      <c r="H7" s="154">
        <f aca="true" t="shared" si="2" ref="H7:H13">+F7/E7*100</f>
        <v>107.75999999999999</v>
      </c>
      <c r="I7" s="100">
        <v>1350000</v>
      </c>
      <c r="J7" s="60">
        <v>1350000</v>
      </c>
      <c r="K7" s="60">
        <v>1454760</v>
      </c>
      <c r="L7" s="125">
        <f aca="true" t="shared" si="3" ref="L7:L13">+K7/I7*100</f>
        <v>107.75999999999999</v>
      </c>
      <c r="M7" s="154">
        <f aca="true" t="shared" si="4" ref="M7:M13">+K7/J7*100</f>
        <v>107.75999999999999</v>
      </c>
      <c r="N7" s="100"/>
      <c r="O7" s="60"/>
      <c r="P7" s="60"/>
      <c r="Q7" s="125"/>
      <c r="R7" s="154"/>
      <c r="T7" s="4"/>
    </row>
    <row r="8" spans="1:20" ht="18.75">
      <c r="A8" s="13">
        <v>2</v>
      </c>
      <c r="B8" s="9">
        <v>1112</v>
      </c>
      <c r="C8" s="56" t="s">
        <v>3</v>
      </c>
      <c r="D8" s="103">
        <f t="shared" si="0"/>
        <v>205000</v>
      </c>
      <c r="E8" s="61">
        <f t="shared" si="0"/>
        <v>205000</v>
      </c>
      <c r="F8" s="61">
        <f t="shared" si="0"/>
        <v>213091</v>
      </c>
      <c r="G8" s="125">
        <f t="shared" si="1"/>
        <v>103.94682926829269</v>
      </c>
      <c r="H8" s="154">
        <f t="shared" si="2"/>
        <v>103.94682926829269</v>
      </c>
      <c r="I8" s="100">
        <v>205000</v>
      </c>
      <c r="J8" s="60">
        <v>205000</v>
      </c>
      <c r="K8" s="60">
        <v>213091</v>
      </c>
      <c r="L8" s="128">
        <f t="shared" si="3"/>
        <v>103.94682926829269</v>
      </c>
      <c r="M8" s="156">
        <f t="shared" si="4"/>
        <v>103.94682926829269</v>
      </c>
      <c r="N8" s="103"/>
      <c r="O8" s="61"/>
      <c r="P8" s="61"/>
      <c r="Q8" s="128"/>
      <c r="R8" s="156"/>
      <c r="T8" s="4"/>
    </row>
    <row r="9" spans="1:20" ht="18.75">
      <c r="A9" s="26">
        <v>3</v>
      </c>
      <c r="B9" s="9">
        <v>1113</v>
      </c>
      <c r="C9" s="56" t="s">
        <v>59</v>
      </c>
      <c r="D9" s="103">
        <f t="shared" si="0"/>
        <v>100000</v>
      </c>
      <c r="E9" s="61">
        <f t="shared" si="0"/>
        <v>100000</v>
      </c>
      <c r="F9" s="61">
        <f t="shared" si="0"/>
        <v>124238</v>
      </c>
      <c r="G9" s="125">
        <f t="shared" si="1"/>
        <v>124.238</v>
      </c>
      <c r="H9" s="154">
        <f t="shared" si="2"/>
        <v>124.238</v>
      </c>
      <c r="I9" s="100">
        <v>100000</v>
      </c>
      <c r="J9" s="60">
        <v>100000</v>
      </c>
      <c r="K9" s="60">
        <v>124238</v>
      </c>
      <c r="L9" s="128">
        <f t="shared" si="3"/>
        <v>124.238</v>
      </c>
      <c r="M9" s="156">
        <f t="shared" si="4"/>
        <v>124.238</v>
      </c>
      <c r="N9" s="103"/>
      <c r="O9" s="61"/>
      <c r="P9" s="61"/>
      <c r="Q9" s="128"/>
      <c r="R9" s="156"/>
      <c r="T9" s="4"/>
    </row>
    <row r="10" spans="1:20" ht="18.75">
      <c r="A10" s="13">
        <v>4</v>
      </c>
      <c r="B10" s="9">
        <v>1121</v>
      </c>
      <c r="C10" s="56" t="s">
        <v>4</v>
      </c>
      <c r="D10" s="103">
        <f t="shared" si="0"/>
        <v>1620000</v>
      </c>
      <c r="E10" s="61">
        <f t="shared" si="0"/>
        <v>1620000</v>
      </c>
      <c r="F10" s="61">
        <f t="shared" si="0"/>
        <v>1513559</v>
      </c>
      <c r="G10" s="125">
        <f t="shared" si="1"/>
        <v>93.42956790123456</v>
      </c>
      <c r="H10" s="154">
        <f t="shared" si="2"/>
        <v>93.42956790123456</v>
      </c>
      <c r="I10" s="100">
        <v>1620000</v>
      </c>
      <c r="J10" s="60">
        <v>1620000</v>
      </c>
      <c r="K10" s="60">
        <v>1513559</v>
      </c>
      <c r="L10" s="128">
        <f t="shared" si="3"/>
        <v>93.42956790123456</v>
      </c>
      <c r="M10" s="156">
        <f t="shared" si="4"/>
        <v>93.42956790123456</v>
      </c>
      <c r="N10" s="103"/>
      <c r="O10" s="61"/>
      <c r="P10" s="61"/>
      <c r="Q10" s="128"/>
      <c r="R10" s="156"/>
      <c r="T10" s="4"/>
    </row>
    <row r="11" spans="1:20" ht="18.75">
      <c r="A11" s="26">
        <v>5</v>
      </c>
      <c r="B11" s="9">
        <v>1211</v>
      </c>
      <c r="C11" s="56" t="s">
        <v>60</v>
      </c>
      <c r="D11" s="103">
        <f t="shared" si="0"/>
        <v>3220000</v>
      </c>
      <c r="E11" s="61">
        <f t="shared" si="0"/>
        <v>3220000</v>
      </c>
      <c r="F11" s="61">
        <f t="shared" si="0"/>
        <v>3250170</v>
      </c>
      <c r="G11" s="125">
        <f t="shared" si="1"/>
        <v>100.93695652173913</v>
      </c>
      <c r="H11" s="154">
        <f t="shared" si="2"/>
        <v>100.93695652173913</v>
      </c>
      <c r="I11" s="103">
        <v>3220000</v>
      </c>
      <c r="J11" s="61">
        <v>3220000</v>
      </c>
      <c r="K11" s="60">
        <v>3250170</v>
      </c>
      <c r="L11" s="128">
        <f t="shared" si="3"/>
        <v>100.93695652173913</v>
      </c>
      <c r="M11" s="156">
        <f t="shared" si="4"/>
        <v>100.93695652173913</v>
      </c>
      <c r="N11" s="103"/>
      <c r="O11" s="61"/>
      <c r="P11" s="61"/>
      <c r="Q11" s="128"/>
      <c r="R11" s="156"/>
      <c r="T11" s="4"/>
    </row>
    <row r="12" spans="1:20" ht="18.75">
      <c r="A12" s="13">
        <v>6</v>
      </c>
      <c r="B12" s="9">
        <v>1511</v>
      </c>
      <c r="C12" s="55" t="s">
        <v>5</v>
      </c>
      <c r="D12" s="103">
        <f t="shared" si="0"/>
        <v>236000</v>
      </c>
      <c r="E12" s="61">
        <f t="shared" si="0"/>
        <v>236000</v>
      </c>
      <c r="F12" s="61">
        <f t="shared" si="0"/>
        <v>202860</v>
      </c>
      <c r="G12" s="125">
        <f t="shared" si="1"/>
        <v>85.95762711864407</v>
      </c>
      <c r="H12" s="154">
        <f t="shared" si="2"/>
        <v>85.95762711864407</v>
      </c>
      <c r="I12" s="103">
        <v>236000</v>
      </c>
      <c r="J12" s="61">
        <v>236000</v>
      </c>
      <c r="K12" s="60">
        <v>202860</v>
      </c>
      <c r="L12" s="128">
        <f t="shared" si="3"/>
        <v>85.95762711864407</v>
      </c>
      <c r="M12" s="156">
        <f t="shared" si="4"/>
        <v>85.95762711864407</v>
      </c>
      <c r="N12" s="103"/>
      <c r="O12" s="61"/>
      <c r="P12" s="61"/>
      <c r="Q12" s="128"/>
      <c r="R12" s="156"/>
      <c r="T12" s="4"/>
    </row>
    <row r="13" spans="1:20" ht="19.5" thickBot="1">
      <c r="A13" s="26">
        <v>7</v>
      </c>
      <c r="B13" s="12"/>
      <c r="C13" s="90" t="s">
        <v>61</v>
      </c>
      <c r="D13" s="101">
        <f>SUM(D7:D12)</f>
        <v>6731000</v>
      </c>
      <c r="E13" s="62">
        <f>SUM(E7:E12)</f>
        <v>6731000</v>
      </c>
      <c r="F13" s="62">
        <f>SUM(F7:F12)</f>
        <v>6758678</v>
      </c>
      <c r="G13" s="146">
        <f t="shared" si="1"/>
        <v>100.4112019016491</v>
      </c>
      <c r="H13" s="155">
        <f t="shared" si="2"/>
        <v>100.4112019016491</v>
      </c>
      <c r="I13" s="101">
        <f>SUM(I7:I12)</f>
        <v>6731000</v>
      </c>
      <c r="J13" s="62">
        <f>SUM(J7:J12)</f>
        <v>6731000</v>
      </c>
      <c r="K13" s="62">
        <f>SUM(K7:K12)</f>
        <v>6758678</v>
      </c>
      <c r="L13" s="146">
        <f t="shared" si="3"/>
        <v>100.4112019016491</v>
      </c>
      <c r="M13" s="155">
        <f t="shared" si="4"/>
        <v>100.4112019016491</v>
      </c>
      <c r="N13" s="101"/>
      <c r="O13" s="82"/>
      <c r="P13" s="62"/>
      <c r="Q13" s="146"/>
      <c r="R13" s="155"/>
      <c r="S13" s="266"/>
      <c r="T13" s="4"/>
    </row>
    <row r="14" spans="1:20" ht="18.75">
      <c r="A14" s="13">
        <v>8</v>
      </c>
      <c r="B14" s="23">
        <v>1119</v>
      </c>
      <c r="C14" s="91" t="s">
        <v>71</v>
      </c>
      <c r="D14" s="102"/>
      <c r="E14" s="70"/>
      <c r="F14" s="70">
        <f aca="true" t="shared" si="5" ref="F14:F20">+K14+P14</f>
        <v>6</v>
      </c>
      <c r="G14" s="127"/>
      <c r="H14" s="154"/>
      <c r="I14" s="113"/>
      <c r="J14" s="68"/>
      <c r="K14" s="68">
        <v>6</v>
      </c>
      <c r="L14" s="125"/>
      <c r="M14" s="154"/>
      <c r="N14" s="113"/>
      <c r="O14" s="68"/>
      <c r="P14" s="68"/>
      <c r="Q14" s="137"/>
      <c r="R14" s="196"/>
      <c r="S14" s="266"/>
      <c r="T14" s="4"/>
    </row>
    <row r="15" spans="1:20" ht="18.75">
      <c r="A15" s="26">
        <v>9</v>
      </c>
      <c r="B15" s="9">
        <v>1122</v>
      </c>
      <c r="C15" s="56" t="s">
        <v>6</v>
      </c>
      <c r="D15" s="100">
        <f aca="true" t="shared" si="6" ref="D15:E20">+I15+N15</f>
        <v>42077</v>
      </c>
      <c r="E15" s="60">
        <f t="shared" si="6"/>
        <v>68633</v>
      </c>
      <c r="F15" s="60">
        <f t="shared" si="5"/>
        <v>68633</v>
      </c>
      <c r="G15" s="125">
        <f aca="true" t="shared" si="7" ref="G15:G26">+F15/D15*100</f>
        <v>163.11286451030253</v>
      </c>
      <c r="H15" s="154">
        <f aca="true" t="shared" si="8" ref="H15:H26">+F15/E15*100</f>
        <v>100</v>
      </c>
      <c r="I15" s="103"/>
      <c r="J15" s="61"/>
      <c r="K15" s="61"/>
      <c r="L15" s="128"/>
      <c r="M15" s="156"/>
      <c r="N15" s="103">
        <v>42077</v>
      </c>
      <c r="O15" s="81">
        <v>68633</v>
      </c>
      <c r="P15" s="61">
        <f>92041-P16</f>
        <v>68633</v>
      </c>
      <c r="Q15" s="128">
        <f aca="true" t="shared" si="9" ref="Q15:Q26">+P15/N15*100</f>
        <v>163.11286451030253</v>
      </c>
      <c r="R15" s="156">
        <f aca="true" t="shared" si="10" ref="R15:R27">+P15/O15*100</f>
        <v>100</v>
      </c>
      <c r="S15" s="266"/>
      <c r="T15" s="4"/>
    </row>
    <row r="16" spans="1:20" ht="18.75">
      <c r="A16" s="13">
        <v>10</v>
      </c>
      <c r="B16" s="9">
        <v>1122</v>
      </c>
      <c r="C16" s="56" t="s">
        <v>72</v>
      </c>
      <c r="D16" s="103">
        <f t="shared" si="6"/>
        <v>109726</v>
      </c>
      <c r="E16" s="61">
        <f t="shared" si="6"/>
        <v>254441</v>
      </c>
      <c r="F16" s="61">
        <f t="shared" si="5"/>
        <v>254441</v>
      </c>
      <c r="G16" s="125">
        <f t="shared" si="7"/>
        <v>231.88761095820502</v>
      </c>
      <c r="H16" s="154">
        <f t="shared" si="8"/>
        <v>100</v>
      </c>
      <c r="I16" s="103">
        <v>100000</v>
      </c>
      <c r="J16" s="61">
        <v>231033</v>
      </c>
      <c r="K16" s="61">
        <v>231033</v>
      </c>
      <c r="L16" s="128">
        <f aca="true" t="shared" si="11" ref="L16:L26">+K16/I16*100</f>
        <v>231.033</v>
      </c>
      <c r="M16" s="156">
        <f aca="true" t="shared" si="12" ref="M16:M26">+K16/J16*100</f>
        <v>100</v>
      </c>
      <c r="N16" s="103">
        <v>9726</v>
      </c>
      <c r="O16" s="81">
        <v>23408</v>
      </c>
      <c r="P16" s="61">
        <v>23408</v>
      </c>
      <c r="Q16" s="128">
        <f t="shared" si="9"/>
        <v>240.67448077318528</v>
      </c>
      <c r="R16" s="156">
        <f t="shared" si="10"/>
        <v>100</v>
      </c>
      <c r="S16" s="267"/>
      <c r="T16" s="4"/>
    </row>
    <row r="17" spans="1:20" ht="18.75">
      <c r="A17" s="26">
        <v>11</v>
      </c>
      <c r="B17" s="15" t="s">
        <v>31</v>
      </c>
      <c r="C17" s="92" t="s">
        <v>70</v>
      </c>
      <c r="D17" s="104">
        <f t="shared" si="6"/>
        <v>183514</v>
      </c>
      <c r="E17" s="63">
        <f t="shared" si="6"/>
        <v>183614</v>
      </c>
      <c r="F17" s="63">
        <f t="shared" si="5"/>
        <v>180123</v>
      </c>
      <c r="G17" s="129">
        <f t="shared" si="7"/>
        <v>98.15218457447388</v>
      </c>
      <c r="H17" s="154">
        <f t="shared" si="8"/>
        <v>98.09872885509819</v>
      </c>
      <c r="I17" s="104">
        <v>183467</v>
      </c>
      <c r="J17" s="63">
        <v>183467</v>
      </c>
      <c r="K17" s="63">
        <v>179981</v>
      </c>
      <c r="L17" s="128">
        <f t="shared" si="11"/>
        <v>98.09993077774205</v>
      </c>
      <c r="M17" s="156">
        <f t="shared" si="12"/>
        <v>98.09993077774205</v>
      </c>
      <c r="N17" s="104">
        <v>47</v>
      </c>
      <c r="O17" s="84">
        <v>147</v>
      </c>
      <c r="P17" s="63">
        <v>142</v>
      </c>
      <c r="Q17" s="129">
        <f t="shared" si="9"/>
        <v>302.1276595744681</v>
      </c>
      <c r="R17" s="270">
        <f t="shared" si="10"/>
        <v>96.5986394557823</v>
      </c>
      <c r="S17" s="268"/>
      <c r="T17" s="4"/>
    </row>
    <row r="18" spans="1:20" ht="18.75">
      <c r="A18" s="13">
        <v>12</v>
      </c>
      <c r="B18" s="16" t="s">
        <v>32</v>
      </c>
      <c r="C18" s="55" t="s">
        <v>73</v>
      </c>
      <c r="D18" s="103">
        <f t="shared" si="6"/>
        <v>114258</v>
      </c>
      <c r="E18" s="61">
        <f t="shared" si="6"/>
        <v>112959</v>
      </c>
      <c r="F18" s="61">
        <f t="shared" si="5"/>
        <v>126466</v>
      </c>
      <c r="G18" s="128">
        <f t="shared" si="7"/>
        <v>110.68459101332073</v>
      </c>
      <c r="H18" s="154">
        <f t="shared" si="8"/>
        <v>111.95743588381626</v>
      </c>
      <c r="I18" s="103">
        <v>6000</v>
      </c>
      <c r="J18" s="61">
        <v>6000</v>
      </c>
      <c r="K18" s="61">
        <v>4750</v>
      </c>
      <c r="L18" s="128">
        <f t="shared" si="11"/>
        <v>79.16666666666666</v>
      </c>
      <c r="M18" s="156">
        <f t="shared" si="12"/>
        <v>79.16666666666666</v>
      </c>
      <c r="N18" s="103">
        <v>108258</v>
      </c>
      <c r="O18" s="81">
        <v>106959</v>
      </c>
      <c r="P18" s="61">
        <v>121716</v>
      </c>
      <c r="Q18" s="128">
        <f t="shared" si="9"/>
        <v>112.43141384470432</v>
      </c>
      <c r="R18" s="156">
        <f t="shared" si="10"/>
        <v>113.79687543825203</v>
      </c>
      <c r="S18" s="268"/>
      <c r="T18" s="4"/>
    </row>
    <row r="19" spans="1:20" ht="18.75">
      <c r="A19" s="26">
        <v>13</v>
      </c>
      <c r="B19" s="19" t="s">
        <v>84</v>
      </c>
      <c r="C19" s="55" t="s">
        <v>85</v>
      </c>
      <c r="D19" s="103">
        <f t="shared" si="6"/>
        <v>32040</v>
      </c>
      <c r="E19" s="61">
        <f t="shared" si="6"/>
        <v>25418</v>
      </c>
      <c r="F19" s="61">
        <f t="shared" si="5"/>
        <v>22973</v>
      </c>
      <c r="G19" s="128">
        <f t="shared" si="7"/>
        <v>71.70099875156055</v>
      </c>
      <c r="H19" s="154">
        <f t="shared" si="8"/>
        <v>90.38083248091904</v>
      </c>
      <c r="I19" s="113">
        <v>7000</v>
      </c>
      <c r="J19" s="68">
        <v>7500</v>
      </c>
      <c r="K19" s="68">
        <f>500+6718-509</f>
        <v>6709</v>
      </c>
      <c r="L19" s="128">
        <f t="shared" si="11"/>
        <v>95.84285714285714</v>
      </c>
      <c r="M19" s="156">
        <f t="shared" si="12"/>
        <v>89.45333333333333</v>
      </c>
      <c r="N19" s="113">
        <v>25040</v>
      </c>
      <c r="O19" s="83">
        <v>17918</v>
      </c>
      <c r="P19" s="68">
        <v>16264</v>
      </c>
      <c r="Q19" s="128">
        <f t="shared" si="9"/>
        <v>64.9520766773163</v>
      </c>
      <c r="R19" s="156">
        <f t="shared" si="10"/>
        <v>90.7690590467686</v>
      </c>
      <c r="S19" s="266"/>
      <c r="T19" s="4"/>
    </row>
    <row r="20" spans="1:20" ht="18.75">
      <c r="A20" s="13">
        <v>14</v>
      </c>
      <c r="B20" s="19">
        <v>1361</v>
      </c>
      <c r="C20" s="55" t="s">
        <v>7</v>
      </c>
      <c r="D20" s="103">
        <f t="shared" si="6"/>
        <v>111351</v>
      </c>
      <c r="E20" s="61">
        <f t="shared" si="6"/>
        <v>90796</v>
      </c>
      <c r="F20" s="61">
        <f t="shared" si="5"/>
        <v>78033</v>
      </c>
      <c r="G20" s="128">
        <f t="shared" si="7"/>
        <v>70.07840073281784</v>
      </c>
      <c r="H20" s="154">
        <f t="shared" si="8"/>
        <v>85.94321335741662</v>
      </c>
      <c r="I20" s="113">
        <v>69010</v>
      </c>
      <c r="J20" s="68">
        <v>69010</v>
      </c>
      <c r="K20" s="68">
        <v>63467</v>
      </c>
      <c r="L20" s="128">
        <f t="shared" si="11"/>
        <v>91.9678307491668</v>
      </c>
      <c r="M20" s="163">
        <f t="shared" si="12"/>
        <v>91.9678307491668</v>
      </c>
      <c r="N20" s="113">
        <v>42341</v>
      </c>
      <c r="O20" s="83">
        <v>21786</v>
      </c>
      <c r="P20" s="68">
        <v>14566</v>
      </c>
      <c r="Q20" s="128">
        <f t="shared" si="9"/>
        <v>34.401643796792705</v>
      </c>
      <c r="R20" s="156">
        <f t="shared" si="10"/>
        <v>66.85945102359312</v>
      </c>
      <c r="S20" s="267"/>
      <c r="T20" s="4"/>
    </row>
    <row r="21" spans="1:20" ht="19.5" thickBot="1">
      <c r="A21" s="26">
        <v>15</v>
      </c>
      <c r="B21" s="17" t="s">
        <v>43</v>
      </c>
      <c r="C21" s="93" t="s">
        <v>86</v>
      </c>
      <c r="D21" s="105">
        <f>SUM(D13:D20)</f>
        <v>7323966</v>
      </c>
      <c r="E21" s="64">
        <f>SUM(E13:E20)</f>
        <v>7466861</v>
      </c>
      <c r="F21" s="64">
        <f>SUM(F13:F20)</f>
        <v>7489353</v>
      </c>
      <c r="G21" s="126">
        <f t="shared" si="7"/>
        <v>102.25816176645277</v>
      </c>
      <c r="H21" s="157">
        <f t="shared" si="8"/>
        <v>100.30122430295675</v>
      </c>
      <c r="I21" s="105">
        <f>SUM(I13:I20)</f>
        <v>7096477</v>
      </c>
      <c r="J21" s="64">
        <f>SUM(J13:J20)</f>
        <v>7228010</v>
      </c>
      <c r="K21" s="64">
        <f>SUM(K13:K20)</f>
        <v>7244624</v>
      </c>
      <c r="L21" s="126">
        <f t="shared" si="11"/>
        <v>102.08761333264378</v>
      </c>
      <c r="M21" s="157">
        <f t="shared" si="12"/>
        <v>100.22985579710044</v>
      </c>
      <c r="N21" s="105">
        <f>SUM(N13:N20)</f>
        <v>227489</v>
      </c>
      <c r="O21" s="64">
        <f>SUM(O13:O20)</f>
        <v>238851</v>
      </c>
      <c r="P21" s="64">
        <f>SUM(P13:P20)</f>
        <v>244729</v>
      </c>
      <c r="Q21" s="126">
        <f t="shared" si="9"/>
        <v>107.57838840559324</v>
      </c>
      <c r="R21" s="157">
        <f t="shared" si="10"/>
        <v>102.4609484574065</v>
      </c>
      <c r="S21" s="266"/>
      <c r="T21" s="4"/>
    </row>
    <row r="22" spans="1:20" ht="18.75">
      <c r="A22" s="13">
        <v>16</v>
      </c>
      <c r="B22" s="18" t="s">
        <v>33</v>
      </c>
      <c r="C22" s="94" t="s">
        <v>8</v>
      </c>
      <c r="D22" s="100">
        <f aca="true" t="shared" si="13" ref="D22:F26">+I22+N22</f>
        <v>55175</v>
      </c>
      <c r="E22" s="60">
        <f t="shared" si="13"/>
        <v>60018</v>
      </c>
      <c r="F22" s="60">
        <f t="shared" si="13"/>
        <v>63587</v>
      </c>
      <c r="G22" s="125">
        <f t="shared" si="7"/>
        <v>115.24603534209335</v>
      </c>
      <c r="H22" s="154">
        <f t="shared" si="8"/>
        <v>105.94654936852277</v>
      </c>
      <c r="I22" s="100">
        <v>24586</v>
      </c>
      <c r="J22" s="60">
        <v>25816</v>
      </c>
      <c r="K22" s="60">
        <v>28190</v>
      </c>
      <c r="L22" s="125">
        <f t="shared" si="11"/>
        <v>114.65874888147727</v>
      </c>
      <c r="M22" s="154">
        <f t="shared" si="12"/>
        <v>109.19584753641152</v>
      </c>
      <c r="N22" s="100">
        <v>30589</v>
      </c>
      <c r="O22" s="80">
        <v>34202</v>
      </c>
      <c r="P22" s="60">
        <v>35397</v>
      </c>
      <c r="Q22" s="125">
        <f t="shared" si="9"/>
        <v>115.71806858674687</v>
      </c>
      <c r="R22" s="154">
        <f t="shared" si="10"/>
        <v>103.49394772235543</v>
      </c>
      <c r="T22" s="4"/>
    </row>
    <row r="23" spans="1:20" ht="18.75">
      <c r="A23" s="26">
        <v>17</v>
      </c>
      <c r="B23" s="18" t="s">
        <v>34</v>
      </c>
      <c r="C23" s="94" t="s">
        <v>65</v>
      </c>
      <c r="D23" s="100">
        <f t="shared" si="13"/>
        <v>104103</v>
      </c>
      <c r="E23" s="60">
        <f t="shared" si="13"/>
        <v>111803</v>
      </c>
      <c r="F23" s="60">
        <f t="shared" si="13"/>
        <v>111112</v>
      </c>
      <c r="G23" s="125">
        <f t="shared" si="7"/>
        <v>106.73275505989261</v>
      </c>
      <c r="H23" s="154">
        <f t="shared" si="8"/>
        <v>99.38194860603025</v>
      </c>
      <c r="I23" s="100">
        <v>101589</v>
      </c>
      <c r="J23" s="60">
        <v>102485</v>
      </c>
      <c r="K23" s="60">
        <v>101656</v>
      </c>
      <c r="L23" s="128">
        <f t="shared" si="11"/>
        <v>100.06595202236464</v>
      </c>
      <c r="M23" s="156">
        <f t="shared" si="12"/>
        <v>99.19110113675173</v>
      </c>
      <c r="N23" s="100">
        <v>2514</v>
      </c>
      <c r="O23" s="80">
        <v>9318</v>
      </c>
      <c r="P23" s="60">
        <v>9456</v>
      </c>
      <c r="Q23" s="129">
        <f t="shared" si="9"/>
        <v>376.13365155131265</v>
      </c>
      <c r="R23" s="154">
        <f t="shared" si="10"/>
        <v>101.48100450740503</v>
      </c>
      <c r="T23" s="4"/>
    </row>
    <row r="24" spans="1:20" ht="18.75">
      <c r="A24" s="13">
        <v>18</v>
      </c>
      <c r="B24" s="15" t="s">
        <v>35</v>
      </c>
      <c r="C24" s="92" t="s">
        <v>9</v>
      </c>
      <c r="D24" s="104">
        <f t="shared" si="13"/>
        <v>211424</v>
      </c>
      <c r="E24" s="63">
        <f t="shared" si="13"/>
        <v>215470</v>
      </c>
      <c r="F24" s="63">
        <f t="shared" si="13"/>
        <v>241370</v>
      </c>
      <c r="G24" s="129">
        <f t="shared" si="7"/>
        <v>114.16395489632207</v>
      </c>
      <c r="H24" s="154">
        <f t="shared" si="8"/>
        <v>112.02023483547595</v>
      </c>
      <c r="I24" s="104">
        <v>132563</v>
      </c>
      <c r="J24" s="63">
        <v>131901</v>
      </c>
      <c r="K24" s="63">
        <v>155216</v>
      </c>
      <c r="L24" s="128">
        <f t="shared" si="11"/>
        <v>117.08847868560608</v>
      </c>
      <c r="M24" s="156">
        <f t="shared" si="12"/>
        <v>117.67613588979613</v>
      </c>
      <c r="N24" s="104">
        <v>78861</v>
      </c>
      <c r="O24" s="84">
        <v>83569</v>
      </c>
      <c r="P24" s="63">
        <v>86154</v>
      </c>
      <c r="Q24" s="129">
        <f t="shared" si="9"/>
        <v>109.24791722144025</v>
      </c>
      <c r="R24" s="154">
        <f t="shared" si="10"/>
        <v>103.09325228254495</v>
      </c>
      <c r="T24" s="4"/>
    </row>
    <row r="25" spans="1:20" ht="18.75">
      <c r="A25" s="26">
        <v>19</v>
      </c>
      <c r="B25" s="15" t="s">
        <v>120</v>
      </c>
      <c r="C25" s="92" t="s">
        <v>153</v>
      </c>
      <c r="D25" s="185">
        <f t="shared" si="13"/>
        <v>40544</v>
      </c>
      <c r="E25" s="63">
        <f t="shared" si="13"/>
        <v>163829</v>
      </c>
      <c r="F25" s="84">
        <f t="shared" si="13"/>
        <v>175106</v>
      </c>
      <c r="G25" s="129">
        <f t="shared" si="7"/>
        <v>431.89127861089185</v>
      </c>
      <c r="H25" s="156">
        <f t="shared" si="8"/>
        <v>106.88339671242576</v>
      </c>
      <c r="I25" s="104">
        <v>33078</v>
      </c>
      <c r="J25" s="63">
        <v>157034</v>
      </c>
      <c r="K25" s="63">
        <v>167477</v>
      </c>
      <c r="L25" s="128">
        <f t="shared" si="11"/>
        <v>506.3093294636919</v>
      </c>
      <c r="M25" s="156">
        <f t="shared" si="12"/>
        <v>106.65015219633965</v>
      </c>
      <c r="N25" s="104">
        <v>7466</v>
      </c>
      <c r="O25" s="84">
        <v>6795</v>
      </c>
      <c r="P25" s="63">
        <v>7629</v>
      </c>
      <c r="Q25" s="129">
        <f t="shared" si="9"/>
        <v>102.18323064559335</v>
      </c>
      <c r="R25" s="154">
        <f t="shared" si="10"/>
        <v>112.27373068432671</v>
      </c>
      <c r="T25" s="4"/>
    </row>
    <row r="26" spans="1:20" ht="18.75">
      <c r="A26" s="13">
        <v>20</v>
      </c>
      <c r="B26" s="15" t="s">
        <v>36</v>
      </c>
      <c r="C26" s="92" t="s">
        <v>10</v>
      </c>
      <c r="D26" s="185">
        <f t="shared" si="13"/>
        <v>49813</v>
      </c>
      <c r="E26" s="63">
        <f t="shared" si="13"/>
        <v>51910</v>
      </c>
      <c r="F26" s="84">
        <f t="shared" si="13"/>
        <v>57449</v>
      </c>
      <c r="G26" s="129">
        <f t="shared" si="7"/>
        <v>115.3293317005601</v>
      </c>
      <c r="H26" s="154">
        <f t="shared" si="8"/>
        <v>110.6703910614525</v>
      </c>
      <c r="I26" s="104">
        <v>45427</v>
      </c>
      <c r="J26" s="63">
        <v>45438</v>
      </c>
      <c r="K26" s="63">
        <v>53494</v>
      </c>
      <c r="L26" s="128">
        <f t="shared" si="11"/>
        <v>117.75816144583618</v>
      </c>
      <c r="M26" s="156">
        <f t="shared" si="12"/>
        <v>117.7296535939082</v>
      </c>
      <c r="N26" s="104">
        <v>4386</v>
      </c>
      <c r="O26" s="84">
        <v>6472</v>
      </c>
      <c r="P26" s="63">
        <v>3955</v>
      </c>
      <c r="Q26" s="129">
        <f t="shared" si="9"/>
        <v>90.17327861377109</v>
      </c>
      <c r="R26" s="270">
        <f t="shared" si="10"/>
        <v>61.109394313967854</v>
      </c>
      <c r="T26" s="4"/>
    </row>
    <row r="27" spans="1:20" ht="18.75" hidden="1">
      <c r="A27" s="26">
        <v>21</v>
      </c>
      <c r="B27" s="15">
        <v>2226</v>
      </c>
      <c r="C27" s="92" t="s">
        <v>170</v>
      </c>
      <c r="D27" s="186" t="s">
        <v>52</v>
      </c>
      <c r="E27" s="65" t="s">
        <v>52</v>
      </c>
      <c r="F27" s="187" t="s">
        <v>52</v>
      </c>
      <c r="G27" s="129"/>
      <c r="H27" s="154"/>
      <c r="I27" s="104"/>
      <c r="J27" s="63"/>
      <c r="K27" s="63"/>
      <c r="L27" s="128"/>
      <c r="M27" s="156"/>
      <c r="N27" s="104"/>
      <c r="O27" s="84">
        <v>122680</v>
      </c>
      <c r="P27" s="63">
        <v>122679</v>
      </c>
      <c r="Q27" s="129"/>
      <c r="R27" s="154">
        <f t="shared" si="10"/>
        <v>99.99918487120965</v>
      </c>
      <c r="T27" s="4"/>
    </row>
    <row r="28" spans="1:20" ht="18.75" hidden="1">
      <c r="A28" s="13">
        <v>22</v>
      </c>
      <c r="B28" s="15">
        <v>2226</v>
      </c>
      <c r="C28" s="92" t="s">
        <v>171</v>
      </c>
      <c r="D28" s="186" t="s">
        <v>52</v>
      </c>
      <c r="E28" s="65" t="s">
        <v>52</v>
      </c>
      <c r="F28" s="187" t="s">
        <v>52</v>
      </c>
      <c r="G28" s="158"/>
      <c r="H28" s="154"/>
      <c r="I28" s="104"/>
      <c r="J28" s="63">
        <v>16350</v>
      </c>
      <c r="K28" s="63">
        <v>16350</v>
      </c>
      <c r="L28" s="128"/>
      <c r="M28" s="156">
        <f aca="true" t="shared" si="14" ref="M28:M33">+K28/J28*100</f>
        <v>100</v>
      </c>
      <c r="N28" s="104"/>
      <c r="O28" s="84"/>
      <c r="P28" s="63"/>
      <c r="Q28" s="129"/>
      <c r="R28" s="270"/>
      <c r="T28" s="4"/>
    </row>
    <row r="29" spans="1:20" ht="18.75" hidden="1">
      <c r="A29" s="26">
        <v>23</v>
      </c>
      <c r="B29" s="15">
        <v>2441</v>
      </c>
      <c r="C29" s="92" t="s">
        <v>151</v>
      </c>
      <c r="D29" s="186" t="s">
        <v>52</v>
      </c>
      <c r="E29" s="65" t="s">
        <v>52</v>
      </c>
      <c r="F29" s="187" t="s">
        <v>52</v>
      </c>
      <c r="G29" s="158"/>
      <c r="H29" s="154"/>
      <c r="I29" s="104">
        <v>51717</v>
      </c>
      <c r="J29" s="63">
        <v>51717</v>
      </c>
      <c r="K29" s="63">
        <v>51655</v>
      </c>
      <c r="L29" s="128">
        <f>+K29/I29*100</f>
        <v>99.88011678945028</v>
      </c>
      <c r="M29" s="156">
        <f t="shared" si="14"/>
        <v>99.88011678945028</v>
      </c>
      <c r="N29" s="104"/>
      <c r="O29" s="84"/>
      <c r="P29" s="63"/>
      <c r="Q29" s="129"/>
      <c r="R29" s="270"/>
      <c r="T29" s="4"/>
    </row>
    <row r="30" spans="1:20" ht="18.75">
      <c r="A30" s="13">
        <v>21</v>
      </c>
      <c r="B30" s="16" t="s">
        <v>56</v>
      </c>
      <c r="C30" s="55" t="s">
        <v>11</v>
      </c>
      <c r="D30" s="103">
        <f>+I30+N30</f>
        <v>75516</v>
      </c>
      <c r="E30" s="61">
        <f>+J30+O30</f>
        <v>120494</v>
      </c>
      <c r="F30" s="61">
        <f>+K30+P30</f>
        <v>157264</v>
      </c>
      <c r="G30" s="128">
        <f>+F30/D30*100</f>
        <v>208.25255574977487</v>
      </c>
      <c r="H30" s="154">
        <f aca="true" t="shared" si="15" ref="H30:H41">+F30/E30*100</f>
        <v>130.51604229256228</v>
      </c>
      <c r="I30" s="103">
        <f>449816-I22-I23-I24-I25-I26-I29</f>
        <v>60856</v>
      </c>
      <c r="J30" s="61">
        <f>633097-J22-J23-J24-J25-J26-J28-J29</f>
        <v>102356</v>
      </c>
      <c r="K30" s="61">
        <f>713968-K22-K23-K24-K25-K26-K28-K29</f>
        <v>139930</v>
      </c>
      <c r="L30" s="128">
        <f>+K30/I30*100</f>
        <v>229.9362429341396</v>
      </c>
      <c r="M30" s="156">
        <f t="shared" si="14"/>
        <v>136.7091328305131</v>
      </c>
      <c r="N30" s="103">
        <v>14660</v>
      </c>
      <c r="O30" s="81">
        <f>281174-O22-O23-O24-O25-O26-O27</f>
        <v>18138</v>
      </c>
      <c r="P30" s="61">
        <f>282604-P22-P23-P24-P25-P26-P27</f>
        <v>17334</v>
      </c>
      <c r="Q30" s="128">
        <f>+P30/N30*100</f>
        <v>118.24010914051841</v>
      </c>
      <c r="R30" s="156">
        <f aca="true" t="shared" si="16" ref="R30:R40">+P30/O30*100</f>
        <v>95.56731723453524</v>
      </c>
      <c r="T30" s="4"/>
    </row>
    <row r="31" spans="1:20" ht="19.5" thickBot="1">
      <c r="A31" s="26">
        <v>22</v>
      </c>
      <c r="B31" s="17" t="s">
        <v>87</v>
      </c>
      <c r="C31" s="93" t="s">
        <v>205</v>
      </c>
      <c r="D31" s="105">
        <f>SUM(D22:D30)</f>
        <v>536575</v>
      </c>
      <c r="E31" s="64">
        <f>SUM(E22:E30)</f>
        <v>723524</v>
      </c>
      <c r="F31" s="64">
        <f>SUM(F22:F30)</f>
        <v>805888</v>
      </c>
      <c r="G31" s="126">
        <f>+F31/D31*100</f>
        <v>150.1911196011741</v>
      </c>
      <c r="H31" s="157">
        <f t="shared" si="15"/>
        <v>111.38372742300187</v>
      </c>
      <c r="I31" s="105">
        <f>SUM(I22:I30)</f>
        <v>449816</v>
      </c>
      <c r="J31" s="64">
        <f>SUM(J22:J30)</f>
        <v>633097</v>
      </c>
      <c r="K31" s="64">
        <f>SUM(K22:K30)</f>
        <v>713968</v>
      </c>
      <c r="L31" s="126">
        <f>+K31/I31*100</f>
        <v>158.7244562220997</v>
      </c>
      <c r="M31" s="157">
        <f t="shared" si="14"/>
        <v>112.77387193431653</v>
      </c>
      <c r="N31" s="105">
        <f>SUM(N22:N30)</f>
        <v>138476</v>
      </c>
      <c r="O31" s="64">
        <f>SUM(O22:O30)</f>
        <v>281174</v>
      </c>
      <c r="P31" s="64">
        <f>SUM(P22:P30)</f>
        <v>282604</v>
      </c>
      <c r="Q31" s="126">
        <f>+P31/N31*100</f>
        <v>204.0815737023022</v>
      </c>
      <c r="R31" s="157">
        <f t="shared" si="16"/>
        <v>100.50858187456878</v>
      </c>
      <c r="T31" s="4"/>
    </row>
    <row r="32" spans="1:20" ht="18.75">
      <c r="A32" s="13">
        <v>23</v>
      </c>
      <c r="B32" s="20" t="s">
        <v>42</v>
      </c>
      <c r="C32" s="95" t="s">
        <v>206</v>
      </c>
      <c r="D32" s="107">
        <f aca="true" t="shared" si="17" ref="D32:F33">+I32+N32</f>
        <v>969000</v>
      </c>
      <c r="E32" s="66">
        <f t="shared" si="17"/>
        <v>969000</v>
      </c>
      <c r="F32" s="66">
        <f t="shared" si="17"/>
        <v>1458271</v>
      </c>
      <c r="G32" s="130">
        <f>+F32/D32*100</f>
        <v>150.4923632610939</v>
      </c>
      <c r="H32" s="154">
        <f t="shared" si="15"/>
        <v>150.4923632610939</v>
      </c>
      <c r="I32" s="107">
        <v>969000</v>
      </c>
      <c r="J32" s="66">
        <v>969000</v>
      </c>
      <c r="K32" s="66">
        <v>1458728</v>
      </c>
      <c r="L32" s="125">
        <f>+K32/I32*100</f>
        <v>150.53952528379773</v>
      </c>
      <c r="M32" s="154">
        <f t="shared" si="14"/>
        <v>150.53952528379773</v>
      </c>
      <c r="N32" s="107"/>
      <c r="O32" s="66"/>
      <c r="P32" s="66">
        <v>-457</v>
      </c>
      <c r="Q32" s="130"/>
      <c r="R32" s="270"/>
      <c r="T32" s="4"/>
    </row>
    <row r="33" spans="1:20" ht="18.75">
      <c r="A33" s="26">
        <v>24</v>
      </c>
      <c r="B33" s="20" t="s">
        <v>42</v>
      </c>
      <c r="C33" s="199" t="s">
        <v>207</v>
      </c>
      <c r="D33" s="259">
        <f t="shared" si="17"/>
        <v>160950</v>
      </c>
      <c r="E33" s="260">
        <f t="shared" si="17"/>
        <v>161739</v>
      </c>
      <c r="F33" s="260">
        <f t="shared" si="17"/>
        <v>114859</v>
      </c>
      <c r="G33" s="261">
        <f>+F33/D33*100</f>
        <v>71.36315625970798</v>
      </c>
      <c r="H33" s="196">
        <f>+F33/E33*100</f>
        <v>71.01503038846538</v>
      </c>
      <c r="I33" s="107">
        <f>1129950-I32</f>
        <v>160950</v>
      </c>
      <c r="J33" s="66">
        <f>1129950-J32</f>
        <v>160950</v>
      </c>
      <c r="K33" s="66">
        <f>1572850-K32</f>
        <v>114122</v>
      </c>
      <c r="L33" s="179">
        <f>+K33/I33*100</f>
        <v>70.90525007766388</v>
      </c>
      <c r="M33" s="196">
        <f t="shared" si="14"/>
        <v>70.90525007766388</v>
      </c>
      <c r="N33" s="259"/>
      <c r="O33" s="66">
        <v>789</v>
      </c>
      <c r="P33" s="66">
        <f>22-457+522+193+457</f>
        <v>737</v>
      </c>
      <c r="Q33" s="130"/>
      <c r="R33" s="270">
        <f>+P33/O33*100</f>
        <v>93.40937896070976</v>
      </c>
      <c r="T33" s="4"/>
    </row>
    <row r="34" spans="1:20" ht="18.75">
      <c r="A34" s="26">
        <v>25</v>
      </c>
      <c r="B34" s="71" t="s">
        <v>174</v>
      </c>
      <c r="C34" s="92" t="s">
        <v>175</v>
      </c>
      <c r="D34" s="104"/>
      <c r="E34" s="63">
        <f>+J34+O34</f>
        <v>2791</v>
      </c>
      <c r="F34" s="63">
        <f>+K34+P34</f>
        <v>2813</v>
      </c>
      <c r="G34" s="129"/>
      <c r="H34" s="156">
        <f>+F34/E34*100</f>
        <v>100.78824793980652</v>
      </c>
      <c r="I34" s="104"/>
      <c r="J34" s="63"/>
      <c r="K34" s="63"/>
      <c r="L34" s="128"/>
      <c r="M34" s="156"/>
      <c r="N34" s="104"/>
      <c r="O34" s="63">
        <v>2791</v>
      </c>
      <c r="P34" s="63">
        <v>2813</v>
      </c>
      <c r="Q34" s="129"/>
      <c r="R34" s="270">
        <f t="shared" si="16"/>
        <v>100.78824793980652</v>
      </c>
      <c r="T34" s="4"/>
    </row>
    <row r="35" spans="1:20" ht="19.5" thickBot="1">
      <c r="A35" s="13">
        <v>26</v>
      </c>
      <c r="B35" s="21" t="s">
        <v>44</v>
      </c>
      <c r="C35" s="93" t="s">
        <v>214</v>
      </c>
      <c r="D35" s="105">
        <f>SUM(D32:D34)</f>
        <v>1129950</v>
      </c>
      <c r="E35" s="64">
        <f>SUM(E32:E34)</f>
        <v>1133530</v>
      </c>
      <c r="F35" s="64">
        <f>SUM(F32:F34)</f>
        <v>1575943</v>
      </c>
      <c r="G35" s="126">
        <f>+F35/D35*100</f>
        <v>139.47015354661713</v>
      </c>
      <c r="H35" s="157">
        <f t="shared" si="15"/>
        <v>139.02966838107506</v>
      </c>
      <c r="I35" s="105">
        <f>SUM(I32:I34)</f>
        <v>1129950</v>
      </c>
      <c r="J35" s="64">
        <f>SUM(J32:J34)</f>
        <v>1129950</v>
      </c>
      <c r="K35" s="64">
        <f>SUM(K32:K34)</f>
        <v>1572850</v>
      </c>
      <c r="L35" s="176">
        <f>+K35/I35*100</f>
        <v>139.19642462055845</v>
      </c>
      <c r="M35" s="172">
        <f aca="true" t="shared" si="18" ref="M35:M41">+K35/J35*100</f>
        <v>139.19642462055845</v>
      </c>
      <c r="N35" s="105">
        <f>SUM(N32:N34)</f>
        <v>0</v>
      </c>
      <c r="O35" s="64">
        <f>SUM(O32:O34)</f>
        <v>3580</v>
      </c>
      <c r="P35" s="64">
        <f>SUM(P32:P34)</f>
        <v>3093</v>
      </c>
      <c r="Q35" s="126"/>
      <c r="R35" s="157">
        <f t="shared" si="16"/>
        <v>86.39664804469274</v>
      </c>
      <c r="T35" s="4"/>
    </row>
    <row r="36" spans="1:20" ht="19.5" thickBot="1">
      <c r="A36" s="26">
        <v>27</v>
      </c>
      <c r="B36" s="22"/>
      <c r="C36" s="57" t="s">
        <v>215</v>
      </c>
      <c r="D36" s="108">
        <f>+D21+D31+D35</f>
        <v>8990491</v>
      </c>
      <c r="E36" s="67">
        <f>+E21+E31+E35</f>
        <v>9323915</v>
      </c>
      <c r="F36" s="67">
        <f>+F21+F31+F35</f>
        <v>9871184</v>
      </c>
      <c r="G36" s="131">
        <f>+F36/D36*100</f>
        <v>109.79582761386446</v>
      </c>
      <c r="H36" s="171">
        <f t="shared" si="15"/>
        <v>105.86951940252564</v>
      </c>
      <c r="I36" s="108">
        <f>+I21+I31+I35</f>
        <v>8676243</v>
      </c>
      <c r="J36" s="67">
        <f>+J21+J31+J35</f>
        <v>8991057</v>
      </c>
      <c r="K36" s="67">
        <f>+K21+K31+K35</f>
        <v>9531442</v>
      </c>
      <c r="L36" s="173">
        <f>+K36/I36*100</f>
        <v>109.8567893960554</v>
      </c>
      <c r="M36" s="171">
        <f t="shared" si="18"/>
        <v>106.01024996282418</v>
      </c>
      <c r="N36" s="108">
        <f>+N21+N31+N35</f>
        <v>365965</v>
      </c>
      <c r="O36" s="67">
        <f>+O21+O31+O35</f>
        <v>523605</v>
      </c>
      <c r="P36" s="67">
        <f>+P21+P31+P35</f>
        <v>530426</v>
      </c>
      <c r="Q36" s="131">
        <f>+P36/N36*100</f>
        <v>144.93899689861053</v>
      </c>
      <c r="R36" s="159">
        <f t="shared" si="16"/>
        <v>101.30269955405315</v>
      </c>
      <c r="T36" s="4"/>
    </row>
    <row r="37" spans="1:20" ht="18.75">
      <c r="A37" s="13">
        <v>28</v>
      </c>
      <c r="B37" s="78">
        <v>4111</v>
      </c>
      <c r="C37" s="54" t="s">
        <v>125</v>
      </c>
      <c r="D37" s="102"/>
      <c r="E37" s="79">
        <f aca="true" t="shared" si="19" ref="E37:F41">+J37+O37</f>
        <v>57887</v>
      </c>
      <c r="F37" s="70">
        <f t="shared" si="19"/>
        <v>57887</v>
      </c>
      <c r="G37" s="125"/>
      <c r="H37" s="154">
        <f t="shared" si="15"/>
        <v>100</v>
      </c>
      <c r="I37" s="102"/>
      <c r="J37" s="70">
        <v>12864</v>
      </c>
      <c r="K37" s="70">
        <v>12864</v>
      </c>
      <c r="L37" s="125"/>
      <c r="M37" s="156">
        <f t="shared" si="18"/>
        <v>100</v>
      </c>
      <c r="N37" s="102"/>
      <c r="O37" s="70">
        <v>45023</v>
      </c>
      <c r="P37" s="70">
        <v>45023</v>
      </c>
      <c r="Q37" s="125"/>
      <c r="R37" s="270">
        <f t="shared" si="16"/>
        <v>100</v>
      </c>
      <c r="T37" s="4"/>
    </row>
    <row r="38" spans="1:20" ht="18.75">
      <c r="A38" s="26">
        <v>29</v>
      </c>
      <c r="B38" s="14">
        <v>4112</v>
      </c>
      <c r="C38" s="94" t="s">
        <v>126</v>
      </c>
      <c r="D38" s="100">
        <f>+I38+N38</f>
        <v>452485</v>
      </c>
      <c r="E38" s="77">
        <f t="shared" si="19"/>
        <v>452377</v>
      </c>
      <c r="F38" s="60">
        <f t="shared" si="19"/>
        <v>452377</v>
      </c>
      <c r="G38" s="125">
        <f>+F38/D38*100</f>
        <v>99.97613180547421</v>
      </c>
      <c r="H38" s="154">
        <f t="shared" si="15"/>
        <v>100</v>
      </c>
      <c r="I38" s="100">
        <v>184055</v>
      </c>
      <c r="J38" s="60">
        <v>184363</v>
      </c>
      <c r="K38" s="60">
        <v>184363</v>
      </c>
      <c r="L38" s="128">
        <f>+K38/I38*100</f>
        <v>100.16734128385536</v>
      </c>
      <c r="M38" s="156">
        <f t="shared" si="18"/>
        <v>100</v>
      </c>
      <c r="N38" s="100">
        <v>268430</v>
      </c>
      <c r="O38" s="80">
        <v>268014</v>
      </c>
      <c r="P38" s="60">
        <v>268014</v>
      </c>
      <c r="Q38" s="125">
        <f>+P38/N38*100</f>
        <v>99.84502477368402</v>
      </c>
      <c r="R38" s="270">
        <f t="shared" si="16"/>
        <v>100</v>
      </c>
      <c r="T38" s="4"/>
    </row>
    <row r="39" spans="1:20" ht="18.75">
      <c r="A39" s="13">
        <v>30</v>
      </c>
      <c r="B39" s="14">
        <v>4113</v>
      </c>
      <c r="C39" s="94" t="s">
        <v>127</v>
      </c>
      <c r="D39" s="100">
        <f>+I39+N39</f>
        <v>3729</v>
      </c>
      <c r="E39" s="77">
        <f t="shared" si="19"/>
        <v>11392</v>
      </c>
      <c r="F39" s="60">
        <f t="shared" si="19"/>
        <v>11392</v>
      </c>
      <c r="G39" s="125">
        <f>+F39/D39*100</f>
        <v>305.4974524001073</v>
      </c>
      <c r="H39" s="154">
        <f t="shared" si="15"/>
        <v>100</v>
      </c>
      <c r="I39" s="100"/>
      <c r="J39" s="60">
        <v>42</v>
      </c>
      <c r="K39" s="60">
        <v>42</v>
      </c>
      <c r="L39" s="128"/>
      <c r="M39" s="156">
        <f t="shared" si="18"/>
        <v>100</v>
      </c>
      <c r="N39" s="100">
        <v>3729</v>
      </c>
      <c r="O39" s="80">
        <v>11350</v>
      </c>
      <c r="P39" s="60">
        <v>11350</v>
      </c>
      <c r="Q39" s="125">
        <f>+P39/N39*100</f>
        <v>304.3711450791097</v>
      </c>
      <c r="R39" s="270">
        <f t="shared" si="16"/>
        <v>100</v>
      </c>
      <c r="T39" s="4"/>
    </row>
    <row r="40" spans="1:20" ht="18.75">
      <c r="A40" s="26">
        <v>31</v>
      </c>
      <c r="B40" s="18">
        <v>4116</v>
      </c>
      <c r="C40" s="94" t="s">
        <v>128</v>
      </c>
      <c r="D40" s="100">
        <f>+I40+N40</f>
        <v>0</v>
      </c>
      <c r="E40" s="77">
        <f t="shared" si="19"/>
        <v>1039314</v>
      </c>
      <c r="F40" s="60">
        <f t="shared" si="19"/>
        <v>1036254</v>
      </c>
      <c r="G40" s="125"/>
      <c r="H40" s="154">
        <f t="shared" si="15"/>
        <v>99.70557502352513</v>
      </c>
      <c r="I40" s="100"/>
      <c r="J40" s="60">
        <v>889359</v>
      </c>
      <c r="K40" s="60">
        <v>886353</v>
      </c>
      <c r="L40" s="128"/>
      <c r="M40" s="156">
        <f t="shared" si="18"/>
        <v>99.66200375776262</v>
      </c>
      <c r="N40" s="100"/>
      <c r="O40" s="80">
        <v>149955</v>
      </c>
      <c r="P40" s="60">
        <v>149901</v>
      </c>
      <c r="Q40" s="125"/>
      <c r="R40" s="270">
        <f t="shared" si="16"/>
        <v>99.96398919675903</v>
      </c>
      <c r="T40" s="4"/>
    </row>
    <row r="41" spans="1:20" ht="18.75">
      <c r="A41" s="13">
        <v>32</v>
      </c>
      <c r="B41" s="18">
        <v>4119</v>
      </c>
      <c r="C41" s="94" t="s">
        <v>183</v>
      </c>
      <c r="D41" s="100"/>
      <c r="E41" s="77">
        <f t="shared" si="19"/>
        <v>215</v>
      </c>
      <c r="F41" s="60">
        <f t="shared" si="19"/>
        <v>215</v>
      </c>
      <c r="G41" s="125"/>
      <c r="H41" s="154">
        <f t="shared" si="15"/>
        <v>100</v>
      </c>
      <c r="I41" s="100"/>
      <c r="J41" s="60">
        <v>215</v>
      </c>
      <c r="K41" s="60">
        <v>215</v>
      </c>
      <c r="L41" s="128"/>
      <c r="M41" s="156">
        <f t="shared" si="18"/>
        <v>100</v>
      </c>
      <c r="N41" s="100"/>
      <c r="O41" s="190"/>
      <c r="P41" s="189"/>
      <c r="Q41" s="125"/>
      <c r="R41" s="270"/>
      <c r="T41" s="4"/>
    </row>
    <row r="42" spans="1:20" ht="18.75" hidden="1">
      <c r="A42" s="26">
        <v>35</v>
      </c>
      <c r="B42" s="14">
        <v>4121</v>
      </c>
      <c r="C42" s="94" t="s">
        <v>129</v>
      </c>
      <c r="D42" s="106" t="s">
        <v>52</v>
      </c>
      <c r="E42" s="65" t="s">
        <v>52</v>
      </c>
      <c r="F42" s="73" t="s">
        <v>52</v>
      </c>
      <c r="G42" s="160"/>
      <c r="H42" s="154"/>
      <c r="I42" s="100"/>
      <c r="J42" s="60"/>
      <c r="K42" s="60"/>
      <c r="L42" s="128"/>
      <c r="M42" s="156"/>
      <c r="N42" s="100">
        <v>958755</v>
      </c>
      <c r="O42" s="68">
        <v>991851</v>
      </c>
      <c r="P42" s="68">
        <v>991818</v>
      </c>
      <c r="Q42" s="125">
        <f>+P42/N42*100</f>
        <v>103.44853481859286</v>
      </c>
      <c r="R42" s="270">
        <f>+P42/O42*100</f>
        <v>99.99667288735908</v>
      </c>
      <c r="T42" s="4"/>
    </row>
    <row r="43" spans="1:20" ht="18.75" hidden="1">
      <c r="A43" s="13">
        <v>36</v>
      </c>
      <c r="B43" s="14">
        <v>4121</v>
      </c>
      <c r="C43" s="94" t="s">
        <v>130</v>
      </c>
      <c r="D43" s="106" t="s">
        <v>52</v>
      </c>
      <c r="E43" s="65" t="s">
        <v>52</v>
      </c>
      <c r="F43" s="73" t="s">
        <v>52</v>
      </c>
      <c r="G43" s="160"/>
      <c r="H43" s="154"/>
      <c r="I43" s="100"/>
      <c r="J43" s="60"/>
      <c r="K43" s="60"/>
      <c r="L43" s="128"/>
      <c r="M43" s="156"/>
      <c r="N43" s="100">
        <v>392</v>
      </c>
      <c r="O43" s="61">
        <v>533</v>
      </c>
      <c r="P43" s="61">
        <v>533</v>
      </c>
      <c r="Q43" s="125">
        <f>+P43/N43*100</f>
        <v>135.96938775510205</v>
      </c>
      <c r="R43" s="270">
        <f>+P43/O43*100</f>
        <v>100</v>
      </c>
      <c r="T43" s="4"/>
    </row>
    <row r="44" spans="1:20" ht="18.75">
      <c r="A44" s="26">
        <v>33</v>
      </c>
      <c r="B44" s="14">
        <v>4121</v>
      </c>
      <c r="C44" s="94" t="s">
        <v>131</v>
      </c>
      <c r="D44" s="100">
        <f aca="true" t="shared" si="20" ref="D44:F45">+I44+N44</f>
        <v>376</v>
      </c>
      <c r="E44" s="77">
        <f t="shared" si="20"/>
        <v>2181</v>
      </c>
      <c r="F44" s="60">
        <f t="shared" si="20"/>
        <v>2198</v>
      </c>
      <c r="G44" s="125">
        <f>+F44/D44*100</f>
        <v>584.5744680851064</v>
      </c>
      <c r="H44" s="154">
        <f aca="true" t="shared" si="21" ref="H44:H53">+F44/E44*100</f>
        <v>100.7794589637781</v>
      </c>
      <c r="I44" s="100">
        <v>30</v>
      </c>
      <c r="J44" s="60">
        <v>30</v>
      </c>
      <c r="K44" s="60">
        <v>56</v>
      </c>
      <c r="L44" s="128">
        <f>+K44/I44*100</f>
        <v>186.66666666666666</v>
      </c>
      <c r="M44" s="156">
        <f aca="true" t="shared" si="22" ref="M44:M49">+K44/J44*100</f>
        <v>186.66666666666666</v>
      </c>
      <c r="N44" s="100">
        <v>346</v>
      </c>
      <c r="O44" s="80">
        <v>2151</v>
      </c>
      <c r="P44" s="60">
        <f>2124+18</f>
        <v>2142</v>
      </c>
      <c r="Q44" s="125">
        <f>+P44/N44*100</f>
        <v>619.0751445086705</v>
      </c>
      <c r="R44" s="270">
        <f>+P44/O44*100</f>
        <v>99.581589958159</v>
      </c>
      <c r="T44" s="4"/>
    </row>
    <row r="45" spans="1:20" ht="18.75">
      <c r="A45" s="13">
        <v>34</v>
      </c>
      <c r="B45" s="14">
        <v>4122</v>
      </c>
      <c r="C45" s="94" t="s">
        <v>132</v>
      </c>
      <c r="D45" s="100">
        <f t="shared" si="20"/>
        <v>0</v>
      </c>
      <c r="E45" s="77">
        <f t="shared" si="20"/>
        <v>33776</v>
      </c>
      <c r="F45" s="60">
        <f t="shared" si="20"/>
        <v>33775</v>
      </c>
      <c r="G45" s="125"/>
      <c r="H45" s="154">
        <f t="shared" si="21"/>
        <v>99.99703931785884</v>
      </c>
      <c r="I45" s="100"/>
      <c r="J45" s="60">
        <v>29604</v>
      </c>
      <c r="K45" s="60">
        <v>29604</v>
      </c>
      <c r="L45" s="128"/>
      <c r="M45" s="156">
        <f t="shared" si="22"/>
        <v>100</v>
      </c>
      <c r="N45" s="100"/>
      <c r="O45" s="80">
        <v>4172</v>
      </c>
      <c r="P45" s="60">
        <v>4171</v>
      </c>
      <c r="Q45" s="125"/>
      <c r="R45" s="154">
        <f>+P45/O45*100</f>
        <v>99.97603068072867</v>
      </c>
      <c r="T45" s="4"/>
    </row>
    <row r="46" spans="1:20" ht="18.75">
      <c r="A46" s="26">
        <v>35</v>
      </c>
      <c r="B46" s="14">
        <v>4123</v>
      </c>
      <c r="C46" s="94" t="s">
        <v>154</v>
      </c>
      <c r="D46" s="100"/>
      <c r="E46" s="77">
        <f aca="true" t="shared" si="23" ref="E46:F50">+J46+O46</f>
        <v>2945</v>
      </c>
      <c r="F46" s="60">
        <f t="shared" si="23"/>
        <v>2945</v>
      </c>
      <c r="G46" s="125"/>
      <c r="H46" s="154">
        <f t="shared" si="21"/>
        <v>100</v>
      </c>
      <c r="I46" s="100"/>
      <c r="J46" s="60">
        <v>2945</v>
      </c>
      <c r="K46" s="60">
        <v>2945</v>
      </c>
      <c r="L46" s="128"/>
      <c r="M46" s="156">
        <f t="shared" si="22"/>
        <v>100</v>
      </c>
      <c r="N46" s="100"/>
      <c r="O46" s="80"/>
      <c r="P46" s="60"/>
      <c r="Q46" s="125"/>
      <c r="R46" s="154"/>
      <c r="T46" s="4"/>
    </row>
    <row r="47" spans="1:20" ht="18.75">
      <c r="A47" s="13">
        <v>36</v>
      </c>
      <c r="B47" s="18">
        <v>4131</v>
      </c>
      <c r="C47" s="94" t="s">
        <v>74</v>
      </c>
      <c r="D47" s="100">
        <f>+I47+N47</f>
        <v>866527</v>
      </c>
      <c r="E47" s="77">
        <f t="shared" si="23"/>
        <v>1151416</v>
      </c>
      <c r="F47" s="60">
        <f t="shared" si="23"/>
        <v>1022615</v>
      </c>
      <c r="G47" s="125">
        <f>+F47/D47*100</f>
        <v>118.01305671952518</v>
      </c>
      <c r="H47" s="154">
        <f t="shared" si="21"/>
        <v>88.81368679955811</v>
      </c>
      <c r="I47" s="100">
        <v>421790</v>
      </c>
      <c r="J47" s="60">
        <v>600854</v>
      </c>
      <c r="K47" s="60">
        <v>507450</v>
      </c>
      <c r="L47" s="128">
        <f>+K47/I47*100</f>
        <v>120.30868441641576</v>
      </c>
      <c r="M47" s="156">
        <f t="shared" si="22"/>
        <v>84.45479267842104</v>
      </c>
      <c r="N47" s="258">
        <v>444737</v>
      </c>
      <c r="O47" s="61">
        <v>550562</v>
      </c>
      <c r="P47" s="60">
        <v>515165</v>
      </c>
      <c r="Q47" s="125">
        <f>+P47/N47*100</f>
        <v>115.83587603460022</v>
      </c>
      <c r="R47" s="270">
        <f>+P47/O47*100</f>
        <v>93.57075134135665</v>
      </c>
      <c r="T47" s="4"/>
    </row>
    <row r="48" spans="1:20" ht="18.75">
      <c r="A48" s="26">
        <v>37</v>
      </c>
      <c r="B48" s="18">
        <v>4132</v>
      </c>
      <c r="C48" s="94" t="s">
        <v>93</v>
      </c>
      <c r="D48" s="100">
        <f>+I48+N48</f>
        <v>0</v>
      </c>
      <c r="E48" s="77">
        <f t="shared" si="23"/>
        <v>3414</v>
      </c>
      <c r="F48" s="60">
        <f t="shared" si="23"/>
        <v>4139</v>
      </c>
      <c r="G48" s="125"/>
      <c r="H48" s="154">
        <f t="shared" si="21"/>
        <v>121.23608670181605</v>
      </c>
      <c r="I48" s="100"/>
      <c r="J48" s="60">
        <v>3414</v>
      </c>
      <c r="K48" s="60">
        <v>4139</v>
      </c>
      <c r="L48" s="128"/>
      <c r="M48" s="156">
        <f t="shared" si="22"/>
        <v>121.23608670181605</v>
      </c>
      <c r="N48" s="258"/>
      <c r="O48" s="60"/>
      <c r="P48" s="60"/>
      <c r="Q48" s="125"/>
      <c r="R48" s="156"/>
      <c r="T48" s="4"/>
    </row>
    <row r="49" spans="1:20" ht="18.75">
      <c r="A49" s="13">
        <v>38</v>
      </c>
      <c r="B49" s="18">
        <v>4151</v>
      </c>
      <c r="C49" s="94" t="s">
        <v>176</v>
      </c>
      <c r="D49" s="100"/>
      <c r="E49" s="77">
        <f t="shared" si="23"/>
        <v>2719</v>
      </c>
      <c r="F49" s="60">
        <f t="shared" si="23"/>
        <v>2719</v>
      </c>
      <c r="G49" s="125"/>
      <c r="H49" s="154">
        <f t="shared" si="21"/>
        <v>100</v>
      </c>
      <c r="I49" s="258"/>
      <c r="J49" s="60">
        <v>2719</v>
      </c>
      <c r="K49" s="80">
        <v>2719</v>
      </c>
      <c r="L49" s="128"/>
      <c r="M49" s="156">
        <f t="shared" si="22"/>
        <v>100</v>
      </c>
      <c r="N49" s="258"/>
      <c r="O49" s="60"/>
      <c r="P49" s="80"/>
      <c r="Q49" s="125"/>
      <c r="R49" s="270"/>
      <c r="T49" s="4"/>
    </row>
    <row r="50" spans="1:20" ht="18.75">
      <c r="A50" s="26">
        <v>39</v>
      </c>
      <c r="B50" s="18">
        <v>4152</v>
      </c>
      <c r="C50" s="94" t="s">
        <v>179</v>
      </c>
      <c r="D50" s="100"/>
      <c r="E50" s="77">
        <f t="shared" si="23"/>
        <v>381</v>
      </c>
      <c r="F50" s="60">
        <f t="shared" si="23"/>
        <v>2158</v>
      </c>
      <c r="G50" s="125"/>
      <c r="H50" s="154">
        <f t="shared" si="21"/>
        <v>566.4041994750656</v>
      </c>
      <c r="I50" s="258"/>
      <c r="J50" s="60"/>
      <c r="K50" s="80">
        <v>1777</v>
      </c>
      <c r="L50" s="128"/>
      <c r="M50" s="156"/>
      <c r="N50" s="258"/>
      <c r="O50" s="60">
        <v>381</v>
      </c>
      <c r="P50" s="80">
        <v>381</v>
      </c>
      <c r="Q50" s="125"/>
      <c r="R50" s="270">
        <f aca="true" t="shared" si="24" ref="R50:R56">+P50/O50*100</f>
        <v>100</v>
      </c>
      <c r="T50" s="4"/>
    </row>
    <row r="51" spans="1:20" ht="18.75">
      <c r="A51" s="13">
        <v>40</v>
      </c>
      <c r="B51" s="18" t="s">
        <v>94</v>
      </c>
      <c r="C51" s="191" t="s">
        <v>210</v>
      </c>
      <c r="D51" s="203">
        <f>SUM(D37:D50)</f>
        <v>1323117</v>
      </c>
      <c r="E51" s="192">
        <f>SUM(E37:E50)</f>
        <v>2758017</v>
      </c>
      <c r="F51" s="192">
        <f>SUM(F37:F50)</f>
        <v>2628674</v>
      </c>
      <c r="G51" s="194">
        <f>+F51/D51*100</f>
        <v>198.67283089855243</v>
      </c>
      <c r="H51" s="195">
        <f t="shared" si="21"/>
        <v>95.31028996558034</v>
      </c>
      <c r="I51" s="202">
        <f>SUM(I37:I50)</f>
        <v>605875</v>
      </c>
      <c r="J51" s="193">
        <f>SUM(J37:J50)</f>
        <v>1726409</v>
      </c>
      <c r="K51" s="197">
        <f>SUM(K37:K50)</f>
        <v>1632527</v>
      </c>
      <c r="L51" s="194">
        <f>+K51/I51*100</f>
        <v>269.4494739013823</v>
      </c>
      <c r="M51" s="195">
        <f>+K51/J51*100</f>
        <v>94.56200703309587</v>
      </c>
      <c r="N51" s="202">
        <f>SUM(N37:N50)</f>
        <v>1676389</v>
      </c>
      <c r="O51" s="193">
        <f>SUM(O37:O50)</f>
        <v>2023992</v>
      </c>
      <c r="P51" s="197">
        <f>SUM(P37:P50)</f>
        <v>1988498</v>
      </c>
      <c r="Q51" s="194">
        <f>+P51/N51*100</f>
        <v>118.6179341429704</v>
      </c>
      <c r="R51" s="195">
        <f t="shared" si="24"/>
        <v>98.24633694204324</v>
      </c>
      <c r="T51" s="4"/>
    </row>
    <row r="52" spans="1:20" ht="18.75">
      <c r="A52" s="26">
        <v>41</v>
      </c>
      <c r="B52" s="18">
        <v>4213</v>
      </c>
      <c r="C52" s="94" t="s">
        <v>133</v>
      </c>
      <c r="D52" s="100"/>
      <c r="E52" s="77">
        <f>+J52+O52</f>
        <v>5643</v>
      </c>
      <c r="F52" s="60">
        <f>+K52+P52</f>
        <v>5643</v>
      </c>
      <c r="G52" s="128"/>
      <c r="H52" s="154">
        <f t="shared" si="21"/>
        <v>100</v>
      </c>
      <c r="I52" s="100"/>
      <c r="J52" s="60">
        <v>5466</v>
      </c>
      <c r="K52" s="60">
        <v>5466</v>
      </c>
      <c r="L52" s="257"/>
      <c r="M52" s="156">
        <f>+K52/J52*100</f>
        <v>100</v>
      </c>
      <c r="N52" s="100"/>
      <c r="O52" s="60">
        <v>177</v>
      </c>
      <c r="P52" s="60">
        <v>177</v>
      </c>
      <c r="Q52" s="125"/>
      <c r="R52" s="270">
        <f t="shared" si="24"/>
        <v>100</v>
      </c>
      <c r="T52" s="4"/>
    </row>
    <row r="53" spans="1:20" ht="18.75">
      <c r="A53" s="13">
        <v>42</v>
      </c>
      <c r="B53" s="18">
        <v>4216</v>
      </c>
      <c r="C53" s="94" t="s">
        <v>177</v>
      </c>
      <c r="D53" s="100"/>
      <c r="E53" s="77">
        <f>+J53+O53</f>
        <v>71765</v>
      </c>
      <c r="F53" s="60">
        <f>+K53+P53</f>
        <v>53645</v>
      </c>
      <c r="G53" s="128"/>
      <c r="H53" s="154">
        <f t="shared" si="21"/>
        <v>74.7509231519543</v>
      </c>
      <c r="I53" s="100"/>
      <c r="J53" s="60">
        <v>64736</v>
      </c>
      <c r="K53" s="60">
        <v>46616</v>
      </c>
      <c r="L53" s="257"/>
      <c r="M53" s="156">
        <f>+K53/J53*100</f>
        <v>72.00939199209095</v>
      </c>
      <c r="N53" s="100"/>
      <c r="O53" s="60">
        <v>7029</v>
      </c>
      <c r="P53" s="60">
        <v>7029</v>
      </c>
      <c r="Q53" s="125"/>
      <c r="R53" s="270">
        <f t="shared" si="24"/>
        <v>100</v>
      </c>
      <c r="T53" s="4"/>
    </row>
    <row r="54" spans="1:20" ht="18.75" hidden="1">
      <c r="A54" s="26">
        <v>47</v>
      </c>
      <c r="B54" s="14">
        <v>4221</v>
      </c>
      <c r="C54" s="94" t="s">
        <v>134</v>
      </c>
      <c r="D54" s="106" t="s">
        <v>52</v>
      </c>
      <c r="E54" s="65" t="s">
        <v>52</v>
      </c>
      <c r="F54" s="74" t="s">
        <v>52</v>
      </c>
      <c r="G54" s="204"/>
      <c r="H54" s="156"/>
      <c r="I54" s="100"/>
      <c r="J54" s="60"/>
      <c r="K54" s="60"/>
      <c r="L54" s="128"/>
      <c r="M54" s="156"/>
      <c r="N54" s="100"/>
      <c r="O54" s="60">
        <v>165218</v>
      </c>
      <c r="P54" s="60">
        <v>164930</v>
      </c>
      <c r="Q54" s="125"/>
      <c r="R54" s="270">
        <f t="shared" si="24"/>
        <v>99.82568485274001</v>
      </c>
      <c r="T54" s="4"/>
    </row>
    <row r="55" spans="1:20" ht="18.75" hidden="1">
      <c r="A55" s="13">
        <v>48</v>
      </c>
      <c r="B55" s="14">
        <v>4221</v>
      </c>
      <c r="C55" s="94" t="s">
        <v>150</v>
      </c>
      <c r="D55" s="106" t="s">
        <v>52</v>
      </c>
      <c r="E55" s="65" t="s">
        <v>52</v>
      </c>
      <c r="F55" s="74" t="s">
        <v>52</v>
      </c>
      <c r="G55" s="204"/>
      <c r="H55" s="154"/>
      <c r="I55" s="100"/>
      <c r="J55" s="60"/>
      <c r="K55" s="60"/>
      <c r="L55" s="128"/>
      <c r="M55" s="156"/>
      <c r="N55" s="100">
        <v>100</v>
      </c>
      <c r="O55" s="60">
        <v>100</v>
      </c>
      <c r="P55" s="60">
        <v>100</v>
      </c>
      <c r="Q55" s="125"/>
      <c r="R55" s="270">
        <f t="shared" si="24"/>
        <v>100</v>
      </c>
      <c r="T55" s="4"/>
    </row>
    <row r="56" spans="1:20" ht="18.75">
      <c r="A56" s="26">
        <v>43</v>
      </c>
      <c r="B56" s="9">
        <v>4222</v>
      </c>
      <c r="C56" s="55" t="s">
        <v>135</v>
      </c>
      <c r="D56" s="106"/>
      <c r="E56" s="77">
        <f>+J56+O56</f>
        <v>83250</v>
      </c>
      <c r="F56" s="60">
        <f>+K56+P56</f>
        <v>83250</v>
      </c>
      <c r="G56" s="204"/>
      <c r="H56" s="154">
        <f>+F56/E56*100</f>
        <v>100</v>
      </c>
      <c r="I56" s="103"/>
      <c r="J56" s="61">
        <v>80751</v>
      </c>
      <c r="K56" s="61">
        <v>80751</v>
      </c>
      <c r="L56" s="128"/>
      <c r="M56" s="156">
        <f>+K56/J56*100</f>
        <v>100</v>
      </c>
      <c r="N56" s="103"/>
      <c r="O56" s="61">
        <v>2499</v>
      </c>
      <c r="P56" s="61">
        <v>2499</v>
      </c>
      <c r="Q56" s="128"/>
      <c r="R56" s="270">
        <f t="shared" si="24"/>
        <v>100</v>
      </c>
      <c r="T56" s="4"/>
    </row>
    <row r="57" spans="1:20" ht="18.75">
      <c r="A57" s="13">
        <v>44</v>
      </c>
      <c r="B57" s="9">
        <v>4223</v>
      </c>
      <c r="C57" s="94" t="s">
        <v>178</v>
      </c>
      <c r="D57" s="106"/>
      <c r="E57" s="77">
        <f>+J57+O57</f>
        <v>110930</v>
      </c>
      <c r="F57" s="60">
        <f>+K57+P57</f>
        <v>110930</v>
      </c>
      <c r="G57" s="204"/>
      <c r="H57" s="154">
        <f>+F57/E57*100</f>
        <v>100</v>
      </c>
      <c r="I57" s="258"/>
      <c r="J57" s="60">
        <v>110930</v>
      </c>
      <c r="K57" s="80">
        <v>110930</v>
      </c>
      <c r="L57" s="128"/>
      <c r="M57" s="156">
        <f>+K57/J57*100</f>
        <v>100</v>
      </c>
      <c r="N57" s="258"/>
      <c r="O57" s="60"/>
      <c r="P57" s="80"/>
      <c r="Q57" s="128"/>
      <c r="R57" s="270"/>
      <c r="T57" s="4"/>
    </row>
    <row r="58" spans="1:20" ht="18.75">
      <c r="A58" s="26">
        <v>45</v>
      </c>
      <c r="B58" s="16" t="s">
        <v>95</v>
      </c>
      <c r="C58" s="200" t="s">
        <v>211</v>
      </c>
      <c r="D58" s="201"/>
      <c r="E58" s="192">
        <f>SUM(E52:E57)</f>
        <v>271588</v>
      </c>
      <c r="F58" s="192">
        <f>SUM(F52:F57)</f>
        <v>253468</v>
      </c>
      <c r="G58" s="194"/>
      <c r="H58" s="195">
        <f>+F58/E58*100</f>
        <v>93.32812937243176</v>
      </c>
      <c r="I58" s="202"/>
      <c r="J58" s="193">
        <f>SUM(J52:J57)</f>
        <v>261883</v>
      </c>
      <c r="K58" s="197">
        <f>SUM(K52:K57)</f>
        <v>243763</v>
      </c>
      <c r="L58" s="194"/>
      <c r="M58" s="195">
        <f>+K58/J58*100</f>
        <v>93.08087962945285</v>
      </c>
      <c r="N58" s="202">
        <f>SUM(N52:N57)</f>
        <v>100</v>
      </c>
      <c r="O58" s="193">
        <f>SUM(O52:O57)</f>
        <v>175023</v>
      </c>
      <c r="P58" s="197">
        <f>SUM(P52:P57)</f>
        <v>174735</v>
      </c>
      <c r="Q58" s="262">
        <f>+P58/N58*100</f>
        <v>174735</v>
      </c>
      <c r="R58" s="271">
        <f>+P58/O58*100</f>
        <v>99.83545019797398</v>
      </c>
      <c r="T58" s="4"/>
    </row>
    <row r="59" spans="1:20" ht="19.5" thickBot="1">
      <c r="A59" s="13">
        <v>46</v>
      </c>
      <c r="B59" s="17" t="s">
        <v>45</v>
      </c>
      <c r="C59" s="93" t="s">
        <v>212</v>
      </c>
      <c r="D59" s="105">
        <f>D51+D58</f>
        <v>1323117</v>
      </c>
      <c r="E59" s="64">
        <f>E51+E58</f>
        <v>3029605</v>
      </c>
      <c r="F59" s="64">
        <f>F51+F58</f>
        <v>2882142</v>
      </c>
      <c r="G59" s="131">
        <f>+F59/D59*100</f>
        <v>217.8297157394244</v>
      </c>
      <c r="H59" s="159">
        <f>+F59/E59*100</f>
        <v>95.13259979436263</v>
      </c>
      <c r="I59" s="105">
        <f>I51+I58</f>
        <v>605875</v>
      </c>
      <c r="J59" s="64">
        <f>J51+J58</f>
        <v>1988292</v>
      </c>
      <c r="K59" s="64">
        <f>K51+K58</f>
        <v>1876290</v>
      </c>
      <c r="L59" s="176">
        <f>+K59/I59*100</f>
        <v>309.6826903239117</v>
      </c>
      <c r="M59" s="172">
        <f>+K59/J59*100</f>
        <v>94.36692397293757</v>
      </c>
      <c r="N59" s="105">
        <f>N51+N58</f>
        <v>1676489</v>
      </c>
      <c r="O59" s="64">
        <f>O51+O58</f>
        <v>2199015</v>
      </c>
      <c r="P59" s="64">
        <f>P51+P58</f>
        <v>2163233</v>
      </c>
      <c r="Q59" s="126">
        <f>+P59/N59*100</f>
        <v>129.0335337720677</v>
      </c>
      <c r="R59" s="157">
        <f>+P59/O59*100</f>
        <v>98.37281692030295</v>
      </c>
      <c r="T59" s="4"/>
    </row>
    <row r="60" spans="1:20" ht="19.5" thickBot="1">
      <c r="A60" s="27">
        <v>47</v>
      </c>
      <c r="B60" s="48" t="s">
        <v>48</v>
      </c>
      <c r="C60" s="96" t="s">
        <v>216</v>
      </c>
      <c r="D60" s="109">
        <f>+D36+D59</f>
        <v>10313608</v>
      </c>
      <c r="E60" s="46">
        <f>+E36+E59</f>
        <v>12353520</v>
      </c>
      <c r="F60" s="46">
        <f>+F36+F59</f>
        <v>12753326</v>
      </c>
      <c r="G60" s="145">
        <f>+F60/D60*100</f>
        <v>123.65532992915766</v>
      </c>
      <c r="H60" s="161">
        <f>+F60/E60*100</f>
        <v>103.23637311470739</v>
      </c>
      <c r="I60" s="109">
        <f>+I36+I59</f>
        <v>9282118</v>
      </c>
      <c r="J60" s="181">
        <f>+J36+J59</f>
        <v>10979349</v>
      </c>
      <c r="K60" s="181">
        <f>+K36+K59</f>
        <v>11407732</v>
      </c>
      <c r="L60" s="174">
        <f>+K60/I60*100</f>
        <v>122.90009672361415</v>
      </c>
      <c r="M60" s="175">
        <f>+K60/J60*100</f>
        <v>103.9017158485444</v>
      </c>
      <c r="N60" s="265">
        <f>+N59+N36</f>
        <v>2042454</v>
      </c>
      <c r="O60" s="46">
        <f>+O59+O36</f>
        <v>2722620</v>
      </c>
      <c r="P60" s="46">
        <f>+P59+P36</f>
        <v>2693659</v>
      </c>
      <c r="Q60" s="145">
        <f>+P60/N60*100</f>
        <v>131.8834597988498</v>
      </c>
      <c r="R60" s="161">
        <f>+P60/O60*100</f>
        <v>98.93628196369674</v>
      </c>
      <c r="T60" s="4"/>
    </row>
    <row r="61" spans="1:20" ht="19.5" thickBot="1">
      <c r="A61" s="1"/>
      <c r="B61" s="6"/>
      <c r="C61" s="29"/>
      <c r="D61" s="29"/>
      <c r="E61" s="29"/>
      <c r="F61" s="144"/>
      <c r="G61" s="132"/>
      <c r="H61" s="132"/>
      <c r="I61" s="29"/>
      <c r="J61" s="29"/>
      <c r="K61" s="144"/>
      <c r="L61" s="205"/>
      <c r="M61" s="205"/>
      <c r="N61" s="29"/>
      <c r="O61" s="29"/>
      <c r="P61" s="29"/>
      <c r="Q61" s="132"/>
      <c r="R61" s="132"/>
      <c r="T61" s="4"/>
    </row>
    <row r="62" spans="1:20" ht="16.5" thickBot="1">
      <c r="A62" s="24"/>
      <c r="B62" s="11" t="s">
        <v>40</v>
      </c>
      <c r="C62" s="86"/>
      <c r="D62" s="97" t="s">
        <v>63</v>
      </c>
      <c r="E62" s="58"/>
      <c r="F62" s="58"/>
      <c r="G62" s="133"/>
      <c r="H62" s="151"/>
      <c r="I62" s="272" t="s">
        <v>64</v>
      </c>
      <c r="J62" s="273"/>
      <c r="K62" s="273"/>
      <c r="L62" s="273"/>
      <c r="M62" s="274"/>
      <c r="N62" s="97" t="s">
        <v>41</v>
      </c>
      <c r="O62" s="58"/>
      <c r="P62" s="59"/>
      <c r="Q62" s="143"/>
      <c r="R62" s="269"/>
      <c r="T62" s="4"/>
    </row>
    <row r="63" spans="1:20" ht="15.75">
      <c r="A63" s="25" t="s">
        <v>1</v>
      </c>
      <c r="B63" s="10" t="s">
        <v>39</v>
      </c>
      <c r="C63" s="87" t="s">
        <v>12</v>
      </c>
      <c r="D63" s="98" t="s">
        <v>53</v>
      </c>
      <c r="E63" s="34" t="s">
        <v>55</v>
      </c>
      <c r="F63" s="34" t="s">
        <v>23</v>
      </c>
      <c r="G63" s="134" t="s">
        <v>0</v>
      </c>
      <c r="H63" s="152" t="s">
        <v>0</v>
      </c>
      <c r="I63" s="98" t="s">
        <v>53</v>
      </c>
      <c r="J63" s="34" t="s">
        <v>55</v>
      </c>
      <c r="K63" s="34" t="s">
        <v>23</v>
      </c>
      <c r="L63" s="134" t="s">
        <v>0</v>
      </c>
      <c r="M63" s="152" t="s">
        <v>0</v>
      </c>
      <c r="N63" s="98" t="s">
        <v>53</v>
      </c>
      <c r="O63" s="34" t="s">
        <v>55</v>
      </c>
      <c r="P63" s="34" t="s">
        <v>23</v>
      </c>
      <c r="Q63" s="134" t="s">
        <v>0</v>
      </c>
      <c r="R63" s="152" t="s">
        <v>0</v>
      </c>
      <c r="T63" s="4"/>
    </row>
    <row r="64" spans="1:20" ht="16.5" thickBot="1">
      <c r="A64" s="42"/>
      <c r="B64" s="31" t="s">
        <v>38</v>
      </c>
      <c r="C64" s="88"/>
      <c r="D64" s="99" t="s">
        <v>22</v>
      </c>
      <c r="E64" s="43" t="s">
        <v>22</v>
      </c>
      <c r="F64" s="43" t="s">
        <v>186</v>
      </c>
      <c r="G64" s="135" t="s">
        <v>66</v>
      </c>
      <c r="H64" s="153" t="s">
        <v>67</v>
      </c>
      <c r="I64" s="99" t="s">
        <v>22</v>
      </c>
      <c r="J64" s="43" t="s">
        <v>22</v>
      </c>
      <c r="K64" s="43" t="s">
        <v>186</v>
      </c>
      <c r="L64" s="135" t="s">
        <v>66</v>
      </c>
      <c r="M64" s="153" t="s">
        <v>67</v>
      </c>
      <c r="N64" s="99" t="s">
        <v>22</v>
      </c>
      <c r="O64" s="43" t="s">
        <v>22</v>
      </c>
      <c r="P64" s="43" t="s">
        <v>186</v>
      </c>
      <c r="Q64" s="135" t="s">
        <v>66</v>
      </c>
      <c r="R64" s="153" t="s">
        <v>67</v>
      </c>
      <c r="T64" s="4"/>
    </row>
    <row r="65" spans="1:20" ht="18.75" customHeight="1">
      <c r="A65" s="198">
        <v>1</v>
      </c>
      <c r="B65" s="71" t="s">
        <v>91</v>
      </c>
      <c r="C65" s="199" t="s">
        <v>89</v>
      </c>
      <c r="D65" s="188">
        <f aca="true" t="shared" si="25" ref="D65:F71">+I65+N65</f>
        <v>902017</v>
      </c>
      <c r="E65" s="189">
        <f t="shared" si="25"/>
        <v>972902</v>
      </c>
      <c r="F65" s="189">
        <f t="shared" si="25"/>
        <v>956459</v>
      </c>
      <c r="G65" s="179">
        <f aca="true" t="shared" si="26" ref="G65:G71">+F65/D65*100</f>
        <v>106.03558469518867</v>
      </c>
      <c r="H65" s="196">
        <f aca="true" t="shared" si="27" ref="H65:H71">+F65/E65*100</f>
        <v>98.30990171671968</v>
      </c>
      <c r="I65" s="188">
        <v>561040</v>
      </c>
      <c r="J65" s="189">
        <v>601628</v>
      </c>
      <c r="K65" s="189">
        <v>593962</v>
      </c>
      <c r="L65" s="179">
        <f>+K65/I65*100</f>
        <v>105.86803079994296</v>
      </c>
      <c r="M65" s="196">
        <f aca="true" t="shared" si="28" ref="M65:M72">+K65/J65*100</f>
        <v>98.72579068793341</v>
      </c>
      <c r="N65" s="188">
        <v>340977</v>
      </c>
      <c r="O65" s="190">
        <v>371274</v>
      </c>
      <c r="P65" s="189">
        <v>362497</v>
      </c>
      <c r="Q65" s="179">
        <f>+P65/N65*100</f>
        <v>106.3112761271288</v>
      </c>
      <c r="R65" s="196">
        <f>+P65/O65*100</f>
        <v>97.63597774150628</v>
      </c>
      <c r="T65" s="4"/>
    </row>
    <row r="66" spans="1:20" ht="18.75" customHeight="1">
      <c r="A66" s="13">
        <v>2</v>
      </c>
      <c r="B66" s="15" t="s">
        <v>92</v>
      </c>
      <c r="C66" s="92" t="s">
        <v>90</v>
      </c>
      <c r="D66" s="103">
        <f t="shared" si="25"/>
        <v>109638</v>
      </c>
      <c r="E66" s="61">
        <f t="shared" si="25"/>
        <v>126345</v>
      </c>
      <c r="F66" s="61">
        <f t="shared" si="25"/>
        <v>116047</v>
      </c>
      <c r="G66" s="128">
        <f t="shared" si="26"/>
        <v>105.84560097776318</v>
      </c>
      <c r="H66" s="156">
        <f t="shared" si="27"/>
        <v>91.84930151569117</v>
      </c>
      <c r="I66" s="103">
        <v>28597</v>
      </c>
      <c r="J66" s="61">
        <v>29133</v>
      </c>
      <c r="K66" s="61">
        <v>23436</v>
      </c>
      <c r="L66" s="128">
        <f>+K66/I66*100</f>
        <v>81.95265237612337</v>
      </c>
      <c r="M66" s="156">
        <f t="shared" si="28"/>
        <v>80.44485634847081</v>
      </c>
      <c r="N66" s="103">
        <v>81041</v>
      </c>
      <c r="O66" s="81">
        <v>97212</v>
      </c>
      <c r="P66" s="61">
        <v>92611</v>
      </c>
      <c r="Q66" s="128">
        <f>+P66/N66*100</f>
        <v>114.27672412729359</v>
      </c>
      <c r="R66" s="156">
        <f>+P66/O66*100</f>
        <v>95.26704522075464</v>
      </c>
      <c r="T66" s="4"/>
    </row>
    <row r="67" spans="1:20" ht="18.75">
      <c r="A67" s="26">
        <v>3</v>
      </c>
      <c r="B67" s="41">
        <v>5141</v>
      </c>
      <c r="C67" s="110" t="s">
        <v>78</v>
      </c>
      <c r="D67" s="188">
        <f t="shared" si="25"/>
        <v>322315</v>
      </c>
      <c r="E67" s="189">
        <f t="shared" si="25"/>
        <v>325922</v>
      </c>
      <c r="F67" s="61">
        <f t="shared" si="25"/>
        <v>135988</v>
      </c>
      <c r="G67" s="179">
        <f t="shared" si="26"/>
        <v>42.19102430851807</v>
      </c>
      <c r="H67" s="196">
        <f t="shared" si="27"/>
        <v>41.72409349476255</v>
      </c>
      <c r="I67" s="188">
        <v>299368</v>
      </c>
      <c r="J67" s="189">
        <v>299368</v>
      </c>
      <c r="K67" s="189">
        <v>111509</v>
      </c>
      <c r="L67" s="125">
        <f>+K67/I67*100</f>
        <v>37.24813607332781</v>
      </c>
      <c r="M67" s="154">
        <f t="shared" si="28"/>
        <v>37.24813607332781</v>
      </c>
      <c r="N67" s="188">
        <v>22947</v>
      </c>
      <c r="O67" s="190">
        <v>26554</v>
      </c>
      <c r="P67" s="189">
        <v>24479</v>
      </c>
      <c r="Q67" s="179">
        <f>+P67/N67*100</f>
        <v>106.67625397655468</v>
      </c>
      <c r="R67" s="196">
        <f>+P67/O67*100</f>
        <v>92.185734729231</v>
      </c>
      <c r="T67" s="4"/>
    </row>
    <row r="68" spans="1:20" ht="18.75" customHeight="1">
      <c r="A68" s="13">
        <v>4</v>
      </c>
      <c r="B68" s="19">
        <v>5213</v>
      </c>
      <c r="C68" s="111" t="s">
        <v>136</v>
      </c>
      <c r="D68" s="112">
        <f t="shared" si="25"/>
        <v>1564654</v>
      </c>
      <c r="E68" s="37">
        <f t="shared" si="25"/>
        <v>1568394</v>
      </c>
      <c r="F68" s="61">
        <f t="shared" si="25"/>
        <v>1568394</v>
      </c>
      <c r="G68" s="136">
        <f t="shared" si="26"/>
        <v>100.23903048213853</v>
      </c>
      <c r="H68" s="162">
        <f t="shared" si="27"/>
        <v>100</v>
      </c>
      <c r="I68" s="112">
        <f>1568504-3850</f>
        <v>1564654</v>
      </c>
      <c r="J68" s="37">
        <f>1572244-3850</f>
        <v>1568394</v>
      </c>
      <c r="K68" s="37">
        <f>1572244-3850</f>
        <v>1568394</v>
      </c>
      <c r="L68" s="128">
        <f>+K68/I68*100</f>
        <v>100.23903048213853</v>
      </c>
      <c r="M68" s="156">
        <f t="shared" si="28"/>
        <v>100</v>
      </c>
      <c r="N68" s="112"/>
      <c r="O68" s="85"/>
      <c r="P68" s="37"/>
      <c r="Q68" s="136"/>
      <c r="R68" s="156"/>
      <c r="T68" s="4"/>
    </row>
    <row r="69" spans="1:20" ht="18.75" customHeight="1">
      <c r="A69" s="26">
        <v>5</v>
      </c>
      <c r="B69" s="19">
        <v>5213</v>
      </c>
      <c r="C69" s="91" t="s">
        <v>137</v>
      </c>
      <c r="D69" s="113">
        <f t="shared" si="25"/>
        <v>142067</v>
      </c>
      <c r="E69" s="68">
        <f t="shared" si="25"/>
        <v>166493</v>
      </c>
      <c r="F69" s="61">
        <f t="shared" si="25"/>
        <v>107985</v>
      </c>
      <c r="G69" s="137">
        <f t="shared" si="26"/>
        <v>76.00991081672733</v>
      </c>
      <c r="H69" s="163">
        <f t="shared" si="27"/>
        <v>64.85858264311413</v>
      </c>
      <c r="I69" s="113">
        <f>1705061-I68</f>
        <v>140407</v>
      </c>
      <c r="J69" s="68">
        <f>1733227-J68</f>
        <v>164833</v>
      </c>
      <c r="K69" s="68">
        <f>1675259-K68</f>
        <v>106865</v>
      </c>
      <c r="L69" s="128">
        <f>+K69/I69*100</f>
        <v>76.11087766279458</v>
      </c>
      <c r="M69" s="156">
        <f t="shared" si="28"/>
        <v>64.83228479734034</v>
      </c>
      <c r="N69" s="113">
        <v>1660</v>
      </c>
      <c r="O69" s="83">
        <v>1660</v>
      </c>
      <c r="P69" s="68">
        <v>1120</v>
      </c>
      <c r="Q69" s="137">
        <f aca="true" t="shared" si="29" ref="Q69:Q76">+P69/N69*100</f>
        <v>67.46987951807229</v>
      </c>
      <c r="R69" s="196">
        <f aca="true" t="shared" si="30" ref="R69:R76">+P69/O69*100</f>
        <v>67.46987951807229</v>
      </c>
      <c r="T69" s="4"/>
    </row>
    <row r="70" spans="1:20" ht="18.75">
      <c r="A70" s="13">
        <v>6</v>
      </c>
      <c r="B70" s="19" t="s">
        <v>25</v>
      </c>
      <c r="C70" s="111" t="s">
        <v>138</v>
      </c>
      <c r="D70" s="113">
        <f t="shared" si="25"/>
        <v>30</v>
      </c>
      <c r="E70" s="68">
        <f t="shared" si="25"/>
        <v>1483</v>
      </c>
      <c r="F70" s="60">
        <f t="shared" si="25"/>
        <v>1473</v>
      </c>
      <c r="G70" s="137">
        <f t="shared" si="26"/>
        <v>4910</v>
      </c>
      <c r="H70" s="163">
        <f t="shared" si="27"/>
        <v>99.3256911665543</v>
      </c>
      <c r="I70" s="113"/>
      <c r="J70" s="68">
        <v>1365</v>
      </c>
      <c r="K70" s="68">
        <v>1355</v>
      </c>
      <c r="L70" s="128"/>
      <c r="M70" s="156">
        <f t="shared" si="28"/>
        <v>99.26739926739927</v>
      </c>
      <c r="N70" s="113">
        <v>30</v>
      </c>
      <c r="O70" s="83">
        <v>118</v>
      </c>
      <c r="P70" s="68">
        <v>118</v>
      </c>
      <c r="Q70" s="137">
        <f t="shared" si="29"/>
        <v>393.3333333333333</v>
      </c>
      <c r="R70" s="163">
        <f t="shared" si="30"/>
        <v>100</v>
      </c>
      <c r="T70" s="4"/>
    </row>
    <row r="71" spans="1:20" ht="18.75">
      <c r="A71" s="26">
        <v>7</v>
      </c>
      <c r="B71" s="19" t="s">
        <v>24</v>
      </c>
      <c r="C71" s="111" t="s">
        <v>139</v>
      </c>
      <c r="D71" s="113">
        <f t="shared" si="25"/>
        <v>416365</v>
      </c>
      <c r="E71" s="68">
        <f t="shared" si="25"/>
        <v>391455</v>
      </c>
      <c r="F71" s="61">
        <f t="shared" si="25"/>
        <v>368361</v>
      </c>
      <c r="G71" s="137">
        <f t="shared" si="26"/>
        <v>88.47069278157386</v>
      </c>
      <c r="H71" s="163">
        <f t="shared" si="27"/>
        <v>94.10047131854236</v>
      </c>
      <c r="I71" s="113">
        <v>405782</v>
      </c>
      <c r="J71" s="68">
        <v>379376</v>
      </c>
      <c r="K71" s="68">
        <v>356639</v>
      </c>
      <c r="L71" s="128">
        <f>+K71/I71*100</f>
        <v>87.88931002360873</v>
      </c>
      <c r="M71" s="156">
        <f t="shared" si="28"/>
        <v>94.00673737927544</v>
      </c>
      <c r="N71" s="113">
        <v>10583</v>
      </c>
      <c r="O71" s="83">
        <v>12079</v>
      </c>
      <c r="P71" s="68">
        <v>11722</v>
      </c>
      <c r="Q71" s="137">
        <f t="shared" si="29"/>
        <v>110.76254370216385</v>
      </c>
      <c r="R71" s="163">
        <f t="shared" si="30"/>
        <v>97.04445732262604</v>
      </c>
      <c r="T71" s="4"/>
    </row>
    <row r="72" spans="1:20" ht="18.75" hidden="1">
      <c r="A72" s="13">
        <v>8</v>
      </c>
      <c r="B72" s="19">
        <v>5321</v>
      </c>
      <c r="C72" s="111" t="s">
        <v>140</v>
      </c>
      <c r="D72" s="114" t="s">
        <v>52</v>
      </c>
      <c r="E72" s="69" t="s">
        <v>52</v>
      </c>
      <c r="F72" s="69" t="s">
        <v>52</v>
      </c>
      <c r="G72" s="164"/>
      <c r="H72" s="165"/>
      <c r="I72" s="113">
        <v>958755</v>
      </c>
      <c r="J72" s="68">
        <v>991851</v>
      </c>
      <c r="K72" s="68">
        <v>991818</v>
      </c>
      <c r="L72" s="128">
        <f>+K72/I72*100</f>
        <v>103.44853481859286</v>
      </c>
      <c r="M72" s="156">
        <f t="shared" si="28"/>
        <v>99.99667288735908</v>
      </c>
      <c r="N72" s="113">
        <v>392</v>
      </c>
      <c r="O72" s="83">
        <v>533</v>
      </c>
      <c r="P72" s="68">
        <v>533</v>
      </c>
      <c r="Q72" s="137">
        <f t="shared" si="29"/>
        <v>135.96938775510205</v>
      </c>
      <c r="R72" s="163">
        <f t="shared" si="30"/>
        <v>100</v>
      </c>
      <c r="T72" s="4"/>
    </row>
    <row r="73" spans="1:18" ht="18.75">
      <c r="A73" s="26">
        <v>8</v>
      </c>
      <c r="B73" s="19">
        <v>5321</v>
      </c>
      <c r="C73" s="111" t="s">
        <v>141</v>
      </c>
      <c r="D73" s="113">
        <f aca="true" t="shared" si="31" ref="D73:F77">+I73+N73</f>
        <v>15</v>
      </c>
      <c r="E73" s="68">
        <f t="shared" si="31"/>
        <v>149</v>
      </c>
      <c r="F73" s="68">
        <f t="shared" si="31"/>
        <v>148</v>
      </c>
      <c r="G73" s="137">
        <f>+F73/D73*100</f>
        <v>986.6666666666667</v>
      </c>
      <c r="H73" s="163">
        <f>+F73/E73*100</f>
        <v>99.32885906040269</v>
      </c>
      <c r="I73" s="113"/>
      <c r="J73" s="68"/>
      <c r="K73" s="68"/>
      <c r="L73" s="128"/>
      <c r="M73" s="156"/>
      <c r="N73" s="113">
        <v>15</v>
      </c>
      <c r="O73" s="83">
        <v>149</v>
      </c>
      <c r="P73" s="68">
        <v>148</v>
      </c>
      <c r="Q73" s="137">
        <f t="shared" si="29"/>
        <v>986.6666666666667</v>
      </c>
      <c r="R73" s="163">
        <f t="shared" si="30"/>
        <v>99.32885906040269</v>
      </c>
    </row>
    <row r="74" spans="1:18" ht="18.75">
      <c r="A74" s="13">
        <v>9</v>
      </c>
      <c r="B74" s="23">
        <v>5331</v>
      </c>
      <c r="C74" s="111" t="s">
        <v>17</v>
      </c>
      <c r="D74" s="113">
        <f t="shared" si="31"/>
        <v>1568180</v>
      </c>
      <c r="E74" s="68">
        <f t="shared" si="31"/>
        <v>1635464</v>
      </c>
      <c r="F74" s="68">
        <f t="shared" si="31"/>
        <v>1631957</v>
      </c>
      <c r="G74" s="137">
        <f>+F74/D74*100</f>
        <v>104.06694384573198</v>
      </c>
      <c r="H74" s="163">
        <f>+F74/E74*100</f>
        <v>99.78556544197855</v>
      </c>
      <c r="I74" s="113">
        <v>1214856</v>
      </c>
      <c r="J74" s="68">
        <v>1268360</v>
      </c>
      <c r="K74" s="68">
        <v>1266395</v>
      </c>
      <c r="L74" s="128">
        <f>+K74/I74*100</f>
        <v>104.24239580658119</v>
      </c>
      <c r="M74" s="156">
        <f>+K74/J74*100</f>
        <v>99.84507553060645</v>
      </c>
      <c r="N74" s="113">
        <v>353324</v>
      </c>
      <c r="O74" s="83">
        <v>367104</v>
      </c>
      <c r="P74" s="68">
        <v>365562</v>
      </c>
      <c r="Q74" s="137">
        <f t="shared" si="29"/>
        <v>103.46367639899923</v>
      </c>
      <c r="R74" s="163">
        <f t="shared" si="30"/>
        <v>99.57995554393305</v>
      </c>
    </row>
    <row r="75" spans="1:18" ht="18.75">
      <c r="A75" s="26">
        <v>10</v>
      </c>
      <c r="B75" s="19" t="s">
        <v>26</v>
      </c>
      <c r="C75" s="111" t="s">
        <v>79</v>
      </c>
      <c r="D75" s="113">
        <f t="shared" si="31"/>
        <v>28245</v>
      </c>
      <c r="E75" s="68">
        <f t="shared" si="31"/>
        <v>112989</v>
      </c>
      <c r="F75" s="68">
        <f t="shared" si="31"/>
        <v>112889</v>
      </c>
      <c r="G75" s="137">
        <f>+F75/D75*100</f>
        <v>399.67781908302356</v>
      </c>
      <c r="H75" s="163">
        <f>+F75/E75*100</f>
        <v>99.91149580932657</v>
      </c>
      <c r="I75" s="113">
        <f>610+0+27475</f>
        <v>28085</v>
      </c>
      <c r="J75" s="68">
        <f>1121+63293+28110</f>
        <v>92524</v>
      </c>
      <c r="K75" s="68">
        <f>1121+63293+28012</f>
        <v>92426</v>
      </c>
      <c r="L75" s="128">
        <f>+K75/I75*100</f>
        <v>329.09382232508455</v>
      </c>
      <c r="M75" s="156">
        <f>+K75/J75*100</f>
        <v>99.89408153560157</v>
      </c>
      <c r="N75" s="113">
        <f>0+0+160</f>
        <v>160</v>
      </c>
      <c r="O75" s="83">
        <v>20465</v>
      </c>
      <c r="P75" s="68">
        <f>2+20048+413</f>
        <v>20463</v>
      </c>
      <c r="Q75" s="137">
        <f t="shared" si="29"/>
        <v>12789.375</v>
      </c>
      <c r="R75" s="163">
        <f t="shared" si="30"/>
        <v>99.9902272172001</v>
      </c>
    </row>
    <row r="76" spans="1:18" ht="18.75">
      <c r="A76" s="13">
        <v>11</v>
      </c>
      <c r="B76" s="19">
        <v>5362</v>
      </c>
      <c r="C76" s="111" t="s">
        <v>72</v>
      </c>
      <c r="D76" s="182">
        <f t="shared" si="31"/>
        <v>109726</v>
      </c>
      <c r="E76" s="68">
        <f t="shared" si="31"/>
        <v>254441</v>
      </c>
      <c r="F76" s="68">
        <f t="shared" si="31"/>
        <v>254441</v>
      </c>
      <c r="G76" s="137">
        <f>+F76/D76*100</f>
        <v>231.88761095820502</v>
      </c>
      <c r="H76" s="163">
        <f>+F76/E76*100</f>
        <v>100</v>
      </c>
      <c r="I76" s="113">
        <v>100000</v>
      </c>
      <c r="J76" s="68">
        <v>231033</v>
      </c>
      <c r="K76" s="61">
        <v>231033</v>
      </c>
      <c r="L76" s="128">
        <f>+K76/I76*100</f>
        <v>231.033</v>
      </c>
      <c r="M76" s="156">
        <f>+K76/J76*100</f>
        <v>100</v>
      </c>
      <c r="N76" s="103">
        <v>9726</v>
      </c>
      <c r="O76" s="81">
        <v>23408</v>
      </c>
      <c r="P76" s="61">
        <v>23408</v>
      </c>
      <c r="Q76" s="137">
        <f t="shared" si="29"/>
        <v>240.67448077318528</v>
      </c>
      <c r="R76" s="163">
        <f t="shared" si="30"/>
        <v>100</v>
      </c>
    </row>
    <row r="77" spans="1:18" ht="18.75">
      <c r="A77" s="26">
        <v>12</v>
      </c>
      <c r="B77" s="19">
        <v>5366</v>
      </c>
      <c r="C77" s="111" t="s">
        <v>165</v>
      </c>
      <c r="D77" s="182">
        <f t="shared" si="31"/>
        <v>0</v>
      </c>
      <c r="E77" s="68">
        <f t="shared" si="31"/>
        <v>14748</v>
      </c>
      <c r="F77" s="68">
        <f t="shared" si="31"/>
        <v>14748</v>
      </c>
      <c r="G77" s="137"/>
      <c r="H77" s="163">
        <f>+F77/E77*100</f>
        <v>100</v>
      </c>
      <c r="I77" s="113"/>
      <c r="J77" s="68">
        <v>14748</v>
      </c>
      <c r="K77" s="68">
        <v>14748</v>
      </c>
      <c r="L77" s="128"/>
      <c r="M77" s="156">
        <f>+K77/J77*100</f>
        <v>100</v>
      </c>
      <c r="N77" s="113"/>
      <c r="O77" s="83"/>
      <c r="P77" s="68"/>
      <c r="Q77" s="137"/>
      <c r="R77" s="163"/>
    </row>
    <row r="78" spans="1:18" ht="18.75" hidden="1">
      <c r="A78" s="13">
        <v>14</v>
      </c>
      <c r="B78" s="19">
        <v>5367</v>
      </c>
      <c r="C78" s="111" t="s">
        <v>172</v>
      </c>
      <c r="D78" s="183" t="s">
        <v>52</v>
      </c>
      <c r="E78" s="69" t="s">
        <v>52</v>
      </c>
      <c r="F78" s="184" t="s">
        <v>52</v>
      </c>
      <c r="G78" s="164"/>
      <c r="H78" s="165"/>
      <c r="I78" s="113"/>
      <c r="J78" s="68"/>
      <c r="K78" s="68"/>
      <c r="L78" s="128"/>
      <c r="M78" s="156"/>
      <c r="N78" s="113"/>
      <c r="O78" s="83">
        <v>16350</v>
      </c>
      <c r="P78" s="68">
        <v>16350</v>
      </c>
      <c r="Q78" s="137"/>
      <c r="R78" s="163">
        <f>+P78/O78*100</f>
        <v>100</v>
      </c>
    </row>
    <row r="79" spans="1:18" ht="18.75" hidden="1">
      <c r="A79" s="26">
        <v>15</v>
      </c>
      <c r="B79" s="19">
        <v>5367</v>
      </c>
      <c r="C79" s="111" t="s">
        <v>173</v>
      </c>
      <c r="D79" s="183" t="s">
        <v>52</v>
      </c>
      <c r="E79" s="69" t="s">
        <v>52</v>
      </c>
      <c r="F79" s="184" t="s">
        <v>52</v>
      </c>
      <c r="G79" s="164"/>
      <c r="H79" s="165"/>
      <c r="I79" s="113"/>
      <c r="J79" s="68">
        <v>122680</v>
      </c>
      <c r="K79" s="68">
        <v>122679</v>
      </c>
      <c r="L79" s="128"/>
      <c r="M79" s="156">
        <f>+K79/J79*100</f>
        <v>99.99918487120965</v>
      </c>
      <c r="N79" s="113"/>
      <c r="O79" s="83"/>
      <c r="P79" s="68"/>
      <c r="Q79" s="137"/>
      <c r="R79" s="163"/>
    </row>
    <row r="80" spans="1:18" ht="18.75" hidden="1">
      <c r="A80" s="13">
        <v>16</v>
      </c>
      <c r="B80" s="19">
        <v>5641</v>
      </c>
      <c r="C80" s="111" t="s">
        <v>142</v>
      </c>
      <c r="D80" s="183" t="s">
        <v>52</v>
      </c>
      <c r="E80" s="69" t="s">
        <v>52</v>
      </c>
      <c r="F80" s="184" t="s">
        <v>52</v>
      </c>
      <c r="G80" s="164"/>
      <c r="H80" s="165"/>
      <c r="I80" s="113"/>
      <c r="J80" s="68"/>
      <c r="K80" s="68"/>
      <c r="L80" s="128"/>
      <c r="M80" s="156"/>
      <c r="N80" s="113"/>
      <c r="O80" s="83"/>
      <c r="P80" s="68"/>
      <c r="Q80" s="137"/>
      <c r="R80" s="163"/>
    </row>
    <row r="81" spans="1:18" ht="18.75">
      <c r="A81" s="26">
        <v>13</v>
      </c>
      <c r="B81" s="19">
        <v>5901</v>
      </c>
      <c r="C81" s="91" t="s">
        <v>13</v>
      </c>
      <c r="D81" s="182">
        <f aca="true" t="shared" si="32" ref="D81:F82">+I81+N81</f>
        <v>67947</v>
      </c>
      <c r="E81" s="61">
        <f t="shared" si="32"/>
        <v>14695</v>
      </c>
      <c r="F81" s="61">
        <f t="shared" si="32"/>
        <v>0</v>
      </c>
      <c r="G81" s="137"/>
      <c r="H81" s="163"/>
      <c r="I81" s="113">
        <v>55551</v>
      </c>
      <c r="J81" s="68">
        <v>5950</v>
      </c>
      <c r="K81" s="68"/>
      <c r="L81" s="128"/>
      <c r="M81" s="156"/>
      <c r="N81" s="113">
        <v>12396</v>
      </c>
      <c r="O81" s="83">
        <v>8745</v>
      </c>
      <c r="P81" s="68"/>
      <c r="Q81" s="137"/>
      <c r="R81" s="163"/>
    </row>
    <row r="82" spans="1:18" ht="18.75">
      <c r="A82" s="13">
        <v>14</v>
      </c>
      <c r="B82" s="19" t="s">
        <v>75</v>
      </c>
      <c r="C82" s="91" t="s">
        <v>27</v>
      </c>
      <c r="D82" s="113">
        <f t="shared" si="32"/>
        <v>3045002</v>
      </c>
      <c r="E82" s="68">
        <f t="shared" si="32"/>
        <v>4455589</v>
      </c>
      <c r="F82" s="68">
        <f t="shared" si="32"/>
        <v>3986107</v>
      </c>
      <c r="G82" s="137">
        <f>+F82/D82*100</f>
        <v>130.90654784463197</v>
      </c>
      <c r="H82" s="163">
        <f>+F82/E82*100</f>
        <v>89.46307659885147</v>
      </c>
      <c r="I82" s="113">
        <f>7608360-I65-I66-I67-I68-I69-I70-I71-I72-I74-I75-I76-I81</f>
        <v>2251265</v>
      </c>
      <c r="J82" s="68">
        <f>9127698-J65-J66-J67-J68-J69-J70-J71-J72-J73-J74-J75-J76-J77-J78-J79-J80-J81</f>
        <v>3356455</v>
      </c>
      <c r="K82" s="68">
        <f>30306603-35701-280893-19473154-1974914-K65-K66-K67-K68-K69-K70-K71-K72-K73-K74-K75-K76-K77-K78-K79-K80-K81</f>
        <v>3060682</v>
      </c>
      <c r="L82" s="128">
        <f>+K82/I82*100</f>
        <v>135.95387482148925</v>
      </c>
      <c r="M82" s="156">
        <f>+K82/J82*100</f>
        <v>91.18793488963803</v>
      </c>
      <c r="N82" s="113">
        <v>793737</v>
      </c>
      <c r="O82" s="68">
        <f>2044785-O65-O66-O67-O69-O70-O71-O72-O73-O74-O75-O76-O78-O81</f>
        <v>1099134</v>
      </c>
      <c r="P82" s="68">
        <f>4686135-14085-71968-2717092-38554-P65-P66-P67-P69-P70-P71-P72-P73-P74-P75-P76-P78</f>
        <v>925425</v>
      </c>
      <c r="Q82" s="137">
        <f>+P82/N82*100</f>
        <v>116.59088589797378</v>
      </c>
      <c r="R82" s="163">
        <f>+P82/O82*100</f>
        <v>84.19583053567627</v>
      </c>
    </row>
    <row r="83" spans="1:18" ht="19.5" thickBot="1">
      <c r="A83" s="26">
        <v>15</v>
      </c>
      <c r="B83" s="17" t="s">
        <v>46</v>
      </c>
      <c r="C83" s="53" t="s">
        <v>194</v>
      </c>
      <c r="D83" s="105">
        <f>SUM(D65:D82)</f>
        <v>8276201</v>
      </c>
      <c r="E83" s="64">
        <f>SUM(E65:E82)</f>
        <v>10041069</v>
      </c>
      <c r="F83" s="64">
        <f>SUM(F65:F82)</f>
        <v>9254997</v>
      </c>
      <c r="G83" s="126">
        <f>+F83/D83*100</f>
        <v>111.82663398339407</v>
      </c>
      <c r="H83" s="157">
        <f>+F83/E83*100</f>
        <v>92.17143114941247</v>
      </c>
      <c r="I83" s="105">
        <f>SUM(I65:I82)</f>
        <v>7608360</v>
      </c>
      <c r="J83" s="64">
        <f>SUM(J65:J82)</f>
        <v>9127698</v>
      </c>
      <c r="K83" s="64">
        <f>SUM(K65:K82)</f>
        <v>8541941</v>
      </c>
      <c r="L83" s="126">
        <f>+K83/I83*100</f>
        <v>112.2704630169971</v>
      </c>
      <c r="M83" s="157">
        <f>+K83/J83*100</f>
        <v>93.58264263344384</v>
      </c>
      <c r="N83" s="105">
        <f>SUM(N65:N82)</f>
        <v>1626988</v>
      </c>
      <c r="O83" s="64">
        <f>SUM(O65:O82)</f>
        <v>2044785</v>
      </c>
      <c r="P83" s="64">
        <f>SUM(P65:P82)</f>
        <v>1844436</v>
      </c>
      <c r="Q83" s="126">
        <f>+P83/N83*100</f>
        <v>113.36506476999216</v>
      </c>
      <c r="R83" s="157">
        <f>+P83/O83*100</f>
        <v>90.20195277254088</v>
      </c>
    </row>
    <row r="84" spans="1:20" ht="18.75">
      <c r="A84" s="13">
        <v>16</v>
      </c>
      <c r="B84" s="39" t="s">
        <v>28</v>
      </c>
      <c r="C84" s="54" t="s">
        <v>143</v>
      </c>
      <c r="D84" s="102">
        <f aca="true" t="shared" si="33" ref="D84:F85">+I84+N84</f>
        <v>8000</v>
      </c>
      <c r="E84" s="70">
        <f t="shared" si="33"/>
        <v>39688</v>
      </c>
      <c r="F84" s="70">
        <f t="shared" si="33"/>
        <v>31688</v>
      </c>
      <c r="G84" s="128">
        <f>+F84/D84*100</f>
        <v>396.09999999999997</v>
      </c>
      <c r="H84" s="156">
        <f>+F84/E84*100</f>
        <v>79.84277363434792</v>
      </c>
      <c r="I84" s="102">
        <v>8000</v>
      </c>
      <c r="J84" s="70">
        <v>22578</v>
      </c>
      <c r="K84" s="70">
        <v>22578</v>
      </c>
      <c r="L84" s="125">
        <f>+K84/I84*100</f>
        <v>282.22499999999997</v>
      </c>
      <c r="M84" s="154">
        <f>+K84/J84*100</f>
        <v>100</v>
      </c>
      <c r="N84" s="102"/>
      <c r="O84" s="70">
        <v>17110</v>
      </c>
      <c r="P84" s="70">
        <v>9110</v>
      </c>
      <c r="Q84" s="127"/>
      <c r="R84" s="163">
        <f>+P84/O84*100</f>
        <v>53.2437171244886</v>
      </c>
      <c r="T84" s="252"/>
    </row>
    <row r="85" spans="1:20" ht="18.75">
      <c r="A85" s="26">
        <v>17</v>
      </c>
      <c r="B85" s="39" t="s">
        <v>29</v>
      </c>
      <c r="C85" s="55" t="s">
        <v>18</v>
      </c>
      <c r="D85" s="103">
        <f t="shared" si="33"/>
        <v>34350</v>
      </c>
      <c r="E85" s="61">
        <f t="shared" si="33"/>
        <v>31490</v>
      </c>
      <c r="F85" s="61">
        <f t="shared" si="33"/>
        <v>31140</v>
      </c>
      <c r="G85" s="128">
        <f>+F85/D85*100</f>
        <v>90.65502183406113</v>
      </c>
      <c r="H85" s="156">
        <f>+F85/E85*100</f>
        <v>98.88853604318831</v>
      </c>
      <c r="I85" s="103">
        <v>34000</v>
      </c>
      <c r="J85" s="61">
        <v>30140</v>
      </c>
      <c r="K85" s="61">
        <v>30140</v>
      </c>
      <c r="L85" s="125">
        <f>+K85/I85*100</f>
        <v>88.6470588235294</v>
      </c>
      <c r="M85" s="154">
        <f>+K85/J85*100</f>
        <v>100</v>
      </c>
      <c r="N85" s="103">
        <v>350</v>
      </c>
      <c r="O85" s="61">
        <v>1350</v>
      </c>
      <c r="P85" s="61">
        <v>1000</v>
      </c>
      <c r="Q85" s="137">
        <f>+P85/N85*100</f>
        <v>285.7142857142857</v>
      </c>
      <c r="R85" s="163">
        <f>+P85/O85*100</f>
        <v>74.07407407407408</v>
      </c>
      <c r="T85" s="252"/>
    </row>
    <row r="86" spans="1:18" ht="18.75" hidden="1">
      <c r="A86" s="13">
        <v>22</v>
      </c>
      <c r="B86" s="39">
        <v>6341</v>
      </c>
      <c r="C86" s="55" t="s">
        <v>14</v>
      </c>
      <c r="D86" s="115" t="s">
        <v>52</v>
      </c>
      <c r="E86" s="75" t="s">
        <v>52</v>
      </c>
      <c r="F86" s="75" t="s">
        <v>52</v>
      </c>
      <c r="G86" s="128"/>
      <c r="H86" s="156"/>
      <c r="I86" s="103"/>
      <c r="J86" s="61">
        <v>165218</v>
      </c>
      <c r="K86" s="61">
        <v>164930</v>
      </c>
      <c r="L86" s="128"/>
      <c r="M86" s="154">
        <f>+K86/J86*100</f>
        <v>99.82568485274001</v>
      </c>
      <c r="N86" s="103">
        <v>100</v>
      </c>
      <c r="O86" s="61">
        <v>100</v>
      </c>
      <c r="P86" s="61">
        <v>100</v>
      </c>
      <c r="Q86" s="137">
        <f>+P86/N86*100</f>
        <v>100</v>
      </c>
      <c r="R86" s="163">
        <f>+P86/O86*100</f>
        <v>100</v>
      </c>
    </row>
    <row r="87" spans="1:18" ht="18.75" hidden="1">
      <c r="A87" s="26">
        <v>23</v>
      </c>
      <c r="B87" s="39">
        <v>6341</v>
      </c>
      <c r="C87" s="55" t="s">
        <v>149</v>
      </c>
      <c r="D87" s="115" t="s">
        <v>52</v>
      </c>
      <c r="E87" s="75" t="s">
        <v>52</v>
      </c>
      <c r="F87" s="75" t="s">
        <v>52</v>
      </c>
      <c r="G87" s="128"/>
      <c r="H87" s="156"/>
      <c r="I87" s="103"/>
      <c r="J87" s="61"/>
      <c r="K87" s="61"/>
      <c r="L87" s="128"/>
      <c r="M87" s="156"/>
      <c r="N87" s="103"/>
      <c r="O87" s="61"/>
      <c r="P87" s="61"/>
      <c r="Q87" s="137"/>
      <c r="R87" s="163"/>
    </row>
    <row r="88" spans="1:18" ht="18.75">
      <c r="A88" s="13">
        <v>18</v>
      </c>
      <c r="B88" s="33">
        <v>6351</v>
      </c>
      <c r="C88" s="55" t="s">
        <v>144</v>
      </c>
      <c r="D88" s="103">
        <f>+I88+N88</f>
        <v>1058</v>
      </c>
      <c r="E88" s="61">
        <f>+J88+O88</f>
        <v>42867</v>
      </c>
      <c r="F88" s="61">
        <f>+K88+P88</f>
        <v>42618</v>
      </c>
      <c r="G88" s="128">
        <f>+F88/D88*100</f>
        <v>4028.166351606805</v>
      </c>
      <c r="H88" s="156">
        <f>+F88/E88*100</f>
        <v>99.41913359927217</v>
      </c>
      <c r="I88" s="103"/>
      <c r="J88" s="61">
        <v>38398</v>
      </c>
      <c r="K88" s="61">
        <v>38153</v>
      </c>
      <c r="L88" s="128"/>
      <c r="M88" s="156">
        <f aca="true" t="shared" si="34" ref="M88:M93">+K88/J88*100</f>
        <v>99.36194593468409</v>
      </c>
      <c r="N88" s="103">
        <v>1058</v>
      </c>
      <c r="O88" s="61">
        <v>4469</v>
      </c>
      <c r="P88" s="61">
        <v>4465</v>
      </c>
      <c r="Q88" s="137">
        <f>+P88/N88*100</f>
        <v>422.0226843100189</v>
      </c>
      <c r="R88" s="163">
        <f>+P88/O88*100</f>
        <v>99.91049451778922</v>
      </c>
    </row>
    <row r="89" spans="1:18" ht="18.75" hidden="1">
      <c r="A89" s="26">
        <v>25</v>
      </c>
      <c r="B89" s="33">
        <v>6441</v>
      </c>
      <c r="C89" s="55" t="s">
        <v>80</v>
      </c>
      <c r="D89" s="115" t="s">
        <v>52</v>
      </c>
      <c r="E89" s="75" t="s">
        <v>52</v>
      </c>
      <c r="F89" s="75" t="s">
        <v>52</v>
      </c>
      <c r="G89" s="128"/>
      <c r="H89" s="156"/>
      <c r="I89" s="103"/>
      <c r="J89" s="61">
        <v>37719</v>
      </c>
      <c r="K89" s="61">
        <v>37719</v>
      </c>
      <c r="L89" s="128"/>
      <c r="M89" s="156">
        <f t="shared" si="34"/>
        <v>100</v>
      </c>
      <c r="N89" s="103"/>
      <c r="O89" s="61"/>
      <c r="P89" s="61"/>
      <c r="Q89" s="128"/>
      <c r="R89" s="156"/>
    </row>
    <row r="90" spans="1:18" ht="18.75">
      <c r="A90" s="13">
        <v>19</v>
      </c>
      <c r="B90" s="39" t="s">
        <v>30</v>
      </c>
      <c r="C90" s="56" t="s">
        <v>81</v>
      </c>
      <c r="D90" s="103">
        <f aca="true" t="shared" si="35" ref="D90:F91">+I90+N90</f>
        <v>1000</v>
      </c>
      <c r="E90" s="61">
        <f t="shared" si="35"/>
        <v>2750</v>
      </c>
      <c r="F90" s="61">
        <f t="shared" si="35"/>
        <v>2230</v>
      </c>
      <c r="G90" s="128">
        <f>+F90/D90*100</f>
        <v>223</v>
      </c>
      <c r="H90" s="156">
        <f>+F90/E90*100</f>
        <v>81.0909090909091</v>
      </c>
      <c r="I90" s="103">
        <v>1000</v>
      </c>
      <c r="J90" s="61">
        <v>2750</v>
      </c>
      <c r="K90" s="61">
        <v>2230</v>
      </c>
      <c r="L90" s="128">
        <f>+K90/I90*100</f>
        <v>223</v>
      </c>
      <c r="M90" s="156">
        <f t="shared" si="34"/>
        <v>81.0909090909091</v>
      </c>
      <c r="N90" s="103"/>
      <c r="O90" s="61"/>
      <c r="P90" s="61"/>
      <c r="Q90" s="137"/>
      <c r="R90" s="156"/>
    </row>
    <row r="91" spans="1:18" ht="18.75">
      <c r="A91" s="26">
        <v>20</v>
      </c>
      <c r="B91" s="39" t="s">
        <v>62</v>
      </c>
      <c r="C91" s="56" t="s">
        <v>37</v>
      </c>
      <c r="D91" s="103">
        <f t="shared" si="35"/>
        <v>3887395</v>
      </c>
      <c r="E91" s="61">
        <f t="shared" si="35"/>
        <v>3579987</v>
      </c>
      <c r="F91" s="61">
        <f t="shared" si="35"/>
        <v>2852072</v>
      </c>
      <c r="G91" s="128">
        <f>+F91/D91*100</f>
        <v>73.36717776300067</v>
      </c>
      <c r="H91" s="156">
        <f>+F91/E91*100</f>
        <v>79.66710493641457</v>
      </c>
      <c r="I91" s="103">
        <f>3479405-I84-I85-I86-I88-I89-I90</f>
        <v>3436405</v>
      </c>
      <c r="J91" s="61">
        <f>2872135-J84-J85-J86-J87-J88-J89-J90</f>
        <v>2575332</v>
      </c>
      <c r="K91" s="61">
        <f>2523982-K84-K85-K86-K87-K88-K89-K90</f>
        <v>2228232</v>
      </c>
      <c r="L91" s="128">
        <f>+K91/I91*100</f>
        <v>64.84194965378062</v>
      </c>
      <c r="M91" s="156">
        <f t="shared" si="34"/>
        <v>86.52212607927832</v>
      </c>
      <c r="N91" s="103">
        <f>452498-N85-N86-N88</f>
        <v>450990</v>
      </c>
      <c r="O91" s="61">
        <f>1027684-O84-O85-O86-O88</f>
        <v>1004655</v>
      </c>
      <c r="P91" s="61">
        <f>638515-P84-P85-P86-P88</f>
        <v>623840</v>
      </c>
      <c r="Q91" s="128">
        <f>+P91/N91*100</f>
        <v>138.32679216834077</v>
      </c>
      <c r="R91" s="156">
        <f>+P91/O91*100</f>
        <v>62.09494801698096</v>
      </c>
    </row>
    <row r="92" spans="1:18" ht="19.5" thickBot="1">
      <c r="A92" s="13">
        <v>21</v>
      </c>
      <c r="B92" s="40" t="s">
        <v>47</v>
      </c>
      <c r="C92" s="57" t="s">
        <v>195</v>
      </c>
      <c r="D92" s="108">
        <f>SUM(D84:D91)</f>
        <v>3931803</v>
      </c>
      <c r="E92" s="67">
        <f>SUM(E84:E91)</f>
        <v>3696782</v>
      </c>
      <c r="F92" s="67">
        <f>SUM(F84:F91)</f>
        <v>2959748</v>
      </c>
      <c r="G92" s="131">
        <f>+F92/D92*100</f>
        <v>75.27711841106994</v>
      </c>
      <c r="H92" s="159">
        <f>+F92/E92*100</f>
        <v>80.06282220590774</v>
      </c>
      <c r="I92" s="108">
        <f>SUM(I84:I91)</f>
        <v>3479405</v>
      </c>
      <c r="J92" s="67">
        <f>SUM(J84:J91)</f>
        <v>2872135</v>
      </c>
      <c r="K92" s="67">
        <f>SUM(K84:K91)</f>
        <v>2523982</v>
      </c>
      <c r="L92" s="176">
        <f>+K92/I92*100</f>
        <v>72.54062116942409</v>
      </c>
      <c r="M92" s="172">
        <f t="shared" si="34"/>
        <v>87.87825084823659</v>
      </c>
      <c r="N92" s="108">
        <f>SUM(N84:N91)</f>
        <v>452498</v>
      </c>
      <c r="O92" s="67">
        <f>SUM(O84:O91)</f>
        <v>1027684</v>
      </c>
      <c r="P92" s="67">
        <f>SUM(P84:P91)</f>
        <v>638515</v>
      </c>
      <c r="Q92" s="131">
        <f>+P92/N92*100</f>
        <v>141.10891097861207</v>
      </c>
      <c r="R92" s="159">
        <f>+P92/O92*100</f>
        <v>62.131452859050064</v>
      </c>
    </row>
    <row r="93" spans="1:18" ht="19.5" thickBot="1">
      <c r="A93" s="27">
        <v>22</v>
      </c>
      <c r="B93" s="48" t="s">
        <v>49</v>
      </c>
      <c r="C93" s="96" t="s">
        <v>168</v>
      </c>
      <c r="D93" s="109">
        <f>+D83+D92</f>
        <v>12208004</v>
      </c>
      <c r="E93" s="46">
        <f>+E83+E92</f>
        <v>13737851</v>
      </c>
      <c r="F93" s="46">
        <f>+F83+F92</f>
        <v>12214745</v>
      </c>
      <c r="G93" s="145">
        <f>+F93/D93*100</f>
        <v>100.0552178718159</v>
      </c>
      <c r="H93" s="161">
        <f>+F93/E93*100</f>
        <v>88.91306944586893</v>
      </c>
      <c r="I93" s="109">
        <f>+I83+I92</f>
        <v>11087765</v>
      </c>
      <c r="J93" s="46">
        <f>+J83+J92</f>
        <v>11999833</v>
      </c>
      <c r="K93" s="46">
        <f>+K83+K92</f>
        <v>11065923</v>
      </c>
      <c r="L93" s="174">
        <f>+K93/I93*100</f>
        <v>99.80300809044925</v>
      </c>
      <c r="M93" s="175">
        <f t="shared" si="34"/>
        <v>92.2173083575413</v>
      </c>
      <c r="N93" s="109">
        <f>+N83+N92</f>
        <v>2079486</v>
      </c>
      <c r="O93" s="46">
        <f>+O83+O92</f>
        <v>3072469</v>
      </c>
      <c r="P93" s="46">
        <f>+P83+P92</f>
        <v>2482951</v>
      </c>
      <c r="Q93" s="145">
        <f>+P93/N93*100</f>
        <v>119.40215033907418</v>
      </c>
      <c r="R93" s="161">
        <f>+P93/O93*100</f>
        <v>80.81289021955958</v>
      </c>
    </row>
    <row r="94" spans="1:18" ht="19.5" thickBot="1">
      <c r="A94" s="1"/>
      <c r="B94" s="44"/>
      <c r="C94" s="45"/>
      <c r="D94" s="45"/>
      <c r="E94" s="45"/>
      <c r="F94" s="45"/>
      <c r="G94" s="138"/>
      <c r="H94" s="138"/>
      <c r="I94" s="45"/>
      <c r="J94" s="45"/>
      <c r="K94" s="45"/>
      <c r="L94" s="177"/>
      <c r="M94" s="177"/>
      <c r="N94" s="178"/>
      <c r="O94" s="45"/>
      <c r="P94" s="45"/>
      <c r="Q94" s="138"/>
      <c r="R94" s="138"/>
    </row>
    <row r="95" spans="1:18" ht="16.5" thickBot="1">
      <c r="A95" s="24"/>
      <c r="B95" s="11" t="s">
        <v>40</v>
      </c>
      <c r="C95" s="86"/>
      <c r="D95" s="97" t="s">
        <v>63</v>
      </c>
      <c r="E95" s="58"/>
      <c r="F95" s="58"/>
      <c r="G95" s="133"/>
      <c r="H95" s="151"/>
      <c r="I95" s="272" t="s">
        <v>64</v>
      </c>
      <c r="J95" s="273"/>
      <c r="K95" s="273"/>
      <c r="L95" s="273"/>
      <c r="M95" s="274"/>
      <c r="N95" s="97" t="s">
        <v>41</v>
      </c>
      <c r="O95" s="58"/>
      <c r="P95" s="59"/>
      <c r="Q95" s="143"/>
      <c r="R95" s="269"/>
    </row>
    <row r="96" spans="1:18" ht="15.75">
      <c r="A96" s="25" t="s">
        <v>1</v>
      </c>
      <c r="B96" s="10" t="s">
        <v>38</v>
      </c>
      <c r="C96" s="87" t="s">
        <v>19</v>
      </c>
      <c r="D96" s="98" t="s">
        <v>53</v>
      </c>
      <c r="E96" s="34" t="s">
        <v>54</v>
      </c>
      <c r="F96" s="34" t="s">
        <v>23</v>
      </c>
      <c r="G96" s="134" t="s">
        <v>0</v>
      </c>
      <c r="H96" s="152" t="s">
        <v>0</v>
      </c>
      <c r="I96" s="98" t="s">
        <v>53</v>
      </c>
      <c r="J96" s="34" t="s">
        <v>55</v>
      </c>
      <c r="K96" s="34" t="s">
        <v>23</v>
      </c>
      <c r="L96" s="134" t="s">
        <v>0</v>
      </c>
      <c r="M96" s="152" t="s">
        <v>0</v>
      </c>
      <c r="N96" s="98" t="s">
        <v>53</v>
      </c>
      <c r="O96" s="34" t="s">
        <v>55</v>
      </c>
      <c r="P96" s="34" t="s">
        <v>23</v>
      </c>
      <c r="Q96" s="134" t="s">
        <v>0</v>
      </c>
      <c r="R96" s="152" t="s">
        <v>0</v>
      </c>
    </row>
    <row r="97" spans="1:18" ht="16.5" thickBot="1">
      <c r="A97" s="42"/>
      <c r="B97" s="31"/>
      <c r="C97" s="88"/>
      <c r="D97" s="99" t="s">
        <v>22</v>
      </c>
      <c r="E97" s="43" t="s">
        <v>22</v>
      </c>
      <c r="F97" s="43" t="s">
        <v>186</v>
      </c>
      <c r="G97" s="135" t="s">
        <v>66</v>
      </c>
      <c r="H97" s="153" t="s">
        <v>67</v>
      </c>
      <c r="I97" s="99" t="s">
        <v>22</v>
      </c>
      <c r="J97" s="43" t="s">
        <v>22</v>
      </c>
      <c r="K97" s="43" t="s">
        <v>186</v>
      </c>
      <c r="L97" s="135" t="s">
        <v>66</v>
      </c>
      <c r="M97" s="153" t="s">
        <v>67</v>
      </c>
      <c r="N97" s="99" t="s">
        <v>22</v>
      </c>
      <c r="O97" s="43" t="s">
        <v>22</v>
      </c>
      <c r="P97" s="43" t="s">
        <v>186</v>
      </c>
      <c r="Q97" s="135" t="s">
        <v>66</v>
      </c>
      <c r="R97" s="153" t="s">
        <v>67</v>
      </c>
    </row>
    <row r="98" spans="1:18" ht="18.75">
      <c r="A98" s="13">
        <v>1</v>
      </c>
      <c r="B98" s="15">
        <v>8114</v>
      </c>
      <c r="C98" s="56" t="s">
        <v>152</v>
      </c>
      <c r="D98" s="112">
        <f aca="true" t="shared" si="36" ref="D98:F99">+I98+N98</f>
        <v>-1450000</v>
      </c>
      <c r="E98" s="37">
        <f t="shared" si="36"/>
        <v>-1450000</v>
      </c>
      <c r="F98" s="68">
        <f t="shared" si="36"/>
        <v>-1450000</v>
      </c>
      <c r="G98" s="137">
        <f>+F98/D98*100</f>
        <v>100</v>
      </c>
      <c r="H98" s="163">
        <f>+F98/E98*100</f>
        <v>100</v>
      </c>
      <c r="I98" s="112">
        <v>-1450000</v>
      </c>
      <c r="J98" s="37">
        <v>-1450000</v>
      </c>
      <c r="K98" s="37">
        <v>-1450000</v>
      </c>
      <c r="L98" s="128">
        <f>+K98/I98*100</f>
        <v>100</v>
      </c>
      <c r="M98" s="156">
        <f>+K98/J98*100</f>
        <v>100</v>
      </c>
      <c r="N98" s="112"/>
      <c r="O98" s="37"/>
      <c r="P98" s="37"/>
      <c r="Q98" s="128"/>
      <c r="R98" s="156"/>
    </row>
    <row r="99" spans="1:18" ht="18.75">
      <c r="A99" s="13">
        <v>2</v>
      </c>
      <c r="B99" s="256" t="s">
        <v>184</v>
      </c>
      <c r="C99" s="111" t="s">
        <v>20</v>
      </c>
      <c r="D99" s="112">
        <f t="shared" si="36"/>
        <v>1633634</v>
      </c>
      <c r="E99" s="37">
        <f t="shared" si="36"/>
        <v>1032679</v>
      </c>
      <c r="F99" s="68">
        <f t="shared" si="36"/>
        <v>-562510</v>
      </c>
      <c r="G99" s="137"/>
      <c r="H99" s="163"/>
      <c r="I99" s="112">
        <v>1496647</v>
      </c>
      <c r="J99" s="37">
        <v>711484</v>
      </c>
      <c r="K99" s="37">
        <v>-388789</v>
      </c>
      <c r="L99" s="128"/>
      <c r="M99" s="156"/>
      <c r="N99" s="112">
        <v>136987</v>
      </c>
      <c r="O99" s="85">
        <v>321195</v>
      </c>
      <c r="P99" s="37">
        <f>-173821+100</f>
        <v>-173721</v>
      </c>
      <c r="Q99" s="128"/>
      <c r="R99" s="156"/>
    </row>
    <row r="100" spans="1:18" ht="18.75">
      <c r="A100" s="13">
        <v>3</v>
      </c>
      <c r="B100" s="15" t="s">
        <v>83</v>
      </c>
      <c r="C100" s="111" t="s">
        <v>21</v>
      </c>
      <c r="D100" s="112"/>
      <c r="E100" s="37">
        <f>+J100+O100</f>
        <v>0</v>
      </c>
      <c r="F100" s="68">
        <f>+K100+P100</f>
        <v>2009</v>
      </c>
      <c r="G100" s="137"/>
      <c r="H100" s="163"/>
      <c r="I100" s="112"/>
      <c r="J100" s="37"/>
      <c r="K100" s="37"/>
      <c r="L100" s="128"/>
      <c r="M100" s="156"/>
      <c r="N100" s="112"/>
      <c r="O100" s="85"/>
      <c r="P100" s="37">
        <f>2667771-2665762</f>
        <v>2009</v>
      </c>
      <c r="Q100" s="128"/>
      <c r="R100" s="156"/>
    </row>
    <row r="101" spans="1:18" ht="18.75" hidden="1">
      <c r="A101" s="26">
        <v>4</v>
      </c>
      <c r="B101" s="71">
        <v>8123</v>
      </c>
      <c r="C101" s="91" t="s">
        <v>77</v>
      </c>
      <c r="D101" s="114" t="s">
        <v>52</v>
      </c>
      <c r="E101" s="69" t="s">
        <v>52</v>
      </c>
      <c r="F101" s="69" t="s">
        <v>52</v>
      </c>
      <c r="G101" s="137"/>
      <c r="H101" s="163"/>
      <c r="I101" s="112"/>
      <c r="J101" s="37"/>
      <c r="K101" s="37"/>
      <c r="L101" s="128"/>
      <c r="M101" s="156"/>
      <c r="N101" s="112"/>
      <c r="O101" s="85">
        <v>37719</v>
      </c>
      <c r="P101" s="37">
        <v>37719</v>
      </c>
      <c r="Q101" s="128"/>
      <c r="R101" s="156">
        <f>+P101/O101*100</f>
        <v>100</v>
      </c>
    </row>
    <row r="102" spans="1:18" ht="18.75">
      <c r="A102" s="26">
        <v>4</v>
      </c>
      <c r="B102" s="23">
        <v>8123</v>
      </c>
      <c r="C102" s="91" t="s">
        <v>76</v>
      </c>
      <c r="D102" s="113">
        <f>+I102+N102</f>
        <v>28500</v>
      </c>
      <c r="E102" s="68">
        <f>+J102+O102</f>
        <v>117181</v>
      </c>
      <c r="F102" s="68">
        <f>+K102+P102</f>
        <v>104284</v>
      </c>
      <c r="G102" s="137">
        <f>+F102/D102*100</f>
        <v>365.9087719298246</v>
      </c>
      <c r="H102" s="163">
        <f>+F102/E102*100</f>
        <v>88.99394953106732</v>
      </c>
      <c r="I102" s="113"/>
      <c r="J102" s="68"/>
      <c r="K102" s="68"/>
      <c r="L102" s="128"/>
      <c r="M102" s="156"/>
      <c r="N102" s="113">
        <v>28500</v>
      </c>
      <c r="O102" s="83">
        <f>130900-O101+24000</f>
        <v>117181</v>
      </c>
      <c r="P102" s="68">
        <f>142003-P101</f>
        <v>104284</v>
      </c>
      <c r="Q102" s="128">
        <f>+P102/N102*100</f>
        <v>365.9087719298246</v>
      </c>
      <c r="R102" s="156">
        <f>+P102/O102*100</f>
        <v>88.99394953106732</v>
      </c>
    </row>
    <row r="103" spans="1:18" ht="18.75" hidden="1">
      <c r="A103" s="26">
        <v>6</v>
      </c>
      <c r="B103" s="23">
        <v>8124</v>
      </c>
      <c r="C103" s="56" t="s">
        <v>121</v>
      </c>
      <c r="D103" s="114" t="s">
        <v>52</v>
      </c>
      <c r="E103" s="69" t="s">
        <v>52</v>
      </c>
      <c r="F103" s="69" t="s">
        <v>52</v>
      </c>
      <c r="G103" s="137"/>
      <c r="H103" s="163"/>
      <c r="I103" s="113"/>
      <c r="J103" s="68"/>
      <c r="K103" s="68"/>
      <c r="L103" s="128"/>
      <c r="M103" s="156"/>
      <c r="N103" s="113">
        <v>-51717</v>
      </c>
      <c r="O103" s="83">
        <v>-51717</v>
      </c>
      <c r="P103" s="63">
        <v>-51655</v>
      </c>
      <c r="Q103" s="128">
        <f>+P103/N103*100</f>
        <v>99.88011678945028</v>
      </c>
      <c r="R103" s="156">
        <f>+P103/O103*100</f>
        <v>99.88011678945028</v>
      </c>
    </row>
    <row r="104" spans="1:18" ht="18.75">
      <c r="A104" s="26">
        <v>5</v>
      </c>
      <c r="B104" s="9">
        <v>8124</v>
      </c>
      <c r="C104" s="56" t="s">
        <v>82</v>
      </c>
      <c r="D104" s="103">
        <f>+I104+N104</f>
        <v>-89738</v>
      </c>
      <c r="E104" s="61">
        <f>+J104+O104</f>
        <v>-87529</v>
      </c>
      <c r="F104" s="61">
        <f>+K104+P104</f>
        <v>-87344</v>
      </c>
      <c r="G104" s="137">
        <f>+F104/D104*100</f>
        <v>97.33223383627895</v>
      </c>
      <c r="H104" s="163">
        <f>+F104/E104*100</f>
        <v>99.78864147882416</v>
      </c>
      <c r="I104" s="103">
        <v>-13000</v>
      </c>
      <c r="J104" s="61">
        <v>-13000</v>
      </c>
      <c r="K104" s="61">
        <v>-13000</v>
      </c>
      <c r="L104" s="128">
        <f>+K104/I104*100</f>
        <v>100</v>
      </c>
      <c r="M104" s="156">
        <f>+K104/J104*100</f>
        <v>100</v>
      </c>
      <c r="N104" s="103">
        <v>-76738</v>
      </c>
      <c r="O104" s="81">
        <v>-74529</v>
      </c>
      <c r="P104" s="61">
        <f>-125999-P103</f>
        <v>-74344</v>
      </c>
      <c r="Q104" s="128">
        <f>+P104/N104*100</f>
        <v>96.88029398733352</v>
      </c>
      <c r="R104" s="156">
        <f>+P104/O104*100</f>
        <v>99.75177447704921</v>
      </c>
    </row>
    <row r="105" spans="1:18" ht="18.75">
      <c r="A105" s="198">
        <v>6</v>
      </c>
      <c r="B105" s="19" t="s">
        <v>182</v>
      </c>
      <c r="C105" s="111" t="s">
        <v>181</v>
      </c>
      <c r="D105" s="113"/>
      <c r="E105" s="68"/>
      <c r="F105" s="61">
        <f>+K105+P105</f>
        <v>-45020</v>
      </c>
      <c r="G105" s="137"/>
      <c r="H105" s="163"/>
      <c r="I105" s="113"/>
      <c r="J105" s="68"/>
      <c r="K105" s="68">
        <v>9980</v>
      </c>
      <c r="L105" s="128"/>
      <c r="M105" s="156"/>
      <c r="N105" s="113"/>
      <c r="O105" s="83"/>
      <c r="P105" s="68">
        <v>-55000</v>
      </c>
      <c r="Q105" s="137"/>
      <c r="R105" s="163"/>
    </row>
    <row r="106" spans="1:18" ht="19.5" thickBot="1">
      <c r="A106" s="27">
        <v>7</v>
      </c>
      <c r="B106" s="17">
        <v>8223</v>
      </c>
      <c r="C106" s="249" t="s">
        <v>123</v>
      </c>
      <c r="D106" s="101">
        <f>+I106+N106</f>
        <v>1772000</v>
      </c>
      <c r="E106" s="62">
        <f>+J106+O106</f>
        <v>1772000</v>
      </c>
      <c r="F106" s="61">
        <f>+K106+P106</f>
        <v>1500000</v>
      </c>
      <c r="G106" s="146">
        <f>+F106/D106*100</f>
        <v>84.65011286681715</v>
      </c>
      <c r="H106" s="155">
        <f>+F106/E106*100</f>
        <v>84.65011286681715</v>
      </c>
      <c r="I106" s="101">
        <v>1772000</v>
      </c>
      <c r="J106" s="62">
        <v>1772000</v>
      </c>
      <c r="K106" s="62">
        <v>1500000</v>
      </c>
      <c r="L106" s="128">
        <f>+K106/I106*100</f>
        <v>84.65011286681715</v>
      </c>
      <c r="M106" s="156">
        <f>+K106/J106*100</f>
        <v>84.65011286681715</v>
      </c>
      <c r="N106" s="101"/>
      <c r="O106" s="62"/>
      <c r="P106" s="62"/>
      <c r="Q106" s="137"/>
      <c r="R106" s="155"/>
    </row>
    <row r="107" spans="1:18" ht="19.5" thickBot="1">
      <c r="A107" s="72">
        <v>8</v>
      </c>
      <c r="B107" s="263" t="s">
        <v>50</v>
      </c>
      <c r="C107" s="264" t="s">
        <v>190</v>
      </c>
      <c r="D107" s="265">
        <f>SUM(D98:D106)</f>
        <v>1894396</v>
      </c>
      <c r="E107" s="181">
        <f>SUM(E98:E106)</f>
        <v>1384331</v>
      </c>
      <c r="F107" s="181">
        <f>SUM(F98:F106)</f>
        <v>-538581</v>
      </c>
      <c r="G107" s="174"/>
      <c r="H107" s="175"/>
      <c r="I107" s="265">
        <f>SUM(I98:I106)</f>
        <v>1805647</v>
      </c>
      <c r="J107" s="181">
        <f>SUM(J98:J106)</f>
        <v>1020484</v>
      </c>
      <c r="K107" s="181">
        <f>SUM(K98:K106)</f>
        <v>-341809</v>
      </c>
      <c r="L107" s="174"/>
      <c r="M107" s="175"/>
      <c r="N107" s="265">
        <f>SUM(N98:N106)</f>
        <v>37032</v>
      </c>
      <c r="O107" s="181">
        <f>SUM(O98:O106)</f>
        <v>349849</v>
      </c>
      <c r="P107" s="181">
        <f>SUM(P98:P106)</f>
        <v>-210708</v>
      </c>
      <c r="Q107" s="174"/>
      <c r="R107" s="175"/>
    </row>
    <row r="108" spans="4:18" ht="16.5" thickBot="1">
      <c r="D108" s="124"/>
      <c r="F108" s="124"/>
      <c r="I108" s="5"/>
      <c r="J108" s="5"/>
      <c r="K108" s="5"/>
      <c r="L108" s="139"/>
      <c r="M108" s="139"/>
      <c r="N108" s="5"/>
      <c r="O108" s="5"/>
      <c r="P108" s="5"/>
      <c r="Q108" s="139"/>
      <c r="R108" s="139"/>
    </row>
    <row r="109" spans="1:18" ht="16.5" thickBot="1">
      <c r="A109" s="24"/>
      <c r="B109" s="11" t="s">
        <v>38</v>
      </c>
      <c r="C109" s="86"/>
      <c r="D109" s="97" t="s">
        <v>63</v>
      </c>
      <c r="E109" s="58"/>
      <c r="F109" s="58"/>
      <c r="G109" s="133"/>
      <c r="H109" s="151"/>
      <c r="I109" s="97" t="s">
        <v>64</v>
      </c>
      <c r="J109" s="58"/>
      <c r="K109" s="58"/>
      <c r="L109" s="133"/>
      <c r="M109" s="151"/>
      <c r="N109" s="97" t="s">
        <v>41</v>
      </c>
      <c r="O109" s="58"/>
      <c r="P109" s="59"/>
      <c r="Q109" s="143"/>
      <c r="R109" s="269"/>
    </row>
    <row r="110" spans="1:18" ht="15.75">
      <c r="A110" s="28" t="s">
        <v>1</v>
      </c>
      <c r="B110" s="10"/>
      <c r="C110" s="87" t="s">
        <v>15</v>
      </c>
      <c r="D110" s="98" t="s">
        <v>53</v>
      </c>
      <c r="E110" s="34" t="s">
        <v>55</v>
      </c>
      <c r="F110" s="34" t="s">
        <v>23</v>
      </c>
      <c r="G110" s="134" t="s">
        <v>0</v>
      </c>
      <c r="H110" s="152" t="s">
        <v>0</v>
      </c>
      <c r="I110" s="98" t="s">
        <v>53</v>
      </c>
      <c r="J110" s="34" t="s">
        <v>55</v>
      </c>
      <c r="K110" s="34" t="s">
        <v>23</v>
      </c>
      <c r="L110" s="134" t="s">
        <v>0</v>
      </c>
      <c r="M110" s="152" t="s">
        <v>0</v>
      </c>
      <c r="N110" s="98" t="s">
        <v>53</v>
      </c>
      <c r="O110" s="34" t="s">
        <v>55</v>
      </c>
      <c r="P110" s="34" t="s">
        <v>23</v>
      </c>
      <c r="Q110" s="134" t="s">
        <v>0</v>
      </c>
      <c r="R110" s="152" t="s">
        <v>0</v>
      </c>
    </row>
    <row r="111" spans="1:18" ht="16.5" thickBot="1">
      <c r="A111" s="30"/>
      <c r="B111" s="31"/>
      <c r="C111" s="88"/>
      <c r="D111" s="99" t="s">
        <v>22</v>
      </c>
      <c r="E111" s="43" t="s">
        <v>22</v>
      </c>
      <c r="F111" s="43" t="s">
        <v>186</v>
      </c>
      <c r="G111" s="135" t="s">
        <v>66</v>
      </c>
      <c r="H111" s="153" t="s">
        <v>67</v>
      </c>
      <c r="I111" s="99" t="s">
        <v>22</v>
      </c>
      <c r="J111" s="43" t="s">
        <v>22</v>
      </c>
      <c r="K111" s="43" t="s">
        <v>186</v>
      </c>
      <c r="L111" s="135" t="s">
        <v>66</v>
      </c>
      <c r="M111" s="153" t="s">
        <v>67</v>
      </c>
      <c r="N111" s="99" t="s">
        <v>22</v>
      </c>
      <c r="O111" s="43" t="s">
        <v>22</v>
      </c>
      <c r="P111" s="43" t="s">
        <v>186</v>
      </c>
      <c r="Q111" s="135" t="s">
        <v>66</v>
      </c>
      <c r="R111" s="153" t="s">
        <v>67</v>
      </c>
    </row>
    <row r="112" spans="1:20" ht="18.75">
      <c r="A112" s="32">
        <v>1</v>
      </c>
      <c r="B112" s="47" t="s">
        <v>48</v>
      </c>
      <c r="C112" s="116" t="s">
        <v>57</v>
      </c>
      <c r="D112" s="120">
        <f>+D60</f>
        <v>10313608</v>
      </c>
      <c r="E112" s="38">
        <f>+E60</f>
        <v>12353520</v>
      </c>
      <c r="F112" s="38">
        <f>+F60</f>
        <v>12753326</v>
      </c>
      <c r="G112" s="140">
        <f>+F112/D112*100</f>
        <v>123.65532992915766</v>
      </c>
      <c r="H112" s="168">
        <f>+F112/E112*100</f>
        <v>103.23637311470739</v>
      </c>
      <c r="I112" s="120">
        <f>+I60</f>
        <v>9282118</v>
      </c>
      <c r="J112" s="38">
        <f>+J60</f>
        <v>10979349</v>
      </c>
      <c r="K112" s="38">
        <f>+K60</f>
        <v>11407732</v>
      </c>
      <c r="L112" s="140">
        <f>+K112/I112*100</f>
        <v>122.90009672361415</v>
      </c>
      <c r="M112" s="168">
        <f>+K112/J112*100</f>
        <v>103.9017158485444</v>
      </c>
      <c r="N112" s="120">
        <f>+N60</f>
        <v>2042454</v>
      </c>
      <c r="O112" s="38">
        <f>+O60</f>
        <v>2722620</v>
      </c>
      <c r="P112" s="38">
        <f>+P60</f>
        <v>2693659</v>
      </c>
      <c r="Q112" s="140">
        <f>+P112/N112*100</f>
        <v>131.8834597988498</v>
      </c>
      <c r="R112" s="168">
        <f>+P112/O112*100</f>
        <v>98.93628196369674</v>
      </c>
      <c r="T112" s="252"/>
    </row>
    <row r="113" spans="1:18" ht="18.75">
      <c r="A113" s="26">
        <v>2</v>
      </c>
      <c r="B113" s="49" t="s">
        <v>88</v>
      </c>
      <c r="C113" s="117" t="s">
        <v>58</v>
      </c>
      <c r="D113" s="121">
        <f>+D93</f>
        <v>12208004</v>
      </c>
      <c r="E113" s="36">
        <f>+E93</f>
        <v>13737851</v>
      </c>
      <c r="F113" s="36">
        <f>+F93</f>
        <v>12214745</v>
      </c>
      <c r="G113" s="141">
        <f>+F113/D113*100</f>
        <v>100.0552178718159</v>
      </c>
      <c r="H113" s="169">
        <f>+F113/E113*100</f>
        <v>88.91306944586893</v>
      </c>
      <c r="I113" s="121">
        <f>+I93</f>
        <v>11087765</v>
      </c>
      <c r="J113" s="36">
        <f>+J93</f>
        <v>11999833</v>
      </c>
      <c r="K113" s="36">
        <f>+K93</f>
        <v>11065923</v>
      </c>
      <c r="L113" s="141">
        <f>+K113/I113*100</f>
        <v>99.80300809044925</v>
      </c>
      <c r="M113" s="169">
        <f>+K113/J113*100</f>
        <v>92.2173083575413</v>
      </c>
      <c r="N113" s="121">
        <f>+N93</f>
        <v>2079486</v>
      </c>
      <c r="O113" s="36">
        <f>+O93</f>
        <v>3072469</v>
      </c>
      <c r="P113" s="36">
        <f>+P93</f>
        <v>2482951</v>
      </c>
      <c r="Q113" s="141">
        <f>+P113/N113*100</f>
        <v>119.40215033907418</v>
      </c>
      <c r="R113" s="169">
        <f>+P113/O113*100</f>
        <v>80.81289021955958</v>
      </c>
    </row>
    <row r="114" spans="1:18" ht="19.5" thickBot="1">
      <c r="A114" s="27">
        <v>3</v>
      </c>
      <c r="B114" s="50"/>
      <c r="C114" s="118" t="s">
        <v>51</v>
      </c>
      <c r="D114" s="122">
        <f>+D112-D113</f>
        <v>-1894396</v>
      </c>
      <c r="E114" s="35">
        <f>+E112-E113</f>
        <v>-1384331</v>
      </c>
      <c r="F114" s="35">
        <f>+F112-F113</f>
        <v>538581</v>
      </c>
      <c r="G114" s="180"/>
      <c r="H114" s="255"/>
      <c r="I114" s="122">
        <f>+I112-I113</f>
        <v>-1805647</v>
      </c>
      <c r="J114" s="35">
        <f>+J112-J113</f>
        <v>-1020484</v>
      </c>
      <c r="K114" s="35">
        <f>+K112-K113</f>
        <v>341809</v>
      </c>
      <c r="L114" s="180"/>
      <c r="M114" s="251"/>
      <c r="N114" s="122">
        <f>+N112-N113</f>
        <v>-37032</v>
      </c>
      <c r="O114" s="35">
        <f>+O112-O113</f>
        <v>-349849</v>
      </c>
      <c r="P114" s="35">
        <f>+P112-P113</f>
        <v>210708</v>
      </c>
      <c r="Q114" s="180"/>
      <c r="R114" s="255"/>
    </row>
    <row r="115" spans="1:20" ht="19.5" thickBot="1">
      <c r="A115" s="72">
        <v>4</v>
      </c>
      <c r="B115" s="51" t="s">
        <v>50</v>
      </c>
      <c r="C115" s="119" t="s">
        <v>16</v>
      </c>
      <c r="D115" s="123">
        <f>+D107</f>
        <v>1894396</v>
      </c>
      <c r="E115" s="52">
        <f>+E107</f>
        <v>1384331</v>
      </c>
      <c r="F115" s="52">
        <f>+F107</f>
        <v>-538581</v>
      </c>
      <c r="G115" s="142"/>
      <c r="H115" s="170"/>
      <c r="I115" s="123">
        <f>+I107</f>
        <v>1805647</v>
      </c>
      <c r="J115" s="52">
        <f>+J107</f>
        <v>1020484</v>
      </c>
      <c r="K115" s="52">
        <f>+K107</f>
        <v>-341809</v>
      </c>
      <c r="L115" s="142"/>
      <c r="M115" s="170"/>
      <c r="N115" s="123">
        <f>+N107</f>
        <v>37032</v>
      </c>
      <c r="O115" s="52">
        <f>+O107</f>
        <v>349849</v>
      </c>
      <c r="P115" s="52">
        <f>+P107</f>
        <v>-210708</v>
      </c>
      <c r="Q115" s="142"/>
      <c r="R115" s="170"/>
      <c r="T115" s="252"/>
    </row>
    <row r="116" spans="6:11" ht="15.75">
      <c r="F116" s="124"/>
      <c r="K116" s="206"/>
    </row>
    <row r="117" spans="5:11" ht="15.75">
      <c r="E117" s="124"/>
      <c r="F117" s="124"/>
      <c r="G117" s="124"/>
      <c r="K117" s="206"/>
    </row>
    <row r="118" spans="5:6" ht="15.75">
      <c r="E118" s="124"/>
      <c r="F118" s="124"/>
    </row>
    <row r="119" ht="15.75">
      <c r="E119" s="124"/>
    </row>
    <row r="123" ht="15.75">
      <c r="E123" s="124"/>
    </row>
  </sheetData>
  <mergeCells count="2">
    <mergeCell ref="I62:M62"/>
    <mergeCell ref="I95:M95"/>
  </mergeCells>
  <printOptions horizontalCentered="1"/>
  <pageMargins left="0.1968503937007874" right="0.1968503937007874" top="0.43" bottom="0.3937007874015748" header="0" footer="0"/>
  <pageSetup fitToHeight="2" horizontalDpi="600" verticalDpi="600" orientation="landscape" paperSize="9" scale="54" r:id="rId1"/>
  <rowBreaks count="1" manualBreakCount="1">
    <brk id="6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showZeros="0" zoomScale="85" zoomScaleNormal="85" zoomScaleSheetLayoutView="50" workbookViewId="0" topLeftCell="A1">
      <pane xSplit="2" topLeftCell="C1" activePane="topRight" state="frozen"/>
      <selection pane="topLeft" activeCell="A1" sqref="A1"/>
      <selection pane="topRight" activeCell="D30" sqref="D30:F31"/>
    </sheetView>
  </sheetViews>
  <sheetFormatPr defaultColWidth="8.796875" defaultRowHeight="15"/>
  <cols>
    <col min="1" max="1" width="4.19921875" style="4" customWidth="1"/>
    <col min="2" max="2" width="16.19921875" style="4" customWidth="1"/>
    <col min="3" max="3" width="64.296875" style="5" customWidth="1"/>
    <col min="4" max="6" width="14.3984375" style="7" customWidth="1"/>
    <col min="7" max="8" width="11.296875" style="167" customWidth="1"/>
    <col min="9" max="16384" width="8.8984375" style="4" customWidth="1"/>
  </cols>
  <sheetData>
    <row r="1" spans="1:8" ht="22.5">
      <c r="A1" s="254" t="s">
        <v>198</v>
      </c>
      <c r="B1" s="147"/>
      <c r="C1" s="147"/>
      <c r="D1" s="3"/>
      <c r="E1" s="3"/>
      <c r="F1" s="3"/>
      <c r="G1" s="166"/>
      <c r="H1" s="166"/>
    </row>
    <row r="2" spans="1:8" ht="20.25">
      <c r="A2" s="76" t="s">
        <v>185</v>
      </c>
      <c r="B2" s="2"/>
      <c r="C2" s="8"/>
      <c r="D2" s="3"/>
      <c r="E2" s="3"/>
      <c r="F2" s="3"/>
      <c r="G2" s="166"/>
      <c r="H2" s="166"/>
    </row>
    <row r="3" spans="1:8" ht="21" thickBot="1">
      <c r="A3" s="2"/>
      <c r="B3" s="2"/>
      <c r="C3" s="8"/>
      <c r="H3" s="250"/>
    </row>
    <row r="4" spans="1:8" ht="16.5" thickBot="1">
      <c r="A4" s="24"/>
      <c r="B4" s="11" t="s">
        <v>40</v>
      </c>
      <c r="C4" s="86"/>
      <c r="D4" s="97" t="s">
        <v>64</v>
      </c>
      <c r="E4" s="58"/>
      <c r="F4" s="58"/>
      <c r="G4" s="133"/>
      <c r="H4" s="151"/>
    </row>
    <row r="5" spans="1:8" ht="15.75">
      <c r="A5" s="25" t="s">
        <v>1</v>
      </c>
      <c r="B5" s="10" t="s">
        <v>39</v>
      </c>
      <c r="C5" s="87" t="s">
        <v>2</v>
      </c>
      <c r="D5" s="98" t="s">
        <v>53</v>
      </c>
      <c r="E5" s="34" t="s">
        <v>54</v>
      </c>
      <c r="F5" s="34" t="s">
        <v>23</v>
      </c>
      <c r="G5" s="134" t="s">
        <v>0</v>
      </c>
      <c r="H5" s="152" t="s">
        <v>0</v>
      </c>
    </row>
    <row r="6" spans="1:8" ht="16.5" thickBot="1">
      <c r="A6" s="42"/>
      <c r="B6" s="31" t="s">
        <v>38</v>
      </c>
      <c r="C6" s="88"/>
      <c r="D6" s="99" t="s">
        <v>22</v>
      </c>
      <c r="E6" s="43" t="s">
        <v>22</v>
      </c>
      <c r="F6" s="43" t="s">
        <v>186</v>
      </c>
      <c r="G6" s="135" t="s">
        <v>66</v>
      </c>
      <c r="H6" s="153" t="s">
        <v>67</v>
      </c>
    </row>
    <row r="7" spans="1:8" ht="18.75">
      <c r="A7" s="26">
        <v>1</v>
      </c>
      <c r="B7" s="14">
        <v>1111</v>
      </c>
      <c r="C7" s="89" t="s">
        <v>69</v>
      </c>
      <c r="D7" s="100">
        <v>1350000</v>
      </c>
      <c r="E7" s="60">
        <v>1350000</v>
      </c>
      <c r="F7" s="60">
        <v>1454760</v>
      </c>
      <c r="G7" s="125">
        <f aca="true" t="shared" si="0" ref="G7:G13">+F7/D7*100</f>
        <v>107.75999999999999</v>
      </c>
      <c r="H7" s="154">
        <f aca="true" t="shared" si="1" ref="H7:H13">+F7/E7*100</f>
        <v>107.75999999999999</v>
      </c>
    </row>
    <row r="8" spans="1:8" ht="18.75">
      <c r="A8" s="13">
        <v>2</v>
      </c>
      <c r="B8" s="9">
        <v>1112</v>
      </c>
      <c r="C8" s="56" t="s">
        <v>3</v>
      </c>
      <c r="D8" s="100">
        <v>205000</v>
      </c>
      <c r="E8" s="60">
        <v>205000</v>
      </c>
      <c r="F8" s="60">
        <v>213091</v>
      </c>
      <c r="G8" s="128">
        <f t="shared" si="0"/>
        <v>103.94682926829269</v>
      </c>
      <c r="H8" s="156">
        <f t="shared" si="1"/>
        <v>103.94682926829269</v>
      </c>
    </row>
    <row r="9" spans="1:8" ht="18.75">
      <c r="A9" s="26">
        <v>3</v>
      </c>
      <c r="B9" s="9">
        <v>1113</v>
      </c>
      <c r="C9" s="56" t="s">
        <v>59</v>
      </c>
      <c r="D9" s="100">
        <v>100000</v>
      </c>
      <c r="E9" s="60">
        <v>100000</v>
      </c>
      <c r="F9" s="60">
        <v>124238</v>
      </c>
      <c r="G9" s="128">
        <f t="shared" si="0"/>
        <v>124.238</v>
      </c>
      <c r="H9" s="156">
        <f t="shared" si="1"/>
        <v>124.238</v>
      </c>
    </row>
    <row r="10" spans="1:8" ht="18.75">
      <c r="A10" s="13">
        <v>4</v>
      </c>
      <c r="B10" s="9">
        <v>1121</v>
      </c>
      <c r="C10" s="56" t="s">
        <v>4</v>
      </c>
      <c r="D10" s="100">
        <v>1620000</v>
      </c>
      <c r="E10" s="60">
        <v>1620000</v>
      </c>
      <c r="F10" s="60">
        <v>1513559</v>
      </c>
      <c r="G10" s="128">
        <f t="shared" si="0"/>
        <v>93.42956790123456</v>
      </c>
      <c r="H10" s="156">
        <f t="shared" si="1"/>
        <v>93.42956790123456</v>
      </c>
    </row>
    <row r="11" spans="1:8" ht="18.75">
      <c r="A11" s="26">
        <v>5</v>
      </c>
      <c r="B11" s="9">
        <v>1211</v>
      </c>
      <c r="C11" s="56" t="s">
        <v>60</v>
      </c>
      <c r="D11" s="103">
        <v>3220000</v>
      </c>
      <c r="E11" s="61">
        <v>3220000</v>
      </c>
      <c r="F11" s="60">
        <v>3250170</v>
      </c>
      <c r="G11" s="128">
        <f t="shared" si="0"/>
        <v>100.93695652173913</v>
      </c>
      <c r="H11" s="156">
        <f t="shared" si="1"/>
        <v>100.93695652173913</v>
      </c>
    </row>
    <row r="12" spans="1:8" ht="18.75">
      <c r="A12" s="13">
        <v>6</v>
      </c>
      <c r="B12" s="9">
        <v>1511</v>
      </c>
      <c r="C12" s="55" t="s">
        <v>5</v>
      </c>
      <c r="D12" s="103">
        <v>236000</v>
      </c>
      <c r="E12" s="61">
        <v>236000</v>
      </c>
      <c r="F12" s="60">
        <v>202860</v>
      </c>
      <c r="G12" s="128">
        <f t="shared" si="0"/>
        <v>85.95762711864407</v>
      </c>
      <c r="H12" s="156">
        <f t="shared" si="1"/>
        <v>85.95762711864407</v>
      </c>
    </row>
    <row r="13" spans="1:8" ht="19.5" thickBot="1">
      <c r="A13" s="26">
        <v>7</v>
      </c>
      <c r="B13" s="12"/>
      <c r="C13" s="90" t="s">
        <v>61</v>
      </c>
      <c r="D13" s="101">
        <f>SUM(D7:D12)</f>
        <v>6731000</v>
      </c>
      <c r="E13" s="62">
        <f>SUM(E7:E12)</f>
        <v>6731000</v>
      </c>
      <c r="F13" s="62">
        <f>SUM(F7:F12)</f>
        <v>6758678</v>
      </c>
      <c r="G13" s="146">
        <f t="shared" si="0"/>
        <v>100.4112019016491</v>
      </c>
      <c r="H13" s="155">
        <f t="shared" si="1"/>
        <v>100.4112019016491</v>
      </c>
    </row>
    <row r="14" spans="1:8" ht="18.75">
      <c r="A14" s="13">
        <v>8</v>
      </c>
      <c r="B14" s="23">
        <v>1119</v>
      </c>
      <c r="C14" s="91" t="s">
        <v>71</v>
      </c>
      <c r="D14" s="113"/>
      <c r="E14" s="68"/>
      <c r="F14" s="68">
        <v>6</v>
      </c>
      <c r="G14" s="125"/>
      <c r="H14" s="154"/>
    </row>
    <row r="15" spans="1:8" ht="18.75">
      <c r="A15" s="26">
        <v>9</v>
      </c>
      <c r="B15" s="9">
        <v>1122</v>
      </c>
      <c r="C15" s="56" t="s">
        <v>72</v>
      </c>
      <c r="D15" s="103">
        <v>100000</v>
      </c>
      <c r="E15" s="61">
        <v>231033</v>
      </c>
      <c r="F15" s="61">
        <v>231033</v>
      </c>
      <c r="G15" s="128">
        <f aca="true" t="shared" si="2" ref="G15:G25">+F15/D15*100</f>
        <v>231.033</v>
      </c>
      <c r="H15" s="156">
        <f aca="true" t="shared" si="3" ref="H15:H25">+F15/E15*100</f>
        <v>100</v>
      </c>
    </row>
    <row r="16" spans="1:8" ht="18.75">
      <c r="A16" s="13">
        <v>10</v>
      </c>
      <c r="B16" s="15" t="s">
        <v>31</v>
      </c>
      <c r="C16" s="92" t="s">
        <v>70</v>
      </c>
      <c r="D16" s="104">
        <v>183467</v>
      </c>
      <c r="E16" s="63">
        <v>183467</v>
      </c>
      <c r="F16" s="63">
        <v>179981</v>
      </c>
      <c r="G16" s="128">
        <f t="shared" si="2"/>
        <v>98.09993077774205</v>
      </c>
      <c r="H16" s="156">
        <f t="shared" si="3"/>
        <v>98.09993077774205</v>
      </c>
    </row>
    <row r="17" spans="1:8" ht="18.75">
      <c r="A17" s="26">
        <v>11</v>
      </c>
      <c r="B17" s="16" t="s">
        <v>32</v>
      </c>
      <c r="C17" s="55" t="s">
        <v>73</v>
      </c>
      <c r="D17" s="103">
        <v>6000</v>
      </c>
      <c r="E17" s="61">
        <v>6000</v>
      </c>
      <c r="F17" s="61">
        <v>4750</v>
      </c>
      <c r="G17" s="128">
        <f t="shared" si="2"/>
        <v>79.16666666666666</v>
      </c>
      <c r="H17" s="156">
        <f t="shared" si="3"/>
        <v>79.16666666666666</v>
      </c>
    </row>
    <row r="18" spans="1:8" ht="18.75">
      <c r="A18" s="13">
        <v>12</v>
      </c>
      <c r="B18" s="19" t="s">
        <v>84</v>
      </c>
      <c r="C18" s="55" t="s">
        <v>85</v>
      </c>
      <c r="D18" s="113">
        <v>7000</v>
      </c>
      <c r="E18" s="68">
        <v>7500</v>
      </c>
      <c r="F18" s="68">
        <f>500+6718-509</f>
        <v>6709</v>
      </c>
      <c r="G18" s="128">
        <f t="shared" si="2"/>
        <v>95.84285714285714</v>
      </c>
      <c r="H18" s="156">
        <f t="shared" si="3"/>
        <v>89.45333333333333</v>
      </c>
    </row>
    <row r="19" spans="1:8" ht="18.75">
      <c r="A19" s="26">
        <v>13</v>
      </c>
      <c r="B19" s="19">
        <v>1361</v>
      </c>
      <c r="C19" s="55" t="s">
        <v>7</v>
      </c>
      <c r="D19" s="113">
        <v>69010</v>
      </c>
      <c r="E19" s="68">
        <v>69010</v>
      </c>
      <c r="F19" s="68">
        <v>63467</v>
      </c>
      <c r="G19" s="128">
        <f t="shared" si="2"/>
        <v>91.9678307491668</v>
      </c>
      <c r="H19" s="163">
        <f t="shared" si="3"/>
        <v>91.9678307491668</v>
      </c>
    </row>
    <row r="20" spans="1:8" ht="19.5" thickBot="1">
      <c r="A20" s="13">
        <v>14</v>
      </c>
      <c r="B20" s="17" t="s">
        <v>43</v>
      </c>
      <c r="C20" s="93" t="s">
        <v>200</v>
      </c>
      <c r="D20" s="105">
        <f>SUM(D13:D19)</f>
        <v>7096477</v>
      </c>
      <c r="E20" s="64">
        <f>SUM(E13:E19)</f>
        <v>7228010</v>
      </c>
      <c r="F20" s="64">
        <f>SUM(F13:F19)</f>
        <v>7244624</v>
      </c>
      <c r="G20" s="126">
        <f t="shared" si="2"/>
        <v>102.08761333264378</v>
      </c>
      <c r="H20" s="157">
        <f t="shared" si="3"/>
        <v>100.22985579710044</v>
      </c>
    </row>
    <row r="21" spans="1:8" ht="18.75">
      <c r="A21" s="26">
        <v>15</v>
      </c>
      <c r="B21" s="18" t="s">
        <v>33</v>
      </c>
      <c r="C21" s="94" t="s">
        <v>8</v>
      </c>
      <c r="D21" s="100">
        <v>24586</v>
      </c>
      <c r="E21" s="60">
        <v>25816</v>
      </c>
      <c r="F21" s="60">
        <v>28190</v>
      </c>
      <c r="G21" s="125">
        <f t="shared" si="2"/>
        <v>114.65874888147727</v>
      </c>
      <c r="H21" s="154">
        <f t="shared" si="3"/>
        <v>109.19584753641152</v>
      </c>
    </row>
    <row r="22" spans="1:8" ht="18.75">
      <c r="A22" s="13">
        <v>16</v>
      </c>
      <c r="B22" s="18" t="s">
        <v>34</v>
      </c>
      <c r="C22" s="94" t="s">
        <v>65</v>
      </c>
      <c r="D22" s="100">
        <v>101589</v>
      </c>
      <c r="E22" s="60">
        <v>102485</v>
      </c>
      <c r="F22" s="60">
        <v>101656</v>
      </c>
      <c r="G22" s="128">
        <f t="shared" si="2"/>
        <v>100.06595202236464</v>
      </c>
      <c r="H22" s="156">
        <f t="shared" si="3"/>
        <v>99.19110113675173</v>
      </c>
    </row>
    <row r="23" spans="1:8" ht="18.75">
      <c r="A23" s="26">
        <v>17</v>
      </c>
      <c r="B23" s="15" t="s">
        <v>35</v>
      </c>
      <c r="C23" s="92" t="s">
        <v>9</v>
      </c>
      <c r="D23" s="104">
        <v>132563</v>
      </c>
      <c r="E23" s="63">
        <v>131901</v>
      </c>
      <c r="F23" s="63">
        <v>155216</v>
      </c>
      <c r="G23" s="128">
        <f t="shared" si="2"/>
        <v>117.08847868560608</v>
      </c>
      <c r="H23" s="156">
        <f t="shared" si="3"/>
        <v>117.67613588979613</v>
      </c>
    </row>
    <row r="24" spans="1:8" ht="18.75">
      <c r="A24" s="13">
        <v>18</v>
      </c>
      <c r="B24" s="15" t="s">
        <v>120</v>
      </c>
      <c r="C24" s="92" t="s">
        <v>153</v>
      </c>
      <c r="D24" s="104">
        <v>33078</v>
      </c>
      <c r="E24" s="63">
        <v>157034</v>
      </c>
      <c r="F24" s="63">
        <v>167477</v>
      </c>
      <c r="G24" s="128">
        <f t="shared" si="2"/>
        <v>506.3093294636919</v>
      </c>
      <c r="H24" s="156">
        <f t="shared" si="3"/>
        <v>106.65015219633965</v>
      </c>
    </row>
    <row r="25" spans="1:8" ht="18.75">
      <c r="A25" s="26">
        <v>19</v>
      </c>
      <c r="B25" s="15" t="s">
        <v>36</v>
      </c>
      <c r="C25" s="92" t="s">
        <v>10</v>
      </c>
      <c r="D25" s="104">
        <v>45427</v>
      </c>
      <c r="E25" s="63">
        <v>45438</v>
      </c>
      <c r="F25" s="63">
        <v>53494</v>
      </c>
      <c r="G25" s="128">
        <f t="shared" si="2"/>
        <v>117.75816144583618</v>
      </c>
      <c r="H25" s="156">
        <f t="shared" si="3"/>
        <v>117.7296535939082</v>
      </c>
    </row>
    <row r="26" spans="1:8" ht="18.75">
      <c r="A26" s="13">
        <v>20</v>
      </c>
      <c r="B26" s="15">
        <v>2226</v>
      </c>
      <c r="C26" s="92" t="s">
        <v>171</v>
      </c>
      <c r="D26" s="104"/>
      <c r="E26" s="63">
        <v>16350</v>
      </c>
      <c r="F26" s="63">
        <v>16350</v>
      </c>
      <c r="G26" s="128"/>
      <c r="H26" s="156">
        <f aca="true" t="shared" si="4" ref="H26:H31">+F26/E26*100</f>
        <v>100</v>
      </c>
    </row>
    <row r="27" spans="1:8" ht="18.75">
      <c r="A27" s="26">
        <v>21</v>
      </c>
      <c r="B27" s="15">
        <v>2441</v>
      </c>
      <c r="C27" s="92" t="s">
        <v>151</v>
      </c>
      <c r="D27" s="104">
        <v>51717</v>
      </c>
      <c r="E27" s="63">
        <v>51717</v>
      </c>
      <c r="F27" s="63">
        <v>51655</v>
      </c>
      <c r="G27" s="128">
        <f aca="true" t="shared" si="5" ref="G27:G33">+F27/D27*100</f>
        <v>99.88011678945028</v>
      </c>
      <c r="H27" s="156">
        <f t="shared" si="4"/>
        <v>99.88011678945028</v>
      </c>
    </row>
    <row r="28" spans="1:8" ht="18.75">
      <c r="A28" s="13">
        <v>22</v>
      </c>
      <c r="B28" s="16" t="s">
        <v>56</v>
      </c>
      <c r="C28" s="55" t="s">
        <v>11</v>
      </c>
      <c r="D28" s="103">
        <f>449816-D21-D22-D23-D24-D25-D27</f>
        <v>60856</v>
      </c>
      <c r="E28" s="61">
        <f>633097-E21-E22-E23-E24-E25-E26-E27</f>
        <v>102356</v>
      </c>
      <c r="F28" s="61">
        <f>713968-F21-F22-F23-F24-F25-F26-F27</f>
        <v>139930</v>
      </c>
      <c r="G28" s="128">
        <f t="shared" si="5"/>
        <v>229.9362429341396</v>
      </c>
      <c r="H28" s="156">
        <f t="shared" si="4"/>
        <v>136.7091328305131</v>
      </c>
    </row>
    <row r="29" spans="1:8" ht="19.5" thickBot="1">
      <c r="A29" s="26">
        <v>23</v>
      </c>
      <c r="B29" s="17" t="s">
        <v>87</v>
      </c>
      <c r="C29" s="93" t="s">
        <v>201</v>
      </c>
      <c r="D29" s="105">
        <f>SUM(D21:D28)</f>
        <v>449816</v>
      </c>
      <c r="E29" s="64">
        <f>SUM(E21:E28)</f>
        <v>633097</v>
      </c>
      <c r="F29" s="64">
        <f>SUM(F21:F28)</f>
        <v>713968</v>
      </c>
      <c r="G29" s="126">
        <f t="shared" si="5"/>
        <v>158.7244562220997</v>
      </c>
      <c r="H29" s="157">
        <f t="shared" si="4"/>
        <v>112.77387193431653</v>
      </c>
    </row>
    <row r="30" spans="1:8" ht="18.75">
      <c r="A30" s="13">
        <v>24</v>
      </c>
      <c r="B30" s="20" t="s">
        <v>42</v>
      </c>
      <c r="C30" s="95" t="s">
        <v>206</v>
      </c>
      <c r="D30" s="107">
        <v>969000</v>
      </c>
      <c r="E30" s="66">
        <v>969000</v>
      </c>
      <c r="F30" s="66">
        <v>1458728</v>
      </c>
      <c r="G30" s="125">
        <f t="shared" si="5"/>
        <v>150.53952528379773</v>
      </c>
      <c r="H30" s="154">
        <f t="shared" si="4"/>
        <v>150.53952528379773</v>
      </c>
    </row>
    <row r="31" spans="1:8" ht="18.75">
      <c r="A31" s="13">
        <v>25</v>
      </c>
      <c r="B31" s="20" t="s">
        <v>42</v>
      </c>
      <c r="C31" s="95" t="s">
        <v>207</v>
      </c>
      <c r="D31" s="107">
        <f>1129950-D30</f>
        <v>160950</v>
      </c>
      <c r="E31" s="66">
        <f>1129950-E30</f>
        <v>160950</v>
      </c>
      <c r="F31" s="66">
        <f>1572850-F30</f>
        <v>114122</v>
      </c>
      <c r="G31" s="125">
        <f>+F31/D31*100</f>
        <v>70.90525007766388</v>
      </c>
      <c r="H31" s="154">
        <f t="shared" si="4"/>
        <v>70.90525007766388</v>
      </c>
    </row>
    <row r="32" spans="1:8" ht="19.5" thickBot="1">
      <c r="A32" s="26">
        <v>26</v>
      </c>
      <c r="B32" s="21" t="s">
        <v>44</v>
      </c>
      <c r="C32" s="93" t="s">
        <v>208</v>
      </c>
      <c r="D32" s="105">
        <f>SUM(D30:D31)</f>
        <v>1129950</v>
      </c>
      <c r="E32" s="64">
        <f>SUM(E30:E31)</f>
        <v>1129950</v>
      </c>
      <c r="F32" s="64">
        <f>SUM(F30:F31)</f>
        <v>1572850</v>
      </c>
      <c r="G32" s="176">
        <f t="shared" si="5"/>
        <v>139.19642462055845</v>
      </c>
      <c r="H32" s="172">
        <f aca="true" t="shared" si="6" ref="H32:H38">+F32/E32*100</f>
        <v>139.19642462055845</v>
      </c>
    </row>
    <row r="33" spans="1:8" ht="19.5" thickBot="1">
      <c r="A33" s="13">
        <v>27</v>
      </c>
      <c r="B33" s="22"/>
      <c r="C33" s="57" t="s">
        <v>209</v>
      </c>
      <c r="D33" s="108">
        <f>+D20+D29+D32</f>
        <v>8676243</v>
      </c>
      <c r="E33" s="67">
        <f>+E20+E29+E32</f>
        <v>8991057</v>
      </c>
      <c r="F33" s="67">
        <f>+F20+F29+F32</f>
        <v>9531442</v>
      </c>
      <c r="G33" s="173">
        <f t="shared" si="5"/>
        <v>109.8567893960554</v>
      </c>
      <c r="H33" s="171">
        <f t="shared" si="6"/>
        <v>106.01024996282418</v>
      </c>
    </row>
    <row r="34" spans="1:8" ht="18.75">
      <c r="A34" s="26">
        <v>28</v>
      </c>
      <c r="B34" s="78">
        <v>4111</v>
      </c>
      <c r="C34" s="54" t="s">
        <v>125</v>
      </c>
      <c r="D34" s="102"/>
      <c r="E34" s="70">
        <v>12864</v>
      </c>
      <c r="F34" s="70">
        <v>12864</v>
      </c>
      <c r="G34" s="125"/>
      <c r="H34" s="156">
        <f t="shared" si="6"/>
        <v>100</v>
      </c>
    </row>
    <row r="35" spans="1:8" ht="18.75">
      <c r="A35" s="13">
        <v>29</v>
      </c>
      <c r="B35" s="14">
        <v>4112</v>
      </c>
      <c r="C35" s="94" t="s">
        <v>126</v>
      </c>
      <c r="D35" s="100">
        <v>184055</v>
      </c>
      <c r="E35" s="60">
        <v>184363</v>
      </c>
      <c r="F35" s="60">
        <v>184363</v>
      </c>
      <c r="G35" s="128">
        <f>+F35/D35*100</f>
        <v>100.16734128385536</v>
      </c>
      <c r="H35" s="156">
        <f t="shared" si="6"/>
        <v>100</v>
      </c>
    </row>
    <row r="36" spans="1:8" ht="18.75">
      <c r="A36" s="26">
        <v>30</v>
      </c>
      <c r="B36" s="14">
        <v>4113</v>
      </c>
      <c r="C36" s="94" t="s">
        <v>127</v>
      </c>
      <c r="D36" s="100"/>
      <c r="E36" s="60">
        <v>42</v>
      </c>
      <c r="F36" s="60">
        <v>42</v>
      </c>
      <c r="G36" s="128"/>
      <c r="H36" s="156">
        <f t="shared" si="6"/>
        <v>100</v>
      </c>
    </row>
    <row r="37" spans="1:8" ht="18.75">
      <c r="A37" s="13">
        <v>31</v>
      </c>
      <c r="B37" s="18">
        <v>4116</v>
      </c>
      <c r="C37" s="94" t="s">
        <v>128</v>
      </c>
      <c r="D37" s="100"/>
      <c r="E37" s="60">
        <v>889359</v>
      </c>
      <c r="F37" s="60">
        <v>886353</v>
      </c>
      <c r="G37" s="128"/>
      <c r="H37" s="156">
        <f t="shared" si="6"/>
        <v>99.66200375776262</v>
      </c>
    </row>
    <row r="38" spans="1:8" ht="18.75">
      <c r="A38" s="26">
        <v>32</v>
      </c>
      <c r="B38" s="18">
        <v>4119</v>
      </c>
      <c r="C38" s="94" t="s">
        <v>183</v>
      </c>
      <c r="D38" s="100"/>
      <c r="E38" s="60">
        <v>215</v>
      </c>
      <c r="F38" s="60">
        <v>215</v>
      </c>
      <c r="G38" s="128"/>
      <c r="H38" s="156">
        <f t="shared" si="6"/>
        <v>100</v>
      </c>
    </row>
    <row r="39" spans="1:8" ht="18.75">
      <c r="A39" s="13">
        <v>33</v>
      </c>
      <c r="B39" s="14">
        <v>4121</v>
      </c>
      <c r="C39" s="94" t="s">
        <v>131</v>
      </c>
      <c r="D39" s="100">
        <v>30</v>
      </c>
      <c r="E39" s="60">
        <v>30</v>
      </c>
      <c r="F39" s="60">
        <v>56</v>
      </c>
      <c r="G39" s="128">
        <f>+F39/D39*100</f>
        <v>186.66666666666666</v>
      </c>
      <c r="H39" s="156">
        <f aca="true" t="shared" si="7" ref="H39:H44">+F39/E39*100</f>
        <v>186.66666666666666</v>
      </c>
    </row>
    <row r="40" spans="1:8" ht="18.75">
      <c r="A40" s="26">
        <v>34</v>
      </c>
      <c r="B40" s="14">
        <v>4122</v>
      </c>
      <c r="C40" s="94" t="s">
        <v>132</v>
      </c>
      <c r="D40" s="100"/>
      <c r="E40" s="60">
        <v>29604</v>
      </c>
      <c r="F40" s="60">
        <v>29604</v>
      </c>
      <c r="G40" s="128"/>
      <c r="H40" s="156">
        <f t="shared" si="7"/>
        <v>100</v>
      </c>
    </row>
    <row r="41" spans="1:8" ht="18.75">
      <c r="A41" s="13">
        <v>35</v>
      </c>
      <c r="B41" s="14">
        <v>4123</v>
      </c>
      <c r="C41" s="94" t="s">
        <v>154</v>
      </c>
      <c r="D41" s="100"/>
      <c r="E41" s="60">
        <v>2945</v>
      </c>
      <c r="F41" s="60">
        <v>2945</v>
      </c>
      <c r="G41" s="128"/>
      <c r="H41" s="156">
        <f t="shared" si="7"/>
        <v>100</v>
      </c>
    </row>
    <row r="42" spans="1:8" ht="18.75">
      <c r="A42" s="26">
        <v>36</v>
      </c>
      <c r="B42" s="18">
        <v>4131</v>
      </c>
      <c r="C42" s="94" t="s">
        <v>74</v>
      </c>
      <c r="D42" s="100">
        <v>421790</v>
      </c>
      <c r="E42" s="60">
        <v>600854</v>
      </c>
      <c r="F42" s="60">
        <v>507450</v>
      </c>
      <c r="G42" s="128">
        <f>+F42/D42*100</f>
        <v>120.30868441641576</v>
      </c>
      <c r="H42" s="156">
        <f t="shared" si="7"/>
        <v>84.45479267842104</v>
      </c>
    </row>
    <row r="43" spans="1:8" ht="18.75">
      <c r="A43" s="13">
        <v>37</v>
      </c>
      <c r="B43" s="18">
        <v>4132</v>
      </c>
      <c r="C43" s="94" t="s">
        <v>93</v>
      </c>
      <c r="D43" s="100"/>
      <c r="E43" s="60">
        <v>3414</v>
      </c>
      <c r="F43" s="60">
        <v>4139</v>
      </c>
      <c r="G43" s="128"/>
      <c r="H43" s="156">
        <f t="shared" si="7"/>
        <v>121.23608670181605</v>
      </c>
    </row>
    <row r="44" spans="1:8" ht="18.75">
      <c r="A44" s="26">
        <v>38</v>
      </c>
      <c r="B44" s="18">
        <v>4151</v>
      </c>
      <c r="C44" s="94" t="s">
        <v>176</v>
      </c>
      <c r="D44" s="258"/>
      <c r="E44" s="60">
        <v>2719</v>
      </c>
      <c r="F44" s="80">
        <v>2719</v>
      </c>
      <c r="G44" s="128"/>
      <c r="H44" s="156">
        <f t="shared" si="7"/>
        <v>100</v>
      </c>
    </row>
    <row r="45" spans="1:8" ht="18.75">
      <c r="A45" s="13">
        <v>39</v>
      </c>
      <c r="B45" s="18">
        <v>4152</v>
      </c>
      <c r="C45" s="94" t="s">
        <v>179</v>
      </c>
      <c r="D45" s="258"/>
      <c r="E45" s="60"/>
      <c r="F45" s="80">
        <v>1777</v>
      </c>
      <c r="G45" s="128"/>
      <c r="H45" s="156"/>
    </row>
    <row r="46" spans="1:8" ht="18.75">
      <c r="A46" s="26">
        <v>40</v>
      </c>
      <c r="B46" s="18" t="s">
        <v>94</v>
      </c>
      <c r="C46" s="191" t="s">
        <v>210</v>
      </c>
      <c r="D46" s="202">
        <f>SUM(D34:D45)</f>
        <v>605875</v>
      </c>
      <c r="E46" s="193">
        <f>SUM(E34:E45)</f>
        <v>1726409</v>
      </c>
      <c r="F46" s="197">
        <f>SUM(F34:F45)</f>
        <v>1632527</v>
      </c>
      <c r="G46" s="194">
        <f>+F46/D46*100</f>
        <v>269.4494739013823</v>
      </c>
      <c r="H46" s="195">
        <f aca="true" t="shared" si="8" ref="H46:H53">+F46/E46*100</f>
        <v>94.56200703309587</v>
      </c>
    </row>
    <row r="47" spans="1:8" ht="18.75">
      <c r="A47" s="13">
        <v>41</v>
      </c>
      <c r="B47" s="18">
        <v>4213</v>
      </c>
      <c r="C47" s="94" t="s">
        <v>133</v>
      </c>
      <c r="D47" s="100"/>
      <c r="E47" s="60">
        <v>5466</v>
      </c>
      <c r="F47" s="60">
        <v>5466</v>
      </c>
      <c r="G47" s="257"/>
      <c r="H47" s="156">
        <f t="shared" si="8"/>
        <v>100</v>
      </c>
    </row>
    <row r="48" spans="1:8" ht="18.75">
      <c r="A48" s="26">
        <v>42</v>
      </c>
      <c r="B48" s="18">
        <v>4216</v>
      </c>
      <c r="C48" s="94" t="s">
        <v>177</v>
      </c>
      <c r="D48" s="100"/>
      <c r="E48" s="60">
        <v>64736</v>
      </c>
      <c r="F48" s="60">
        <v>46616</v>
      </c>
      <c r="G48" s="257"/>
      <c r="H48" s="156">
        <f t="shared" si="8"/>
        <v>72.00939199209095</v>
      </c>
    </row>
    <row r="49" spans="1:8" ht="18.75">
      <c r="A49" s="13">
        <v>43</v>
      </c>
      <c r="B49" s="9">
        <v>4222</v>
      </c>
      <c r="C49" s="55" t="s">
        <v>135</v>
      </c>
      <c r="D49" s="103"/>
      <c r="E49" s="61">
        <v>80751</v>
      </c>
      <c r="F49" s="61">
        <v>80751</v>
      </c>
      <c r="G49" s="128"/>
      <c r="H49" s="156">
        <f t="shared" si="8"/>
        <v>100</v>
      </c>
    </row>
    <row r="50" spans="1:8" ht="18.75">
      <c r="A50" s="26">
        <v>44</v>
      </c>
      <c r="B50" s="9">
        <v>4223</v>
      </c>
      <c r="C50" s="94" t="s">
        <v>178</v>
      </c>
      <c r="D50" s="258"/>
      <c r="E50" s="60">
        <v>110930</v>
      </c>
      <c r="F50" s="80">
        <v>110930</v>
      </c>
      <c r="G50" s="128"/>
      <c r="H50" s="156">
        <f t="shared" si="8"/>
        <v>100</v>
      </c>
    </row>
    <row r="51" spans="1:8" ht="18.75">
      <c r="A51" s="13">
        <v>45</v>
      </c>
      <c r="B51" s="16" t="s">
        <v>95</v>
      </c>
      <c r="C51" s="200" t="s">
        <v>211</v>
      </c>
      <c r="D51" s="202"/>
      <c r="E51" s="193">
        <f>SUM(E47:E50)</f>
        <v>261883</v>
      </c>
      <c r="F51" s="197">
        <f>SUM(F47:F50)</f>
        <v>243763</v>
      </c>
      <c r="G51" s="194"/>
      <c r="H51" s="195">
        <f t="shared" si="8"/>
        <v>93.08087962945285</v>
      </c>
    </row>
    <row r="52" spans="1:8" ht="19.5" thickBot="1">
      <c r="A52" s="26">
        <v>46</v>
      </c>
      <c r="B52" s="17" t="s">
        <v>45</v>
      </c>
      <c r="C52" s="93" t="s">
        <v>212</v>
      </c>
      <c r="D52" s="105">
        <f>D46+D51</f>
        <v>605875</v>
      </c>
      <c r="E52" s="64">
        <f>E46+E51</f>
        <v>1988292</v>
      </c>
      <c r="F52" s="64">
        <f>F46+F51</f>
        <v>1876290</v>
      </c>
      <c r="G52" s="176">
        <f>+F52/D52*100</f>
        <v>309.6826903239117</v>
      </c>
      <c r="H52" s="172">
        <f t="shared" si="8"/>
        <v>94.36692397293757</v>
      </c>
    </row>
    <row r="53" spans="1:8" ht="19.5" thickBot="1">
      <c r="A53" s="27">
        <v>47</v>
      </c>
      <c r="B53" s="48" t="s">
        <v>48</v>
      </c>
      <c r="C53" s="96" t="s">
        <v>213</v>
      </c>
      <c r="D53" s="109">
        <f>+D33+D52</f>
        <v>9282118</v>
      </c>
      <c r="E53" s="181">
        <f>+E33+E52</f>
        <v>10979349</v>
      </c>
      <c r="F53" s="181">
        <f>+F33+F52</f>
        <v>11407732</v>
      </c>
      <c r="G53" s="174">
        <f>+F53/D53*100</f>
        <v>122.90009672361415</v>
      </c>
      <c r="H53" s="175">
        <f t="shared" si="8"/>
        <v>103.9017158485444</v>
      </c>
    </row>
    <row r="54" spans="1:8" ht="19.5" thickBot="1">
      <c r="A54" s="1"/>
      <c r="B54" s="6"/>
      <c r="C54" s="29"/>
      <c r="D54" s="29"/>
      <c r="E54" s="29"/>
      <c r="F54" s="144"/>
      <c r="G54" s="205"/>
      <c r="H54" s="205"/>
    </row>
    <row r="55" spans="1:8" ht="16.5" thickBot="1">
      <c r="A55" s="24"/>
      <c r="B55" s="11" t="s">
        <v>40</v>
      </c>
      <c r="C55" s="86"/>
      <c r="D55" s="272" t="s">
        <v>64</v>
      </c>
      <c r="E55" s="273"/>
      <c r="F55" s="273"/>
      <c r="G55" s="273"/>
      <c r="H55" s="274"/>
    </row>
    <row r="56" spans="1:8" ht="15.75">
      <c r="A56" s="25" t="s">
        <v>1</v>
      </c>
      <c r="B56" s="10" t="s">
        <v>39</v>
      </c>
      <c r="C56" s="87" t="s">
        <v>12</v>
      </c>
      <c r="D56" s="98" t="s">
        <v>53</v>
      </c>
      <c r="E56" s="34" t="s">
        <v>55</v>
      </c>
      <c r="F56" s="34" t="s">
        <v>23</v>
      </c>
      <c r="G56" s="134" t="s">
        <v>0</v>
      </c>
      <c r="H56" s="152" t="s">
        <v>0</v>
      </c>
    </row>
    <row r="57" spans="1:8" ht="16.5" thickBot="1">
      <c r="A57" s="42"/>
      <c r="B57" s="31" t="s">
        <v>38</v>
      </c>
      <c r="C57" s="88"/>
      <c r="D57" s="99" t="s">
        <v>22</v>
      </c>
      <c r="E57" s="43" t="s">
        <v>22</v>
      </c>
      <c r="F57" s="43" t="s">
        <v>186</v>
      </c>
      <c r="G57" s="135" t="s">
        <v>66</v>
      </c>
      <c r="H57" s="153" t="s">
        <v>67</v>
      </c>
    </row>
    <row r="58" spans="1:8" ht="18.75" customHeight="1">
      <c r="A58" s="198">
        <v>1</v>
      </c>
      <c r="B58" s="71" t="s">
        <v>91</v>
      </c>
      <c r="C58" s="199" t="s">
        <v>89</v>
      </c>
      <c r="D58" s="188">
        <v>561040</v>
      </c>
      <c r="E58" s="189">
        <v>601628</v>
      </c>
      <c r="F58" s="189">
        <v>593962</v>
      </c>
      <c r="G58" s="179">
        <f>+F58/D58*100</f>
        <v>105.86803079994296</v>
      </c>
      <c r="H58" s="196">
        <f aca="true" t="shared" si="9" ref="H58:H65">+F58/E58*100</f>
        <v>98.72579068793341</v>
      </c>
    </row>
    <row r="59" spans="1:8" ht="18.75" customHeight="1">
      <c r="A59" s="13">
        <v>2</v>
      </c>
      <c r="B59" s="15" t="s">
        <v>92</v>
      </c>
      <c r="C59" s="92" t="s">
        <v>90</v>
      </c>
      <c r="D59" s="103">
        <v>28597</v>
      </c>
      <c r="E59" s="61">
        <v>29133</v>
      </c>
      <c r="F59" s="61">
        <v>23436</v>
      </c>
      <c r="G59" s="128">
        <f>+F59/D59*100</f>
        <v>81.95265237612337</v>
      </c>
      <c r="H59" s="156">
        <f t="shared" si="9"/>
        <v>80.44485634847081</v>
      </c>
    </row>
    <row r="60" spans="1:8" ht="18.75">
      <c r="A60" s="26">
        <v>3</v>
      </c>
      <c r="B60" s="41">
        <v>5141</v>
      </c>
      <c r="C60" s="110" t="s">
        <v>78</v>
      </c>
      <c r="D60" s="188">
        <v>299368</v>
      </c>
      <c r="E60" s="189">
        <v>299368</v>
      </c>
      <c r="F60" s="189">
        <v>111509</v>
      </c>
      <c r="G60" s="125">
        <f>+F60/D60*100</f>
        <v>37.24813607332781</v>
      </c>
      <c r="H60" s="154">
        <f t="shared" si="9"/>
        <v>37.24813607332781</v>
      </c>
    </row>
    <row r="61" spans="1:8" ht="18.75" customHeight="1">
      <c r="A61" s="13">
        <v>4</v>
      </c>
      <c r="B61" s="19">
        <v>5213</v>
      </c>
      <c r="C61" s="111" t="s">
        <v>136</v>
      </c>
      <c r="D61" s="112">
        <f>1568504-3850</f>
        <v>1564654</v>
      </c>
      <c r="E61" s="37">
        <f>1572244-3850</f>
        <v>1568394</v>
      </c>
      <c r="F61" s="37">
        <f>1572244-3850</f>
        <v>1568394</v>
      </c>
      <c r="G61" s="128">
        <f>+F61/D61*100</f>
        <v>100.23903048213853</v>
      </c>
      <c r="H61" s="156">
        <f t="shared" si="9"/>
        <v>100</v>
      </c>
    </row>
    <row r="62" spans="1:8" ht="18.75" customHeight="1">
      <c r="A62" s="26">
        <v>5</v>
      </c>
      <c r="B62" s="19">
        <v>5213</v>
      </c>
      <c r="C62" s="91" t="s">
        <v>137</v>
      </c>
      <c r="D62" s="113">
        <f>1705061-D61</f>
        <v>140407</v>
      </c>
      <c r="E62" s="68">
        <f>1733227-E61</f>
        <v>164833</v>
      </c>
      <c r="F62" s="68">
        <f>1675259-F61</f>
        <v>106865</v>
      </c>
      <c r="G62" s="128">
        <f>+F62/D62*100</f>
        <v>76.11087766279458</v>
      </c>
      <c r="H62" s="156">
        <f t="shared" si="9"/>
        <v>64.83228479734034</v>
      </c>
    </row>
    <row r="63" spans="1:8" ht="18.75">
      <c r="A63" s="13">
        <v>6</v>
      </c>
      <c r="B63" s="19" t="s">
        <v>25</v>
      </c>
      <c r="C63" s="111" t="s">
        <v>138</v>
      </c>
      <c r="D63" s="113"/>
      <c r="E63" s="68">
        <v>1365</v>
      </c>
      <c r="F63" s="68">
        <v>1355</v>
      </c>
      <c r="G63" s="128"/>
      <c r="H63" s="156">
        <f t="shared" si="9"/>
        <v>99.26739926739927</v>
      </c>
    </row>
    <row r="64" spans="1:8" ht="18.75">
      <c r="A64" s="26">
        <v>7</v>
      </c>
      <c r="B64" s="19" t="s">
        <v>24</v>
      </c>
      <c r="C64" s="111" t="s">
        <v>139</v>
      </c>
      <c r="D64" s="113">
        <v>405782</v>
      </c>
      <c r="E64" s="68">
        <v>379376</v>
      </c>
      <c r="F64" s="68">
        <v>356639</v>
      </c>
      <c r="G64" s="128">
        <f>+F64/D64*100</f>
        <v>87.88931002360873</v>
      </c>
      <c r="H64" s="156">
        <f t="shared" si="9"/>
        <v>94.00673737927544</v>
      </c>
    </row>
    <row r="65" spans="1:8" ht="18.75">
      <c r="A65" s="13">
        <v>8</v>
      </c>
      <c r="B65" s="19">
        <v>5321</v>
      </c>
      <c r="C65" s="111" t="s">
        <v>140</v>
      </c>
      <c r="D65" s="113">
        <v>958755</v>
      </c>
      <c r="E65" s="68">
        <v>991851</v>
      </c>
      <c r="F65" s="68">
        <v>991818</v>
      </c>
      <c r="G65" s="128">
        <f>+F65/D65*100</f>
        <v>103.44853481859286</v>
      </c>
      <c r="H65" s="156">
        <f t="shared" si="9"/>
        <v>99.99667288735908</v>
      </c>
    </row>
    <row r="66" spans="1:8" ht="18.75">
      <c r="A66" s="26">
        <v>9</v>
      </c>
      <c r="B66" s="23">
        <v>5331</v>
      </c>
      <c r="C66" s="111" t="s">
        <v>17</v>
      </c>
      <c r="D66" s="113">
        <v>1214856</v>
      </c>
      <c r="E66" s="68">
        <v>1268360</v>
      </c>
      <c r="F66" s="68">
        <v>1266395</v>
      </c>
      <c r="G66" s="128">
        <f>+F66/D66*100</f>
        <v>104.24239580658119</v>
      </c>
      <c r="H66" s="156">
        <f>+F66/E66*100</f>
        <v>99.84507553060645</v>
      </c>
    </row>
    <row r="67" spans="1:8" ht="18.75">
      <c r="A67" s="13">
        <v>10</v>
      </c>
      <c r="B67" s="19" t="s">
        <v>26</v>
      </c>
      <c r="C67" s="111" t="s">
        <v>79</v>
      </c>
      <c r="D67" s="113">
        <f>610+0+27475</f>
        <v>28085</v>
      </c>
      <c r="E67" s="68">
        <f>1121+63293+28110</f>
        <v>92524</v>
      </c>
      <c r="F67" s="68">
        <f>1121+63293+28012</f>
        <v>92426</v>
      </c>
      <c r="G67" s="128">
        <f>+F67/D67*100</f>
        <v>329.09382232508455</v>
      </c>
      <c r="H67" s="156">
        <f>+F67/E67*100</f>
        <v>99.89408153560157</v>
      </c>
    </row>
    <row r="68" spans="1:8" ht="18.75">
      <c r="A68" s="26">
        <v>11</v>
      </c>
      <c r="B68" s="19">
        <v>5362</v>
      </c>
      <c r="C68" s="111" t="s">
        <v>72</v>
      </c>
      <c r="D68" s="113">
        <v>100000</v>
      </c>
      <c r="E68" s="68">
        <v>231033</v>
      </c>
      <c r="F68" s="61">
        <v>231033</v>
      </c>
      <c r="G68" s="128">
        <f>+F68/D68*100</f>
        <v>231.033</v>
      </c>
      <c r="H68" s="156">
        <f>+F68/E68*100</f>
        <v>100</v>
      </c>
    </row>
    <row r="69" spans="1:8" ht="18.75">
      <c r="A69" s="13">
        <v>12</v>
      </c>
      <c r="B69" s="19">
        <v>5366</v>
      </c>
      <c r="C69" s="111" t="s">
        <v>165</v>
      </c>
      <c r="D69" s="113"/>
      <c r="E69" s="68">
        <v>14748</v>
      </c>
      <c r="F69" s="68">
        <v>14748</v>
      </c>
      <c r="G69" s="128"/>
      <c r="H69" s="156">
        <f>+F69/E69*100</f>
        <v>100</v>
      </c>
    </row>
    <row r="70" spans="1:8" ht="18.75">
      <c r="A70" s="26">
        <v>13</v>
      </c>
      <c r="B70" s="19">
        <v>5367</v>
      </c>
      <c r="C70" s="111" t="s">
        <v>173</v>
      </c>
      <c r="D70" s="113"/>
      <c r="E70" s="68">
        <v>122680</v>
      </c>
      <c r="F70" s="68">
        <v>122679</v>
      </c>
      <c r="G70" s="128"/>
      <c r="H70" s="156">
        <f>+F70/E70*100</f>
        <v>99.99918487120965</v>
      </c>
    </row>
    <row r="71" spans="1:8" ht="18.75">
      <c r="A71" s="13">
        <v>14</v>
      </c>
      <c r="B71" s="19">
        <v>5901</v>
      </c>
      <c r="C71" s="91" t="s">
        <v>13</v>
      </c>
      <c r="D71" s="113">
        <v>55551</v>
      </c>
      <c r="E71" s="68">
        <v>5950</v>
      </c>
      <c r="F71" s="68"/>
      <c r="G71" s="128"/>
      <c r="H71" s="156"/>
    </row>
    <row r="72" spans="1:8" ht="18.75">
      <c r="A72" s="26">
        <v>15</v>
      </c>
      <c r="B72" s="19" t="s">
        <v>75</v>
      </c>
      <c r="C72" s="91" t="s">
        <v>27</v>
      </c>
      <c r="D72" s="113">
        <f>7608360-D58-D59-D60-D61-D62-D63-D64-D65-D66-D67-D68-D71</f>
        <v>2251265</v>
      </c>
      <c r="E72" s="68">
        <f>9127698-E58-E59-E60-E61-E62-E63-E64-E65-E66-E67-E68-E69-E70-E71</f>
        <v>3356455</v>
      </c>
      <c r="F72" s="68">
        <f>30306603-35701-280893-19473154-1974914-F58-F59-F60-F61-F62-F63-F64-F65-F66-F67-F68-F69-F70-F71</f>
        <v>3060682</v>
      </c>
      <c r="G72" s="128">
        <f>+F72/D72*100</f>
        <v>135.95387482148925</v>
      </c>
      <c r="H72" s="156">
        <f>+F72/E72*100</f>
        <v>91.18793488963803</v>
      </c>
    </row>
    <row r="73" spans="1:8" ht="19.5" thickBot="1">
      <c r="A73" s="13">
        <v>16</v>
      </c>
      <c r="B73" s="17" t="s">
        <v>46</v>
      </c>
      <c r="C73" s="53" t="s">
        <v>202</v>
      </c>
      <c r="D73" s="105">
        <f>SUM(D58:D72)</f>
        <v>7608360</v>
      </c>
      <c r="E73" s="64">
        <f>SUM(E58:E72)</f>
        <v>9127698</v>
      </c>
      <c r="F73" s="64">
        <f>SUM(F58:F72)</f>
        <v>8541941</v>
      </c>
      <c r="G73" s="126">
        <f>+F73/D73*100</f>
        <v>112.2704630169971</v>
      </c>
      <c r="H73" s="157">
        <f>+F73/E73*100</f>
        <v>93.58264263344384</v>
      </c>
    </row>
    <row r="74" spans="1:8" ht="18.75">
      <c r="A74" s="26">
        <v>17</v>
      </c>
      <c r="B74" s="39" t="s">
        <v>28</v>
      </c>
      <c r="C74" s="54" t="s">
        <v>143</v>
      </c>
      <c r="D74" s="102">
        <v>8000</v>
      </c>
      <c r="E74" s="70">
        <v>22578</v>
      </c>
      <c r="F74" s="70">
        <v>22578</v>
      </c>
      <c r="G74" s="125">
        <f>+F74/D74*100</f>
        <v>282.22499999999997</v>
      </c>
      <c r="H74" s="154">
        <f>+F74/E74*100</f>
        <v>100</v>
      </c>
    </row>
    <row r="75" spans="1:8" ht="18.75">
      <c r="A75" s="13">
        <v>18</v>
      </c>
      <c r="B75" s="39" t="s">
        <v>29</v>
      </c>
      <c r="C75" s="55" t="s">
        <v>18</v>
      </c>
      <c r="D75" s="103">
        <v>34000</v>
      </c>
      <c r="E75" s="61">
        <v>30140</v>
      </c>
      <c r="F75" s="61">
        <v>30140</v>
      </c>
      <c r="G75" s="125">
        <f>+F75/D75*100</f>
        <v>88.6470588235294</v>
      </c>
      <c r="H75" s="154">
        <f>+F75/E75*100</f>
        <v>100</v>
      </c>
    </row>
    <row r="76" spans="1:8" ht="18.75">
      <c r="A76" s="26">
        <v>19</v>
      </c>
      <c r="B76" s="39">
        <v>6341</v>
      </c>
      <c r="C76" s="55" t="s">
        <v>14</v>
      </c>
      <c r="D76" s="103"/>
      <c r="E76" s="61">
        <v>165218</v>
      </c>
      <c r="F76" s="61">
        <v>164930</v>
      </c>
      <c r="G76" s="128"/>
      <c r="H76" s="154">
        <f>+F76/E76*100</f>
        <v>99.82568485274001</v>
      </c>
    </row>
    <row r="77" spans="1:8" ht="18.75">
      <c r="A77" s="13">
        <v>20</v>
      </c>
      <c r="B77" s="33">
        <v>6351</v>
      </c>
      <c r="C77" s="55" t="s">
        <v>144</v>
      </c>
      <c r="D77" s="103"/>
      <c r="E77" s="61">
        <v>38398</v>
      </c>
      <c r="F77" s="61">
        <v>38153</v>
      </c>
      <c r="G77" s="128"/>
      <c r="H77" s="156">
        <f aca="true" t="shared" si="10" ref="H77:H82">+F77/E77*100</f>
        <v>99.36194593468409</v>
      </c>
    </row>
    <row r="78" spans="1:8" ht="18.75">
      <c r="A78" s="26">
        <v>21</v>
      </c>
      <c r="B78" s="33">
        <v>6441</v>
      </c>
      <c r="C78" s="55" t="s">
        <v>80</v>
      </c>
      <c r="D78" s="103"/>
      <c r="E78" s="61">
        <v>37719</v>
      </c>
      <c r="F78" s="61">
        <v>37719</v>
      </c>
      <c r="G78" s="128"/>
      <c r="H78" s="156">
        <f t="shared" si="10"/>
        <v>100</v>
      </c>
    </row>
    <row r="79" spans="1:8" ht="18.75">
      <c r="A79" s="13">
        <v>22</v>
      </c>
      <c r="B79" s="39" t="s">
        <v>30</v>
      </c>
      <c r="C79" s="56" t="s">
        <v>81</v>
      </c>
      <c r="D79" s="103">
        <v>1000</v>
      </c>
      <c r="E79" s="61">
        <v>2750</v>
      </c>
      <c r="F79" s="61">
        <v>2230</v>
      </c>
      <c r="G79" s="128">
        <f>+F79/D79*100</f>
        <v>223</v>
      </c>
      <c r="H79" s="156">
        <f t="shared" si="10"/>
        <v>81.0909090909091</v>
      </c>
    </row>
    <row r="80" spans="1:8" ht="18.75">
      <c r="A80" s="26">
        <v>23</v>
      </c>
      <c r="B80" s="39" t="s">
        <v>62</v>
      </c>
      <c r="C80" s="56" t="s">
        <v>37</v>
      </c>
      <c r="D80" s="103">
        <f>3479405-D74-D75-D76-D77-D78-D79</f>
        <v>3436405</v>
      </c>
      <c r="E80" s="61">
        <f>2872135-E74-E75-E76-E77-E78-E79</f>
        <v>2575332</v>
      </c>
      <c r="F80" s="61">
        <f>2523982-F74-F75-F76-F77-F78-F79</f>
        <v>2228232</v>
      </c>
      <c r="G80" s="128">
        <f>+F80/D80*100</f>
        <v>64.84194965378062</v>
      </c>
      <c r="H80" s="156">
        <f t="shared" si="10"/>
        <v>86.52212607927832</v>
      </c>
    </row>
    <row r="81" spans="1:8" ht="19.5" thickBot="1">
      <c r="A81" s="13">
        <v>24</v>
      </c>
      <c r="B81" s="40" t="s">
        <v>47</v>
      </c>
      <c r="C81" s="57" t="s">
        <v>203</v>
      </c>
      <c r="D81" s="108">
        <f>SUM(D74:D80)</f>
        <v>3479405</v>
      </c>
      <c r="E81" s="67">
        <f>SUM(E74:E80)</f>
        <v>2872135</v>
      </c>
      <c r="F81" s="67">
        <f>SUM(F74:F80)</f>
        <v>2523982</v>
      </c>
      <c r="G81" s="176">
        <f>+F81/D81*100</f>
        <v>72.54062116942409</v>
      </c>
      <c r="H81" s="172">
        <f t="shared" si="10"/>
        <v>87.87825084823659</v>
      </c>
    </row>
    <row r="82" spans="1:8" ht="19.5" thickBot="1">
      <c r="A82" s="27">
        <v>25</v>
      </c>
      <c r="B82" s="48" t="s">
        <v>49</v>
      </c>
      <c r="C82" s="96" t="s">
        <v>204</v>
      </c>
      <c r="D82" s="109">
        <f>+D73+D81</f>
        <v>11087765</v>
      </c>
      <c r="E82" s="46">
        <f>+E73+E81</f>
        <v>11999833</v>
      </c>
      <c r="F82" s="46">
        <f>+F73+F81</f>
        <v>11065923</v>
      </c>
      <c r="G82" s="174">
        <f>+F82/D82*100</f>
        <v>99.80300809044925</v>
      </c>
      <c r="H82" s="175">
        <f t="shared" si="10"/>
        <v>92.2173083575413</v>
      </c>
    </row>
    <row r="83" spans="1:8" ht="19.5" thickBot="1">
      <c r="A83" s="1"/>
      <c r="B83" s="44"/>
      <c r="C83" s="45"/>
      <c r="D83" s="45"/>
      <c r="E83" s="45"/>
      <c r="F83" s="45"/>
      <c r="G83" s="177"/>
      <c r="H83" s="177"/>
    </row>
    <row r="84" spans="1:8" ht="16.5" thickBot="1">
      <c r="A84" s="24"/>
      <c r="B84" s="11" t="s">
        <v>40</v>
      </c>
      <c r="C84" s="86"/>
      <c r="D84" s="272" t="s">
        <v>64</v>
      </c>
      <c r="E84" s="273"/>
      <c r="F84" s="273"/>
      <c r="G84" s="273"/>
      <c r="H84" s="274"/>
    </row>
    <row r="85" spans="1:8" ht="15.75">
      <c r="A85" s="25" t="s">
        <v>1</v>
      </c>
      <c r="B85" s="10" t="s">
        <v>38</v>
      </c>
      <c r="C85" s="87" t="s">
        <v>19</v>
      </c>
      <c r="D85" s="98" t="s">
        <v>53</v>
      </c>
      <c r="E85" s="34" t="s">
        <v>55</v>
      </c>
      <c r="F85" s="34" t="s">
        <v>23</v>
      </c>
      <c r="G85" s="134" t="s">
        <v>0</v>
      </c>
      <c r="H85" s="152" t="s">
        <v>0</v>
      </c>
    </row>
    <row r="86" spans="1:8" ht="16.5" thickBot="1">
      <c r="A86" s="42"/>
      <c r="B86" s="31"/>
      <c r="C86" s="88"/>
      <c r="D86" s="99" t="s">
        <v>22</v>
      </c>
      <c r="E86" s="43" t="s">
        <v>22</v>
      </c>
      <c r="F86" s="43" t="s">
        <v>186</v>
      </c>
      <c r="G86" s="135" t="s">
        <v>66</v>
      </c>
      <c r="H86" s="153" t="s">
        <v>67</v>
      </c>
    </row>
    <row r="87" spans="1:8" ht="18.75">
      <c r="A87" s="13">
        <v>1</v>
      </c>
      <c r="B87" s="15">
        <v>8114</v>
      </c>
      <c r="C87" s="56" t="s">
        <v>152</v>
      </c>
      <c r="D87" s="112">
        <v>-1450000</v>
      </c>
      <c r="E87" s="37">
        <v>-1450000</v>
      </c>
      <c r="F87" s="37">
        <v>-1450000</v>
      </c>
      <c r="G87" s="128">
        <f>+F87/D87*100</f>
        <v>100</v>
      </c>
      <c r="H87" s="156">
        <f>+F87/E87*100</f>
        <v>100</v>
      </c>
    </row>
    <row r="88" spans="1:8" ht="18.75">
      <c r="A88" s="13">
        <v>2</v>
      </c>
      <c r="B88" s="256" t="s">
        <v>184</v>
      </c>
      <c r="C88" s="111" t="s">
        <v>20</v>
      </c>
      <c r="D88" s="112">
        <v>1496647</v>
      </c>
      <c r="E88" s="37">
        <v>711484</v>
      </c>
      <c r="F88" s="37">
        <v>-388789</v>
      </c>
      <c r="G88" s="128"/>
      <c r="H88" s="156"/>
    </row>
    <row r="89" spans="1:8" ht="18.75">
      <c r="A89" s="26">
        <v>3</v>
      </c>
      <c r="B89" s="9">
        <v>8124</v>
      </c>
      <c r="C89" s="56" t="s">
        <v>82</v>
      </c>
      <c r="D89" s="103">
        <v>-13000</v>
      </c>
      <c r="E89" s="61">
        <v>-13000</v>
      </c>
      <c r="F89" s="61">
        <v>-13000</v>
      </c>
      <c r="G89" s="128">
        <f>+F89/D89*100</f>
        <v>100</v>
      </c>
      <c r="H89" s="156">
        <f>+F89/E89*100</f>
        <v>100</v>
      </c>
    </row>
    <row r="90" spans="1:8" ht="18.75">
      <c r="A90" s="198">
        <v>4</v>
      </c>
      <c r="B90" s="19" t="s">
        <v>182</v>
      </c>
      <c r="C90" s="111" t="s">
        <v>181</v>
      </c>
      <c r="D90" s="113"/>
      <c r="E90" s="68"/>
      <c r="F90" s="68">
        <v>9980</v>
      </c>
      <c r="G90" s="128"/>
      <c r="H90" s="156"/>
    </row>
    <row r="91" spans="1:8" ht="19.5" thickBot="1">
      <c r="A91" s="27">
        <v>5</v>
      </c>
      <c r="B91" s="17">
        <v>8223</v>
      </c>
      <c r="C91" s="249" t="s">
        <v>123</v>
      </c>
      <c r="D91" s="101">
        <v>1772000</v>
      </c>
      <c r="E91" s="62">
        <v>1772000</v>
      </c>
      <c r="F91" s="62">
        <v>1500000</v>
      </c>
      <c r="G91" s="128">
        <f>+F91/D91*100</f>
        <v>84.65011286681715</v>
      </c>
      <c r="H91" s="156">
        <f>+F91/E91*100</f>
        <v>84.65011286681715</v>
      </c>
    </row>
    <row r="92" spans="1:8" ht="19.5" thickBot="1">
      <c r="A92" s="72">
        <v>6</v>
      </c>
      <c r="B92" s="263" t="s">
        <v>50</v>
      </c>
      <c r="C92" s="264" t="s">
        <v>199</v>
      </c>
      <c r="D92" s="265">
        <f>SUM(D87:D91)</f>
        <v>1805647</v>
      </c>
      <c r="E92" s="181">
        <f>SUM(E87:E91)</f>
        <v>1020484</v>
      </c>
      <c r="F92" s="181">
        <f>SUM(F87:F91)</f>
        <v>-341809</v>
      </c>
      <c r="G92" s="174"/>
      <c r="H92" s="175"/>
    </row>
    <row r="93" spans="4:8" ht="16.5" thickBot="1">
      <c r="D93" s="5"/>
      <c r="E93" s="5"/>
      <c r="F93" s="5"/>
      <c r="G93" s="139"/>
      <c r="H93" s="139"/>
    </row>
    <row r="94" spans="1:8" ht="16.5" thickBot="1">
      <c r="A94" s="24"/>
      <c r="B94" s="11" t="s">
        <v>38</v>
      </c>
      <c r="C94" s="86"/>
      <c r="D94" s="97" t="s">
        <v>64</v>
      </c>
      <c r="E94" s="58"/>
      <c r="F94" s="58"/>
      <c r="G94" s="133"/>
      <c r="H94" s="151"/>
    </row>
    <row r="95" spans="1:8" ht="15.75">
      <c r="A95" s="28" t="s">
        <v>1</v>
      </c>
      <c r="B95" s="10"/>
      <c r="C95" s="87" t="s">
        <v>15</v>
      </c>
      <c r="D95" s="98" t="s">
        <v>53</v>
      </c>
      <c r="E95" s="34" t="s">
        <v>55</v>
      </c>
      <c r="F95" s="34" t="s">
        <v>23</v>
      </c>
      <c r="G95" s="134" t="s">
        <v>0</v>
      </c>
      <c r="H95" s="152" t="s">
        <v>0</v>
      </c>
    </row>
    <row r="96" spans="1:8" ht="16.5" thickBot="1">
      <c r="A96" s="30"/>
      <c r="B96" s="31"/>
      <c r="C96" s="88"/>
      <c r="D96" s="99" t="s">
        <v>22</v>
      </c>
      <c r="E96" s="43" t="s">
        <v>22</v>
      </c>
      <c r="F96" s="43" t="s">
        <v>186</v>
      </c>
      <c r="G96" s="135" t="s">
        <v>66</v>
      </c>
      <c r="H96" s="153" t="s">
        <v>67</v>
      </c>
    </row>
    <row r="97" spans="1:8" ht="18.75">
      <c r="A97" s="32">
        <v>1</v>
      </c>
      <c r="B97" s="47" t="s">
        <v>48</v>
      </c>
      <c r="C97" s="116" t="s">
        <v>57</v>
      </c>
      <c r="D97" s="120">
        <f>+D53</f>
        <v>9282118</v>
      </c>
      <c r="E97" s="38">
        <f>+E53</f>
        <v>10979349</v>
      </c>
      <c r="F97" s="38">
        <f>+F53</f>
        <v>11407732</v>
      </c>
      <c r="G97" s="140">
        <f>+F97/D97*100</f>
        <v>122.90009672361415</v>
      </c>
      <c r="H97" s="168">
        <f>+F97/E97*100</f>
        <v>103.9017158485444</v>
      </c>
    </row>
    <row r="98" spans="1:8" ht="18.75">
      <c r="A98" s="26">
        <v>2</v>
      </c>
      <c r="B98" s="49" t="s">
        <v>88</v>
      </c>
      <c r="C98" s="117" t="s">
        <v>58</v>
      </c>
      <c r="D98" s="121">
        <f>+D82</f>
        <v>11087765</v>
      </c>
      <c r="E98" s="36">
        <f>+E82</f>
        <v>11999833</v>
      </c>
      <c r="F98" s="36">
        <f>+F82</f>
        <v>11065923</v>
      </c>
      <c r="G98" s="141">
        <f>+F98/D98*100</f>
        <v>99.80300809044925</v>
      </c>
      <c r="H98" s="169">
        <f>+F98/E98*100</f>
        <v>92.2173083575413</v>
      </c>
    </row>
    <row r="99" spans="1:8" ht="19.5" thickBot="1">
      <c r="A99" s="27">
        <v>3</v>
      </c>
      <c r="B99" s="50"/>
      <c r="C99" s="118" t="s">
        <v>51</v>
      </c>
      <c r="D99" s="122">
        <f>+D97-D98</f>
        <v>-1805647</v>
      </c>
      <c r="E99" s="35">
        <f>+E97-E98</f>
        <v>-1020484</v>
      </c>
      <c r="F99" s="35">
        <f>+F97-F98</f>
        <v>341809</v>
      </c>
      <c r="G99" s="180"/>
      <c r="H99" s="251"/>
    </row>
    <row r="100" spans="1:8" ht="19.5" thickBot="1">
      <c r="A100" s="72">
        <v>4</v>
      </c>
      <c r="B100" s="51" t="s">
        <v>50</v>
      </c>
      <c r="C100" s="119" t="s">
        <v>16</v>
      </c>
      <c r="D100" s="123">
        <f>+D92</f>
        <v>1805647</v>
      </c>
      <c r="E100" s="52">
        <f>+E92</f>
        <v>1020484</v>
      </c>
      <c r="F100" s="52">
        <f>+F92</f>
        <v>-341809</v>
      </c>
      <c r="G100" s="142"/>
      <c r="H100" s="170"/>
    </row>
    <row r="101" ht="15.75">
      <c r="F101" s="206"/>
    </row>
    <row r="102" ht="15.75">
      <c r="F102" s="206"/>
    </row>
  </sheetData>
  <mergeCells count="2">
    <mergeCell ref="D55:H55"/>
    <mergeCell ref="D84:H84"/>
  </mergeCells>
  <printOptions horizontalCentered="1"/>
  <pageMargins left="0.1968503937007874" right="0.1968503937007874" top="0.43" bottom="0.3937007874015748" header="0" footer="0"/>
  <pageSetup fitToHeight="2" horizontalDpi="600" verticalDpi="600" orientation="landscape" paperSize="9" scale="54" r:id="rId1"/>
  <rowBreaks count="1" manualBreakCount="1">
    <brk id="5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showZeros="0" zoomScale="85" zoomScaleNormal="85" zoomScaleSheetLayoutView="50" workbookViewId="0" topLeftCell="A1">
      <pane xSplit="2" topLeftCell="C1" activePane="topRight" state="frozen"/>
      <selection pane="topLeft" activeCell="A1" sqref="A1"/>
      <selection pane="topRight" activeCell="D22" sqref="D22:F24"/>
    </sheetView>
  </sheetViews>
  <sheetFormatPr defaultColWidth="8.796875" defaultRowHeight="15"/>
  <cols>
    <col min="1" max="1" width="3.69921875" style="4" bestFit="1" customWidth="1"/>
    <col min="2" max="2" width="14.69921875" style="4" customWidth="1"/>
    <col min="3" max="3" width="60.59765625" style="5" customWidth="1"/>
    <col min="4" max="5" width="14.59765625" style="7" customWidth="1"/>
    <col min="6" max="6" width="14.3984375" style="7" customWidth="1"/>
    <col min="7" max="8" width="11.19921875" style="167" customWidth="1"/>
    <col min="9" max="9" width="10.19921875" style="148" bestFit="1" customWidth="1"/>
    <col min="10" max="10" width="9.796875" style="148" bestFit="1" customWidth="1"/>
    <col min="11" max="16384" width="8.8984375" style="4" customWidth="1"/>
  </cols>
  <sheetData>
    <row r="1" spans="1:10" ht="22.5">
      <c r="A1" s="254" t="s">
        <v>193</v>
      </c>
      <c r="B1" s="147"/>
      <c r="C1" s="147"/>
      <c r="D1" s="3"/>
      <c r="E1" s="3"/>
      <c r="F1" s="3"/>
      <c r="G1" s="166"/>
      <c r="H1" s="166"/>
      <c r="J1" s="4"/>
    </row>
    <row r="2" spans="1:10" ht="20.25">
      <c r="A2" s="76" t="s">
        <v>185</v>
      </c>
      <c r="B2" s="2"/>
      <c r="C2" s="8"/>
      <c r="D2" s="3"/>
      <c r="E2" s="3"/>
      <c r="F2" s="3"/>
      <c r="G2" s="166"/>
      <c r="H2" s="166"/>
      <c r="J2" s="4"/>
    </row>
    <row r="3" spans="1:10" ht="21" thickBot="1">
      <c r="A3" s="2"/>
      <c r="B3" s="2"/>
      <c r="C3" s="8"/>
      <c r="J3" s="4"/>
    </row>
    <row r="4" spans="1:10" ht="16.5" thickBot="1">
      <c r="A4" s="24"/>
      <c r="B4" s="11" t="s">
        <v>40</v>
      </c>
      <c r="C4" s="86"/>
      <c r="D4" s="97" t="s">
        <v>41</v>
      </c>
      <c r="E4" s="58"/>
      <c r="F4" s="59"/>
      <c r="G4" s="143"/>
      <c r="H4" s="269"/>
      <c r="J4" s="4"/>
    </row>
    <row r="5" spans="1:10" ht="15.75">
      <c r="A5" s="25" t="s">
        <v>1</v>
      </c>
      <c r="B5" s="10" t="s">
        <v>39</v>
      </c>
      <c r="C5" s="87" t="s">
        <v>2</v>
      </c>
      <c r="D5" s="98" t="s">
        <v>53</v>
      </c>
      <c r="E5" s="34" t="s">
        <v>54</v>
      </c>
      <c r="F5" s="34" t="s">
        <v>23</v>
      </c>
      <c r="G5" s="134" t="s">
        <v>0</v>
      </c>
      <c r="H5" s="152" t="s">
        <v>0</v>
      </c>
      <c r="J5" s="4"/>
    </row>
    <row r="6" spans="1:10" ht="16.5" thickBot="1">
      <c r="A6" s="42"/>
      <c r="B6" s="31" t="s">
        <v>38</v>
      </c>
      <c r="C6" s="88"/>
      <c r="D6" s="99" t="s">
        <v>22</v>
      </c>
      <c r="E6" s="43" t="s">
        <v>22</v>
      </c>
      <c r="F6" s="43" t="s">
        <v>186</v>
      </c>
      <c r="G6" s="135" t="s">
        <v>66</v>
      </c>
      <c r="H6" s="153" t="s">
        <v>67</v>
      </c>
      <c r="J6" s="4"/>
    </row>
    <row r="7" spans="1:10" ht="18.75">
      <c r="A7" s="26">
        <v>1</v>
      </c>
      <c r="B7" s="9">
        <v>1122</v>
      </c>
      <c r="C7" s="56" t="s">
        <v>6</v>
      </c>
      <c r="D7" s="103">
        <v>42077</v>
      </c>
      <c r="E7" s="81">
        <v>68633</v>
      </c>
      <c r="F7" s="61">
        <f>92041-F8</f>
        <v>68633</v>
      </c>
      <c r="G7" s="128">
        <f aca="true" t="shared" si="0" ref="G7:G18">+F7/D7*100</f>
        <v>163.11286451030253</v>
      </c>
      <c r="H7" s="156">
        <f aca="true" t="shared" si="1" ref="H7:H19">+F7/E7*100</f>
        <v>100</v>
      </c>
      <c r="I7" s="266"/>
      <c r="J7" s="4"/>
    </row>
    <row r="8" spans="1:10" ht="18.75">
      <c r="A8" s="13">
        <v>2</v>
      </c>
      <c r="B8" s="9">
        <v>1122</v>
      </c>
      <c r="C8" s="56" t="s">
        <v>72</v>
      </c>
      <c r="D8" s="103">
        <v>9726</v>
      </c>
      <c r="E8" s="81">
        <v>23408</v>
      </c>
      <c r="F8" s="61">
        <v>23408</v>
      </c>
      <c r="G8" s="128">
        <f t="shared" si="0"/>
        <v>240.67448077318528</v>
      </c>
      <c r="H8" s="156">
        <f t="shared" si="1"/>
        <v>100</v>
      </c>
      <c r="I8" s="267"/>
      <c r="J8" s="4"/>
    </row>
    <row r="9" spans="1:10" ht="18.75">
      <c r="A9" s="26">
        <v>3</v>
      </c>
      <c r="B9" s="15" t="s">
        <v>31</v>
      </c>
      <c r="C9" s="92" t="s">
        <v>70</v>
      </c>
      <c r="D9" s="104">
        <v>47</v>
      </c>
      <c r="E9" s="84">
        <v>147</v>
      </c>
      <c r="F9" s="63">
        <v>142</v>
      </c>
      <c r="G9" s="129">
        <f t="shared" si="0"/>
        <v>302.1276595744681</v>
      </c>
      <c r="H9" s="270">
        <f t="shared" si="1"/>
        <v>96.5986394557823</v>
      </c>
      <c r="I9" s="268"/>
      <c r="J9" s="4"/>
    </row>
    <row r="10" spans="1:10" ht="18.75">
      <c r="A10" s="13">
        <v>4</v>
      </c>
      <c r="B10" s="16" t="s">
        <v>32</v>
      </c>
      <c r="C10" s="55" t="s">
        <v>73</v>
      </c>
      <c r="D10" s="103">
        <v>108258</v>
      </c>
      <c r="E10" s="81">
        <v>106959</v>
      </c>
      <c r="F10" s="61">
        <v>121716</v>
      </c>
      <c r="G10" s="128">
        <f t="shared" si="0"/>
        <v>112.43141384470432</v>
      </c>
      <c r="H10" s="156">
        <f t="shared" si="1"/>
        <v>113.79687543825203</v>
      </c>
      <c r="I10" s="268"/>
      <c r="J10" s="4"/>
    </row>
    <row r="11" spans="1:10" ht="18.75">
      <c r="A11" s="26">
        <v>5</v>
      </c>
      <c r="B11" s="19" t="s">
        <v>84</v>
      </c>
      <c r="C11" s="55" t="s">
        <v>85</v>
      </c>
      <c r="D11" s="113">
        <v>25040</v>
      </c>
      <c r="E11" s="83">
        <v>17918</v>
      </c>
      <c r="F11" s="68">
        <v>16264</v>
      </c>
      <c r="G11" s="128">
        <f t="shared" si="0"/>
        <v>64.9520766773163</v>
      </c>
      <c r="H11" s="156">
        <f t="shared" si="1"/>
        <v>90.7690590467686</v>
      </c>
      <c r="I11" s="266"/>
      <c r="J11" s="4"/>
    </row>
    <row r="12" spans="1:10" ht="18.75">
      <c r="A12" s="13">
        <v>6</v>
      </c>
      <c r="B12" s="19">
        <v>1361</v>
      </c>
      <c r="C12" s="55" t="s">
        <v>7</v>
      </c>
      <c r="D12" s="113">
        <v>42341</v>
      </c>
      <c r="E12" s="83">
        <v>21786</v>
      </c>
      <c r="F12" s="68">
        <v>14566</v>
      </c>
      <c r="G12" s="128">
        <f t="shared" si="0"/>
        <v>34.401643796792705</v>
      </c>
      <c r="H12" s="156">
        <f t="shared" si="1"/>
        <v>66.85945102359312</v>
      </c>
      <c r="I12" s="267"/>
      <c r="J12" s="4"/>
    </row>
    <row r="13" spans="1:10" ht="19.5" thickBot="1">
      <c r="A13" s="26">
        <v>7</v>
      </c>
      <c r="B13" s="17" t="s">
        <v>43</v>
      </c>
      <c r="C13" s="93" t="s">
        <v>191</v>
      </c>
      <c r="D13" s="105">
        <f>SUM(D7:D12)</f>
        <v>227489</v>
      </c>
      <c r="E13" s="64">
        <f>SUM(E7:E12)</f>
        <v>238851</v>
      </c>
      <c r="F13" s="64">
        <f>SUM(F7:F12)</f>
        <v>244729</v>
      </c>
      <c r="G13" s="126">
        <f t="shared" si="0"/>
        <v>107.57838840559324</v>
      </c>
      <c r="H13" s="157">
        <f t="shared" si="1"/>
        <v>102.4609484574065</v>
      </c>
      <c r="I13" s="266"/>
      <c r="J13" s="4"/>
    </row>
    <row r="14" spans="1:10" ht="18.75">
      <c r="A14" s="13">
        <v>8</v>
      </c>
      <c r="B14" s="18" t="s">
        <v>33</v>
      </c>
      <c r="C14" s="94" t="s">
        <v>8</v>
      </c>
      <c r="D14" s="100">
        <v>30589</v>
      </c>
      <c r="E14" s="80">
        <v>34202</v>
      </c>
      <c r="F14" s="60">
        <v>35397</v>
      </c>
      <c r="G14" s="125">
        <f t="shared" si="0"/>
        <v>115.71806858674687</v>
      </c>
      <c r="H14" s="154">
        <f t="shared" si="1"/>
        <v>103.49394772235543</v>
      </c>
      <c r="J14" s="4"/>
    </row>
    <row r="15" spans="1:10" ht="18.75">
      <c r="A15" s="26">
        <v>9</v>
      </c>
      <c r="B15" s="18" t="s">
        <v>34</v>
      </c>
      <c r="C15" s="94" t="s">
        <v>65</v>
      </c>
      <c r="D15" s="100">
        <v>2514</v>
      </c>
      <c r="E15" s="80">
        <v>9318</v>
      </c>
      <c r="F15" s="60">
        <v>9456</v>
      </c>
      <c r="G15" s="129">
        <f t="shared" si="0"/>
        <v>376.13365155131265</v>
      </c>
      <c r="H15" s="154">
        <f t="shared" si="1"/>
        <v>101.48100450740503</v>
      </c>
      <c r="J15" s="4"/>
    </row>
    <row r="16" spans="1:10" ht="18.75">
      <c r="A16" s="13">
        <v>10</v>
      </c>
      <c r="B16" s="15" t="s">
        <v>35</v>
      </c>
      <c r="C16" s="92" t="s">
        <v>9</v>
      </c>
      <c r="D16" s="104">
        <v>78861</v>
      </c>
      <c r="E16" s="84">
        <v>83569</v>
      </c>
      <c r="F16" s="63">
        <v>86154</v>
      </c>
      <c r="G16" s="129">
        <f t="shared" si="0"/>
        <v>109.24791722144025</v>
      </c>
      <c r="H16" s="154">
        <f t="shared" si="1"/>
        <v>103.09325228254495</v>
      </c>
      <c r="J16" s="4"/>
    </row>
    <row r="17" spans="1:10" ht="18.75">
      <c r="A17" s="26">
        <v>11</v>
      </c>
      <c r="B17" s="15" t="s">
        <v>120</v>
      </c>
      <c r="C17" s="92" t="s">
        <v>153</v>
      </c>
      <c r="D17" s="104">
        <v>7466</v>
      </c>
      <c r="E17" s="84">
        <v>6795</v>
      </c>
      <c r="F17" s="63">
        <v>7629</v>
      </c>
      <c r="G17" s="129">
        <f t="shared" si="0"/>
        <v>102.18323064559335</v>
      </c>
      <c r="H17" s="154">
        <f t="shared" si="1"/>
        <v>112.27373068432671</v>
      </c>
      <c r="J17" s="4"/>
    </row>
    <row r="18" spans="1:10" ht="18.75">
      <c r="A18" s="13">
        <v>12</v>
      </c>
      <c r="B18" s="15" t="s">
        <v>36</v>
      </c>
      <c r="C18" s="92" t="s">
        <v>10</v>
      </c>
      <c r="D18" s="104">
        <v>4386</v>
      </c>
      <c r="E18" s="84">
        <v>6472</v>
      </c>
      <c r="F18" s="63">
        <v>3955</v>
      </c>
      <c r="G18" s="129">
        <f t="shared" si="0"/>
        <v>90.17327861377109</v>
      </c>
      <c r="H18" s="270">
        <f t="shared" si="1"/>
        <v>61.109394313967854</v>
      </c>
      <c r="J18" s="4"/>
    </row>
    <row r="19" spans="1:10" ht="18.75">
      <c r="A19" s="26">
        <v>13</v>
      </c>
      <c r="B19" s="15">
        <v>2226</v>
      </c>
      <c r="C19" s="92" t="s">
        <v>170</v>
      </c>
      <c r="D19" s="104"/>
      <c r="E19" s="84">
        <v>122680</v>
      </c>
      <c r="F19" s="63">
        <v>122679</v>
      </c>
      <c r="G19" s="129"/>
      <c r="H19" s="154">
        <f t="shared" si="1"/>
        <v>99.99918487120965</v>
      </c>
      <c r="J19" s="4"/>
    </row>
    <row r="20" spans="1:10" ht="18.75">
      <c r="A20" s="13">
        <v>14</v>
      </c>
      <c r="B20" s="16" t="s">
        <v>56</v>
      </c>
      <c r="C20" s="55" t="s">
        <v>11</v>
      </c>
      <c r="D20" s="103">
        <v>14660</v>
      </c>
      <c r="E20" s="81">
        <f>281174-E14-E15-E16-E17-E18-E19</f>
        <v>18138</v>
      </c>
      <c r="F20" s="61">
        <f>282604-F14-F15-F16-F17-F18-F19</f>
        <v>17334</v>
      </c>
      <c r="G20" s="128">
        <f>+F20/D20*100</f>
        <v>118.24010914051841</v>
      </c>
      <c r="H20" s="156">
        <f aca="true" t="shared" si="2" ref="H20:H30">+F20/E20*100</f>
        <v>95.56731723453524</v>
      </c>
      <c r="J20" s="4"/>
    </row>
    <row r="21" spans="1:10" ht="19.5" thickBot="1">
      <c r="A21" s="26">
        <v>15</v>
      </c>
      <c r="B21" s="17" t="s">
        <v>87</v>
      </c>
      <c r="C21" s="93" t="s">
        <v>192</v>
      </c>
      <c r="D21" s="105">
        <f>SUM(D14:D20)</f>
        <v>138476</v>
      </c>
      <c r="E21" s="64">
        <f>SUM(E14:E20)</f>
        <v>281174</v>
      </c>
      <c r="F21" s="64">
        <f>SUM(F14:F20)</f>
        <v>282604</v>
      </c>
      <c r="G21" s="126">
        <f>+F21/D21*100</f>
        <v>204.0815737023022</v>
      </c>
      <c r="H21" s="157">
        <f t="shared" si="2"/>
        <v>100.50858187456878</v>
      </c>
      <c r="J21" s="4"/>
    </row>
    <row r="22" spans="1:10" ht="18.75">
      <c r="A22" s="13">
        <v>16</v>
      </c>
      <c r="B22" s="20" t="s">
        <v>42</v>
      </c>
      <c r="C22" s="95" t="s">
        <v>206</v>
      </c>
      <c r="D22" s="107"/>
      <c r="E22" s="66"/>
      <c r="F22" s="66">
        <v>-457</v>
      </c>
      <c r="G22" s="130"/>
      <c r="H22" s="270"/>
      <c r="J22" s="4"/>
    </row>
    <row r="23" spans="1:10" ht="18.75">
      <c r="A23" s="26">
        <v>17</v>
      </c>
      <c r="B23" s="15" t="s">
        <v>42</v>
      </c>
      <c r="C23" s="92" t="s">
        <v>207</v>
      </c>
      <c r="D23" s="104"/>
      <c r="E23" s="63">
        <v>789</v>
      </c>
      <c r="F23" s="63">
        <f>22-457+522+193+457</f>
        <v>737</v>
      </c>
      <c r="G23" s="129"/>
      <c r="H23" s="270">
        <f>+F23/E23*100</f>
        <v>93.40937896070976</v>
      </c>
      <c r="J23" s="4"/>
    </row>
    <row r="24" spans="1:10" ht="18.75">
      <c r="A24" s="26">
        <v>18</v>
      </c>
      <c r="B24" s="15" t="s">
        <v>174</v>
      </c>
      <c r="C24" s="92" t="s">
        <v>175</v>
      </c>
      <c r="D24" s="104"/>
      <c r="E24" s="63">
        <v>2791</v>
      </c>
      <c r="F24" s="63">
        <v>2813</v>
      </c>
      <c r="G24" s="129"/>
      <c r="H24" s="270">
        <f>+F24/E24*100</f>
        <v>100.78824793980652</v>
      </c>
      <c r="J24" s="4"/>
    </row>
    <row r="25" spans="1:10" ht="19.5" thickBot="1">
      <c r="A25" s="13">
        <v>19</v>
      </c>
      <c r="B25" s="21" t="s">
        <v>44</v>
      </c>
      <c r="C25" s="93" t="s">
        <v>217</v>
      </c>
      <c r="D25" s="105">
        <f>SUM(D22:D24)</f>
        <v>0</v>
      </c>
      <c r="E25" s="64">
        <f>SUM(E22:E24)</f>
        <v>3580</v>
      </c>
      <c r="F25" s="64">
        <f>SUM(F22:F24)</f>
        <v>3093</v>
      </c>
      <c r="G25" s="126"/>
      <c r="H25" s="157">
        <f t="shared" si="2"/>
        <v>86.39664804469274</v>
      </c>
      <c r="J25" s="4"/>
    </row>
    <row r="26" spans="1:10" ht="19.5" thickBot="1">
      <c r="A26" s="26">
        <v>20</v>
      </c>
      <c r="B26" s="22"/>
      <c r="C26" s="57" t="s">
        <v>218</v>
      </c>
      <c r="D26" s="108">
        <f>+D13+D21+D25</f>
        <v>365965</v>
      </c>
      <c r="E26" s="67">
        <f>+E13+E21+E25</f>
        <v>523605</v>
      </c>
      <c r="F26" s="67">
        <f>+F13+F21+F25</f>
        <v>530426</v>
      </c>
      <c r="G26" s="131">
        <f>+F26/D26*100</f>
        <v>144.93899689861053</v>
      </c>
      <c r="H26" s="159">
        <f t="shared" si="2"/>
        <v>101.30269955405315</v>
      </c>
      <c r="J26" s="4"/>
    </row>
    <row r="27" spans="1:10" ht="18.75">
      <c r="A27" s="13">
        <v>21</v>
      </c>
      <c r="B27" s="78">
        <v>4111</v>
      </c>
      <c r="C27" s="54" t="s">
        <v>125</v>
      </c>
      <c r="D27" s="102"/>
      <c r="E27" s="70">
        <v>45023</v>
      </c>
      <c r="F27" s="70">
        <v>45023</v>
      </c>
      <c r="G27" s="125"/>
      <c r="H27" s="270">
        <f t="shared" si="2"/>
        <v>100</v>
      </c>
      <c r="J27" s="4"/>
    </row>
    <row r="28" spans="1:10" ht="18.75">
      <c r="A28" s="26">
        <v>22</v>
      </c>
      <c r="B28" s="14">
        <v>4112</v>
      </c>
      <c r="C28" s="94" t="s">
        <v>126</v>
      </c>
      <c r="D28" s="100">
        <v>268430</v>
      </c>
      <c r="E28" s="80">
        <v>268014</v>
      </c>
      <c r="F28" s="60">
        <v>268014</v>
      </c>
      <c r="G28" s="125">
        <f>+F28/D28*100</f>
        <v>99.84502477368402</v>
      </c>
      <c r="H28" s="270">
        <f t="shared" si="2"/>
        <v>100</v>
      </c>
      <c r="J28" s="4"/>
    </row>
    <row r="29" spans="1:10" ht="18.75">
      <c r="A29" s="13">
        <v>23</v>
      </c>
      <c r="B29" s="14">
        <v>4113</v>
      </c>
      <c r="C29" s="94" t="s">
        <v>127</v>
      </c>
      <c r="D29" s="100">
        <v>3729</v>
      </c>
      <c r="E29" s="80">
        <v>11350</v>
      </c>
      <c r="F29" s="60">
        <v>11350</v>
      </c>
      <c r="G29" s="125">
        <f>+F29/D29*100</f>
        <v>304.3711450791097</v>
      </c>
      <c r="H29" s="270">
        <f t="shared" si="2"/>
        <v>100</v>
      </c>
      <c r="J29" s="4"/>
    </row>
    <row r="30" spans="1:10" ht="18.75">
      <c r="A30" s="26">
        <v>24</v>
      </c>
      <c r="B30" s="18">
        <v>4116</v>
      </c>
      <c r="C30" s="94" t="s">
        <v>128</v>
      </c>
      <c r="D30" s="100"/>
      <c r="E30" s="80">
        <v>149955</v>
      </c>
      <c r="F30" s="60">
        <v>149901</v>
      </c>
      <c r="G30" s="125"/>
      <c r="H30" s="270">
        <f t="shared" si="2"/>
        <v>99.96398919675903</v>
      </c>
      <c r="J30" s="4"/>
    </row>
    <row r="31" spans="1:10" ht="18.75">
      <c r="A31" s="26">
        <v>25</v>
      </c>
      <c r="B31" s="14">
        <v>4121</v>
      </c>
      <c r="C31" s="94" t="s">
        <v>129</v>
      </c>
      <c r="D31" s="100">
        <v>958755</v>
      </c>
      <c r="E31" s="68">
        <v>991851</v>
      </c>
      <c r="F31" s="68">
        <v>991818</v>
      </c>
      <c r="G31" s="125">
        <f>+F31/D31*100</f>
        <v>103.44853481859286</v>
      </c>
      <c r="H31" s="270">
        <f>+F31/E31*100</f>
        <v>99.99667288735908</v>
      </c>
      <c r="J31" s="4"/>
    </row>
    <row r="32" spans="1:10" ht="18.75">
      <c r="A32" s="13">
        <v>26</v>
      </c>
      <c r="B32" s="14">
        <v>4121</v>
      </c>
      <c r="C32" s="94" t="s">
        <v>130</v>
      </c>
      <c r="D32" s="100">
        <v>392</v>
      </c>
      <c r="E32" s="61">
        <v>533</v>
      </c>
      <c r="F32" s="61">
        <v>533</v>
      </c>
      <c r="G32" s="125">
        <f>+F32/D32*100</f>
        <v>135.96938775510205</v>
      </c>
      <c r="H32" s="270">
        <f>+F32/E32*100</f>
        <v>100</v>
      </c>
      <c r="J32" s="4"/>
    </row>
    <row r="33" spans="1:10" ht="18.75">
      <c r="A33" s="26">
        <v>27</v>
      </c>
      <c r="B33" s="14">
        <v>4121</v>
      </c>
      <c r="C33" s="94" t="s">
        <v>131</v>
      </c>
      <c r="D33" s="100">
        <v>346</v>
      </c>
      <c r="E33" s="80">
        <v>2151</v>
      </c>
      <c r="F33" s="60">
        <f>2124+18</f>
        <v>2142</v>
      </c>
      <c r="G33" s="125">
        <f>+F33/D33*100</f>
        <v>619.0751445086705</v>
      </c>
      <c r="H33" s="270">
        <f>+F33/E33*100</f>
        <v>99.581589958159</v>
      </c>
      <c r="J33" s="4"/>
    </row>
    <row r="34" spans="1:10" ht="18.75">
      <c r="A34" s="13">
        <v>28</v>
      </c>
      <c r="B34" s="14">
        <v>4122</v>
      </c>
      <c r="C34" s="94" t="s">
        <v>132</v>
      </c>
      <c r="D34" s="100"/>
      <c r="E34" s="80">
        <v>4172</v>
      </c>
      <c r="F34" s="60">
        <v>4171</v>
      </c>
      <c r="G34" s="125"/>
      <c r="H34" s="154">
        <f>+F34/E34*100</f>
        <v>99.97603068072867</v>
      </c>
      <c r="J34" s="4"/>
    </row>
    <row r="35" spans="1:10" ht="18.75">
      <c r="A35" s="26">
        <v>29</v>
      </c>
      <c r="B35" s="18">
        <v>4131</v>
      </c>
      <c r="C35" s="94" t="s">
        <v>74</v>
      </c>
      <c r="D35" s="258">
        <v>444737</v>
      </c>
      <c r="E35" s="61">
        <v>550562</v>
      </c>
      <c r="F35" s="60">
        <v>515165</v>
      </c>
      <c r="G35" s="125">
        <f>+F35/D35*100</f>
        <v>115.83587603460022</v>
      </c>
      <c r="H35" s="270">
        <f>+F35/E35*100</f>
        <v>93.57075134135665</v>
      </c>
      <c r="J35" s="4"/>
    </row>
    <row r="36" spans="1:10" ht="18.75">
      <c r="A36" s="13">
        <v>30</v>
      </c>
      <c r="B36" s="18">
        <v>4152</v>
      </c>
      <c r="C36" s="94" t="s">
        <v>179</v>
      </c>
      <c r="D36" s="258"/>
      <c r="E36" s="60">
        <v>381</v>
      </c>
      <c r="F36" s="80">
        <v>381</v>
      </c>
      <c r="G36" s="125"/>
      <c r="H36" s="270">
        <f aca="true" t="shared" si="3" ref="H36:H42">+F36/E36*100</f>
        <v>100</v>
      </c>
      <c r="J36" s="4"/>
    </row>
    <row r="37" spans="1:10" ht="18.75">
      <c r="A37" s="26">
        <v>31</v>
      </c>
      <c r="B37" s="18" t="s">
        <v>94</v>
      </c>
      <c r="C37" s="191" t="s">
        <v>219</v>
      </c>
      <c r="D37" s="202">
        <f>SUM(D27:D36)</f>
        <v>1676389</v>
      </c>
      <c r="E37" s="193">
        <f>SUM(E27:E36)</f>
        <v>2023992</v>
      </c>
      <c r="F37" s="197">
        <f>SUM(F27:F36)</f>
        <v>1988498</v>
      </c>
      <c r="G37" s="194">
        <f>+F37/D37*100</f>
        <v>118.6179341429704</v>
      </c>
      <c r="H37" s="195">
        <f t="shared" si="3"/>
        <v>98.24633694204324</v>
      </c>
      <c r="J37" s="4"/>
    </row>
    <row r="38" spans="1:10" ht="18.75">
      <c r="A38" s="13">
        <v>32</v>
      </c>
      <c r="B38" s="18">
        <v>4213</v>
      </c>
      <c r="C38" s="94" t="s">
        <v>133</v>
      </c>
      <c r="D38" s="100"/>
      <c r="E38" s="60">
        <v>177</v>
      </c>
      <c r="F38" s="60">
        <v>177</v>
      </c>
      <c r="G38" s="125"/>
      <c r="H38" s="270">
        <f t="shared" si="3"/>
        <v>100</v>
      </c>
      <c r="J38" s="4"/>
    </row>
    <row r="39" spans="1:10" ht="18.75">
      <c r="A39" s="26">
        <v>33</v>
      </c>
      <c r="B39" s="18">
        <v>4216</v>
      </c>
      <c r="C39" s="94" t="s">
        <v>177</v>
      </c>
      <c r="D39" s="100"/>
      <c r="E39" s="60">
        <v>7029</v>
      </c>
      <c r="F39" s="60">
        <v>7029</v>
      </c>
      <c r="G39" s="125"/>
      <c r="H39" s="270">
        <f t="shared" si="3"/>
        <v>100</v>
      </c>
      <c r="J39" s="4"/>
    </row>
    <row r="40" spans="1:10" ht="18.75">
      <c r="A40" s="13">
        <v>34</v>
      </c>
      <c r="B40" s="14">
        <v>4221</v>
      </c>
      <c r="C40" s="94" t="s">
        <v>134</v>
      </c>
      <c r="D40" s="100"/>
      <c r="E40" s="60">
        <v>165218</v>
      </c>
      <c r="F40" s="60">
        <v>164930</v>
      </c>
      <c r="G40" s="125"/>
      <c r="H40" s="270">
        <f t="shared" si="3"/>
        <v>99.82568485274001</v>
      </c>
      <c r="J40" s="4"/>
    </row>
    <row r="41" spans="1:10" ht="18.75">
      <c r="A41" s="26">
        <v>35</v>
      </c>
      <c r="B41" s="14">
        <v>4221</v>
      </c>
      <c r="C41" s="94" t="s">
        <v>150</v>
      </c>
      <c r="D41" s="100">
        <v>100</v>
      </c>
      <c r="E41" s="60">
        <v>100</v>
      </c>
      <c r="F41" s="60">
        <v>100</v>
      </c>
      <c r="G41" s="125"/>
      <c r="H41" s="270">
        <f t="shared" si="3"/>
        <v>100</v>
      </c>
      <c r="J41" s="4"/>
    </row>
    <row r="42" spans="1:10" ht="18.75">
      <c r="A42" s="13">
        <v>36</v>
      </c>
      <c r="B42" s="9">
        <v>4222</v>
      </c>
      <c r="C42" s="55" t="s">
        <v>135</v>
      </c>
      <c r="D42" s="103"/>
      <c r="E42" s="61">
        <v>2499</v>
      </c>
      <c r="F42" s="61">
        <v>2499</v>
      </c>
      <c r="G42" s="128"/>
      <c r="H42" s="270">
        <f t="shared" si="3"/>
        <v>100</v>
      </c>
      <c r="J42" s="4"/>
    </row>
    <row r="43" spans="1:10" ht="18.75">
      <c r="A43" s="26">
        <v>37</v>
      </c>
      <c r="B43" s="16" t="s">
        <v>95</v>
      </c>
      <c r="C43" s="200" t="s">
        <v>220</v>
      </c>
      <c r="D43" s="202">
        <f>SUM(D38:D42)</f>
        <v>100</v>
      </c>
      <c r="E43" s="193">
        <f>SUM(E38:E42)</f>
        <v>175023</v>
      </c>
      <c r="F43" s="197">
        <f>SUM(F38:F42)</f>
        <v>174735</v>
      </c>
      <c r="G43" s="262">
        <f>+F43/D43*100</f>
        <v>174735</v>
      </c>
      <c r="H43" s="271">
        <f>+F43/E43*100</f>
        <v>99.83545019797398</v>
      </c>
      <c r="J43" s="4"/>
    </row>
    <row r="44" spans="1:10" ht="19.5" thickBot="1">
      <c r="A44" s="13">
        <v>38</v>
      </c>
      <c r="B44" s="17" t="s">
        <v>45</v>
      </c>
      <c r="C44" s="93" t="s">
        <v>221</v>
      </c>
      <c r="D44" s="105">
        <f>D37+D43</f>
        <v>1676489</v>
      </c>
      <c r="E44" s="64">
        <f>E37+E43</f>
        <v>2199015</v>
      </c>
      <c r="F44" s="64">
        <f>F37+F43</f>
        <v>2163233</v>
      </c>
      <c r="G44" s="126">
        <f>+F44/D44*100</f>
        <v>129.0335337720677</v>
      </c>
      <c r="H44" s="157">
        <f>+F44/E44*100</f>
        <v>98.37281692030295</v>
      </c>
      <c r="J44" s="4"/>
    </row>
    <row r="45" spans="1:10" ht="19.5" thickBot="1">
      <c r="A45" s="27">
        <v>39</v>
      </c>
      <c r="B45" s="48" t="s">
        <v>48</v>
      </c>
      <c r="C45" s="96" t="s">
        <v>222</v>
      </c>
      <c r="D45" s="265">
        <f>+D44+D26</f>
        <v>2042454</v>
      </c>
      <c r="E45" s="46">
        <f>+E44+E26</f>
        <v>2722620</v>
      </c>
      <c r="F45" s="46">
        <f>+F44+F26</f>
        <v>2693659</v>
      </c>
      <c r="G45" s="145">
        <f>+F45/D45*100</f>
        <v>131.8834597988498</v>
      </c>
      <c r="H45" s="161">
        <f>+F45/E45*100</f>
        <v>98.93628196369674</v>
      </c>
      <c r="J45" s="4"/>
    </row>
    <row r="46" spans="1:10" ht="16.5" thickBot="1">
      <c r="A46" s="1"/>
      <c r="B46" s="6"/>
      <c r="C46" s="29"/>
      <c r="D46" s="29"/>
      <c r="E46" s="29"/>
      <c r="F46" s="29"/>
      <c r="G46" s="132"/>
      <c r="H46" s="132"/>
      <c r="J46" s="4"/>
    </row>
    <row r="47" spans="1:10" ht="16.5" thickBot="1">
      <c r="A47" s="24"/>
      <c r="B47" s="11" t="s">
        <v>40</v>
      </c>
      <c r="C47" s="86"/>
      <c r="D47" s="97" t="s">
        <v>41</v>
      </c>
      <c r="E47" s="58"/>
      <c r="F47" s="59"/>
      <c r="G47" s="143"/>
      <c r="H47" s="269"/>
      <c r="J47" s="4"/>
    </row>
    <row r="48" spans="1:10" ht="15.75">
      <c r="A48" s="25" t="s">
        <v>1</v>
      </c>
      <c r="B48" s="10" t="s">
        <v>39</v>
      </c>
      <c r="C48" s="87" t="s">
        <v>12</v>
      </c>
      <c r="D48" s="98" t="s">
        <v>53</v>
      </c>
      <c r="E48" s="34" t="s">
        <v>55</v>
      </c>
      <c r="F48" s="34" t="s">
        <v>23</v>
      </c>
      <c r="G48" s="134" t="s">
        <v>0</v>
      </c>
      <c r="H48" s="152" t="s">
        <v>0</v>
      </c>
      <c r="J48" s="4"/>
    </row>
    <row r="49" spans="1:10" ht="16.5" thickBot="1">
      <c r="A49" s="42"/>
      <c r="B49" s="31" t="s">
        <v>38</v>
      </c>
      <c r="C49" s="88"/>
      <c r="D49" s="99" t="s">
        <v>22</v>
      </c>
      <c r="E49" s="43" t="s">
        <v>22</v>
      </c>
      <c r="F49" s="43" t="s">
        <v>186</v>
      </c>
      <c r="G49" s="135" t="s">
        <v>66</v>
      </c>
      <c r="H49" s="153" t="s">
        <v>67</v>
      </c>
      <c r="J49" s="4"/>
    </row>
    <row r="50" spans="1:10" ht="18.75" customHeight="1">
      <c r="A50" s="198">
        <v>1</v>
      </c>
      <c r="B50" s="71" t="s">
        <v>91</v>
      </c>
      <c r="C50" s="199" t="s">
        <v>89</v>
      </c>
      <c r="D50" s="188">
        <v>340977</v>
      </c>
      <c r="E50" s="190">
        <v>371274</v>
      </c>
      <c r="F50" s="189">
        <v>362497</v>
      </c>
      <c r="G50" s="179">
        <f>+F50/D50*100</f>
        <v>106.3112761271288</v>
      </c>
      <c r="H50" s="196">
        <f>+F50/E50*100</f>
        <v>97.63597774150628</v>
      </c>
      <c r="J50" s="4"/>
    </row>
    <row r="51" spans="1:10" ht="18.75" customHeight="1">
      <c r="A51" s="13">
        <v>2</v>
      </c>
      <c r="B51" s="15" t="s">
        <v>92</v>
      </c>
      <c r="C51" s="92" t="s">
        <v>90</v>
      </c>
      <c r="D51" s="103">
        <v>81041</v>
      </c>
      <c r="E51" s="81">
        <v>97212</v>
      </c>
      <c r="F51" s="61">
        <v>92611</v>
      </c>
      <c r="G51" s="128">
        <f>+F51/D51*100</f>
        <v>114.27672412729359</v>
      </c>
      <c r="H51" s="156">
        <f>+F51/E51*100</f>
        <v>95.26704522075464</v>
      </c>
      <c r="J51" s="4"/>
    </row>
    <row r="52" spans="1:10" ht="18.75">
      <c r="A52" s="26">
        <v>3</v>
      </c>
      <c r="B52" s="41">
        <v>5141</v>
      </c>
      <c r="C52" s="110" t="s">
        <v>78</v>
      </c>
      <c r="D52" s="188">
        <v>22947</v>
      </c>
      <c r="E52" s="190">
        <v>26554</v>
      </c>
      <c r="F52" s="189">
        <v>24479</v>
      </c>
      <c r="G52" s="179">
        <f>+F52/D52*100</f>
        <v>106.67625397655468</v>
      </c>
      <c r="H52" s="196">
        <f>+F52/E52*100</f>
        <v>92.185734729231</v>
      </c>
      <c r="J52" s="4"/>
    </row>
    <row r="53" spans="1:10" ht="18.75" customHeight="1">
      <c r="A53" s="13">
        <v>4</v>
      </c>
      <c r="B53" s="19">
        <v>5213</v>
      </c>
      <c r="C53" s="91" t="s">
        <v>137</v>
      </c>
      <c r="D53" s="113">
        <v>1660</v>
      </c>
      <c r="E53" s="83">
        <v>1660</v>
      </c>
      <c r="F53" s="68">
        <v>1120</v>
      </c>
      <c r="G53" s="137">
        <f aca="true" t="shared" si="4" ref="G53:G60">+F53/D53*100</f>
        <v>67.46987951807229</v>
      </c>
      <c r="H53" s="156">
        <f aca="true" t="shared" si="5" ref="H53:H60">+F53/E53*100</f>
        <v>67.46987951807229</v>
      </c>
      <c r="J53" s="4"/>
    </row>
    <row r="54" spans="1:10" ht="18.75">
      <c r="A54" s="26">
        <v>5</v>
      </c>
      <c r="B54" s="19" t="s">
        <v>25</v>
      </c>
      <c r="C54" s="111" t="s">
        <v>138</v>
      </c>
      <c r="D54" s="113">
        <v>30</v>
      </c>
      <c r="E54" s="83">
        <v>118</v>
      </c>
      <c r="F54" s="68">
        <v>118</v>
      </c>
      <c r="G54" s="137">
        <f t="shared" si="4"/>
        <v>393.3333333333333</v>
      </c>
      <c r="H54" s="163">
        <f t="shared" si="5"/>
        <v>100</v>
      </c>
      <c r="J54" s="4"/>
    </row>
    <row r="55" spans="1:10" ht="18.75">
      <c r="A55" s="13">
        <v>6</v>
      </c>
      <c r="B55" s="19" t="s">
        <v>24</v>
      </c>
      <c r="C55" s="111" t="s">
        <v>139</v>
      </c>
      <c r="D55" s="113">
        <v>10583</v>
      </c>
      <c r="E55" s="83">
        <v>12079</v>
      </c>
      <c r="F55" s="68">
        <v>11722</v>
      </c>
      <c r="G55" s="137">
        <f t="shared" si="4"/>
        <v>110.76254370216385</v>
      </c>
      <c r="H55" s="163">
        <f t="shared" si="5"/>
        <v>97.04445732262604</v>
      </c>
      <c r="J55" s="4"/>
    </row>
    <row r="56" spans="1:10" ht="18.75">
      <c r="A56" s="26">
        <v>7</v>
      </c>
      <c r="B56" s="19">
        <v>5321</v>
      </c>
      <c r="C56" s="111" t="s">
        <v>140</v>
      </c>
      <c r="D56" s="113">
        <v>392</v>
      </c>
      <c r="E56" s="83">
        <v>533</v>
      </c>
      <c r="F56" s="68">
        <v>533</v>
      </c>
      <c r="G56" s="137">
        <f t="shared" si="4"/>
        <v>135.96938775510205</v>
      </c>
      <c r="H56" s="163">
        <f t="shared" si="5"/>
        <v>100</v>
      </c>
      <c r="J56" s="4"/>
    </row>
    <row r="57" spans="1:8" ht="18.75">
      <c r="A57" s="13">
        <v>8</v>
      </c>
      <c r="B57" s="19">
        <v>5321</v>
      </c>
      <c r="C57" s="111" t="s">
        <v>141</v>
      </c>
      <c r="D57" s="113">
        <v>15</v>
      </c>
      <c r="E57" s="83">
        <v>149</v>
      </c>
      <c r="F57" s="68">
        <v>148</v>
      </c>
      <c r="G57" s="137">
        <f t="shared" si="4"/>
        <v>986.6666666666667</v>
      </c>
      <c r="H57" s="163">
        <f t="shared" si="5"/>
        <v>99.32885906040269</v>
      </c>
    </row>
    <row r="58" spans="1:8" ht="18.75">
      <c r="A58" s="26">
        <v>9</v>
      </c>
      <c r="B58" s="23">
        <v>5331</v>
      </c>
      <c r="C58" s="111" t="s">
        <v>17</v>
      </c>
      <c r="D58" s="113">
        <v>353324</v>
      </c>
      <c r="E58" s="83">
        <v>367104</v>
      </c>
      <c r="F58" s="68">
        <v>365562</v>
      </c>
      <c r="G58" s="137">
        <f t="shared" si="4"/>
        <v>103.46367639899923</v>
      </c>
      <c r="H58" s="163">
        <f t="shared" si="5"/>
        <v>99.57995554393305</v>
      </c>
    </row>
    <row r="59" spans="1:8" ht="18.75">
      <c r="A59" s="13">
        <v>10</v>
      </c>
      <c r="B59" s="19" t="s">
        <v>26</v>
      </c>
      <c r="C59" s="111" t="s">
        <v>79</v>
      </c>
      <c r="D59" s="113">
        <f>0+0+160</f>
        <v>160</v>
      </c>
      <c r="E59" s="83">
        <v>20465</v>
      </c>
      <c r="F59" s="68">
        <f>2+20048+413</f>
        <v>20463</v>
      </c>
      <c r="G59" s="137">
        <f t="shared" si="4"/>
        <v>12789.375</v>
      </c>
      <c r="H59" s="163">
        <f t="shared" si="5"/>
        <v>99.9902272172001</v>
      </c>
    </row>
    <row r="60" spans="1:8" ht="18.75">
      <c r="A60" s="26">
        <v>11</v>
      </c>
      <c r="B60" s="19">
        <v>5362</v>
      </c>
      <c r="C60" s="111" t="s">
        <v>72</v>
      </c>
      <c r="D60" s="103">
        <v>9726</v>
      </c>
      <c r="E60" s="81">
        <v>23408</v>
      </c>
      <c r="F60" s="61">
        <v>23408</v>
      </c>
      <c r="G60" s="137">
        <f t="shared" si="4"/>
        <v>240.67448077318528</v>
      </c>
      <c r="H60" s="163">
        <f t="shared" si="5"/>
        <v>100</v>
      </c>
    </row>
    <row r="61" spans="1:8" ht="18.75">
      <c r="A61" s="13">
        <v>12</v>
      </c>
      <c r="B61" s="19">
        <v>5367</v>
      </c>
      <c r="C61" s="111" t="s">
        <v>172</v>
      </c>
      <c r="D61" s="113"/>
      <c r="E61" s="83">
        <v>16350</v>
      </c>
      <c r="F61" s="68">
        <v>16350</v>
      </c>
      <c r="G61" s="137"/>
      <c r="H61" s="163">
        <f>+F61/E61*100</f>
        <v>100</v>
      </c>
    </row>
    <row r="62" spans="1:8" ht="18.75">
      <c r="A62" s="26">
        <v>13</v>
      </c>
      <c r="B62" s="19">
        <v>5901</v>
      </c>
      <c r="C62" s="91" t="s">
        <v>13</v>
      </c>
      <c r="D62" s="113">
        <v>12396</v>
      </c>
      <c r="E62" s="83">
        <v>8745</v>
      </c>
      <c r="F62" s="68"/>
      <c r="G62" s="137"/>
      <c r="H62" s="163"/>
    </row>
    <row r="63" spans="1:8" ht="18.75">
      <c r="A63" s="13">
        <v>14</v>
      </c>
      <c r="B63" s="19" t="s">
        <v>75</v>
      </c>
      <c r="C63" s="91" t="s">
        <v>27</v>
      </c>
      <c r="D63" s="113">
        <v>793737</v>
      </c>
      <c r="E63" s="68">
        <f>2044785-E50-E51-E52-E53-E54-E55-E56-E57-E58-E59-E60-E61-E62</f>
        <v>1099134</v>
      </c>
      <c r="F63" s="68">
        <f>4686135-14085-71968-2717092-38554-F50-F51-F52-F53-F54-F55-F56-F57-F58-F59-F60-F61</f>
        <v>925425</v>
      </c>
      <c r="G63" s="137">
        <f>+F63/D63*100</f>
        <v>116.59088589797378</v>
      </c>
      <c r="H63" s="163">
        <f aca="true" t="shared" si="6" ref="H63:H71">+F63/E63*100</f>
        <v>84.19583053567627</v>
      </c>
    </row>
    <row r="64" spans="1:8" ht="19.5" thickBot="1">
      <c r="A64" s="26">
        <v>15</v>
      </c>
      <c r="B64" s="17" t="s">
        <v>46</v>
      </c>
      <c r="C64" s="53" t="s">
        <v>194</v>
      </c>
      <c r="D64" s="105">
        <f>SUM(D50:D63)</f>
        <v>1626988</v>
      </c>
      <c r="E64" s="64">
        <f>SUM(E50:E63)</f>
        <v>2044785</v>
      </c>
      <c r="F64" s="64">
        <f>SUM(F50:F63)</f>
        <v>1844436</v>
      </c>
      <c r="G64" s="126">
        <f>+F64/D64*100</f>
        <v>113.36506476999216</v>
      </c>
      <c r="H64" s="157">
        <f t="shared" si="6"/>
        <v>90.20195277254088</v>
      </c>
    </row>
    <row r="65" spans="1:10" ht="18.75">
      <c r="A65" s="13">
        <v>16</v>
      </c>
      <c r="B65" s="39" t="s">
        <v>28</v>
      </c>
      <c r="C65" s="54" t="s">
        <v>143</v>
      </c>
      <c r="D65" s="102"/>
      <c r="E65" s="70">
        <v>17110</v>
      </c>
      <c r="F65" s="70">
        <v>9110</v>
      </c>
      <c r="G65" s="127"/>
      <c r="H65" s="163">
        <f t="shared" si="6"/>
        <v>53.2437171244886</v>
      </c>
      <c r="J65" s="252"/>
    </row>
    <row r="66" spans="1:10" ht="18.75">
      <c r="A66" s="26">
        <v>17</v>
      </c>
      <c r="B66" s="39" t="s">
        <v>29</v>
      </c>
      <c r="C66" s="55" t="s">
        <v>18</v>
      </c>
      <c r="D66" s="103">
        <v>350</v>
      </c>
      <c r="E66" s="61">
        <v>1350</v>
      </c>
      <c r="F66" s="61">
        <v>1000</v>
      </c>
      <c r="G66" s="137">
        <f aca="true" t="shared" si="7" ref="G66:G71">+F66/D66*100</f>
        <v>285.7142857142857</v>
      </c>
      <c r="H66" s="163">
        <f t="shared" si="6"/>
        <v>74.07407407407408</v>
      </c>
      <c r="J66" s="252"/>
    </row>
    <row r="67" spans="1:8" ht="18.75">
      <c r="A67" s="13">
        <v>18</v>
      </c>
      <c r="B67" s="39">
        <v>6341</v>
      </c>
      <c r="C67" s="55" t="s">
        <v>14</v>
      </c>
      <c r="D67" s="103">
        <v>100</v>
      </c>
      <c r="E67" s="61">
        <v>100</v>
      </c>
      <c r="F67" s="61">
        <v>100</v>
      </c>
      <c r="G67" s="137">
        <f t="shared" si="7"/>
        <v>100</v>
      </c>
      <c r="H67" s="163">
        <f t="shared" si="6"/>
        <v>100</v>
      </c>
    </row>
    <row r="68" spans="1:8" ht="18.75">
      <c r="A68" s="26">
        <v>19</v>
      </c>
      <c r="B68" s="33">
        <v>6351</v>
      </c>
      <c r="C68" s="55" t="s">
        <v>144</v>
      </c>
      <c r="D68" s="103">
        <v>1058</v>
      </c>
      <c r="E68" s="61">
        <v>4469</v>
      </c>
      <c r="F68" s="61">
        <v>4465</v>
      </c>
      <c r="G68" s="137">
        <f t="shared" si="7"/>
        <v>422.0226843100189</v>
      </c>
      <c r="H68" s="163">
        <f t="shared" si="6"/>
        <v>99.91049451778922</v>
      </c>
    </row>
    <row r="69" spans="1:8" ht="18.75">
      <c r="A69" s="13">
        <v>20</v>
      </c>
      <c r="B69" s="39" t="s">
        <v>62</v>
      </c>
      <c r="C69" s="56" t="s">
        <v>37</v>
      </c>
      <c r="D69" s="103">
        <f>452498-D66-D67-D68</f>
        <v>450990</v>
      </c>
      <c r="E69" s="61">
        <f>1027684-E65-E66-E67-E68</f>
        <v>1004655</v>
      </c>
      <c r="F69" s="61">
        <f>638515-F65-F66-F67-F68</f>
        <v>623840</v>
      </c>
      <c r="G69" s="128">
        <f t="shared" si="7"/>
        <v>138.32679216834077</v>
      </c>
      <c r="H69" s="156">
        <f t="shared" si="6"/>
        <v>62.09494801698096</v>
      </c>
    </row>
    <row r="70" spans="1:8" ht="19.5" thickBot="1">
      <c r="A70" s="26">
        <v>21</v>
      </c>
      <c r="B70" s="40" t="s">
        <v>47</v>
      </c>
      <c r="C70" s="57" t="s">
        <v>195</v>
      </c>
      <c r="D70" s="108">
        <f>SUM(D65:D69)</f>
        <v>452498</v>
      </c>
      <c r="E70" s="67">
        <f>SUM(E65:E69)</f>
        <v>1027684</v>
      </c>
      <c r="F70" s="67">
        <f>SUM(F65:F69)</f>
        <v>638515</v>
      </c>
      <c r="G70" s="131">
        <f t="shared" si="7"/>
        <v>141.10891097861207</v>
      </c>
      <c r="H70" s="159">
        <f t="shared" si="6"/>
        <v>62.131452859050064</v>
      </c>
    </row>
    <row r="71" spans="1:8" ht="19.5" thickBot="1">
      <c r="A71" s="27">
        <v>22</v>
      </c>
      <c r="B71" s="48" t="s">
        <v>49</v>
      </c>
      <c r="C71" s="96" t="s">
        <v>196</v>
      </c>
      <c r="D71" s="109">
        <f>+D64+D70</f>
        <v>2079486</v>
      </c>
      <c r="E71" s="46">
        <f>+E64+E70</f>
        <v>3072469</v>
      </c>
      <c r="F71" s="46">
        <f>+F64+F70</f>
        <v>2482951</v>
      </c>
      <c r="G71" s="145">
        <f t="shared" si="7"/>
        <v>119.40215033907418</v>
      </c>
      <c r="H71" s="161">
        <f t="shared" si="6"/>
        <v>80.81289021955958</v>
      </c>
    </row>
    <row r="72" spans="1:8" ht="16.5" thickBot="1">
      <c r="A72" s="1"/>
      <c r="B72" s="44"/>
      <c r="C72" s="45"/>
      <c r="D72" s="178"/>
      <c r="E72" s="45"/>
      <c r="F72" s="45"/>
      <c r="G72" s="138"/>
      <c r="H72" s="138"/>
    </row>
    <row r="73" spans="1:8" ht="16.5" thickBot="1">
      <c r="A73" s="24"/>
      <c r="B73" s="11" t="s">
        <v>40</v>
      </c>
      <c r="C73" s="86"/>
      <c r="D73" s="97" t="s">
        <v>41</v>
      </c>
      <c r="E73" s="58"/>
      <c r="F73" s="59"/>
      <c r="G73" s="143"/>
      <c r="H73" s="269"/>
    </row>
    <row r="74" spans="1:8" ht="15.75">
      <c r="A74" s="25" t="s">
        <v>1</v>
      </c>
      <c r="B74" s="10" t="s">
        <v>38</v>
      </c>
      <c r="C74" s="87" t="s">
        <v>19</v>
      </c>
      <c r="D74" s="98" t="s">
        <v>53</v>
      </c>
      <c r="E74" s="34" t="s">
        <v>55</v>
      </c>
      <c r="F74" s="34" t="s">
        <v>23</v>
      </c>
      <c r="G74" s="134" t="s">
        <v>0</v>
      </c>
      <c r="H74" s="152" t="s">
        <v>0</v>
      </c>
    </row>
    <row r="75" spans="1:8" ht="16.5" thickBot="1">
      <c r="A75" s="42"/>
      <c r="B75" s="31"/>
      <c r="C75" s="88"/>
      <c r="D75" s="99" t="s">
        <v>22</v>
      </c>
      <c r="E75" s="43" t="s">
        <v>22</v>
      </c>
      <c r="F75" s="43" t="s">
        <v>186</v>
      </c>
      <c r="G75" s="135" t="s">
        <v>66</v>
      </c>
      <c r="H75" s="153" t="s">
        <v>67</v>
      </c>
    </row>
    <row r="76" spans="1:8" ht="18.75">
      <c r="A76" s="13">
        <v>1</v>
      </c>
      <c r="B76" s="256" t="s">
        <v>184</v>
      </c>
      <c r="C76" s="111" t="s">
        <v>20</v>
      </c>
      <c r="D76" s="112">
        <v>136987</v>
      </c>
      <c r="E76" s="85">
        <v>321195</v>
      </c>
      <c r="F76" s="37">
        <f>-173821+100</f>
        <v>-173721</v>
      </c>
      <c r="G76" s="128"/>
      <c r="H76" s="156"/>
    </row>
    <row r="77" spans="1:8" ht="18.75">
      <c r="A77" s="13">
        <v>2</v>
      </c>
      <c r="B77" s="15" t="s">
        <v>83</v>
      </c>
      <c r="C77" s="111" t="s">
        <v>21</v>
      </c>
      <c r="D77" s="112"/>
      <c r="E77" s="85"/>
      <c r="F77" s="37">
        <f>2667771-2665762</f>
        <v>2009</v>
      </c>
      <c r="G77" s="128"/>
      <c r="H77" s="156"/>
    </row>
    <row r="78" spans="1:8" ht="18.75">
      <c r="A78" s="26">
        <v>3</v>
      </c>
      <c r="B78" s="71">
        <v>8123</v>
      </c>
      <c r="C78" s="91" t="s">
        <v>77</v>
      </c>
      <c r="D78" s="112"/>
      <c r="E78" s="85">
        <v>37719</v>
      </c>
      <c r="F78" s="37">
        <v>37719</v>
      </c>
      <c r="G78" s="128"/>
      <c r="H78" s="156">
        <f>+F78/E78*100</f>
        <v>100</v>
      </c>
    </row>
    <row r="79" spans="1:8" ht="18.75">
      <c r="A79" s="26">
        <v>4</v>
      </c>
      <c r="B79" s="23">
        <v>8123</v>
      </c>
      <c r="C79" s="91" t="s">
        <v>76</v>
      </c>
      <c r="D79" s="113">
        <v>28500</v>
      </c>
      <c r="E79" s="83">
        <f>130900-E78+24000</f>
        <v>117181</v>
      </c>
      <c r="F79" s="68">
        <f>142003-F78</f>
        <v>104284</v>
      </c>
      <c r="G79" s="128">
        <f>+F79/D79*100</f>
        <v>365.9087719298246</v>
      </c>
      <c r="H79" s="156">
        <f>+F79/E79*100</f>
        <v>88.99394953106732</v>
      </c>
    </row>
    <row r="80" spans="1:8" ht="18.75">
      <c r="A80" s="26">
        <v>5</v>
      </c>
      <c r="B80" s="23">
        <v>8124</v>
      </c>
      <c r="C80" s="56" t="s">
        <v>121</v>
      </c>
      <c r="D80" s="113">
        <v>-51717</v>
      </c>
      <c r="E80" s="83">
        <v>-51717</v>
      </c>
      <c r="F80" s="63">
        <v>-51655</v>
      </c>
      <c r="G80" s="128">
        <f>+F80/D80*100</f>
        <v>99.88011678945028</v>
      </c>
      <c r="H80" s="156">
        <f>+F80/E80*100</f>
        <v>99.88011678945028</v>
      </c>
    </row>
    <row r="81" spans="1:8" ht="18.75">
      <c r="A81" s="26">
        <v>6</v>
      </c>
      <c r="B81" s="9">
        <v>8124</v>
      </c>
      <c r="C81" s="56" t="s">
        <v>82</v>
      </c>
      <c r="D81" s="103">
        <v>-76738</v>
      </c>
      <c r="E81" s="81">
        <v>-74529</v>
      </c>
      <c r="F81" s="61">
        <f>-125999-F80</f>
        <v>-74344</v>
      </c>
      <c r="G81" s="128">
        <f>+F81/D81*100</f>
        <v>96.88029398733352</v>
      </c>
      <c r="H81" s="156">
        <f>+F81/E81*100</f>
        <v>99.75177447704921</v>
      </c>
    </row>
    <row r="82" spans="1:8" ht="19.5" thickBot="1">
      <c r="A82" s="198">
        <v>7</v>
      </c>
      <c r="B82" s="19" t="s">
        <v>182</v>
      </c>
      <c r="C82" s="111" t="s">
        <v>181</v>
      </c>
      <c r="D82" s="113"/>
      <c r="E82" s="83"/>
      <c r="F82" s="68">
        <v>-55000</v>
      </c>
      <c r="G82" s="137"/>
      <c r="H82" s="163"/>
    </row>
    <row r="83" spans="1:8" ht="19.5" thickBot="1">
      <c r="A83" s="72">
        <v>8</v>
      </c>
      <c r="B83" s="263" t="s">
        <v>50</v>
      </c>
      <c r="C83" s="264" t="s">
        <v>197</v>
      </c>
      <c r="D83" s="265">
        <f>SUM(D76:D82)</f>
        <v>37032</v>
      </c>
      <c r="E83" s="181">
        <f>SUM(E76:E82)</f>
        <v>349849</v>
      </c>
      <c r="F83" s="181">
        <f>SUM(F76:F82)</f>
        <v>-210708</v>
      </c>
      <c r="G83" s="174"/>
      <c r="H83" s="175"/>
    </row>
    <row r="84" spans="4:8" ht="16.5" thickBot="1">
      <c r="D84" s="5"/>
      <c r="E84" s="5"/>
      <c r="F84" s="5"/>
      <c r="G84" s="139"/>
      <c r="H84" s="139"/>
    </row>
    <row r="85" spans="1:8" ht="16.5" thickBot="1">
      <c r="A85" s="24"/>
      <c r="B85" s="11" t="s">
        <v>38</v>
      </c>
      <c r="C85" s="86"/>
      <c r="D85" s="97" t="s">
        <v>41</v>
      </c>
      <c r="E85" s="58"/>
      <c r="F85" s="59"/>
      <c r="G85" s="143"/>
      <c r="H85" s="269"/>
    </row>
    <row r="86" spans="1:8" ht="15.75">
      <c r="A86" s="28" t="s">
        <v>1</v>
      </c>
      <c r="B86" s="10"/>
      <c r="C86" s="87" t="s">
        <v>15</v>
      </c>
      <c r="D86" s="98" t="s">
        <v>53</v>
      </c>
      <c r="E86" s="34" t="s">
        <v>55</v>
      </c>
      <c r="F86" s="34" t="s">
        <v>23</v>
      </c>
      <c r="G86" s="134" t="s">
        <v>0</v>
      </c>
      <c r="H86" s="152" t="s">
        <v>0</v>
      </c>
    </row>
    <row r="87" spans="1:8" ht="16.5" thickBot="1">
      <c r="A87" s="30"/>
      <c r="B87" s="31"/>
      <c r="C87" s="88"/>
      <c r="D87" s="99" t="s">
        <v>22</v>
      </c>
      <c r="E87" s="43" t="s">
        <v>22</v>
      </c>
      <c r="F87" s="43" t="s">
        <v>186</v>
      </c>
      <c r="G87" s="135" t="s">
        <v>66</v>
      </c>
      <c r="H87" s="153" t="s">
        <v>67</v>
      </c>
    </row>
    <row r="88" spans="1:10" ht="18.75">
      <c r="A88" s="32">
        <v>1</v>
      </c>
      <c r="B88" s="47" t="s">
        <v>48</v>
      </c>
      <c r="C88" s="116" t="s">
        <v>57</v>
      </c>
      <c r="D88" s="120">
        <f>+D45</f>
        <v>2042454</v>
      </c>
      <c r="E88" s="38">
        <f>+E45</f>
        <v>2722620</v>
      </c>
      <c r="F88" s="38">
        <f>+F45</f>
        <v>2693659</v>
      </c>
      <c r="G88" s="140">
        <f>+F88/D88*100</f>
        <v>131.8834597988498</v>
      </c>
      <c r="H88" s="168">
        <f>+F88/E88*100</f>
        <v>98.93628196369674</v>
      </c>
      <c r="J88" s="252"/>
    </row>
    <row r="89" spans="1:8" ht="18.75">
      <c r="A89" s="26">
        <v>2</v>
      </c>
      <c r="B89" s="49" t="s">
        <v>88</v>
      </c>
      <c r="C89" s="117" t="s">
        <v>58</v>
      </c>
      <c r="D89" s="121">
        <f>+D71</f>
        <v>2079486</v>
      </c>
      <c r="E89" s="36">
        <f>+E71</f>
        <v>3072469</v>
      </c>
      <c r="F89" s="36">
        <f>+F71</f>
        <v>2482951</v>
      </c>
      <c r="G89" s="141">
        <f>+F89/D89*100</f>
        <v>119.40215033907418</v>
      </c>
      <c r="H89" s="169">
        <f>+F89/E89*100</f>
        <v>80.81289021955958</v>
      </c>
    </row>
    <row r="90" spans="1:8" ht="19.5" thickBot="1">
      <c r="A90" s="27">
        <v>3</v>
      </c>
      <c r="B90" s="50"/>
      <c r="C90" s="118" t="s">
        <v>51</v>
      </c>
      <c r="D90" s="122">
        <f>+D88-D89</f>
        <v>-37032</v>
      </c>
      <c r="E90" s="35">
        <f>+E88-E89</f>
        <v>-349849</v>
      </c>
      <c r="F90" s="35">
        <f>+F88-F89</f>
        <v>210708</v>
      </c>
      <c r="G90" s="180"/>
      <c r="H90" s="255"/>
    </row>
    <row r="91" spans="1:10" ht="19.5" thickBot="1">
      <c r="A91" s="72">
        <v>4</v>
      </c>
      <c r="B91" s="51" t="s">
        <v>50</v>
      </c>
      <c r="C91" s="119" t="s">
        <v>16</v>
      </c>
      <c r="D91" s="123">
        <f>+D83</f>
        <v>37032</v>
      </c>
      <c r="E91" s="52">
        <f>+E83</f>
        <v>349849</v>
      </c>
      <c r="F91" s="52">
        <f>+F83</f>
        <v>-210708</v>
      </c>
      <c r="G91" s="142"/>
      <c r="H91" s="170"/>
      <c r="J91" s="252"/>
    </row>
  </sheetData>
  <printOptions horizontalCentered="1"/>
  <pageMargins left="0.1968503937007874" right="0.1968503937007874" top="0.43" bottom="0.3937007874015748" header="0" footer="0"/>
  <pageSetup fitToHeight="2" horizontalDpi="600" verticalDpi="600" orientation="landscape" paperSize="9" scale="63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trnecka</cp:lastModifiedBy>
  <cp:lastPrinted>2011-04-26T12:00:57Z</cp:lastPrinted>
  <dcterms:created xsi:type="dcterms:W3CDTF">1999-11-22T06:38:01Z</dcterms:created>
  <dcterms:modified xsi:type="dcterms:W3CDTF">2011-04-26T12:00:58Z</dcterms:modified>
  <cp:category/>
  <cp:version/>
  <cp:contentType/>
  <cp:contentStatus/>
</cp:coreProperties>
</file>