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MB12" sheetId="1" r:id="rId1"/>
  </sheets>
  <definedNames>
    <definedName name="_xlnm.Print_Titles" localSheetId="0">'RMB12'!$5:$6</definedName>
    <definedName name="_xlnm.Print_Area" localSheetId="0">'RMB12'!$A$1:$F$390</definedName>
  </definedNames>
  <calcPr fullCalcOnLoad="1"/>
</workbook>
</file>

<file path=xl/sharedStrings.xml><?xml version="1.0" encoding="utf-8"?>
<sst xmlns="http://schemas.openxmlformats.org/spreadsheetml/2006/main" count="1271" uniqueCount="519">
  <si>
    <t>a ze zahraničí k 31.12.2011</t>
  </si>
  <si>
    <t>Datum</t>
  </si>
  <si>
    <t>NEINVESTIČNÍ DOTACE</t>
  </si>
  <si>
    <t>UR v tis. Kč</t>
  </si>
  <si>
    <t>Skutečnost v Kč</t>
  </si>
  <si>
    <t>ÚZ</t>
  </si>
  <si>
    <t>POL.</t>
  </si>
  <si>
    <t xml:space="preserve">MINISTERSTVO  FINANCÍ  ČR </t>
  </si>
  <si>
    <t>7.2.2011</t>
  </si>
  <si>
    <t>Dotace na úhradu výdajů spojených s výkonem sociálně - právní ochrany dětí</t>
  </si>
  <si>
    <t>Dotace na úhradu osobních a věcných nákladů souvisej. s realiz.zák.108/2006 Sb.</t>
  </si>
  <si>
    <t>9.3.2011</t>
  </si>
  <si>
    <t>Výdaje související s přípravou sčítání lidu, domů a bytů v roce 2011</t>
  </si>
  <si>
    <t>5.4.2011</t>
  </si>
  <si>
    <t>23.6.2011</t>
  </si>
  <si>
    <t>22.9.2011</t>
  </si>
  <si>
    <t>STÁTNÍ  FOND  ROZVOJE  BYDLENÍ</t>
  </si>
  <si>
    <t>Brno - Bystrc - dotace k úvěru na opravu panelových bytů</t>
  </si>
  <si>
    <t>4113</t>
  </si>
  <si>
    <t>Brno - Černovice - dotace k úvěru na opravu panelových bytů</t>
  </si>
  <si>
    <t>Brno - Kohoutovice - dotace k úvěru na opravu panelových bytů</t>
  </si>
  <si>
    <t>Brno - Královo Pole - dotace k úvěru na opravu panelových bytů</t>
  </si>
  <si>
    <t>Brno - Nový Lískovec - dotace k úvěru na opravu panelových bytů</t>
  </si>
  <si>
    <t>Brno - sever - dotace k úvěru na opravu panelových bytů</t>
  </si>
  <si>
    <t>Brno - Slatina - dotace k úvěru na opravu panelových bytů</t>
  </si>
  <si>
    <t>Brno - Vinohrady - dotace k úvěru na opravu panelových bytů</t>
  </si>
  <si>
    <t>Brno - Židenice - dotace k úvěru na opravu panelových bytů</t>
  </si>
  <si>
    <t>STÁTNÍ  FOND  ŽIVOTNÍHO PROSTŘEDÍ</t>
  </si>
  <si>
    <t>18.5.2011</t>
  </si>
  <si>
    <t>Úprava a dosadba vegetace Brno - Bystrc</t>
  </si>
  <si>
    <t>Regenerace veřejné zeleně Brno - Bohunice JZ</t>
  </si>
  <si>
    <t>3.6.2011</t>
  </si>
  <si>
    <t>Sadové úpravy v rámci obnovy lesoparku nad ul. Raisova v Novém Lískovci</t>
  </si>
  <si>
    <t>STÁTNÍ  ZEMĚDĚLSKÝ INTERVENČNÍ FOND</t>
  </si>
  <si>
    <t>Brno - Ořešín - přímé platby zemědělcům</t>
  </si>
  <si>
    <t xml:space="preserve">ÚŘAD  PRÁCE </t>
  </si>
  <si>
    <t>Brno - Bosonohy - veřejně prospěšné práce</t>
  </si>
  <si>
    <t>13101</t>
  </si>
  <si>
    <t>4116</t>
  </si>
  <si>
    <t>Brno - Bystrc - veřejně prospěšné práce</t>
  </si>
  <si>
    <t>Brno - Černovice - veřejně prospěšné práce</t>
  </si>
  <si>
    <t>Brno - Ivanovice - veřejně prospěšné práce</t>
  </si>
  <si>
    <t>Brno - Komín - veřejně prospěšné práce</t>
  </si>
  <si>
    <t>Brno - Královo Pole - veřejně prospěšné práce</t>
  </si>
  <si>
    <t>Brno - Maloměřice a Obřany - veřejně prospěšné práce</t>
  </si>
  <si>
    <t>Brno - Medlánky - veřejně prospěšné práce</t>
  </si>
  <si>
    <t>Brno - Ořešín - veřejně prospěšné práce</t>
  </si>
  <si>
    <t>Brno - střed - veřejně prospěšné práce</t>
  </si>
  <si>
    <t>Brno - Bosonohy - aktivní politika zaměstnanosti - OP Lidské zdroje a zaměstnanost</t>
  </si>
  <si>
    <t>13234</t>
  </si>
  <si>
    <t>Brno - Ivanovice - aktivní politika zaměstnanosti - OP Lidské zdroje a zaměstnanost</t>
  </si>
  <si>
    <t>Brno - Komín - aktivní politika zaměstnanosti - OP Lidské zdroje a zaměstnanost</t>
  </si>
  <si>
    <t>Brno - Královo Pole - aktivní politika zaměstnanosti - OP Lidské zdroje a zaměstnaost</t>
  </si>
  <si>
    <t>Brno - Medlánky - aktivní politika zaměstnanosti - OP Lidské zdroje a zaměstnanost</t>
  </si>
  <si>
    <t>Brno - Nový Lískovec - aktivní politika zaměstnanosti - OP Lidské zdroje a zaměstnanost</t>
  </si>
  <si>
    <t>Brno - Ořešín - aktivní politika zaměstnanosti - OP Lidské zdroje a zaměstnanost</t>
  </si>
  <si>
    <t>Brno - sever - aktivní politika zaměstnanosti - OP Lidské zdroje a zaměstnanost</t>
  </si>
  <si>
    <t>Brno - střed - aktivní politika zaměstnanosti - OP Lidské zdroje a zaměstnanost</t>
  </si>
  <si>
    <t>Brno - Žabovřesky - aktivní politika zaměstnanosti - OP Lidské zdroje a zaměstnanost</t>
  </si>
  <si>
    <t>Brno - Žebětín - aktivní politika zaměstnanosti - OP Lidské zdroje a zaměstnanost</t>
  </si>
  <si>
    <t>MINISTERSTVO   KULTURY</t>
  </si>
  <si>
    <t>26.4.2011</t>
  </si>
  <si>
    <t>Global Communication Festival 2011 - Dům umění města Brna</t>
  </si>
  <si>
    <t>34070</t>
  </si>
  <si>
    <t>Celoroční výstavní činnost Galerií - Brněnské kulturní centrum</t>
  </si>
  <si>
    <t>Realizace projektu Modrý sešit - Brněnské kulturní centrum</t>
  </si>
  <si>
    <t>Výstavní program Domu umění - Dům umění města Brna</t>
  </si>
  <si>
    <t>17.5.2011</t>
  </si>
  <si>
    <t>Celostátní festival poezie Wolkrův Prostějov 2011 - Brněnské kulturní centrum</t>
  </si>
  <si>
    <t>Poprvé do školy - poprvé do knihovny - Knihovna Jiřího Mahena v Brně</t>
  </si>
  <si>
    <t>Hudební ohňostroj pro každého - Knihovna Jiřího Mahena v Brně</t>
  </si>
  <si>
    <t>Již 90 let s Vámi - Knihovna Jiřího Mahena v Brně</t>
  </si>
  <si>
    <t>23.5.2011</t>
  </si>
  <si>
    <t>22. Tmavomodrý festival - Brněnské kulturní centrum</t>
  </si>
  <si>
    <t>26.5.2011</t>
  </si>
  <si>
    <t>Podpora profesionálních divadel a symfonických orchestrů - Filharmonie Brno</t>
  </si>
  <si>
    <t>34352</t>
  </si>
  <si>
    <t>8.6.2011</t>
  </si>
  <si>
    <t>Podpora profesionálních divadel a symfonických orchestrů - Národní divadlo Brno</t>
  </si>
  <si>
    <t>Podpora profesionálních divadel a symfonických orchestrů - Městské divadlo Brno</t>
  </si>
  <si>
    <t>Podpora profesionálních divadel a symfonických orchestrů - Loutkové divadlo Radost</t>
  </si>
  <si>
    <t>Podpora profesionálních divadel a symfon.orchestrů - Centrum exper. divadla Brno</t>
  </si>
  <si>
    <t>Divadelní svět Brno - Brněnské kulturní centrum</t>
  </si>
  <si>
    <t>Rozšíření nabídky služeb ICT uživatelům poboček KJM - Tuřany a Jundrov</t>
  </si>
  <si>
    <t>9.6.2011</t>
  </si>
  <si>
    <t>Veřejné informační služby knihoven - KJM v Brně</t>
  </si>
  <si>
    <t>34053</t>
  </si>
  <si>
    <t>8.7.2011</t>
  </si>
  <si>
    <t>Vila Tugendhat - sběrný dokumentační projekt - 3. etapa - Muzeum města Brna</t>
  </si>
  <si>
    <t>34001</t>
  </si>
  <si>
    <t>25.7.2011</t>
  </si>
  <si>
    <t>Česká hudba žije! - Filharmonie Brno</t>
  </si>
  <si>
    <t>26.7.2011</t>
  </si>
  <si>
    <t>Podpora profesionálních divadel a symfon.orchestrů - Centrum expert. divadla Brno</t>
  </si>
  <si>
    <t>3.8.2011</t>
  </si>
  <si>
    <t>Klášterní kostel sv. Janů s Loretou - oprava omítek, sanační omítka, oprava zdiva</t>
  </si>
  <si>
    <t>34054</t>
  </si>
  <si>
    <t>Kostel Nanebevzetí Panny Marie - restaur. kamen. prvků fasády a oprava okenních výplní</t>
  </si>
  <si>
    <t>Mahenovo divadlo Brno - obnova (restaurování)  části vstupního prostoru divadla</t>
  </si>
  <si>
    <t>4.8.2011</t>
  </si>
  <si>
    <t>XX. Mezinárodní kytarový festival Brno - BKC</t>
  </si>
  <si>
    <t>8.9.2011</t>
  </si>
  <si>
    <t>Obnova nemovité kulturní památky - Berglova vila na Moravském náměstí č.p. 15</t>
  </si>
  <si>
    <t>34002</t>
  </si>
  <si>
    <t>Obnova kulturní památky - Vila Aloise a Viléma Kubových v Gromešové ulici č.p.1</t>
  </si>
  <si>
    <t>Obnova nemovité kulturní památky - SZZ II - sousoší</t>
  </si>
  <si>
    <t>4.10.2011</t>
  </si>
  <si>
    <t>Korespondence V+W v Bruselu - Národní divadlo Brno - Divadlo Reduta</t>
  </si>
  <si>
    <t>Projekt "Raum: Selbst" - Dům umění města Brna</t>
  </si>
  <si>
    <t>8.12.2011</t>
  </si>
  <si>
    <t>Vratka části dotace na projekt "Raum: Selbst" - Dům umění města Brna</t>
  </si>
  <si>
    <t>22.12.2011</t>
  </si>
  <si>
    <t>Korespondunce V + W v rámci Festivalu České divadlo 2011 v Bratislavě - ND (Reduta)</t>
  </si>
  <si>
    <t>34006</t>
  </si>
  <si>
    <t>Brno - Bohunice - obnova sochy sv. Jana Nepomuckého</t>
  </si>
  <si>
    <t xml:space="preserve">Brno - Bohunice - obnova sochy sv. Inocence </t>
  </si>
  <si>
    <t>Brno - sever - DROM - Umění nás baví</t>
  </si>
  <si>
    <t>34273</t>
  </si>
  <si>
    <t>Brno - střed - KVS U Tří kohoutů - podpora profesionálních divadel a symfon.orchestrů</t>
  </si>
  <si>
    <t>MINISTERSTVO  ŠKOLSTVÍ, MLÁDEŽE  A TĚLOVÝCHOVY</t>
  </si>
  <si>
    <t>4.2.2011</t>
  </si>
  <si>
    <t>Realizace projektu v rámci akce EU peníze školám - ZŠ Herčíkova 19</t>
  </si>
  <si>
    <t>33123</t>
  </si>
  <si>
    <t>Realizace projektu v rámci akce EU peníze školám - ZŠ Křivánkovo nám. 11</t>
  </si>
  <si>
    <t>Realizace projektu v rámci akce EU peníze školám - ZŠ Krásného 24</t>
  </si>
  <si>
    <t>Realizace projektu v rámci akce EU peníze školám - ZŠ Jasanová 2</t>
  </si>
  <si>
    <t>Realizace projektu v rámci akce EU peníze školám - ZŠ nám. Míru 3</t>
  </si>
  <si>
    <t>10.2.2011</t>
  </si>
  <si>
    <t>Realizace projektu v rámci akce EU peníze školám - ZŠ Hamry 12</t>
  </si>
  <si>
    <t>Realizace projektu v rámci akce EU peníze školám - ZŠ Košinova 22</t>
  </si>
  <si>
    <t>16.2.2011</t>
  </si>
  <si>
    <t>Realizace projektu v rámci akce EU peníze školám - ZŠ Měšťanská 21</t>
  </si>
  <si>
    <t>Realizace projektu v rámci akce EU peníze školám - ZŠ nám. Svornosti 7</t>
  </si>
  <si>
    <t>2.3.2011</t>
  </si>
  <si>
    <t>Realizace projektu v rámci akce EU peníze školám - ZŠ Jana Babáka 1</t>
  </si>
  <si>
    <t>Real. proj. v rámci akce EU peníze školám - ZŠ J.A.Komen. a MŠ nám. Republ.10</t>
  </si>
  <si>
    <t>Realizace projektu v rámci akce EU peníze školám - Tyršova ZŠ, Kuldova 38</t>
  </si>
  <si>
    <t>15.3.2011</t>
  </si>
  <si>
    <t>Realizace projektu v rámci akce EU peníze školám - ZŠ Sirotkova 36</t>
  </si>
  <si>
    <t>Realizace projektu v rámci akce EU peníze školám - ZŠ Blažkova 9</t>
  </si>
  <si>
    <t>21.3.2011</t>
  </si>
  <si>
    <t>Realizace projektu v rámci akce EU peníze školám - ZŠ Novoměstská 21</t>
  </si>
  <si>
    <t>28.3.2011</t>
  </si>
  <si>
    <t>Realizace projektu v rámci akce EU peníze školám - ZŠ Horácké nám. 13</t>
  </si>
  <si>
    <t>Realizace projektu v rámci akce EU peníze školám - ZŠ Antonínská 3</t>
  </si>
  <si>
    <t>Realizace projektu v  rámci akce EU peníze školám - ZŠ Slovanské nám. 2</t>
  </si>
  <si>
    <t>Realizace projektu v rámci akce EU peníze školám - ZŠ Hroznová 1</t>
  </si>
  <si>
    <t>Realizace projektu v rámci akce EU peníze školám - ZŠ Masarova 11</t>
  </si>
  <si>
    <t>11.5.2011</t>
  </si>
  <si>
    <t>Cestou porozuměním světovým náboženství - ZŠ Husova 219</t>
  </si>
  <si>
    <t>33339</t>
  </si>
  <si>
    <t>20.5.2011</t>
  </si>
  <si>
    <t>Den prevence rizikového chování pro děti a rodiče - ZŠ Labská 27</t>
  </si>
  <si>
    <t>Prevence rizikového chování - ZŠ Vejrostova 1</t>
  </si>
  <si>
    <t>Vzdělávání výchovného poradce - ZŠ Vejrostova 1</t>
  </si>
  <si>
    <t>30.5.2011</t>
  </si>
  <si>
    <t>Realizace projektu v rámci akce EU peníze školám - ZŠ Bosonožské nám. 44</t>
  </si>
  <si>
    <t>Realizace projektu v rámci akce EU peníze školám - ZŠ Merhautova 37</t>
  </si>
  <si>
    <t>Realizace projektu v rámci EU peníze školám - ZŠ Jihomoravské nám. 2</t>
  </si>
  <si>
    <t>11.7.2011</t>
  </si>
  <si>
    <t>Realizace projektu v rámci EU peníze školám - ZŠ Husova 17</t>
  </si>
  <si>
    <t>22.7.2011</t>
  </si>
  <si>
    <t>Realizace projektu EU peníze školám - ZŠ Tuháčkova 25</t>
  </si>
  <si>
    <t>Realizace projektu EU peníze školám - ZŠ Vedlejší 10</t>
  </si>
  <si>
    <t>8.8.2011</t>
  </si>
  <si>
    <t>Realizace projektu EU peníze školám - ZŠ Zeiberlichova 49</t>
  </si>
  <si>
    <t>11.8.2011</t>
  </si>
  <si>
    <t>Realizace projektu EU peníze školám - ZŠ Chalabalova 2</t>
  </si>
  <si>
    <t>23.8.2011</t>
  </si>
  <si>
    <t>Realizace projektu EU peníze školám - ZŠ Botanická 70</t>
  </si>
  <si>
    <t>9.9.2011</t>
  </si>
  <si>
    <t>Realizace projektu EU peníze školám - ZŠ Pavlovská 16</t>
  </si>
  <si>
    <t>16.9.2011</t>
  </si>
  <si>
    <t>Realizace projektu EU peníze školám - ZŠ Labská 27</t>
  </si>
  <si>
    <t>Realizace projektu EU peníze školám - EZŠ Čejkovická 10</t>
  </si>
  <si>
    <t>26.9.2011</t>
  </si>
  <si>
    <t>Realizace projektu EU peníze školám - ZŠ Řehořova 3</t>
  </si>
  <si>
    <t>5.10.2011</t>
  </si>
  <si>
    <t>Realizace projektu EU peníze školám - ZŠ Holzova 1</t>
  </si>
  <si>
    <t>Realizace projektu EU peníze školám - ZŠ Bosonožská 9</t>
  </si>
  <si>
    <t>12.10.2011</t>
  </si>
  <si>
    <t>Realizace projektu EU peníze školám - ZŠ Horníkova 1</t>
  </si>
  <si>
    <t>22.11.2011</t>
  </si>
  <si>
    <t>Realizace projektu EU peníze školám - ZŠ Novolíšeňská 10</t>
  </si>
  <si>
    <t>24.11.2011</t>
  </si>
  <si>
    <t>Podpora integrace romské komunity - ZŠ a MŠ nám. 28. října 22, Brno</t>
  </si>
  <si>
    <t>33160</t>
  </si>
  <si>
    <t>13.12.2011</t>
  </si>
  <si>
    <t xml:space="preserve">Realizace projektu EU peníze školám - ZŠ Vejrostova 1 </t>
  </si>
  <si>
    <t>Realizace projektu EU peníze školám - ZŠ a MŠ Elišky Přemyslovny 10</t>
  </si>
  <si>
    <t>16.12.2011</t>
  </si>
  <si>
    <t>Realizace projektu EU peníze školám - ZŠ Heyrovského 32</t>
  </si>
  <si>
    <t>Realizace projektu EU peníze školám - ZŠ Zemědělská 29</t>
  </si>
  <si>
    <t>Realizace projektu EU peníze školám - ZŠ Bakalovo nábř. 8</t>
  </si>
  <si>
    <t>33019</t>
  </si>
  <si>
    <t>Brno - střed - rovné přílež. ke vzdělávání pro romské žáky - ZŠ a MŠ nám. 28. října</t>
  </si>
  <si>
    <t>MINISTERSTVO PRÁCE A SOCIÁLNÍCH VĚCÍ ČR</t>
  </si>
  <si>
    <t>11.1.2011</t>
  </si>
  <si>
    <t>Příspěvek na péči oprávněným osobám podle zák. č. 108/2006 Sb., o soc. službách</t>
  </si>
  <si>
    <t>Dotace na dávky pro zdravotně postižené a na dávky pomoci v hmotné nouzi</t>
  </si>
  <si>
    <t>4.3.2011</t>
  </si>
  <si>
    <t>31.3.2011</t>
  </si>
  <si>
    <t xml:space="preserve">Dotace na podporu poskytování sociálních služeb </t>
  </si>
  <si>
    <t>6.4.2011</t>
  </si>
  <si>
    <t>Úhrada pojistného pro osoby vykonávající veřejnou službu podle zák. č. 111/208 Sb.</t>
  </si>
  <si>
    <t>4.5.2011</t>
  </si>
  <si>
    <t>19.5.2011</t>
  </si>
  <si>
    <t>6.6.2011</t>
  </si>
  <si>
    <t>6.9.2011</t>
  </si>
  <si>
    <t>7.10.2011</t>
  </si>
  <si>
    <t>14.10.2011</t>
  </si>
  <si>
    <t>3.11.2011</t>
  </si>
  <si>
    <t>7.12.2011</t>
  </si>
  <si>
    <t>12.12.2011</t>
  </si>
  <si>
    <t>21.12.2011</t>
  </si>
  <si>
    <t xml:space="preserve">Brno - sever - Drom - podpora sociální intergrace příslušníků romských lokalit </t>
  </si>
  <si>
    <t>Brno - Židenice - podpora poskytování sociálních služeb</t>
  </si>
  <si>
    <t>Brno - střed - prevence zadluženosti a další podpůrné činnosti - Správa nemovitostí</t>
  </si>
  <si>
    <t>Brno - střed - Obec přátelská rodině 2010</t>
  </si>
  <si>
    <t>MINISTERSTVO  PRO MÍSTNÍ ROZVOJ ČR</t>
  </si>
  <si>
    <t>16.5.2011</t>
  </si>
  <si>
    <t xml:space="preserve">PRESS - Spolupráce partnerských měst Brno a St. Pőlten </t>
  </si>
  <si>
    <t>Brno - Komín - regenerace panelového sídliště Brno - Komín</t>
  </si>
  <si>
    <t>Brno - Kohoutovice - regenerace panelového sídliště Brno - Kohoutovice</t>
  </si>
  <si>
    <t>Brno - Vinohrady - regenerace panelového sídliště Brno - Vinohrady</t>
  </si>
  <si>
    <t>MINISTERSTVO  PRŮMYSLU A OBCHODU ČR</t>
  </si>
  <si>
    <t>24.2.2011</t>
  </si>
  <si>
    <t>Dotace na výkon činnosti Jednotných kontaktních míst</t>
  </si>
  <si>
    <t>9.8.2011</t>
  </si>
  <si>
    <t>MINISTERSTVO VNITRA ČR</t>
  </si>
  <si>
    <t>18.2.2011</t>
  </si>
  <si>
    <t xml:space="preserve">Optimalizace řízení informatiky MMB </t>
  </si>
  <si>
    <t xml:space="preserve">Podpora profesního a osobního růstu zaměstnanců statutárního města Brna </t>
  </si>
  <si>
    <t>Optimalizace řízení informatiky MMB</t>
  </si>
  <si>
    <t xml:space="preserve">Rozvojové dokumenty Strategie pro Brno </t>
  </si>
  <si>
    <t>10.3.2011</t>
  </si>
  <si>
    <t>Dotace na zajištění bydlení pro azylanty na území ČR</t>
  </si>
  <si>
    <t>10.5.2011</t>
  </si>
  <si>
    <t xml:space="preserve">Systém včasné intervence II </t>
  </si>
  <si>
    <t>Bezpečně na internetu - kyberšikana</t>
  </si>
  <si>
    <t>Sociální asistent volnočasových aktivit</t>
  </si>
  <si>
    <t>Psychosociální pomoc obětem sexuálního násilí</t>
  </si>
  <si>
    <t>Pojď se mnou, já to tady znám</t>
  </si>
  <si>
    <t>18.8.2011</t>
  </si>
  <si>
    <t>21.10.2011</t>
  </si>
  <si>
    <t xml:space="preserve">Úsvit v Brně - vzdělávací kurz pro strážníky </t>
  </si>
  <si>
    <t>9.11.2011</t>
  </si>
  <si>
    <t>Brno - Bystrc - zajištění bydlení pro azylanty na území ČR</t>
  </si>
  <si>
    <t>Brno - střed - zajištění bydlení pro azylanty na území ČR</t>
  </si>
  <si>
    <t xml:space="preserve">Brno – Židenice - úhrada nákladů obce v souvislosti s azylovým zařízením </t>
  </si>
  <si>
    <t>MINISTERSTVO  ZEMĚDĚLSTVÍ  ČR</t>
  </si>
  <si>
    <t>4.4.2011</t>
  </si>
  <si>
    <t>Dotace na činnost odborného lesního hospodáře</t>
  </si>
  <si>
    <t>3.5.2011</t>
  </si>
  <si>
    <t>Úhrada zvýšených nákladů na výsadbu minimálního podílu melior. a zpevň. dřevin</t>
  </si>
  <si>
    <t>13.6.2011</t>
  </si>
  <si>
    <t>27.9.2011</t>
  </si>
  <si>
    <t>5.12.2011</t>
  </si>
  <si>
    <t>MINISTERSTVO  ZDRAVOTNICTVÍ  ČR</t>
  </si>
  <si>
    <t>16.3.2011</t>
  </si>
  <si>
    <t>Ošetřovatelské péče o pacienty ve vybraných klinických oborech - Úrazová nem.</t>
  </si>
  <si>
    <t>Aplikovaná fyzioterapie - Úrazová nemocnice</t>
  </si>
  <si>
    <t>Ošetřovatelská péče v anesteziologii, resuscitaci a intenz.péči - Úrazová nemocnice</t>
  </si>
  <si>
    <t>Perioperační péče - Úrazová nemocnice</t>
  </si>
  <si>
    <t>2.9.2011</t>
  </si>
  <si>
    <t>1.12.2011</t>
  </si>
  <si>
    <t>Vratka části dotace na Ošetřovatelské péče o pacienty ve vybraných klinických oborech</t>
  </si>
  <si>
    <t>Ošetřovatelské péče o pacienty v chirurgických oborech - Úrazová nem.</t>
  </si>
  <si>
    <t>20.12.2011</t>
  </si>
  <si>
    <t>MINISTERSTVO  ŽIVOTNÍHO PROSTŘEDÍ  ČR</t>
  </si>
  <si>
    <t>Příspěvek zoologickým zahradám - Zoologická zahrada města Brna</t>
  </si>
  <si>
    <t>ÚŘAD  VLÁDY</t>
  </si>
  <si>
    <t>21.6.2011</t>
  </si>
  <si>
    <t>Terénní programy pro romskou komunitu - Brno 2011</t>
  </si>
  <si>
    <t>Z ROZPOČTŮ ÚSTŘEDNÍ ÚROVNĚ</t>
  </si>
  <si>
    <t>18.10.2011</t>
  </si>
  <si>
    <t>Projekt partnerství Comenius Regio - využití kultury a vzdělávání pro začleňování Romů</t>
  </si>
  <si>
    <t>4119</t>
  </si>
  <si>
    <t>JIHOMORAVSKÝ KRAJ</t>
  </si>
  <si>
    <t>Projekt Ruku v ruce - Knihovna Jiřího Mahena</t>
  </si>
  <si>
    <t>4122</t>
  </si>
  <si>
    <t>Rozvoj klíčových kompetencí žáků při projekt. vyučování - ZŠ Gajdošova  3</t>
  </si>
  <si>
    <t>Zavádění interaktivní výuky na 1. stupni ZŠ Pastviny 70 s přesahem na EVVO</t>
  </si>
  <si>
    <t>Skupinová výuka mimořádně nadaných dětí na Úvoza - ZŠ Úvoz 55</t>
  </si>
  <si>
    <t>Učíme se pro život (Amen sikhĺuvas pre dživipen) - ZŠ a MŠ Křenová 21</t>
  </si>
  <si>
    <t>21.2.2011</t>
  </si>
  <si>
    <t>Podpora zavádění systému nových výuk. metod na ZŠ Mutěnická 23</t>
  </si>
  <si>
    <t>Zvýšení úrovně znalostí využívání IT na EZŠ - Evropská základní škola, Čejkovická 10</t>
  </si>
  <si>
    <t>3.3.2011</t>
  </si>
  <si>
    <t>Úspěch pro všechny prostř. inovace metod a forem výuky - ZŠ a MŠ J.Broskvy 3</t>
  </si>
  <si>
    <t>Podpora výuky AJ s využitím ICT a moderních způsobů výuky - ZŠ Labská 27</t>
  </si>
  <si>
    <t>11.3.2011</t>
  </si>
  <si>
    <t>Média ve škole - ZŠ Bednářova 28</t>
  </si>
  <si>
    <t>Podpora Montessori pedagogiky na ZŠ Pastviny - ZŠ a MŠ Pastviny 70</t>
  </si>
  <si>
    <t>Všichni máme stejnou šanci - ZŠ Vedlejší 10</t>
  </si>
  <si>
    <t>22.3.2011</t>
  </si>
  <si>
    <t>25.3.2011</t>
  </si>
  <si>
    <t>Internetový kurz základů astronomie - Hvězdárna a planetárium Brno</t>
  </si>
  <si>
    <t>Anglicky všemi smysly - ZŠ Bakalovo nábřeží 8</t>
  </si>
  <si>
    <t>18.4.2011</t>
  </si>
  <si>
    <t>Ruku v ruce - Knihovna Jiřího Mahena</t>
  </si>
  <si>
    <t>Zatočíme s odpady  - ZŠ Řehořova</t>
  </si>
  <si>
    <t>Žáci žákům aneb mezipředmětová tvorba multimediálních prezentací - ZŠ Vedlejší 10</t>
  </si>
  <si>
    <t>6.5.2011</t>
  </si>
  <si>
    <t>Zkvalitnění enviromentálního vzdělávání na Masarykově ZŠ a MŠ, Zemědělská 29</t>
  </si>
  <si>
    <t>Víc znát, víc vědět, víc umět - ZŠ Tuháčkova 25</t>
  </si>
  <si>
    <t>12.5.2011</t>
  </si>
  <si>
    <t>Žákovská naučná stezka o Komárově a naší základní škole - ZŠ Tuháčkova</t>
  </si>
  <si>
    <t>Publikace Jubilanti Činohry Národního divadla Brno 2011 - Národní divadlo Brno</t>
  </si>
  <si>
    <t>Multimédia ve výuce na základní škole - ZŠ Bosonožská 9</t>
  </si>
  <si>
    <t>Mezinárodní hudební festival Moravský podzim</t>
  </si>
  <si>
    <t>24.5.2011</t>
  </si>
  <si>
    <t>Zvýšení úrovně znalostí využívání IT na EZŠ - Evropská základní škola</t>
  </si>
  <si>
    <t>25.5.2011</t>
  </si>
  <si>
    <t xml:space="preserve">Inscenace Jméno růže - Městské divadlo Brno </t>
  </si>
  <si>
    <t>Inscenace Měsíční kámen - Městské divadlo Brno</t>
  </si>
  <si>
    <t>Inscenace Kráska a zvíře - Městské divadlo Brno</t>
  </si>
  <si>
    <t>Vydání publikace Městské divadlo Brno 2009 - 2010 - Městské divadlo Brno</t>
  </si>
  <si>
    <t>Mezinárodní divadelní festival Divadelní svět - Brněnské kulturní centrum</t>
  </si>
  <si>
    <t>Podpora vybraných projektů - Národní divadlo Brno</t>
  </si>
  <si>
    <t>Mezinárodní hudební festival Špilberk - Filharmonie Brno</t>
  </si>
  <si>
    <t>Pořádání vybraných koncertů - Filharmonie Brno</t>
  </si>
  <si>
    <t xml:space="preserve">Mozartovy děti - Filharmonie Brno </t>
  </si>
  <si>
    <t>Symfonický orchestr Jihomoravského kraje - Filharmonie Brno</t>
  </si>
  <si>
    <t>7.6.2011</t>
  </si>
  <si>
    <t>Podpora zavádění nových výukových metod na ZŠ Mutěnické - ZŠ Mutěnická</t>
  </si>
  <si>
    <t>Podpora výuky předmětů z oblasti Člověk a příroda - ZŠ Gajdošova</t>
  </si>
  <si>
    <t>Realizace projektu Balada pro banditu v Petrohradě - CED</t>
  </si>
  <si>
    <t>Učíme se pro život (Amen sikhĺuvas pre dživipen) - ZŠ a MŠ Křenová</t>
  </si>
  <si>
    <t>14.6.2011</t>
  </si>
  <si>
    <t>Jihomor. regionální centrum na podporu integrace cizinců 2011 - ZŠ a MŠ Staňkova 14</t>
  </si>
  <si>
    <t>16.6.2011</t>
  </si>
  <si>
    <t>Všichni máme stejnou šanci - ZŠ Vedlejší</t>
  </si>
  <si>
    <t>20.6.2011</t>
  </si>
  <si>
    <t>30.6.2011</t>
  </si>
  <si>
    <t>Dotace na daltonské vzdělávání - ZŠ Chalabalova</t>
  </si>
  <si>
    <t>7.7.2011</t>
  </si>
  <si>
    <t>28.7.2011</t>
  </si>
  <si>
    <t>Průvodce brněnským podzemím v anglickém jazyce - TIC</t>
  </si>
  <si>
    <t>29.8.2011</t>
  </si>
  <si>
    <t>30.8.2011</t>
  </si>
  <si>
    <t>Vratka části dotace na projekt Balada pro banditu v Petrohradě</t>
  </si>
  <si>
    <t>13.9.2011</t>
  </si>
  <si>
    <t>Podpora výuky anglického jazyka s využitím ICT a moderních zp. výuky - ZŠ Labská</t>
  </si>
  <si>
    <t>Interdiscipl. přístup k řešení dom. násilí ve SmB - Domácí násilí v obrazech a povídkách</t>
  </si>
  <si>
    <t>Senior akademie VI. - Bezpečí seniorů - Městská policie Brno</t>
  </si>
  <si>
    <t>25.10.2011</t>
  </si>
  <si>
    <t>26.10.2011</t>
  </si>
  <si>
    <t xml:space="preserve">Úhrada ztráty vzniklé poskytováním žákovského jízdného </t>
  </si>
  <si>
    <t>2.11.2011</t>
  </si>
  <si>
    <t>Radostné letní večery - Divadlo Radost</t>
  </si>
  <si>
    <t>4.11.2011</t>
  </si>
  <si>
    <t>25.11.2011</t>
  </si>
  <si>
    <t>Skupinová výuka mimořádně nadaných dětí na Úvoze - ZŠ Úvoz</t>
  </si>
  <si>
    <t>29.11.2011</t>
  </si>
  <si>
    <t>Podpora Montessori pedagogiky na ZŠ Pastviny - ZŠ a MŠ Pastviny</t>
  </si>
  <si>
    <t>Zavádění interaktivní výuky na 1. stupni ZŠ Pastviny s přesahem na EVVO</t>
  </si>
  <si>
    <t>Podpora prorodinné politiky na úrovni obcí</t>
  </si>
  <si>
    <t>Realizace projektu 52. Brněnská šestnáctka - Brněnské kulturní centrum</t>
  </si>
  <si>
    <t>Soubor dvou publikací: Italové a Špilberk, Francouzi v historii Brna - Muzeum města Brna</t>
  </si>
  <si>
    <t>Brněnská muzejní noc 2011 - Muzeum města Brna</t>
  </si>
  <si>
    <t>Z opery do opery, Interaktivní vzdělávací představení - workshop pro děti - NDB</t>
  </si>
  <si>
    <t>9.12.2011</t>
  </si>
  <si>
    <t>XX. Mezinárodní kytarový festival Brno - TIC</t>
  </si>
  <si>
    <t>Velikonoční festival duchovní hudby</t>
  </si>
  <si>
    <t>14.12.2011</t>
  </si>
  <si>
    <t>19.12.2011</t>
  </si>
  <si>
    <t>Jihomor. regionální centrum na podporu integrace cizinců 2011 - ZŠ a MŠ Staňkova</t>
  </si>
  <si>
    <t>Projekt Taneční most/Tanzbrücke 2011 - Národní divadlo Brno</t>
  </si>
  <si>
    <t>Scénář k inscenaci Černá Madona Brněnská - Národní divadlo Brno</t>
  </si>
  <si>
    <t>Vratka dotace Z opery do opery, Interaktivní vzdělávací představení - NDB</t>
  </si>
  <si>
    <t>Dopravní výchova - realizace požadavků škol a obcí Jihomor. kraje - Městská policie</t>
  </si>
  <si>
    <t>23.12.2011</t>
  </si>
  <si>
    <t>27.12.2011</t>
  </si>
  <si>
    <t>Papageno hraje na kouzelnou flétnu - Národní divadlo Brno</t>
  </si>
  <si>
    <t xml:space="preserve">Brno - Bohunice - zabezpečení akceschopnosti JSDH obce na rok 2011 </t>
  </si>
  <si>
    <t xml:space="preserve">Brno - Chrlice - oprava automobilové silniční cisterny, pořízení výstroje a výzbroje </t>
  </si>
  <si>
    <t xml:space="preserve">Brno - Chrlice - zabezpečení akceschopnosti JSDH obce na rok 2011 </t>
  </si>
  <si>
    <t xml:space="preserve">Brno - Jehnice - zabezpečení akceschopnosti JSDH obce na rok 2011 </t>
  </si>
  <si>
    <t xml:space="preserve">Brno - Jih - zabezpečení akceschopnosti JSDH obce na rok 2011 </t>
  </si>
  <si>
    <t xml:space="preserve">Brno - Jundrov - zabezpečení akceschopnosti JSDH obce na rok 2011 </t>
  </si>
  <si>
    <t xml:space="preserve">Brno - Komín - pořízení elektr. kalového čerpadla,  zásah.obleků a obuvi JSDH </t>
  </si>
  <si>
    <t xml:space="preserve">Brno - Komín - zabezpečení akceschopnosti JSDH obce na rok 2011 </t>
  </si>
  <si>
    <t>Brno - Komín - pořízení materiálového vybavení a zařízení klubovny seniorů</t>
  </si>
  <si>
    <t>Brno - Královo Pole - technické a osobní ochranné pomůcky pro JSDH</t>
  </si>
  <si>
    <t xml:space="preserve">Brno - Královo pole - zabezpečení akceschopnosti JSDH obce na rok 2011 </t>
  </si>
  <si>
    <t>Brno - Líšeň - Farmářské a vánoční trhy v Brně - Líšni</t>
  </si>
  <si>
    <t xml:space="preserve">Brno - Maloměřice a Obřany - nákup elektrocentrály a stanu týlového zázemí pro JSDH </t>
  </si>
  <si>
    <t xml:space="preserve">Brno - Maloměřice a Obřany - zabezpečení akceschopnosti JSDH obce na rok 2011 </t>
  </si>
  <si>
    <t>Brno - sever - Drom - projekt Husovický skřivánek 2011</t>
  </si>
  <si>
    <t>Brno - sever - Drom - projekt Šanci dětem</t>
  </si>
  <si>
    <t>Brno - sever - pořízení hydraulického zařízení, výstroje a  vybavení pro JSDH</t>
  </si>
  <si>
    <t xml:space="preserve">Brno - sever - zabezpečení akceschopnosti JSDH obce na rok 2011 </t>
  </si>
  <si>
    <t xml:space="preserve">Brno - Slatina - zabezpečení akceschopnosti JSDH obce na rok 2011 </t>
  </si>
  <si>
    <t xml:space="preserve">Brno - Slatina - vybavení nově vybudované třídy MŠ v ZŠ Jihomoravské nám. 2 </t>
  </si>
  <si>
    <t xml:space="preserve">Brno - střed - prevence kriminality - bezpečnost pro celou rodiny </t>
  </si>
  <si>
    <t xml:space="preserve">Brno - střed - Kutilové aneb jak se staví dům - KVC U Tří kohoutů </t>
  </si>
  <si>
    <t>Brno - Starý Lískovec - zakoupení radiostanic, zásahových kompletů, přileb - JSDH</t>
  </si>
  <si>
    <t xml:space="preserve">Brno - Tuřany - nákup ochranných pomůcek a technického vybavení JSDH </t>
  </si>
  <si>
    <t xml:space="preserve">Brno - Tuřany - zabezpečení akceschopnosti JSDH obce na rok 2011 </t>
  </si>
  <si>
    <t xml:space="preserve">Brno - Vinohrady - Vinohradská výstava vín 2011 </t>
  </si>
  <si>
    <t>Brno - Žebětín - zabezpečení akceschopnosti JSDH obce na rok 2011</t>
  </si>
  <si>
    <t xml:space="preserve">Brno - Žebětín - nákup kalového čerpadla, zásahových obleků pro JSDH </t>
  </si>
  <si>
    <t>Brno - Židenice - zabezpečení akceschopnosti JSDH obce pro rok 2011</t>
  </si>
  <si>
    <t>22.6.2011</t>
  </si>
  <si>
    <t>Manažer IPRM Brno</t>
  </si>
  <si>
    <t>CIZÍ STÁTY</t>
  </si>
  <si>
    <t>11.4.2011</t>
  </si>
  <si>
    <t>Projekt REURIS - revitalizace řek a jejich okolí v urbanizovaném území města</t>
  </si>
  <si>
    <t>4151</t>
  </si>
  <si>
    <t>10.11.2011</t>
  </si>
  <si>
    <t>Seminář v Bulharsku o přípravě integrovaných plánů udržitelného městského rozvoje</t>
  </si>
  <si>
    <t>18.11.2011</t>
  </si>
  <si>
    <t>Projekt CIVITAS ELAN</t>
  </si>
  <si>
    <t>MEZINÁRODNÍ  INSTITUCE</t>
  </si>
  <si>
    <t>4152</t>
  </si>
  <si>
    <t>20.4.2011</t>
  </si>
  <si>
    <t>Projekt CENTROPE CAPACITY</t>
  </si>
  <si>
    <t>21.7.2011</t>
  </si>
  <si>
    <t>Projekt Eurocities</t>
  </si>
  <si>
    <t>Projekt TROLLEY</t>
  </si>
  <si>
    <t xml:space="preserve">Náhrada cestovních výdajů do Poznaně v rámci projektu Urbact II </t>
  </si>
  <si>
    <t>29.12.2011</t>
  </si>
  <si>
    <t>Brno - Nový Lískovec - zvýšení atraktivity a kvality městského prostředí</t>
  </si>
  <si>
    <t>DOTACE  NEINVESTIČNÍ  CELKEM</t>
  </si>
  <si>
    <t>INVESTIČNÍ DOTACE</t>
  </si>
  <si>
    <t>24.6.2011</t>
  </si>
  <si>
    <t>Zateplení ZŠ Mutěnická</t>
  </si>
  <si>
    <t>4213</t>
  </si>
  <si>
    <t>15.7.2011</t>
  </si>
  <si>
    <t xml:space="preserve">Zateplení ZŠ Chalabalova a ZŠ Jihomoravské nám. </t>
  </si>
  <si>
    <t>Zateplení ZŠ Horácké nám. 13</t>
  </si>
  <si>
    <t>Brno - Nový Lískovec - zelená úsporám</t>
  </si>
  <si>
    <t>Brno - Slatina - zelená úsporám</t>
  </si>
  <si>
    <t>Brno - Střed - zelená úsporám</t>
  </si>
  <si>
    <t>MINISTERSTVO  DOPRAVY</t>
  </si>
  <si>
    <t>7.11.2011</t>
  </si>
  <si>
    <t>Projekt CONNECT - II. fáze</t>
  </si>
  <si>
    <t>7.4.2011</t>
  </si>
  <si>
    <t>Technické zhodnocení pláště budov skupiny domů 2 - evropský podíl</t>
  </si>
  <si>
    <t>Technické zhodnocení pláště budov skupiny domů 2 - státní podíl</t>
  </si>
  <si>
    <t>4216</t>
  </si>
  <si>
    <t>Technické zhodnocení pláště budov skupiny 4 - evropský podíl</t>
  </si>
  <si>
    <t>Technické zhodnocení pláště budov skupiny 4 - státní podíl</t>
  </si>
  <si>
    <t>Technické zhodnocení pláště budov skupiny 3 - evropský podíl</t>
  </si>
  <si>
    <t>Technické zhodnocení pláště budov skupiny 3 - státní podíl</t>
  </si>
  <si>
    <t>Stavební úpravy a půdní vestavba bytového domu Spolková 3 - evropský podíl</t>
  </si>
  <si>
    <t>Stavební úpravy a půdní vestavba bytového domu Spolková 3 - státní podíl</t>
  </si>
  <si>
    <t>MINISTERSTVO  ŽIVOTNÍHO PROSTŘEDÍ</t>
  </si>
  <si>
    <t>28.6.2011</t>
  </si>
  <si>
    <t>8.3.2011</t>
  </si>
  <si>
    <t>Vila Tugendhat - státní podíl</t>
  </si>
  <si>
    <t>34885</t>
  </si>
  <si>
    <t>Vila Tugendhat - evropský podíl</t>
  </si>
  <si>
    <t>34886</t>
  </si>
  <si>
    <t>4222</t>
  </si>
  <si>
    <t>Podpora výuky AJ s využitím ICT a moderních zp.výuky - ZŠ Labská</t>
  </si>
  <si>
    <t>Média ve škole - ZŠ Bednářova</t>
  </si>
  <si>
    <t xml:space="preserve">Rozvoj klíčových kompetencí žáků při projekt. vyučování - ZŠ Gajdošova </t>
  </si>
  <si>
    <t xml:space="preserve">Brno - Černovice - pořízení staršího dopravního automobilu pro JSDH </t>
  </si>
  <si>
    <t xml:space="preserve">Brno - Komín - nákup ponorného a motorového kalového čerpadla pro JSDH </t>
  </si>
  <si>
    <t>Brno - Maloměřice a Obřany - dovybavení dětského hřiště</t>
  </si>
  <si>
    <t xml:space="preserve">Brno - Starý Lískovec - zakoupení staršího dopravního automobilu pro JSDH Brno </t>
  </si>
  <si>
    <t>Brno - Tuřany - zakoup. elektrocentrály a lanového navijáku pro silniční cisternu - JSDH</t>
  </si>
  <si>
    <t>Brno - Vinohrady - stavební úpravy obsluž. rampy a přístřešek na kontejn.-ZŠ Mutěnická</t>
  </si>
  <si>
    <t xml:space="preserve">Brno - Žabovřesky - rekonstrukce průčelí kina Lucerna, Minská 19 </t>
  </si>
  <si>
    <t>14.2.2011</t>
  </si>
  <si>
    <t>Kouzelný svět animace - Muzeum loutek - evropský podíl</t>
  </si>
  <si>
    <t>Kouzelný svět animace - Muzeum loutek - státní podíl</t>
  </si>
  <si>
    <t>Rozvoj sítě cyklistických stezek na území města Brna - II.etapa - evropský podíl</t>
  </si>
  <si>
    <t>Rozvoj sítě cyklistických stezek na území města Brna - II.etapa - státní podíl</t>
  </si>
  <si>
    <t>17.2.2011</t>
  </si>
  <si>
    <t>Rekonstrukce víceúčelového sportovního areálu ZŠ Heyrovského 32 - evropský podíl</t>
  </si>
  <si>
    <t>4223</t>
  </si>
  <si>
    <t>Rekonstrukce víceúčelového sportovního areálu ZŠ Heyrovského 32 - státní podíl</t>
  </si>
  <si>
    <t>Revitalizace parku Bubeníčkova - evropský podíl</t>
  </si>
  <si>
    <t>Revitalizace parku Bubeníčkova - státní podíl</t>
  </si>
  <si>
    <t>Rekonstrukce sportovního arealu při ZŠ Brno, Vedlejší 10 - evropský podíl</t>
  </si>
  <si>
    <t>Rekonstrukce sportovního arealu při ZŠ Brno, Vedlejší 10 - státní podíl</t>
  </si>
  <si>
    <t>Odpočinková a sportovní zóna "Terénky" - evropský podíl</t>
  </si>
  <si>
    <t>Odpočinková a sportovní zóna "Terénky" - státní podíl</t>
  </si>
  <si>
    <t>Joštova - úsek Moravské nám. - Komenského nám.  - evropský podíl</t>
  </si>
  <si>
    <t>Joštova - úsek Moravské nám. - Komenského nám. - státní podíl</t>
  </si>
  <si>
    <t xml:space="preserve">Dětská hřiště v parku Národního odboje při ul. Šelepova, Brno - evropský podíl </t>
  </si>
  <si>
    <t xml:space="preserve">Dětská hřiště v parku Národního odboje při ul. Šelepova, Brno - státní podíl </t>
  </si>
  <si>
    <t>Rekonstrukce veřejného sportoviště Glinkova v Kohoutovicích - evropský podíl</t>
  </si>
  <si>
    <t>Rekonstrukce veřejného sportoviště Glinkova v Kohoutovicích - státní podíl</t>
  </si>
  <si>
    <t>Rekonstrukce sportovišť při ZŠ v Novém Lískovci - evropský podíl</t>
  </si>
  <si>
    <t>Rekonstrukce sportovišť při ZŠ v Novém Lískovci - státní podíl</t>
  </si>
  <si>
    <t>Regionální biocentrum Cacovický ostrov - revitalizace - evropský podíl</t>
  </si>
  <si>
    <t>Regionální biocentrum Cacovický ostrov - revitalizace - státní podíl</t>
  </si>
  <si>
    <t>23.9.2011</t>
  </si>
  <si>
    <t>Rozšíření ubytovací kapacity - Azylový dům Křenová - evropský podíl</t>
  </si>
  <si>
    <t>Rozšíření ubytovací kapacity  - Azylový dům Křenová - státní podíl</t>
  </si>
  <si>
    <t>Revitalizace městských parků I. etapa - evropský podíl</t>
  </si>
  <si>
    <t>Revitalizace městských parků I. etapa - státní podíl</t>
  </si>
  <si>
    <t>Joštova - úsek Komenského nám. - Údolní - evropský podíl</t>
  </si>
  <si>
    <t>21.11.2011</t>
  </si>
  <si>
    <t>Kobližná - prostor u OD Centrum - evropský podíl</t>
  </si>
  <si>
    <t>Kobližná - prostor u OD Centrum - státní podíl</t>
  </si>
  <si>
    <t>Rekonstrukce sportovního areálu při ZŠ Vedlejší 10 - evropský podíl</t>
  </si>
  <si>
    <t>Rekonstrukce sportovního areálu při ZŠ Vedlejší 10 - státní podíl</t>
  </si>
  <si>
    <t>Přístrojové vybavení Úrazové nemocnice v Brně - evropský podíl</t>
  </si>
  <si>
    <t>Přístrojové vybavení Úrazové nemocnice v Brně - státní podíl</t>
  </si>
  <si>
    <t>Regionální biocentrum Cacovický ostov - revitalizace - evropský podíl</t>
  </si>
  <si>
    <t>Regionální biocentrum Cacovický ostov - revitalizace - státní podíl</t>
  </si>
  <si>
    <t>INVESTIČNÍ  TRANSFERY  PŘIJATÉ  OD  EVROPSKÉ  UNIE</t>
  </si>
  <si>
    <t>Brno - Židenice - přímá investiční podpora od EIB</t>
  </si>
  <si>
    <t>4232</t>
  </si>
  <si>
    <t xml:space="preserve">DOTACE  INVESTIČNÍ CELKEM </t>
  </si>
  <si>
    <t>REKAPITULACE  POSKYTNUTÝCH DOTACÍ</t>
  </si>
  <si>
    <t xml:space="preserve">DOTACE  NEINVESTIČNÍ CELKEM  </t>
  </si>
  <si>
    <t xml:space="preserve">DOTACE  INVESTIČNÍ CELKEM  </t>
  </si>
  <si>
    <t>DOTACE    CELKEM</t>
  </si>
  <si>
    <t xml:space="preserve">Přehled přijatých účelových dotací z resortních ministerstev, státních fondů, Jihomoravského kraje </t>
  </si>
  <si>
    <t>MINISTERSTVO  KULTURY</t>
  </si>
  <si>
    <t>REGIONÁLNÍ RADA REGIONU SOUDRŽNOSTI JIHOVÝCHOD</t>
  </si>
  <si>
    <t xml:space="preserve">Projekt EUROCITIES </t>
  </si>
  <si>
    <t>Brno - střed - vzděl.žáků ve školách "spádových"sociálně vylouč.lok. - ZŠ a MŠ nám. 28. října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</si>
</sst>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000"/>
    <numFmt numFmtId="167" formatCode="[$-405]d\.\ mmmm\ yyyy"/>
    <numFmt numFmtId="168" formatCode="#,##0.00_);\(#,##0.00\)"/>
    <numFmt numFmtId="169" formatCode="#,##0.000000"/>
  </numFmts>
  <fonts count="10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14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5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/>
    </xf>
    <xf numFmtId="49" fontId="6" fillId="0" borderId="5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/>
    </xf>
    <xf numFmtId="4" fontId="6" fillId="0" borderId="6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 vertical="center"/>
    </xf>
    <xf numFmtId="1" fontId="6" fillId="0" borderId="4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/>
    </xf>
    <xf numFmtId="49" fontId="6" fillId="0" borderId="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4" fontId="6" fillId="0" borderId="5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/>
    </xf>
    <xf numFmtId="4" fontId="6" fillId="0" borderId="5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4" fontId="6" fillId="0" borderId="6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4" fontId="6" fillId="0" borderId="1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2.00390625" style="77" customWidth="1"/>
    <col min="2" max="2" width="81.375" style="2" bestFit="1" customWidth="1"/>
    <col min="3" max="4" width="19.25390625" style="1" customWidth="1"/>
    <col min="5" max="5" width="14.25390625" style="2" customWidth="1"/>
    <col min="6" max="6" width="13.00390625" style="2" customWidth="1"/>
    <col min="7" max="7" width="21.25390625" style="1" customWidth="1"/>
    <col min="8" max="8" width="17.625" style="2" bestFit="1" customWidth="1"/>
    <col min="9" max="9" width="14.625" style="2" customWidth="1"/>
    <col min="10" max="10" width="11.75390625" style="2" bestFit="1" customWidth="1"/>
    <col min="11" max="16384" width="9.125" style="2" customWidth="1"/>
  </cols>
  <sheetData>
    <row r="1" spans="1:6" ht="20.25">
      <c r="A1" s="78" t="s">
        <v>514</v>
      </c>
      <c r="B1" s="78"/>
      <c r="C1" s="78"/>
      <c r="D1" s="78"/>
      <c r="E1" s="78"/>
      <c r="F1" s="78"/>
    </row>
    <row r="2" spans="1:6" ht="20.25">
      <c r="A2" s="78" t="s">
        <v>0</v>
      </c>
      <c r="B2" s="78"/>
      <c r="C2" s="78"/>
      <c r="D2" s="78"/>
      <c r="E2" s="78"/>
      <c r="F2" s="78"/>
    </row>
    <row r="3" spans="1:6" ht="15" customHeight="1">
      <c r="A3" s="3"/>
      <c r="B3" s="4"/>
      <c r="C3" s="5"/>
      <c r="D3" s="6"/>
      <c r="E3" s="7"/>
      <c r="F3" s="7"/>
    </row>
    <row r="4" spans="1:6" ht="16.5" customHeight="1" thickBot="1">
      <c r="A4" s="8"/>
      <c r="B4" s="9"/>
      <c r="C4" s="10"/>
      <c r="D4" s="10"/>
      <c r="E4" s="11"/>
      <c r="F4" s="7"/>
    </row>
    <row r="5" spans="1:6" ht="17.25" customHeight="1">
      <c r="A5" s="12"/>
      <c r="B5" s="13"/>
      <c r="C5" s="14"/>
      <c r="D5" s="14"/>
      <c r="E5" s="13"/>
      <c r="F5" s="13"/>
    </row>
    <row r="6" spans="1:6" ht="16.5" thickBot="1">
      <c r="A6" s="15" t="s">
        <v>1</v>
      </c>
      <c r="B6" s="15" t="s">
        <v>2</v>
      </c>
      <c r="C6" s="16" t="s">
        <v>3</v>
      </c>
      <c r="D6" s="16" t="s">
        <v>4</v>
      </c>
      <c r="E6" s="15" t="s">
        <v>5</v>
      </c>
      <c r="F6" s="15" t="s">
        <v>6</v>
      </c>
    </row>
    <row r="7" spans="1:8" s="21" customFormat="1" ht="17.25" customHeight="1">
      <c r="A7" s="17"/>
      <c r="B7" s="18" t="s">
        <v>7</v>
      </c>
      <c r="C7" s="19">
        <f>+SUM(C8:C13)</f>
        <v>40959.314000000006</v>
      </c>
      <c r="D7" s="19">
        <f>+SUM(D8:D13)</f>
        <v>40959314</v>
      </c>
      <c r="E7" s="20"/>
      <c r="F7" s="20"/>
      <c r="G7" s="1"/>
      <c r="H7" s="2"/>
    </row>
    <row r="8" spans="1:6" ht="17.25" customHeight="1">
      <c r="A8" s="17" t="s">
        <v>8</v>
      </c>
      <c r="B8" s="22" t="s">
        <v>9</v>
      </c>
      <c r="C8" s="23">
        <v>7967.557</v>
      </c>
      <c r="D8" s="23">
        <v>7967557</v>
      </c>
      <c r="E8" s="24">
        <v>98216</v>
      </c>
      <c r="F8" s="24">
        <v>4111</v>
      </c>
    </row>
    <row r="9" spans="1:6" ht="17.25" customHeight="1">
      <c r="A9" s="17" t="s">
        <v>8</v>
      </c>
      <c r="B9" s="22" t="s">
        <v>10</v>
      </c>
      <c r="C9" s="23">
        <v>7881.6</v>
      </c>
      <c r="D9" s="23">
        <v>7881600</v>
      </c>
      <c r="E9" s="24">
        <v>98116</v>
      </c>
      <c r="F9" s="24">
        <v>4111</v>
      </c>
    </row>
    <row r="10" spans="1:6" ht="17.25" customHeight="1">
      <c r="A10" s="17" t="s">
        <v>11</v>
      </c>
      <c r="B10" s="22" t="s">
        <v>12</v>
      </c>
      <c r="C10" s="23">
        <v>1996.537</v>
      </c>
      <c r="D10" s="23">
        <v>1996537</v>
      </c>
      <c r="E10" s="24">
        <v>98005</v>
      </c>
      <c r="F10" s="24">
        <v>4111</v>
      </c>
    </row>
    <row r="11" spans="1:6" ht="17.25" customHeight="1">
      <c r="A11" s="17" t="s">
        <v>13</v>
      </c>
      <c r="B11" s="22" t="s">
        <v>9</v>
      </c>
      <c r="C11" s="23">
        <v>7967.557</v>
      </c>
      <c r="D11" s="23">
        <v>7967557</v>
      </c>
      <c r="E11" s="24">
        <v>98216</v>
      </c>
      <c r="F11" s="24">
        <v>4111</v>
      </c>
    </row>
    <row r="12" spans="1:6" ht="17.25" customHeight="1">
      <c r="A12" s="17" t="s">
        <v>14</v>
      </c>
      <c r="B12" s="22" t="s">
        <v>9</v>
      </c>
      <c r="C12" s="23">
        <v>7573.032</v>
      </c>
      <c r="D12" s="23">
        <v>7573032</v>
      </c>
      <c r="E12" s="24">
        <v>98216</v>
      </c>
      <c r="F12" s="24">
        <v>4111</v>
      </c>
    </row>
    <row r="13" spans="1:6" ht="17.25" customHeight="1">
      <c r="A13" s="17" t="s">
        <v>15</v>
      </c>
      <c r="B13" s="22" t="s">
        <v>9</v>
      </c>
      <c r="C13" s="23">
        <v>7573.031</v>
      </c>
      <c r="D13" s="23">
        <v>7573031</v>
      </c>
      <c r="E13" s="24">
        <v>98216</v>
      </c>
      <c r="F13" s="24">
        <v>4111</v>
      </c>
    </row>
    <row r="14" spans="1:6" ht="17.25" customHeight="1">
      <c r="A14" s="17"/>
      <c r="B14" s="22"/>
      <c r="C14" s="23"/>
      <c r="D14" s="23"/>
      <c r="E14" s="24"/>
      <c r="F14" s="24"/>
    </row>
    <row r="15" spans="1:11" ht="17.25" customHeight="1">
      <c r="A15" s="25"/>
      <c r="B15" s="18" t="s">
        <v>16</v>
      </c>
      <c r="C15" s="26">
        <f>+SUM(C16:C24)</f>
        <v>10837</v>
      </c>
      <c r="D15" s="26">
        <f>+SUM(D16:D24)</f>
        <v>10837051</v>
      </c>
      <c r="E15" s="27"/>
      <c r="F15" s="25"/>
      <c r="H15" s="1"/>
      <c r="I15" s="1"/>
      <c r="J15" s="1"/>
      <c r="K15" s="1"/>
    </row>
    <row r="16" spans="1:11" ht="17.25" customHeight="1">
      <c r="A16" s="25"/>
      <c r="B16" s="22" t="s">
        <v>17</v>
      </c>
      <c r="C16" s="28">
        <v>680</v>
      </c>
      <c r="D16" s="28">
        <v>680209</v>
      </c>
      <c r="E16" s="24">
        <v>92241</v>
      </c>
      <c r="F16" s="25" t="s">
        <v>18</v>
      </c>
      <c r="H16" s="1"/>
      <c r="I16" s="1"/>
      <c r="J16" s="1"/>
      <c r="K16" s="1"/>
    </row>
    <row r="17" spans="1:11" ht="17.25" customHeight="1">
      <c r="A17" s="25"/>
      <c r="B17" s="22" t="s">
        <v>19</v>
      </c>
      <c r="C17" s="23">
        <v>224</v>
      </c>
      <c r="D17" s="23">
        <v>223438</v>
      </c>
      <c r="E17" s="24">
        <v>92241</v>
      </c>
      <c r="F17" s="25" t="s">
        <v>18</v>
      </c>
      <c r="H17" s="1"/>
      <c r="I17" s="1"/>
      <c r="J17" s="1"/>
      <c r="K17" s="1"/>
    </row>
    <row r="18" spans="1:11" ht="17.25" customHeight="1">
      <c r="A18" s="25"/>
      <c r="B18" s="22" t="s">
        <v>20</v>
      </c>
      <c r="C18" s="23">
        <v>1471</v>
      </c>
      <c r="D18" s="23">
        <f>735625+735625</f>
        <v>1471250</v>
      </c>
      <c r="E18" s="24">
        <v>92241</v>
      </c>
      <c r="F18" s="25" t="s">
        <v>18</v>
      </c>
      <c r="H18" s="1"/>
      <c r="I18" s="1"/>
      <c r="J18" s="1"/>
      <c r="K18" s="1"/>
    </row>
    <row r="19" spans="1:11" ht="17.25" customHeight="1">
      <c r="A19" s="25"/>
      <c r="B19" s="22" t="s">
        <v>21</v>
      </c>
      <c r="C19" s="23">
        <f>393+393</f>
        <v>786</v>
      </c>
      <c r="D19" s="23">
        <v>786638</v>
      </c>
      <c r="E19" s="24">
        <v>92241</v>
      </c>
      <c r="F19" s="25" t="s">
        <v>18</v>
      </c>
      <c r="H19" s="1"/>
      <c r="I19" s="1"/>
      <c r="J19" s="1"/>
      <c r="K19" s="1"/>
    </row>
    <row r="20" spans="1:11" ht="17.25" customHeight="1">
      <c r="A20" s="25"/>
      <c r="B20" s="22" t="s">
        <v>22</v>
      </c>
      <c r="C20" s="23">
        <v>2047</v>
      </c>
      <c r="D20" s="23">
        <f>1788289+259136</f>
        <v>2047425</v>
      </c>
      <c r="E20" s="24">
        <v>92241</v>
      </c>
      <c r="F20" s="25" t="s">
        <v>18</v>
      </c>
      <c r="H20" s="1"/>
      <c r="I20" s="1"/>
      <c r="J20" s="1"/>
      <c r="K20" s="1"/>
    </row>
    <row r="21" spans="1:11" ht="17.25" customHeight="1">
      <c r="A21" s="25"/>
      <c r="B21" s="22" t="s">
        <v>23</v>
      </c>
      <c r="C21" s="23">
        <v>649</v>
      </c>
      <c r="D21" s="23">
        <v>649257</v>
      </c>
      <c r="E21" s="24">
        <v>92241</v>
      </c>
      <c r="F21" s="25" t="s">
        <v>18</v>
      </c>
      <c r="H21" s="1"/>
      <c r="I21" s="1"/>
      <c r="J21" s="1"/>
      <c r="K21" s="1"/>
    </row>
    <row r="22" spans="1:11" ht="17.25" customHeight="1">
      <c r="A22" s="25"/>
      <c r="B22" s="22" t="s">
        <v>24</v>
      </c>
      <c r="C22" s="23">
        <v>1876</v>
      </c>
      <c r="D22" s="23">
        <f>1291798+215860+368444</f>
        <v>1876102</v>
      </c>
      <c r="E22" s="24">
        <v>92241</v>
      </c>
      <c r="F22" s="25" t="s">
        <v>18</v>
      </c>
      <c r="H22" s="1"/>
      <c r="I22" s="1"/>
      <c r="J22" s="1"/>
      <c r="K22" s="1"/>
    </row>
    <row r="23" spans="1:11" ht="17.25" customHeight="1">
      <c r="A23" s="25"/>
      <c r="B23" s="22" t="s">
        <v>25</v>
      </c>
      <c r="C23" s="23">
        <v>2215</v>
      </c>
      <c r="D23" s="23">
        <v>2214086</v>
      </c>
      <c r="E23" s="24">
        <v>92241</v>
      </c>
      <c r="F23" s="25" t="s">
        <v>18</v>
      </c>
      <c r="H23" s="1"/>
      <c r="I23" s="1"/>
      <c r="J23" s="1"/>
      <c r="K23" s="1"/>
    </row>
    <row r="24" spans="1:11" ht="17.25" customHeight="1">
      <c r="A24" s="25"/>
      <c r="B24" s="22" t="s">
        <v>26</v>
      </c>
      <c r="C24" s="23">
        <v>889</v>
      </c>
      <c r="D24" s="23">
        <v>888646</v>
      </c>
      <c r="E24" s="24">
        <v>92241</v>
      </c>
      <c r="F24" s="25" t="s">
        <v>18</v>
      </c>
      <c r="H24" s="1"/>
      <c r="I24" s="1"/>
      <c r="J24" s="1"/>
      <c r="K24" s="1"/>
    </row>
    <row r="25" spans="1:11" ht="17.25" customHeight="1">
      <c r="A25" s="17"/>
      <c r="B25" s="22"/>
      <c r="C25" s="23"/>
      <c r="D25" s="23"/>
      <c r="E25" s="24"/>
      <c r="F25" s="24"/>
      <c r="H25" s="1"/>
      <c r="I25" s="1"/>
      <c r="J25" s="1"/>
      <c r="K25" s="1"/>
    </row>
    <row r="26" spans="1:6" ht="17.25" customHeight="1">
      <c r="A26" s="17"/>
      <c r="B26" s="18" t="s">
        <v>27</v>
      </c>
      <c r="C26" s="29">
        <f>+C27+C28+C29</f>
        <v>1122.65194</v>
      </c>
      <c r="D26" s="29">
        <f>+D27+D28+D29</f>
        <v>1122651.94</v>
      </c>
      <c r="E26" s="24"/>
      <c r="F26" s="24"/>
    </row>
    <row r="27" spans="1:6" ht="17.25" customHeight="1">
      <c r="A27" s="17" t="s">
        <v>28</v>
      </c>
      <c r="B27" s="22" t="s">
        <v>29</v>
      </c>
      <c r="C27" s="23">
        <v>685.15202</v>
      </c>
      <c r="D27" s="23">
        <v>685152.02</v>
      </c>
      <c r="E27" s="24">
        <v>90001</v>
      </c>
      <c r="F27" s="24">
        <v>4113</v>
      </c>
    </row>
    <row r="28" spans="1:7" ht="17.25" customHeight="1">
      <c r="A28" s="17" t="s">
        <v>28</v>
      </c>
      <c r="B28" s="22" t="s">
        <v>30</v>
      </c>
      <c r="C28" s="23">
        <v>289.19919</v>
      </c>
      <c r="D28" s="23">
        <v>289199.19</v>
      </c>
      <c r="E28" s="24">
        <v>90001</v>
      </c>
      <c r="F28" s="24">
        <v>4113</v>
      </c>
      <c r="G28" s="30"/>
    </row>
    <row r="29" spans="1:7" ht="17.25" customHeight="1">
      <c r="A29" s="17" t="s">
        <v>31</v>
      </c>
      <c r="B29" s="22" t="s">
        <v>32</v>
      </c>
      <c r="C29" s="23">
        <v>148.30073</v>
      </c>
      <c r="D29" s="23">
        <v>148300.73</v>
      </c>
      <c r="E29" s="24">
        <v>90001</v>
      </c>
      <c r="F29" s="24">
        <v>4113</v>
      </c>
      <c r="G29" s="30"/>
    </row>
    <row r="30" spans="1:7" ht="17.25" customHeight="1">
      <c r="A30" s="17"/>
      <c r="B30" s="22"/>
      <c r="C30" s="23"/>
      <c r="D30" s="23"/>
      <c r="E30" s="24"/>
      <c r="F30" s="24"/>
      <c r="G30" s="30"/>
    </row>
    <row r="31" spans="1:7" ht="17.25" customHeight="1">
      <c r="A31" s="17"/>
      <c r="B31" s="18" t="s">
        <v>33</v>
      </c>
      <c r="C31" s="29">
        <f>+C32</f>
        <v>11</v>
      </c>
      <c r="D31" s="29">
        <f>+D32</f>
        <v>11053.18</v>
      </c>
      <c r="E31" s="24"/>
      <c r="F31" s="24"/>
      <c r="G31" s="30"/>
    </row>
    <row r="32" spans="1:7" ht="17.25" customHeight="1">
      <c r="A32" s="17"/>
      <c r="B32" s="22" t="s">
        <v>34</v>
      </c>
      <c r="C32" s="23">
        <v>11</v>
      </c>
      <c r="D32" s="23">
        <v>11053.18</v>
      </c>
      <c r="E32" s="24">
        <v>89450</v>
      </c>
      <c r="F32" s="24">
        <v>4113</v>
      </c>
      <c r="G32" s="30"/>
    </row>
    <row r="33" spans="1:7" ht="17.25" customHeight="1">
      <c r="A33" s="17"/>
      <c r="B33" s="22"/>
      <c r="C33" s="23"/>
      <c r="D33" s="23"/>
      <c r="E33" s="24"/>
      <c r="F33" s="24"/>
      <c r="G33" s="30"/>
    </row>
    <row r="34" spans="1:9" s="21" customFormat="1" ht="17.25" customHeight="1">
      <c r="A34" s="17"/>
      <c r="B34" s="18" t="s">
        <v>35</v>
      </c>
      <c r="C34" s="19">
        <f>SUM(C35:C55)</f>
        <v>16332</v>
      </c>
      <c r="D34" s="19">
        <f>SUM(D35:D55)</f>
        <v>12041374</v>
      </c>
      <c r="E34" s="20"/>
      <c r="F34" s="20"/>
      <c r="G34" s="30"/>
      <c r="H34" s="2"/>
      <c r="I34" s="30"/>
    </row>
    <row r="35" spans="1:9" s="21" customFormat="1" ht="17.25" customHeight="1">
      <c r="A35" s="17"/>
      <c r="B35" s="22" t="s">
        <v>36</v>
      </c>
      <c r="C35" s="23">
        <v>245</v>
      </c>
      <c r="D35" s="23">
        <v>265694</v>
      </c>
      <c r="E35" s="17" t="s">
        <v>37</v>
      </c>
      <c r="F35" s="25" t="s">
        <v>38</v>
      </c>
      <c r="G35" s="30"/>
      <c r="H35" s="2"/>
      <c r="I35" s="30"/>
    </row>
    <row r="36" spans="1:9" s="21" customFormat="1" ht="17.25" customHeight="1">
      <c r="A36" s="17"/>
      <c r="B36" s="22" t="s">
        <v>39</v>
      </c>
      <c r="C36" s="23">
        <v>410</v>
      </c>
      <c r="D36" s="23">
        <v>402863</v>
      </c>
      <c r="E36" s="17" t="s">
        <v>37</v>
      </c>
      <c r="F36" s="25" t="s">
        <v>38</v>
      </c>
      <c r="G36" s="30"/>
      <c r="H36" s="2"/>
      <c r="I36" s="30"/>
    </row>
    <row r="37" spans="1:9" s="21" customFormat="1" ht="17.25" customHeight="1">
      <c r="A37" s="17"/>
      <c r="B37" s="22" t="s">
        <v>40</v>
      </c>
      <c r="C37" s="23">
        <v>95</v>
      </c>
      <c r="D37" s="23">
        <v>80405</v>
      </c>
      <c r="E37" s="17" t="s">
        <v>37</v>
      </c>
      <c r="F37" s="25" t="s">
        <v>38</v>
      </c>
      <c r="G37" s="30"/>
      <c r="H37" s="2"/>
      <c r="I37" s="30"/>
    </row>
    <row r="38" spans="1:9" s="21" customFormat="1" ht="17.25" customHeight="1">
      <c r="A38" s="17"/>
      <c r="B38" s="22" t="s">
        <v>41</v>
      </c>
      <c r="C38" s="23">
        <v>495</v>
      </c>
      <c r="D38" s="23">
        <v>425610</v>
      </c>
      <c r="E38" s="17" t="s">
        <v>37</v>
      </c>
      <c r="F38" s="25" t="s">
        <v>38</v>
      </c>
      <c r="G38" s="30"/>
      <c r="H38" s="1"/>
      <c r="I38" s="30"/>
    </row>
    <row r="39" spans="1:9" s="21" customFormat="1" ht="17.25" customHeight="1">
      <c r="A39" s="17"/>
      <c r="B39" s="22" t="s">
        <v>42</v>
      </c>
      <c r="C39" s="23">
        <v>594</v>
      </c>
      <c r="D39" s="23">
        <v>361971</v>
      </c>
      <c r="E39" s="17" t="s">
        <v>37</v>
      </c>
      <c r="F39" s="25" t="s">
        <v>38</v>
      </c>
      <c r="G39" s="30"/>
      <c r="H39" s="2"/>
      <c r="I39" s="30"/>
    </row>
    <row r="40" spans="1:9" s="21" customFormat="1" ht="17.25" customHeight="1">
      <c r="A40" s="17"/>
      <c r="B40" s="22" t="s">
        <v>43</v>
      </c>
      <c r="C40" s="23">
        <v>964</v>
      </c>
      <c r="D40" s="23">
        <v>945056</v>
      </c>
      <c r="E40" s="17" t="s">
        <v>37</v>
      </c>
      <c r="F40" s="25" t="s">
        <v>38</v>
      </c>
      <c r="G40" s="30"/>
      <c r="H40" s="2"/>
      <c r="I40" s="30"/>
    </row>
    <row r="41" spans="1:9" s="21" customFormat="1" ht="17.25" customHeight="1">
      <c r="A41" s="17"/>
      <c r="B41" s="22" t="s">
        <v>44</v>
      </c>
      <c r="C41" s="23">
        <v>216</v>
      </c>
      <c r="D41" s="23">
        <v>156008</v>
      </c>
      <c r="E41" s="17" t="s">
        <v>37</v>
      </c>
      <c r="F41" s="25" t="s">
        <v>38</v>
      </c>
      <c r="G41" s="30"/>
      <c r="H41" s="2"/>
      <c r="I41" s="30"/>
    </row>
    <row r="42" spans="1:9" s="21" customFormat="1" ht="17.25" customHeight="1">
      <c r="A42" s="17"/>
      <c r="B42" s="22" t="s">
        <v>45</v>
      </c>
      <c r="C42" s="23">
        <v>79</v>
      </c>
      <c r="D42" s="23">
        <v>78705</v>
      </c>
      <c r="E42" s="17" t="s">
        <v>37</v>
      </c>
      <c r="F42" s="25" t="s">
        <v>38</v>
      </c>
      <c r="G42" s="30"/>
      <c r="H42" s="2"/>
      <c r="I42" s="30"/>
    </row>
    <row r="43" spans="1:9" s="21" customFormat="1" ht="17.25" customHeight="1">
      <c r="A43" s="17"/>
      <c r="B43" s="22" t="s">
        <v>46</v>
      </c>
      <c r="C43" s="23">
        <v>235</v>
      </c>
      <c r="D43" s="23">
        <v>235231</v>
      </c>
      <c r="E43" s="17" t="s">
        <v>37</v>
      </c>
      <c r="F43" s="25" t="s">
        <v>38</v>
      </c>
      <c r="G43" s="30"/>
      <c r="H43" s="2"/>
      <c r="I43" s="30"/>
    </row>
    <row r="44" spans="1:9" s="21" customFormat="1" ht="17.25" customHeight="1">
      <c r="A44" s="17"/>
      <c r="B44" s="22" t="s">
        <v>47</v>
      </c>
      <c r="C44" s="23">
        <v>594</v>
      </c>
      <c r="D44" s="31">
        <v>534602</v>
      </c>
      <c r="E44" s="17" t="s">
        <v>37</v>
      </c>
      <c r="F44" s="25" t="s">
        <v>38</v>
      </c>
      <c r="G44" s="30"/>
      <c r="H44" s="2"/>
      <c r="I44" s="30"/>
    </row>
    <row r="45" spans="1:9" ht="17.25" customHeight="1">
      <c r="A45" s="25"/>
      <c r="B45" s="22" t="s">
        <v>48</v>
      </c>
      <c r="C45" s="23">
        <v>68</v>
      </c>
      <c r="D45" s="23">
        <v>67500</v>
      </c>
      <c r="E45" s="32" t="s">
        <v>49</v>
      </c>
      <c r="F45" s="25" t="s">
        <v>38</v>
      </c>
      <c r="G45" s="30"/>
      <c r="I45" s="30"/>
    </row>
    <row r="46" spans="1:9" ht="17.25" customHeight="1">
      <c r="A46" s="25"/>
      <c r="B46" s="22" t="s">
        <v>50</v>
      </c>
      <c r="C46" s="23">
        <v>45</v>
      </c>
      <c r="D46" s="23">
        <v>54000</v>
      </c>
      <c r="E46" s="32" t="s">
        <v>49</v>
      </c>
      <c r="F46" s="25" t="s">
        <v>38</v>
      </c>
      <c r="G46" s="30"/>
      <c r="I46" s="30"/>
    </row>
    <row r="47" spans="1:9" ht="17.25" customHeight="1">
      <c r="A47" s="25"/>
      <c r="B47" s="22" t="s">
        <v>51</v>
      </c>
      <c r="C47" s="23">
        <v>54</v>
      </c>
      <c r="D47" s="23">
        <v>54000</v>
      </c>
      <c r="E47" s="32" t="s">
        <v>49</v>
      </c>
      <c r="F47" s="25" t="s">
        <v>38</v>
      </c>
      <c r="G47" s="30"/>
      <c r="I47" s="30"/>
    </row>
    <row r="48" spans="1:9" ht="17.25" customHeight="1">
      <c r="A48" s="25"/>
      <c r="B48" s="22" t="s">
        <v>52</v>
      </c>
      <c r="C48" s="23">
        <v>909</v>
      </c>
      <c r="D48" s="23">
        <v>738408</v>
      </c>
      <c r="E48" s="32" t="s">
        <v>49</v>
      </c>
      <c r="F48" s="25" t="s">
        <v>38</v>
      </c>
      <c r="G48" s="30"/>
      <c r="I48" s="30"/>
    </row>
    <row r="49" spans="1:9" ht="17.25" customHeight="1">
      <c r="A49" s="25"/>
      <c r="B49" s="22" t="s">
        <v>53</v>
      </c>
      <c r="C49" s="23">
        <v>189</v>
      </c>
      <c r="D49" s="23">
        <v>189000</v>
      </c>
      <c r="E49" s="33">
        <v>13234</v>
      </c>
      <c r="F49" s="25" t="s">
        <v>38</v>
      </c>
      <c r="G49" s="30"/>
      <c r="I49" s="30"/>
    </row>
    <row r="50" spans="1:9" ht="17.25" customHeight="1">
      <c r="A50" s="25"/>
      <c r="B50" s="22" t="s">
        <v>54</v>
      </c>
      <c r="C50" s="23">
        <v>162</v>
      </c>
      <c r="D50" s="23">
        <v>156653</v>
      </c>
      <c r="E50" s="33">
        <v>13234</v>
      </c>
      <c r="F50" s="25" t="s">
        <v>38</v>
      </c>
      <c r="G50" s="30"/>
      <c r="I50" s="30"/>
    </row>
    <row r="51" spans="1:9" ht="17.25" customHeight="1">
      <c r="A51" s="25"/>
      <c r="B51" s="22" t="s">
        <v>55</v>
      </c>
      <c r="C51" s="23">
        <v>160</v>
      </c>
      <c r="D51" s="23">
        <v>160422</v>
      </c>
      <c r="E51" s="32" t="s">
        <v>49</v>
      </c>
      <c r="F51" s="25" t="s">
        <v>38</v>
      </c>
      <c r="G51" s="30"/>
      <c r="I51" s="30"/>
    </row>
    <row r="52" spans="1:9" ht="17.25" customHeight="1">
      <c r="A52" s="25"/>
      <c r="B52" s="22" t="s">
        <v>56</v>
      </c>
      <c r="C52" s="23">
        <v>7465</v>
      </c>
      <c r="D52" s="23">
        <v>3922233</v>
      </c>
      <c r="E52" s="32" t="s">
        <v>49</v>
      </c>
      <c r="F52" s="25" t="s">
        <v>38</v>
      </c>
      <c r="G52" s="30"/>
      <c r="I52" s="30"/>
    </row>
    <row r="53" spans="1:9" ht="17.25" customHeight="1">
      <c r="A53" s="25"/>
      <c r="B53" s="22" t="s">
        <v>57</v>
      </c>
      <c r="C53" s="23">
        <v>2776</v>
      </c>
      <c r="D53" s="23">
        <v>2664185</v>
      </c>
      <c r="E53" s="32" t="s">
        <v>49</v>
      </c>
      <c r="F53" s="25" t="s">
        <v>38</v>
      </c>
      <c r="G53" s="30"/>
      <c r="I53" s="30"/>
    </row>
    <row r="54" spans="1:9" ht="17.25" customHeight="1">
      <c r="A54" s="25"/>
      <c r="B54" s="22" t="s">
        <v>58</v>
      </c>
      <c r="C54" s="23">
        <v>502</v>
      </c>
      <c r="D54" s="23">
        <v>502113</v>
      </c>
      <c r="E54" s="32" t="s">
        <v>49</v>
      </c>
      <c r="F54" s="25" t="s">
        <v>38</v>
      </c>
      <c r="G54" s="30"/>
      <c r="I54" s="30"/>
    </row>
    <row r="55" spans="1:9" ht="17.25" customHeight="1">
      <c r="A55" s="25"/>
      <c r="B55" s="22" t="s">
        <v>59</v>
      </c>
      <c r="C55" s="23">
        <v>75</v>
      </c>
      <c r="D55" s="23">
        <v>46715</v>
      </c>
      <c r="E55" s="32" t="s">
        <v>49</v>
      </c>
      <c r="F55" s="25" t="s">
        <v>38</v>
      </c>
      <c r="G55" s="30"/>
      <c r="I55" s="30"/>
    </row>
    <row r="56" spans="1:9" ht="17.25" customHeight="1">
      <c r="A56" s="25"/>
      <c r="B56" s="34"/>
      <c r="C56" s="23"/>
      <c r="D56" s="23"/>
      <c r="E56" s="25"/>
      <c r="F56" s="35"/>
      <c r="G56" s="30"/>
      <c r="I56" s="30"/>
    </row>
    <row r="57" spans="1:9" ht="17.25" customHeight="1">
      <c r="A57" s="25"/>
      <c r="B57" s="36" t="s">
        <v>60</v>
      </c>
      <c r="C57" s="29">
        <f>+SUM(C58:C94)</f>
        <v>22821.241</v>
      </c>
      <c r="D57" s="29">
        <f>+SUM(D58:D94)</f>
        <v>22821241</v>
      </c>
      <c r="E57" s="25"/>
      <c r="F57" s="35"/>
      <c r="G57" s="30"/>
      <c r="I57" s="30"/>
    </row>
    <row r="58" spans="1:9" ht="17.25" customHeight="1">
      <c r="A58" s="25" t="s">
        <v>61</v>
      </c>
      <c r="B58" s="22" t="s">
        <v>62</v>
      </c>
      <c r="C58" s="23">
        <v>60</v>
      </c>
      <c r="D58" s="23">
        <v>60000</v>
      </c>
      <c r="E58" s="25" t="s">
        <v>63</v>
      </c>
      <c r="F58" s="35" t="s">
        <v>38</v>
      </c>
      <c r="G58" s="30"/>
      <c r="I58" s="30"/>
    </row>
    <row r="59" spans="1:9" ht="17.25" customHeight="1">
      <c r="A59" s="25" t="s">
        <v>61</v>
      </c>
      <c r="B59" s="22" t="s">
        <v>64</v>
      </c>
      <c r="C59" s="23">
        <v>270</v>
      </c>
      <c r="D59" s="23">
        <v>270000</v>
      </c>
      <c r="E59" s="25" t="s">
        <v>63</v>
      </c>
      <c r="F59" s="35" t="s">
        <v>38</v>
      </c>
      <c r="G59" s="30"/>
      <c r="I59" s="30"/>
    </row>
    <row r="60" spans="1:9" ht="17.25" customHeight="1">
      <c r="A60" s="25" t="s">
        <v>61</v>
      </c>
      <c r="B60" s="22" t="s">
        <v>65</v>
      </c>
      <c r="C60" s="23">
        <v>30</v>
      </c>
      <c r="D60" s="23">
        <v>30000</v>
      </c>
      <c r="E60" s="25" t="s">
        <v>63</v>
      </c>
      <c r="F60" s="35" t="s">
        <v>38</v>
      </c>
      <c r="G60" s="30"/>
      <c r="I60" s="30"/>
    </row>
    <row r="61" spans="1:9" ht="17.25" customHeight="1">
      <c r="A61" s="25" t="s">
        <v>61</v>
      </c>
      <c r="B61" s="22" t="s">
        <v>66</v>
      </c>
      <c r="C61" s="23">
        <v>550</v>
      </c>
      <c r="D61" s="23">
        <v>550000</v>
      </c>
      <c r="E61" s="25" t="s">
        <v>63</v>
      </c>
      <c r="F61" s="35" t="s">
        <v>38</v>
      </c>
      <c r="G61" s="30"/>
      <c r="I61" s="30"/>
    </row>
    <row r="62" spans="1:9" ht="17.25" customHeight="1">
      <c r="A62" s="25" t="s">
        <v>67</v>
      </c>
      <c r="B62" s="22" t="s">
        <v>68</v>
      </c>
      <c r="C62" s="23">
        <v>9</v>
      </c>
      <c r="D62" s="23">
        <v>9000</v>
      </c>
      <c r="E62" s="25" t="s">
        <v>63</v>
      </c>
      <c r="F62" s="35" t="s">
        <v>38</v>
      </c>
      <c r="G62" s="30"/>
      <c r="I62" s="30"/>
    </row>
    <row r="63" spans="1:9" ht="17.25" customHeight="1">
      <c r="A63" s="25" t="s">
        <v>67</v>
      </c>
      <c r="B63" s="22" t="s">
        <v>69</v>
      </c>
      <c r="C63" s="23">
        <v>18</v>
      </c>
      <c r="D63" s="23">
        <v>18000</v>
      </c>
      <c r="E63" s="25" t="s">
        <v>63</v>
      </c>
      <c r="F63" s="35" t="s">
        <v>38</v>
      </c>
      <c r="G63" s="30"/>
      <c r="I63" s="30"/>
    </row>
    <row r="64" spans="1:9" ht="17.25" customHeight="1">
      <c r="A64" s="25" t="s">
        <v>67</v>
      </c>
      <c r="B64" s="22" t="s">
        <v>70</v>
      </c>
      <c r="C64" s="23">
        <v>14</v>
      </c>
      <c r="D64" s="23">
        <v>14000</v>
      </c>
      <c r="E64" s="25" t="s">
        <v>63</v>
      </c>
      <c r="F64" s="35">
        <v>4116</v>
      </c>
      <c r="G64" s="30"/>
      <c r="I64" s="30"/>
    </row>
    <row r="65" spans="1:9" ht="17.25" customHeight="1">
      <c r="A65" s="25" t="s">
        <v>67</v>
      </c>
      <c r="B65" s="22" t="s">
        <v>71</v>
      </c>
      <c r="C65" s="23">
        <v>15</v>
      </c>
      <c r="D65" s="23">
        <v>15000</v>
      </c>
      <c r="E65" s="25" t="s">
        <v>63</v>
      </c>
      <c r="F65" s="35" t="s">
        <v>38</v>
      </c>
      <c r="G65" s="30"/>
      <c r="I65" s="30"/>
    </row>
    <row r="66" spans="1:9" ht="17.25" customHeight="1">
      <c r="A66" s="25" t="s">
        <v>72</v>
      </c>
      <c r="B66" s="22" t="s">
        <v>73</v>
      </c>
      <c r="C66" s="23">
        <v>80</v>
      </c>
      <c r="D66" s="23">
        <v>80000</v>
      </c>
      <c r="E66" s="25" t="s">
        <v>63</v>
      </c>
      <c r="F66" s="35" t="s">
        <v>38</v>
      </c>
      <c r="G66" s="30"/>
      <c r="I66" s="30"/>
    </row>
    <row r="67" spans="1:9" ht="17.25" customHeight="1">
      <c r="A67" s="25" t="s">
        <v>74</v>
      </c>
      <c r="B67" s="22" t="s">
        <v>75</v>
      </c>
      <c r="C67" s="23">
        <v>865</v>
      </c>
      <c r="D67" s="23">
        <v>865000</v>
      </c>
      <c r="E67" s="25" t="s">
        <v>76</v>
      </c>
      <c r="F67" s="35" t="s">
        <v>38</v>
      </c>
      <c r="G67" s="30"/>
      <c r="I67" s="30"/>
    </row>
    <row r="68" spans="1:9" ht="17.25" customHeight="1">
      <c r="A68" s="25" t="s">
        <v>77</v>
      </c>
      <c r="B68" s="22" t="s">
        <v>78</v>
      </c>
      <c r="C68" s="23">
        <v>2000</v>
      </c>
      <c r="D68" s="23">
        <v>2000000</v>
      </c>
      <c r="E68" s="25" t="s">
        <v>76</v>
      </c>
      <c r="F68" s="35" t="s">
        <v>38</v>
      </c>
      <c r="G68" s="30"/>
      <c r="I68" s="30"/>
    </row>
    <row r="69" spans="1:9" ht="17.25" customHeight="1">
      <c r="A69" s="25" t="s">
        <v>77</v>
      </c>
      <c r="B69" s="22" t="s">
        <v>79</v>
      </c>
      <c r="C69" s="23">
        <v>1000</v>
      </c>
      <c r="D69" s="23">
        <v>1000000</v>
      </c>
      <c r="E69" s="25" t="s">
        <v>76</v>
      </c>
      <c r="F69" s="35" t="s">
        <v>38</v>
      </c>
      <c r="G69" s="30"/>
      <c r="I69" s="30"/>
    </row>
    <row r="70" spans="1:9" ht="17.25" customHeight="1">
      <c r="A70" s="25" t="s">
        <v>77</v>
      </c>
      <c r="B70" s="22" t="s">
        <v>80</v>
      </c>
      <c r="C70" s="23">
        <v>430</v>
      </c>
      <c r="D70" s="23">
        <v>430000</v>
      </c>
      <c r="E70" s="25" t="s">
        <v>76</v>
      </c>
      <c r="F70" s="35" t="s">
        <v>38</v>
      </c>
      <c r="G70" s="30"/>
      <c r="I70" s="30"/>
    </row>
    <row r="71" spans="1:9" ht="17.25" customHeight="1">
      <c r="A71" s="25" t="s">
        <v>77</v>
      </c>
      <c r="B71" s="22" t="s">
        <v>81</v>
      </c>
      <c r="C71" s="23">
        <v>1000</v>
      </c>
      <c r="D71" s="23">
        <v>1000000</v>
      </c>
      <c r="E71" s="25" t="s">
        <v>76</v>
      </c>
      <c r="F71" s="35" t="s">
        <v>38</v>
      </c>
      <c r="G71" s="30"/>
      <c r="I71" s="30"/>
    </row>
    <row r="72" spans="1:9" ht="17.25" customHeight="1">
      <c r="A72" s="25" t="s">
        <v>77</v>
      </c>
      <c r="B72" s="22" t="s">
        <v>82</v>
      </c>
      <c r="C72" s="23">
        <v>3400</v>
      </c>
      <c r="D72" s="23">
        <v>3400000</v>
      </c>
      <c r="E72" s="25">
        <v>34006</v>
      </c>
      <c r="F72" s="35" t="s">
        <v>38</v>
      </c>
      <c r="G72" s="30"/>
      <c r="I72" s="30"/>
    </row>
    <row r="73" spans="1:9" ht="17.25" customHeight="1">
      <c r="A73" s="25" t="s">
        <v>77</v>
      </c>
      <c r="B73" s="22" t="s">
        <v>83</v>
      </c>
      <c r="C73" s="23">
        <v>78</v>
      </c>
      <c r="D73" s="23">
        <v>78000</v>
      </c>
      <c r="E73" s="25">
        <v>34053</v>
      </c>
      <c r="F73" s="35" t="s">
        <v>38</v>
      </c>
      <c r="G73" s="30"/>
      <c r="I73" s="30"/>
    </row>
    <row r="74" spans="1:9" ht="17.25" customHeight="1">
      <c r="A74" s="25" t="s">
        <v>84</v>
      </c>
      <c r="B74" s="22" t="s">
        <v>85</v>
      </c>
      <c r="C74" s="23">
        <v>45</v>
      </c>
      <c r="D74" s="23">
        <v>45000</v>
      </c>
      <c r="E74" s="25" t="s">
        <v>86</v>
      </c>
      <c r="F74" s="35" t="s">
        <v>38</v>
      </c>
      <c r="G74" s="30"/>
      <c r="I74" s="30"/>
    </row>
    <row r="75" spans="1:9" ht="17.25" customHeight="1">
      <c r="A75" s="25" t="s">
        <v>87</v>
      </c>
      <c r="B75" s="22" t="s">
        <v>88</v>
      </c>
      <c r="C75" s="23">
        <v>350</v>
      </c>
      <c r="D75" s="23">
        <v>350000</v>
      </c>
      <c r="E75" s="25" t="s">
        <v>89</v>
      </c>
      <c r="F75" s="35" t="s">
        <v>38</v>
      </c>
      <c r="G75" s="30"/>
      <c r="I75" s="30"/>
    </row>
    <row r="76" spans="1:9" ht="17.25" customHeight="1">
      <c r="A76" s="25" t="s">
        <v>90</v>
      </c>
      <c r="B76" s="22" t="s">
        <v>91</v>
      </c>
      <c r="C76" s="23">
        <v>190</v>
      </c>
      <c r="D76" s="23">
        <v>190000</v>
      </c>
      <c r="E76" s="25" t="s">
        <v>63</v>
      </c>
      <c r="F76" s="35" t="s">
        <v>38</v>
      </c>
      <c r="G76" s="30"/>
      <c r="I76" s="30"/>
    </row>
    <row r="77" spans="1:9" ht="17.25" customHeight="1">
      <c r="A77" s="25" t="s">
        <v>92</v>
      </c>
      <c r="B77" s="22" t="s">
        <v>78</v>
      </c>
      <c r="C77" s="23">
        <v>3835</v>
      </c>
      <c r="D77" s="23">
        <v>3835000</v>
      </c>
      <c r="E77" s="25" t="s">
        <v>76</v>
      </c>
      <c r="F77" s="35" t="s">
        <v>38</v>
      </c>
      <c r="G77" s="30"/>
      <c r="I77" s="30"/>
    </row>
    <row r="78" spans="1:9" ht="17.25" customHeight="1">
      <c r="A78" s="25" t="s">
        <v>92</v>
      </c>
      <c r="B78" s="22" t="s">
        <v>79</v>
      </c>
      <c r="C78" s="23">
        <v>1225</v>
      </c>
      <c r="D78" s="37">
        <v>1225000</v>
      </c>
      <c r="E78" s="25" t="s">
        <v>76</v>
      </c>
      <c r="F78" s="25" t="s">
        <v>38</v>
      </c>
      <c r="G78" s="30"/>
      <c r="I78" s="30"/>
    </row>
    <row r="79" spans="1:9" ht="17.25" customHeight="1">
      <c r="A79" s="25" t="s">
        <v>92</v>
      </c>
      <c r="B79" s="22" t="s">
        <v>93</v>
      </c>
      <c r="C79" s="23">
        <v>1150</v>
      </c>
      <c r="D79" s="37">
        <v>1150000</v>
      </c>
      <c r="E79" s="25" t="s">
        <v>76</v>
      </c>
      <c r="F79" s="25" t="s">
        <v>38</v>
      </c>
      <c r="G79" s="30"/>
      <c r="I79" s="30"/>
    </row>
    <row r="80" spans="1:9" ht="17.25" customHeight="1">
      <c r="A80" s="25" t="s">
        <v>94</v>
      </c>
      <c r="B80" s="22" t="s">
        <v>95</v>
      </c>
      <c r="C80" s="23">
        <v>700</v>
      </c>
      <c r="D80" s="37">
        <v>700000</v>
      </c>
      <c r="E80" s="25" t="s">
        <v>96</v>
      </c>
      <c r="F80" s="25" t="s">
        <v>38</v>
      </c>
      <c r="G80" s="30"/>
      <c r="I80" s="30"/>
    </row>
    <row r="81" spans="1:9" ht="17.25" customHeight="1">
      <c r="A81" s="25" t="s">
        <v>94</v>
      </c>
      <c r="B81" s="22" t="s">
        <v>97</v>
      </c>
      <c r="C81" s="23">
        <v>700</v>
      </c>
      <c r="D81" s="23">
        <v>700000</v>
      </c>
      <c r="E81" s="25" t="s">
        <v>96</v>
      </c>
      <c r="F81" s="35" t="s">
        <v>38</v>
      </c>
      <c r="G81" s="30"/>
      <c r="I81" s="30"/>
    </row>
    <row r="82" spans="1:9" ht="17.25" customHeight="1">
      <c r="A82" s="25" t="s">
        <v>94</v>
      </c>
      <c r="B82" s="22" t="s">
        <v>98</v>
      </c>
      <c r="C82" s="23">
        <v>640</v>
      </c>
      <c r="D82" s="23">
        <v>640000</v>
      </c>
      <c r="E82" s="25" t="s">
        <v>96</v>
      </c>
      <c r="F82" s="35" t="s">
        <v>38</v>
      </c>
      <c r="G82" s="30"/>
      <c r="I82" s="30"/>
    </row>
    <row r="83" spans="1:9" ht="17.25" customHeight="1">
      <c r="A83" s="25" t="s">
        <v>99</v>
      </c>
      <c r="B83" s="22" t="s">
        <v>100</v>
      </c>
      <c r="C83" s="23">
        <v>60</v>
      </c>
      <c r="D83" s="23">
        <v>60000</v>
      </c>
      <c r="E83" s="25" t="s">
        <v>63</v>
      </c>
      <c r="F83" s="35" t="s">
        <v>38</v>
      </c>
      <c r="G83" s="30"/>
      <c r="I83" s="30"/>
    </row>
    <row r="84" spans="1:9" ht="17.25" customHeight="1">
      <c r="A84" s="25" t="s">
        <v>101</v>
      </c>
      <c r="B84" s="22" t="s">
        <v>102</v>
      </c>
      <c r="C84" s="23">
        <v>998</v>
      </c>
      <c r="D84" s="23">
        <v>998000</v>
      </c>
      <c r="E84" s="25" t="s">
        <v>103</v>
      </c>
      <c r="F84" s="35" t="s">
        <v>38</v>
      </c>
      <c r="G84" s="30"/>
      <c r="I84" s="30"/>
    </row>
    <row r="85" spans="1:9" ht="17.25" customHeight="1">
      <c r="A85" s="25" t="s">
        <v>101</v>
      </c>
      <c r="B85" s="22" t="s">
        <v>104</v>
      </c>
      <c r="C85" s="23">
        <v>451</v>
      </c>
      <c r="D85" s="23">
        <v>451000</v>
      </c>
      <c r="E85" s="25" t="s">
        <v>103</v>
      </c>
      <c r="F85" s="35" t="s">
        <v>38</v>
      </c>
      <c r="G85" s="30"/>
      <c r="I85" s="30"/>
    </row>
    <row r="86" spans="1:9" ht="17.25" customHeight="1">
      <c r="A86" s="25" t="s">
        <v>101</v>
      </c>
      <c r="B86" s="22" t="s">
        <v>105</v>
      </c>
      <c r="C86" s="23">
        <v>1570</v>
      </c>
      <c r="D86" s="23">
        <v>1570000</v>
      </c>
      <c r="E86" s="25" t="s">
        <v>103</v>
      </c>
      <c r="F86" s="35" t="s">
        <v>38</v>
      </c>
      <c r="G86" s="30"/>
      <c r="I86" s="30"/>
    </row>
    <row r="87" spans="1:9" ht="17.25" customHeight="1">
      <c r="A87" s="25" t="s">
        <v>106</v>
      </c>
      <c r="B87" s="22" t="s">
        <v>107</v>
      </c>
      <c r="C87" s="23">
        <v>247</v>
      </c>
      <c r="D87" s="23">
        <v>247000</v>
      </c>
      <c r="E87" s="25" t="s">
        <v>63</v>
      </c>
      <c r="F87" s="35" t="s">
        <v>38</v>
      </c>
      <c r="G87" s="30"/>
      <c r="I87" s="30"/>
    </row>
    <row r="88" spans="1:9" ht="17.25" customHeight="1">
      <c r="A88" s="25" t="s">
        <v>106</v>
      </c>
      <c r="B88" s="22" t="s">
        <v>108</v>
      </c>
      <c r="C88" s="23">
        <v>198</v>
      </c>
      <c r="D88" s="23">
        <v>198000</v>
      </c>
      <c r="E88" s="25" t="s">
        <v>63</v>
      </c>
      <c r="F88" s="35" t="s">
        <v>38</v>
      </c>
      <c r="G88" s="30"/>
      <c r="I88" s="30"/>
    </row>
    <row r="89" spans="1:9" ht="17.25" customHeight="1">
      <c r="A89" s="25" t="s">
        <v>109</v>
      </c>
      <c r="B89" s="22" t="s">
        <v>110</v>
      </c>
      <c r="C89" s="23">
        <v>-154.759</v>
      </c>
      <c r="D89" s="23">
        <v>-154759</v>
      </c>
      <c r="E89" s="25" t="s">
        <v>63</v>
      </c>
      <c r="F89" s="35" t="s">
        <v>38</v>
      </c>
      <c r="G89" s="30"/>
      <c r="I89" s="30"/>
    </row>
    <row r="90" spans="1:9" ht="17.25" customHeight="1">
      <c r="A90" s="25" t="s">
        <v>111</v>
      </c>
      <c r="B90" s="22" t="s">
        <v>112</v>
      </c>
      <c r="C90" s="23">
        <v>15</v>
      </c>
      <c r="D90" s="23">
        <v>15000</v>
      </c>
      <c r="E90" s="25" t="s">
        <v>113</v>
      </c>
      <c r="F90" s="35" t="s">
        <v>38</v>
      </c>
      <c r="G90" s="30"/>
      <c r="I90" s="30"/>
    </row>
    <row r="91" spans="1:7" ht="17.25" customHeight="1">
      <c r="A91" s="25"/>
      <c r="B91" s="22" t="s">
        <v>114</v>
      </c>
      <c r="C91" s="23">
        <v>100</v>
      </c>
      <c r="D91" s="23">
        <v>100000</v>
      </c>
      <c r="E91" s="25" t="s">
        <v>103</v>
      </c>
      <c r="F91" s="35" t="s">
        <v>38</v>
      </c>
      <c r="G91" s="30"/>
    </row>
    <row r="92" spans="1:7" ht="17.25" customHeight="1">
      <c r="A92" s="25"/>
      <c r="B92" s="22" t="s">
        <v>115</v>
      </c>
      <c r="C92" s="23">
        <v>88</v>
      </c>
      <c r="D92" s="23">
        <v>88000</v>
      </c>
      <c r="E92" s="25" t="s">
        <v>103</v>
      </c>
      <c r="F92" s="35" t="s">
        <v>38</v>
      </c>
      <c r="G92" s="30"/>
    </row>
    <row r="93" spans="1:7" ht="17.25" customHeight="1">
      <c r="A93" s="25"/>
      <c r="B93" s="22" t="s">
        <v>116</v>
      </c>
      <c r="C93" s="23">
        <v>70</v>
      </c>
      <c r="D93" s="23">
        <v>70000</v>
      </c>
      <c r="E93" s="25" t="s">
        <v>117</v>
      </c>
      <c r="F93" s="35" t="s">
        <v>38</v>
      </c>
      <c r="G93" s="30"/>
    </row>
    <row r="94" spans="1:7" ht="17.25" customHeight="1">
      <c r="A94" s="25"/>
      <c r="B94" s="22" t="s">
        <v>118</v>
      </c>
      <c r="C94" s="23">
        <v>525</v>
      </c>
      <c r="D94" s="23">
        <v>525000</v>
      </c>
      <c r="E94" s="25" t="s">
        <v>76</v>
      </c>
      <c r="F94" s="35" t="s">
        <v>38</v>
      </c>
      <c r="G94" s="30"/>
    </row>
    <row r="95" spans="1:7" ht="17.25" customHeight="1">
      <c r="A95" s="25"/>
      <c r="B95" s="34"/>
      <c r="C95" s="23"/>
      <c r="D95" s="23"/>
      <c r="E95" s="25"/>
      <c r="F95" s="35"/>
      <c r="G95" s="30"/>
    </row>
    <row r="96" spans="1:7" ht="17.25" customHeight="1">
      <c r="A96" s="25"/>
      <c r="B96" s="36" t="s">
        <v>119</v>
      </c>
      <c r="C96" s="29">
        <f>SUM(C97:C145)</f>
        <v>56092.931</v>
      </c>
      <c r="D96" s="29">
        <f>SUM(D97:D145)</f>
        <v>56091160.52999999</v>
      </c>
      <c r="E96" s="25"/>
      <c r="F96" s="35"/>
      <c r="G96" s="30"/>
    </row>
    <row r="97" spans="1:7" ht="17.25" customHeight="1">
      <c r="A97" s="25" t="s">
        <v>120</v>
      </c>
      <c r="B97" s="22" t="s">
        <v>121</v>
      </c>
      <c r="C97" s="37">
        <v>1237.0554</v>
      </c>
      <c r="D97" s="37">
        <f>1051497.09+185558.31</f>
        <v>1237055.4000000001</v>
      </c>
      <c r="E97" s="25" t="s">
        <v>122</v>
      </c>
      <c r="F97" s="35" t="s">
        <v>38</v>
      </c>
      <c r="G97" s="30"/>
    </row>
    <row r="98" spans="1:7" ht="17.25" customHeight="1">
      <c r="A98" s="25" t="s">
        <v>120</v>
      </c>
      <c r="B98" s="22" t="s">
        <v>123</v>
      </c>
      <c r="C98" s="37">
        <v>512.1618</v>
      </c>
      <c r="D98" s="37">
        <f>435337.53+76824.27</f>
        <v>512161.80000000005</v>
      </c>
      <c r="E98" s="25" t="s">
        <v>122</v>
      </c>
      <c r="F98" s="35" t="s">
        <v>38</v>
      </c>
      <c r="G98" s="30"/>
    </row>
    <row r="99" spans="1:7" ht="17.25" customHeight="1">
      <c r="A99" s="25" t="s">
        <v>120</v>
      </c>
      <c r="B99" s="22" t="s">
        <v>124</v>
      </c>
      <c r="C99" s="37">
        <v>1373.3358</v>
      </c>
      <c r="D99" s="37">
        <f>1167335.43+206000.37</f>
        <v>1373335.7999999998</v>
      </c>
      <c r="E99" s="25" t="s">
        <v>122</v>
      </c>
      <c r="F99" s="35" t="s">
        <v>38</v>
      </c>
      <c r="G99" s="30"/>
    </row>
    <row r="100" spans="1:7" ht="17.25" customHeight="1">
      <c r="A100" s="25" t="s">
        <v>120</v>
      </c>
      <c r="B100" s="22" t="s">
        <v>125</v>
      </c>
      <c r="C100" s="37">
        <v>693.1974</v>
      </c>
      <c r="D100" s="37">
        <f>589217.79+103979.61</f>
        <v>693197.4</v>
      </c>
      <c r="E100" s="25" t="s">
        <v>122</v>
      </c>
      <c r="F100" s="35" t="s">
        <v>38</v>
      </c>
      <c r="G100" s="30"/>
    </row>
    <row r="101" spans="1:7" ht="17.25" customHeight="1">
      <c r="A101" s="25" t="s">
        <v>120</v>
      </c>
      <c r="B101" s="22" t="s">
        <v>126</v>
      </c>
      <c r="C101" s="37">
        <v>686.0046</v>
      </c>
      <c r="D101" s="37">
        <f>583103.91+102900.69</f>
        <v>686004.6000000001</v>
      </c>
      <c r="E101" s="25" t="s">
        <v>122</v>
      </c>
      <c r="F101" s="35" t="s">
        <v>38</v>
      </c>
      <c r="G101" s="30"/>
    </row>
    <row r="102" spans="1:7" ht="17.25" customHeight="1">
      <c r="A102" s="25" t="s">
        <v>127</v>
      </c>
      <c r="B102" s="22" t="s">
        <v>128</v>
      </c>
      <c r="C102" s="37">
        <f>700.58292+123.63228</f>
        <v>824.2152</v>
      </c>
      <c r="D102" s="37">
        <f>700582.92+123632.28</f>
        <v>824215.2000000001</v>
      </c>
      <c r="E102" s="25" t="s">
        <v>122</v>
      </c>
      <c r="F102" s="35" t="s">
        <v>38</v>
      </c>
      <c r="G102" s="30"/>
    </row>
    <row r="103" spans="1:7" ht="17.25" customHeight="1">
      <c r="A103" s="25" t="s">
        <v>127</v>
      </c>
      <c r="B103" s="22" t="s">
        <v>129</v>
      </c>
      <c r="C103" s="37">
        <f>560.17533+98.85447</f>
        <v>659.0298</v>
      </c>
      <c r="D103" s="37">
        <f>560175.33+98854.47</f>
        <v>659029.7999999999</v>
      </c>
      <c r="E103" s="27">
        <v>33123</v>
      </c>
      <c r="F103" s="35" t="s">
        <v>38</v>
      </c>
      <c r="G103" s="30"/>
    </row>
    <row r="104" spans="1:7" ht="17.25" customHeight="1">
      <c r="A104" s="25" t="s">
        <v>130</v>
      </c>
      <c r="B104" s="22" t="s">
        <v>131</v>
      </c>
      <c r="C104" s="37">
        <f>1157.10279+204.19461</f>
        <v>1361.2974</v>
      </c>
      <c r="D104" s="37">
        <f>1157102.79+204194.61</f>
        <v>1361297.4</v>
      </c>
      <c r="E104" s="27">
        <v>33123</v>
      </c>
      <c r="F104" s="35" t="s">
        <v>38</v>
      </c>
      <c r="G104" s="30"/>
    </row>
    <row r="105" spans="1:7" ht="17.25" customHeight="1">
      <c r="A105" s="25" t="s">
        <v>130</v>
      </c>
      <c r="B105" s="22" t="s">
        <v>132</v>
      </c>
      <c r="C105" s="37">
        <f>883.14252+155.84868</f>
        <v>1038.9912</v>
      </c>
      <c r="D105" s="37">
        <f>883142.52+155848.68</f>
        <v>1038991.2</v>
      </c>
      <c r="E105" s="27">
        <v>33123</v>
      </c>
      <c r="F105" s="35" t="s">
        <v>38</v>
      </c>
      <c r="G105" s="30"/>
    </row>
    <row r="106" spans="1:7" ht="17.25" customHeight="1">
      <c r="A106" s="25" t="s">
        <v>133</v>
      </c>
      <c r="B106" s="22" t="s">
        <v>134</v>
      </c>
      <c r="C106" s="37">
        <v>1054.578</v>
      </c>
      <c r="D106" s="37">
        <f>896391.3+158186.7</f>
        <v>1054578</v>
      </c>
      <c r="E106" s="27">
        <v>33123</v>
      </c>
      <c r="F106" s="35" t="s">
        <v>38</v>
      </c>
      <c r="G106" s="30"/>
    </row>
    <row r="107" spans="1:7" ht="17.25" customHeight="1">
      <c r="A107" s="25" t="s">
        <v>133</v>
      </c>
      <c r="B107" s="22" t="s">
        <v>135</v>
      </c>
      <c r="C107" s="37">
        <v>810.9588</v>
      </c>
      <c r="D107" s="37">
        <f>689314.98+121643.82</f>
        <v>810958.8</v>
      </c>
      <c r="E107" s="27">
        <v>33123</v>
      </c>
      <c r="F107" s="35" t="s">
        <v>38</v>
      </c>
      <c r="G107" s="30"/>
    </row>
    <row r="108" spans="1:7" ht="17.25" customHeight="1">
      <c r="A108" s="25" t="s">
        <v>133</v>
      </c>
      <c r="B108" s="22" t="s">
        <v>136</v>
      </c>
      <c r="C108" s="37">
        <v>924.6456</v>
      </c>
      <c r="D108" s="37">
        <f>785948.76+138696.84</f>
        <v>924645.6</v>
      </c>
      <c r="E108" s="27">
        <v>33123</v>
      </c>
      <c r="F108" s="35" t="s">
        <v>38</v>
      </c>
      <c r="G108" s="30"/>
    </row>
    <row r="109" spans="1:7" ht="17.25" customHeight="1">
      <c r="A109" s="25" t="s">
        <v>137</v>
      </c>
      <c r="B109" s="22" t="s">
        <v>138</v>
      </c>
      <c r="C109" s="37">
        <v>2140.2984</v>
      </c>
      <c r="D109" s="37">
        <f>1819253.64+321044.76</f>
        <v>2140298.4</v>
      </c>
      <c r="E109" s="27">
        <v>33123</v>
      </c>
      <c r="F109" s="35" t="s">
        <v>38</v>
      </c>
      <c r="G109" s="30"/>
    </row>
    <row r="110" spans="1:7" ht="17.25" customHeight="1">
      <c r="A110" s="25" t="s">
        <v>137</v>
      </c>
      <c r="B110" s="22" t="s">
        <v>139</v>
      </c>
      <c r="C110" s="23">
        <v>1348.4844</v>
      </c>
      <c r="D110" s="37">
        <f>1146211.74+202272.66</f>
        <v>1348484.4</v>
      </c>
      <c r="E110" s="25" t="s">
        <v>122</v>
      </c>
      <c r="F110" s="35" t="s">
        <v>38</v>
      </c>
      <c r="G110" s="30"/>
    </row>
    <row r="111" spans="1:7" ht="17.25" customHeight="1">
      <c r="A111" s="25" t="s">
        <v>140</v>
      </c>
      <c r="B111" s="22" t="s">
        <v>141</v>
      </c>
      <c r="C111" s="23">
        <v>646.407</v>
      </c>
      <c r="D111" s="37">
        <f>549445.95+96961.05</f>
        <v>646407</v>
      </c>
      <c r="E111" s="25" t="s">
        <v>122</v>
      </c>
      <c r="F111" s="35" t="s">
        <v>38</v>
      </c>
      <c r="G111" s="30"/>
    </row>
    <row r="112" spans="1:7" ht="17.25" customHeight="1">
      <c r="A112" s="25" t="s">
        <v>142</v>
      </c>
      <c r="B112" s="22" t="s">
        <v>143</v>
      </c>
      <c r="C112" s="23">
        <v>2156.1876</v>
      </c>
      <c r="D112" s="37">
        <f>1832759.46+323428.14</f>
        <v>2156187.6</v>
      </c>
      <c r="E112" s="25" t="s">
        <v>122</v>
      </c>
      <c r="F112" s="35" t="s">
        <v>38</v>
      </c>
      <c r="G112" s="30"/>
    </row>
    <row r="113" spans="1:7" ht="17.25" customHeight="1">
      <c r="A113" s="25" t="s">
        <v>142</v>
      </c>
      <c r="B113" s="22" t="s">
        <v>144</v>
      </c>
      <c r="C113" s="23">
        <v>1248.096</v>
      </c>
      <c r="D113" s="37">
        <f>1060881.6+187214.4</f>
        <v>1248096</v>
      </c>
      <c r="E113" s="25" t="s">
        <v>122</v>
      </c>
      <c r="F113" s="35" t="s">
        <v>38</v>
      </c>
      <c r="G113" s="30"/>
    </row>
    <row r="114" spans="1:7" ht="17.25" customHeight="1">
      <c r="A114" s="25" t="s">
        <v>142</v>
      </c>
      <c r="B114" s="22" t="s">
        <v>145</v>
      </c>
      <c r="C114" s="23">
        <v>1790.6832</v>
      </c>
      <c r="D114" s="37">
        <f>1522080.72+268602.48</f>
        <v>1790683.2</v>
      </c>
      <c r="E114" s="25" t="s">
        <v>122</v>
      </c>
      <c r="F114" s="35" t="s">
        <v>38</v>
      </c>
      <c r="G114" s="30"/>
    </row>
    <row r="115" spans="1:7" ht="17.25" customHeight="1">
      <c r="A115" s="25" t="s">
        <v>142</v>
      </c>
      <c r="B115" s="22" t="s">
        <v>146</v>
      </c>
      <c r="C115" s="23">
        <v>1324.2948</v>
      </c>
      <c r="D115" s="37">
        <f>1125650.58+198644.22</f>
        <v>1324294.8</v>
      </c>
      <c r="E115" s="25" t="s">
        <v>122</v>
      </c>
      <c r="F115" s="35" t="s">
        <v>38</v>
      </c>
      <c r="G115" s="30"/>
    </row>
    <row r="116" spans="1:7" ht="17.25" customHeight="1">
      <c r="A116" s="25" t="s">
        <v>61</v>
      </c>
      <c r="B116" s="22" t="s">
        <v>147</v>
      </c>
      <c r="C116" s="23">
        <v>1350.837</v>
      </c>
      <c r="D116" s="37">
        <v>1350837</v>
      </c>
      <c r="E116" s="25" t="s">
        <v>122</v>
      </c>
      <c r="F116" s="35" t="s">
        <v>38</v>
      </c>
      <c r="G116" s="30"/>
    </row>
    <row r="117" spans="1:7" ht="17.25" customHeight="1">
      <c r="A117" s="25" t="s">
        <v>148</v>
      </c>
      <c r="B117" s="22" t="s">
        <v>149</v>
      </c>
      <c r="C117" s="23">
        <v>30</v>
      </c>
      <c r="D117" s="37">
        <v>30000</v>
      </c>
      <c r="E117" s="25" t="s">
        <v>150</v>
      </c>
      <c r="F117" s="35" t="s">
        <v>38</v>
      </c>
      <c r="G117" s="30"/>
    </row>
    <row r="118" spans="1:7" ht="17.25" customHeight="1">
      <c r="A118" s="25" t="s">
        <v>151</v>
      </c>
      <c r="B118" s="22" t="s">
        <v>152</v>
      </c>
      <c r="C118" s="23">
        <v>73</v>
      </c>
      <c r="D118" s="37">
        <v>73000</v>
      </c>
      <c r="E118" s="25">
        <v>33163</v>
      </c>
      <c r="F118" s="35" t="s">
        <v>38</v>
      </c>
      <c r="G118" s="30"/>
    </row>
    <row r="119" spans="1:7" ht="17.25" customHeight="1">
      <c r="A119" s="25" t="s">
        <v>151</v>
      </c>
      <c r="B119" s="22" t="s">
        <v>153</v>
      </c>
      <c r="C119" s="23">
        <v>33</v>
      </c>
      <c r="D119" s="37">
        <v>33000</v>
      </c>
      <c r="E119" s="25">
        <v>33122</v>
      </c>
      <c r="F119" s="35" t="s">
        <v>38</v>
      </c>
      <c r="G119" s="30"/>
    </row>
    <row r="120" spans="1:7" ht="17.25" customHeight="1">
      <c r="A120" s="25" t="s">
        <v>151</v>
      </c>
      <c r="B120" s="22" t="s">
        <v>154</v>
      </c>
      <c r="C120" s="23">
        <v>4</v>
      </c>
      <c r="D120" s="37">
        <v>4000</v>
      </c>
      <c r="E120" s="25">
        <v>33122</v>
      </c>
      <c r="F120" s="35" t="s">
        <v>38</v>
      </c>
      <c r="G120" s="30"/>
    </row>
    <row r="121" spans="1:7" ht="17.25" customHeight="1">
      <c r="A121" s="25" t="s">
        <v>155</v>
      </c>
      <c r="B121" s="22" t="s">
        <v>156</v>
      </c>
      <c r="C121" s="23">
        <f>356.90616+62.98344</f>
        <v>419.8896</v>
      </c>
      <c r="D121" s="37">
        <f>356906.16+62983.44</f>
        <v>419889.6</v>
      </c>
      <c r="E121" s="25" t="s">
        <v>122</v>
      </c>
      <c r="F121" s="35" t="s">
        <v>38</v>
      </c>
      <c r="G121" s="30"/>
    </row>
    <row r="122" spans="1:7" ht="17.25" customHeight="1">
      <c r="A122" s="25" t="s">
        <v>155</v>
      </c>
      <c r="B122" s="22" t="s">
        <v>157</v>
      </c>
      <c r="C122" s="23">
        <f>1183.57638+208.86642</f>
        <v>1392.4428</v>
      </c>
      <c r="D122" s="37">
        <f>1183576.38+208866.42</f>
        <v>1392442.7999999998</v>
      </c>
      <c r="E122" s="25" t="s">
        <v>122</v>
      </c>
      <c r="F122" s="35" t="s">
        <v>38</v>
      </c>
      <c r="G122" s="30"/>
    </row>
    <row r="123" spans="1:7" ht="17.25" customHeight="1">
      <c r="A123" s="25" t="s">
        <v>155</v>
      </c>
      <c r="B123" s="22" t="s">
        <v>158</v>
      </c>
      <c r="C123" s="23">
        <f>825.82974+145.73466</f>
        <v>971.5644</v>
      </c>
      <c r="D123" s="37">
        <f>825829.74+145734.66</f>
        <v>971564.4</v>
      </c>
      <c r="E123" s="25" t="s">
        <v>122</v>
      </c>
      <c r="F123" s="35" t="s">
        <v>38</v>
      </c>
      <c r="G123" s="30"/>
    </row>
    <row r="124" spans="1:7" ht="17.25" customHeight="1">
      <c r="A124" s="25" t="s">
        <v>159</v>
      </c>
      <c r="B124" s="22" t="s">
        <v>160</v>
      </c>
      <c r="C124" s="23">
        <v>1495.3632</v>
      </c>
      <c r="D124" s="37">
        <f>1271058.72+224304.48</f>
        <v>1495363.2</v>
      </c>
      <c r="E124" s="25" t="s">
        <v>122</v>
      </c>
      <c r="F124" s="35" t="s">
        <v>38</v>
      </c>
      <c r="G124" s="30"/>
    </row>
    <row r="125" spans="1:7" ht="17.25" customHeight="1">
      <c r="A125" s="25" t="s">
        <v>161</v>
      </c>
      <c r="B125" s="22" t="s">
        <v>162</v>
      </c>
      <c r="C125" s="23">
        <v>1025.325</v>
      </c>
      <c r="D125" s="37">
        <v>1025325</v>
      </c>
      <c r="E125" s="25" t="s">
        <v>122</v>
      </c>
      <c r="F125" s="35" t="s">
        <v>38</v>
      </c>
      <c r="G125" s="30"/>
    </row>
    <row r="126" spans="1:7" ht="17.25" customHeight="1">
      <c r="A126" s="25" t="s">
        <v>92</v>
      </c>
      <c r="B126" s="22" t="s">
        <v>163</v>
      </c>
      <c r="C126" s="23">
        <v>1575.4464</v>
      </c>
      <c r="D126" s="37">
        <v>1575446.4</v>
      </c>
      <c r="E126" s="25" t="s">
        <v>122</v>
      </c>
      <c r="F126" s="35" t="s">
        <v>38</v>
      </c>
      <c r="G126" s="30"/>
    </row>
    <row r="127" spans="1:7" ht="17.25" customHeight="1">
      <c r="A127" s="25" t="s">
        <v>164</v>
      </c>
      <c r="B127" s="22" t="s">
        <v>165</v>
      </c>
      <c r="C127" s="23">
        <v>212.3064</v>
      </c>
      <c r="D127" s="37">
        <v>212306.4</v>
      </c>
      <c r="E127" s="25" t="s">
        <v>122</v>
      </c>
      <c r="F127" s="35" t="s">
        <v>38</v>
      </c>
      <c r="G127" s="30"/>
    </row>
    <row r="128" spans="1:7" ht="17.25" customHeight="1">
      <c r="A128" s="25" t="s">
        <v>166</v>
      </c>
      <c r="B128" s="22" t="s">
        <v>167</v>
      </c>
      <c r="C128" s="23">
        <v>1123.8504</v>
      </c>
      <c r="D128" s="37">
        <v>1123850.4</v>
      </c>
      <c r="E128" s="25" t="s">
        <v>122</v>
      </c>
      <c r="F128" s="35" t="s">
        <v>38</v>
      </c>
      <c r="G128" s="30"/>
    </row>
    <row r="129" spans="1:7" ht="17.25" customHeight="1">
      <c r="A129" s="25" t="s">
        <v>168</v>
      </c>
      <c r="B129" s="22" t="s">
        <v>169</v>
      </c>
      <c r="C129" s="23">
        <v>602.8572</v>
      </c>
      <c r="D129" s="37">
        <f>512428.62+90428.58</f>
        <v>602857.2</v>
      </c>
      <c r="E129" s="25" t="s">
        <v>122</v>
      </c>
      <c r="F129" s="35" t="s">
        <v>38</v>
      </c>
      <c r="G129" s="30"/>
    </row>
    <row r="130" spans="1:7" ht="17.25" customHeight="1">
      <c r="A130" s="25" t="s">
        <v>170</v>
      </c>
      <c r="B130" s="22" t="s">
        <v>171</v>
      </c>
      <c r="C130" s="23">
        <v>1064.6322</v>
      </c>
      <c r="D130" s="37">
        <v>1064632.2</v>
      </c>
      <c r="E130" s="25" t="s">
        <v>122</v>
      </c>
      <c r="F130" s="35" t="s">
        <v>38</v>
      </c>
      <c r="G130" s="30"/>
    </row>
    <row r="131" spans="1:7" ht="17.25" customHeight="1">
      <c r="A131" s="25" t="s">
        <v>172</v>
      </c>
      <c r="B131" s="22" t="s">
        <v>173</v>
      </c>
      <c r="C131" s="23">
        <v>1372.872</v>
      </c>
      <c r="D131" s="37">
        <f>1166941.2+205930.8</f>
        <v>1372872</v>
      </c>
      <c r="E131" s="25" t="s">
        <v>122</v>
      </c>
      <c r="F131" s="35" t="s">
        <v>38</v>
      </c>
      <c r="G131" s="30"/>
    </row>
    <row r="132" spans="1:7" ht="17.25" customHeight="1">
      <c r="A132" s="25" t="s">
        <v>172</v>
      </c>
      <c r="B132" s="22" t="s">
        <v>174</v>
      </c>
      <c r="C132" s="23">
        <v>984.9012</v>
      </c>
      <c r="D132" s="37">
        <f>837166.02+147735.18</f>
        <v>984901.2</v>
      </c>
      <c r="E132" s="25" t="s">
        <v>122</v>
      </c>
      <c r="F132" s="35" t="s">
        <v>38</v>
      </c>
      <c r="G132" s="30"/>
    </row>
    <row r="133" spans="1:7" ht="17.25" customHeight="1">
      <c r="A133" s="25" t="s">
        <v>175</v>
      </c>
      <c r="B133" s="22" t="s">
        <v>176</v>
      </c>
      <c r="C133" s="23">
        <v>883.5546</v>
      </c>
      <c r="D133" s="37">
        <v>883554.6</v>
      </c>
      <c r="E133" s="25" t="s">
        <v>122</v>
      </c>
      <c r="F133" s="35" t="s">
        <v>38</v>
      </c>
      <c r="G133" s="30"/>
    </row>
    <row r="134" spans="1:7" ht="17.25" customHeight="1">
      <c r="A134" s="25" t="s">
        <v>177</v>
      </c>
      <c r="B134" s="22" t="s">
        <v>178</v>
      </c>
      <c r="C134" s="23">
        <v>1155.2616</v>
      </c>
      <c r="D134" s="37">
        <f>981972.36+173289.24</f>
        <v>1155261.6</v>
      </c>
      <c r="E134" s="25" t="s">
        <v>122</v>
      </c>
      <c r="F134" s="35" t="s">
        <v>38</v>
      </c>
      <c r="G134" s="30"/>
    </row>
    <row r="135" spans="1:7" ht="17.25" customHeight="1">
      <c r="A135" s="25" t="s">
        <v>177</v>
      </c>
      <c r="B135" s="22" t="s">
        <v>179</v>
      </c>
      <c r="C135" s="23">
        <v>1050.3408</v>
      </c>
      <c r="D135" s="37">
        <f>892789.68+157551.12</f>
        <v>1050340.8</v>
      </c>
      <c r="E135" s="25" t="s">
        <v>122</v>
      </c>
      <c r="F135" s="35" t="s">
        <v>38</v>
      </c>
      <c r="G135" s="30"/>
    </row>
    <row r="136" spans="1:7" ht="17.25" customHeight="1">
      <c r="A136" s="25" t="s">
        <v>180</v>
      </c>
      <c r="B136" s="22" t="s">
        <v>181</v>
      </c>
      <c r="C136" s="23">
        <v>1170.4308</v>
      </c>
      <c r="D136" s="23">
        <v>1170430.8</v>
      </c>
      <c r="E136" s="25" t="s">
        <v>122</v>
      </c>
      <c r="F136" s="35" t="s">
        <v>38</v>
      </c>
      <c r="G136" s="30"/>
    </row>
    <row r="137" spans="1:7" ht="17.25" customHeight="1">
      <c r="A137" s="25" t="s">
        <v>182</v>
      </c>
      <c r="B137" s="22" t="s">
        <v>183</v>
      </c>
      <c r="C137" s="23">
        <v>1708.2498</v>
      </c>
      <c r="D137" s="23">
        <f>1452012.33+256237.47</f>
        <v>1708249.8</v>
      </c>
      <c r="E137" s="25" t="s">
        <v>122</v>
      </c>
      <c r="F137" s="35" t="s">
        <v>38</v>
      </c>
      <c r="G137" s="30"/>
    </row>
    <row r="138" spans="1:7" ht="17.25" customHeight="1">
      <c r="A138" s="25" t="s">
        <v>184</v>
      </c>
      <c r="B138" s="22" t="s">
        <v>185</v>
      </c>
      <c r="C138" s="23">
        <v>274</v>
      </c>
      <c r="D138" s="37">
        <v>274000</v>
      </c>
      <c r="E138" s="25" t="s">
        <v>186</v>
      </c>
      <c r="F138" s="35" t="s">
        <v>38</v>
      </c>
      <c r="G138" s="30"/>
    </row>
    <row r="139" spans="1:7" ht="17.25" customHeight="1">
      <c r="A139" s="25" t="s">
        <v>187</v>
      </c>
      <c r="B139" s="22" t="s">
        <v>188</v>
      </c>
      <c r="C139" s="23">
        <f>1439.63259+254.05281</f>
        <v>1693.6853999999998</v>
      </c>
      <c r="D139" s="37">
        <f>1439632.59+254052.81</f>
        <v>1693685.4000000001</v>
      </c>
      <c r="E139" s="25" t="s">
        <v>122</v>
      </c>
      <c r="F139" s="35" t="s">
        <v>38</v>
      </c>
      <c r="G139" s="30"/>
    </row>
    <row r="140" spans="1:7" ht="17.25" customHeight="1">
      <c r="A140" s="25" t="s">
        <v>187</v>
      </c>
      <c r="B140" s="22" t="s">
        <v>189</v>
      </c>
      <c r="C140" s="23">
        <f>558.30465+98.52435</f>
        <v>656.8290000000001</v>
      </c>
      <c r="D140" s="37">
        <f>558304.65+98524.35</f>
        <v>656829</v>
      </c>
      <c r="E140" s="25" t="s">
        <v>122</v>
      </c>
      <c r="F140" s="35" t="s">
        <v>38</v>
      </c>
      <c r="G140" s="30"/>
    </row>
    <row r="141" spans="1:7" ht="17.25" customHeight="1">
      <c r="A141" s="25" t="s">
        <v>190</v>
      </c>
      <c r="B141" s="22" t="s">
        <v>191</v>
      </c>
      <c r="C141" s="23">
        <f>673.4363+118.8417</f>
        <v>792.278</v>
      </c>
      <c r="D141" s="37">
        <f>673436.3+118841.7</f>
        <v>792278</v>
      </c>
      <c r="E141" s="25" t="s">
        <v>122</v>
      </c>
      <c r="F141" s="35" t="s">
        <v>38</v>
      </c>
      <c r="G141" s="30"/>
    </row>
    <row r="142" spans="1:7" ht="17.25" customHeight="1">
      <c r="A142" s="25" t="s">
        <v>190</v>
      </c>
      <c r="B142" s="22" t="s">
        <v>192</v>
      </c>
      <c r="C142" s="23">
        <f>809.57808+142.86672</f>
        <v>952.4448</v>
      </c>
      <c r="D142" s="37">
        <f>809578.08+142866.72</f>
        <v>952444.7999999999</v>
      </c>
      <c r="E142" s="25" t="s">
        <v>122</v>
      </c>
      <c r="F142" s="35" t="s">
        <v>38</v>
      </c>
      <c r="G142" s="30"/>
    </row>
    <row r="143" spans="1:7" ht="17.25" customHeight="1">
      <c r="A143" s="25" t="s">
        <v>190</v>
      </c>
      <c r="B143" s="22" t="s">
        <v>193</v>
      </c>
      <c r="C143" s="23">
        <f>1053.6991+185.9469</f>
        <v>1239.646</v>
      </c>
      <c r="D143" s="37">
        <f>1053699.1+185946.9</f>
        <v>1239646</v>
      </c>
      <c r="E143" s="25" t="s">
        <v>122</v>
      </c>
      <c r="F143" s="35" t="s">
        <v>38</v>
      </c>
      <c r="G143" s="30"/>
    </row>
    <row r="144" spans="1:7" ht="17.25" customHeight="1">
      <c r="A144" s="25"/>
      <c r="B144" s="79" t="s">
        <v>518</v>
      </c>
      <c r="C144" s="23">
        <v>7751</v>
      </c>
      <c r="D144" s="37">
        <f>2000000+5346704.47+403780.15</f>
        <v>7750484.62</v>
      </c>
      <c r="E144" s="25" t="s">
        <v>194</v>
      </c>
      <c r="F144" s="35" t="s">
        <v>38</v>
      </c>
      <c r="G144" s="30"/>
    </row>
    <row r="145" spans="1:7" ht="17.25" customHeight="1">
      <c r="A145" s="25"/>
      <c r="B145" s="22" t="s">
        <v>195</v>
      </c>
      <c r="C145" s="23">
        <v>1203</v>
      </c>
      <c r="D145" s="37">
        <f>125910.78+713494.4+362339.73</f>
        <v>1201744.9100000001</v>
      </c>
      <c r="E145" s="25" t="s">
        <v>194</v>
      </c>
      <c r="F145" s="35" t="s">
        <v>38</v>
      </c>
      <c r="G145" s="30"/>
    </row>
    <row r="146" spans="1:7" ht="17.25" customHeight="1">
      <c r="A146" s="25"/>
      <c r="B146" s="38"/>
      <c r="C146" s="23"/>
      <c r="D146" s="23"/>
      <c r="E146" s="25"/>
      <c r="F146" s="35"/>
      <c r="G146" s="30"/>
    </row>
    <row r="147" spans="1:7" ht="17.25" customHeight="1">
      <c r="A147" s="25"/>
      <c r="B147" s="18" t="s">
        <v>196</v>
      </c>
      <c r="C147" s="19">
        <f>+SUM(C148:C180)</f>
        <v>976062</v>
      </c>
      <c r="D147" s="19">
        <f>+SUM(D148:D180)</f>
        <v>970939412.7900001</v>
      </c>
      <c r="E147" s="27"/>
      <c r="F147" s="25"/>
      <c r="G147" s="30"/>
    </row>
    <row r="148" spans="1:7" ht="17.25" customHeight="1">
      <c r="A148" s="25" t="s">
        <v>197</v>
      </c>
      <c r="B148" s="22" t="s">
        <v>198</v>
      </c>
      <c r="C148" s="37">
        <v>60000</v>
      </c>
      <c r="D148" s="37">
        <v>60000000</v>
      </c>
      <c r="E148" s="27">
        <v>13235</v>
      </c>
      <c r="F148" s="25" t="s">
        <v>38</v>
      </c>
      <c r="G148" s="30"/>
    </row>
    <row r="149" spans="1:7" ht="17.25" customHeight="1">
      <c r="A149" s="25" t="s">
        <v>197</v>
      </c>
      <c r="B149" s="22" t="s">
        <v>199</v>
      </c>
      <c r="C149" s="37">
        <v>20000</v>
      </c>
      <c r="D149" s="37">
        <v>20000000</v>
      </c>
      <c r="E149" s="27">
        <v>13306</v>
      </c>
      <c r="F149" s="25" t="s">
        <v>38</v>
      </c>
      <c r="G149" s="30"/>
    </row>
    <row r="150" spans="1:7" ht="17.25" customHeight="1">
      <c r="A150" s="25" t="s">
        <v>120</v>
      </c>
      <c r="B150" s="22" t="s">
        <v>198</v>
      </c>
      <c r="C150" s="37">
        <v>60000</v>
      </c>
      <c r="D150" s="37">
        <v>60000000</v>
      </c>
      <c r="E150" s="27">
        <v>13235</v>
      </c>
      <c r="F150" s="25" t="s">
        <v>38</v>
      </c>
      <c r="G150" s="30"/>
    </row>
    <row r="151" spans="1:7" ht="17.25" customHeight="1">
      <c r="A151" s="25" t="s">
        <v>120</v>
      </c>
      <c r="B151" s="22" t="s">
        <v>199</v>
      </c>
      <c r="C151" s="37">
        <v>22000</v>
      </c>
      <c r="D151" s="37">
        <v>22000000</v>
      </c>
      <c r="E151" s="27">
        <v>13306</v>
      </c>
      <c r="F151" s="25" t="s">
        <v>38</v>
      </c>
      <c r="G151" s="30"/>
    </row>
    <row r="152" spans="1:7" ht="17.25" customHeight="1">
      <c r="A152" s="25" t="s">
        <v>200</v>
      </c>
      <c r="B152" s="22" t="s">
        <v>198</v>
      </c>
      <c r="C152" s="37">
        <v>54012</v>
      </c>
      <c r="D152" s="37">
        <v>54012000</v>
      </c>
      <c r="E152" s="27">
        <v>13235</v>
      </c>
      <c r="F152" s="25" t="s">
        <v>38</v>
      </c>
      <c r="G152" s="30"/>
    </row>
    <row r="153" spans="1:7" ht="17.25" customHeight="1">
      <c r="A153" s="25" t="s">
        <v>200</v>
      </c>
      <c r="B153" s="22" t="s">
        <v>199</v>
      </c>
      <c r="C153" s="37">
        <v>20000</v>
      </c>
      <c r="D153" s="37">
        <v>20000000</v>
      </c>
      <c r="E153" s="27">
        <v>13306</v>
      </c>
      <c r="F153" s="25" t="s">
        <v>38</v>
      </c>
      <c r="G153" s="30"/>
    </row>
    <row r="154" spans="1:7" ht="17.25" customHeight="1">
      <c r="A154" s="25" t="s">
        <v>201</v>
      </c>
      <c r="B154" s="22" t="s">
        <v>202</v>
      </c>
      <c r="C154" s="37">
        <v>2486.4</v>
      </c>
      <c r="D154" s="39">
        <v>2486400</v>
      </c>
      <c r="E154" s="27">
        <v>13305</v>
      </c>
      <c r="F154" s="25" t="s">
        <v>38</v>
      </c>
      <c r="G154" s="30"/>
    </row>
    <row r="155" spans="1:7" ht="17.25" customHeight="1">
      <c r="A155" s="25" t="s">
        <v>203</v>
      </c>
      <c r="B155" s="22" t="s">
        <v>198</v>
      </c>
      <c r="C155" s="37">
        <v>57205</v>
      </c>
      <c r="D155" s="39">
        <v>57205000</v>
      </c>
      <c r="E155" s="27">
        <v>13235</v>
      </c>
      <c r="F155" s="25" t="s">
        <v>38</v>
      </c>
      <c r="G155" s="30"/>
    </row>
    <row r="156" spans="1:7" ht="17.25" customHeight="1">
      <c r="A156" s="25" t="s">
        <v>203</v>
      </c>
      <c r="B156" s="22" t="s">
        <v>199</v>
      </c>
      <c r="C156" s="37">
        <v>22000</v>
      </c>
      <c r="D156" s="39">
        <v>22000000</v>
      </c>
      <c r="E156" s="27">
        <v>13306</v>
      </c>
      <c r="F156" s="25" t="s">
        <v>38</v>
      </c>
      <c r="G156" s="30"/>
    </row>
    <row r="157" spans="1:7" ht="17.25" customHeight="1">
      <c r="A157" s="25" t="s">
        <v>61</v>
      </c>
      <c r="B157" s="22" t="s">
        <v>204</v>
      </c>
      <c r="C157" s="37">
        <v>89</v>
      </c>
      <c r="D157" s="39">
        <f>5000+83793</f>
        <v>88793</v>
      </c>
      <c r="E157" s="27">
        <v>13002</v>
      </c>
      <c r="F157" s="25" t="s">
        <v>38</v>
      </c>
      <c r="G157" s="30"/>
    </row>
    <row r="158" spans="1:7" ht="17.25" customHeight="1">
      <c r="A158" s="25" t="s">
        <v>205</v>
      </c>
      <c r="B158" s="22" t="s">
        <v>199</v>
      </c>
      <c r="C158" s="37">
        <v>27000</v>
      </c>
      <c r="D158" s="39">
        <v>27000000</v>
      </c>
      <c r="E158" s="27">
        <v>13306</v>
      </c>
      <c r="F158" s="25" t="s">
        <v>38</v>
      </c>
      <c r="G158" s="30"/>
    </row>
    <row r="159" spans="1:7" ht="17.25" customHeight="1">
      <c r="A159" s="25" t="s">
        <v>205</v>
      </c>
      <c r="B159" s="22" t="s">
        <v>198</v>
      </c>
      <c r="C159" s="37">
        <v>54939</v>
      </c>
      <c r="D159" s="39">
        <v>54939000</v>
      </c>
      <c r="E159" s="27">
        <v>13235</v>
      </c>
      <c r="F159" s="25" t="s">
        <v>38</v>
      </c>
      <c r="G159" s="30"/>
    </row>
    <row r="160" spans="1:7" ht="17.25" customHeight="1">
      <c r="A160" s="25" t="s">
        <v>206</v>
      </c>
      <c r="B160" s="22" t="s">
        <v>202</v>
      </c>
      <c r="C160" s="37">
        <v>1864.8</v>
      </c>
      <c r="D160" s="39">
        <v>1864800</v>
      </c>
      <c r="E160" s="27">
        <v>13305</v>
      </c>
      <c r="F160" s="25" t="s">
        <v>38</v>
      </c>
      <c r="G160" s="30"/>
    </row>
    <row r="161" spans="1:7" ht="17.25" customHeight="1">
      <c r="A161" s="25" t="s">
        <v>207</v>
      </c>
      <c r="B161" s="22" t="s">
        <v>198</v>
      </c>
      <c r="C161" s="37">
        <v>54565</v>
      </c>
      <c r="D161" s="39">
        <v>54565000</v>
      </c>
      <c r="E161" s="27">
        <v>13235</v>
      </c>
      <c r="F161" s="25" t="s">
        <v>38</v>
      </c>
      <c r="G161" s="30"/>
    </row>
    <row r="162" spans="1:7" ht="17.25" customHeight="1">
      <c r="A162" s="25" t="s">
        <v>207</v>
      </c>
      <c r="B162" s="22" t="s">
        <v>199</v>
      </c>
      <c r="C162" s="37">
        <v>30000</v>
      </c>
      <c r="D162" s="39">
        <v>30000000</v>
      </c>
      <c r="E162" s="27">
        <v>13306</v>
      </c>
      <c r="F162" s="25" t="s">
        <v>38</v>
      </c>
      <c r="G162" s="30"/>
    </row>
    <row r="163" spans="1:7" ht="17.25" customHeight="1">
      <c r="A163" s="25" t="s">
        <v>87</v>
      </c>
      <c r="B163" s="22" t="s">
        <v>199</v>
      </c>
      <c r="C163" s="37">
        <v>30000</v>
      </c>
      <c r="D163" s="39">
        <v>30000000</v>
      </c>
      <c r="E163" s="27">
        <v>13306</v>
      </c>
      <c r="F163" s="25" t="s">
        <v>38</v>
      </c>
      <c r="G163" s="30"/>
    </row>
    <row r="164" spans="1:7" ht="17.25" customHeight="1">
      <c r="A164" s="25" t="s">
        <v>87</v>
      </c>
      <c r="B164" s="22" t="s">
        <v>198</v>
      </c>
      <c r="C164" s="37">
        <v>46846</v>
      </c>
      <c r="D164" s="39">
        <v>46846000</v>
      </c>
      <c r="E164" s="27">
        <v>13235</v>
      </c>
      <c r="F164" s="25" t="s">
        <v>38</v>
      </c>
      <c r="G164" s="30"/>
    </row>
    <row r="165" spans="1:7" ht="17.25" customHeight="1">
      <c r="A165" s="25" t="s">
        <v>99</v>
      </c>
      <c r="B165" s="22" t="s">
        <v>199</v>
      </c>
      <c r="C165" s="37">
        <v>30000</v>
      </c>
      <c r="D165" s="39">
        <v>30000000</v>
      </c>
      <c r="E165" s="27">
        <v>13306</v>
      </c>
      <c r="F165" s="25" t="s">
        <v>38</v>
      </c>
      <c r="G165" s="30"/>
    </row>
    <row r="166" spans="1:7" ht="17.25" customHeight="1">
      <c r="A166" s="25" t="s">
        <v>99</v>
      </c>
      <c r="B166" s="22" t="s">
        <v>198</v>
      </c>
      <c r="C166" s="37">
        <v>53188</v>
      </c>
      <c r="D166" s="39">
        <v>53188000</v>
      </c>
      <c r="E166" s="27">
        <v>13235</v>
      </c>
      <c r="F166" s="25" t="s">
        <v>38</v>
      </c>
      <c r="G166" s="30"/>
    </row>
    <row r="167" spans="1:7" ht="17.25" customHeight="1">
      <c r="A167" s="25" t="s">
        <v>208</v>
      </c>
      <c r="B167" s="22" t="s">
        <v>198</v>
      </c>
      <c r="C167" s="37">
        <v>55399</v>
      </c>
      <c r="D167" s="39">
        <v>55399000</v>
      </c>
      <c r="E167" s="27">
        <v>13235</v>
      </c>
      <c r="F167" s="25" t="s">
        <v>38</v>
      </c>
      <c r="G167" s="30"/>
    </row>
    <row r="168" spans="1:7" ht="17.25" customHeight="1">
      <c r="A168" s="25" t="s">
        <v>208</v>
      </c>
      <c r="B168" s="22" t="s">
        <v>199</v>
      </c>
      <c r="C168" s="37">
        <v>25000</v>
      </c>
      <c r="D168" s="39">
        <v>25000000</v>
      </c>
      <c r="E168" s="27">
        <v>13306</v>
      </c>
      <c r="F168" s="25" t="s">
        <v>38</v>
      </c>
      <c r="G168" s="30"/>
    </row>
    <row r="169" spans="1:7" ht="17.25" customHeight="1">
      <c r="A169" s="25" t="s">
        <v>177</v>
      </c>
      <c r="B169" s="22" t="s">
        <v>198</v>
      </c>
      <c r="C169" s="37">
        <v>66984</v>
      </c>
      <c r="D169" s="39">
        <v>66984000</v>
      </c>
      <c r="E169" s="27">
        <v>13235</v>
      </c>
      <c r="F169" s="25" t="s">
        <v>38</v>
      </c>
      <c r="G169" s="30"/>
    </row>
    <row r="170" spans="1:7" ht="17.25" customHeight="1">
      <c r="A170" s="25" t="s">
        <v>209</v>
      </c>
      <c r="B170" s="22" t="s">
        <v>199</v>
      </c>
      <c r="C170" s="37">
        <f>20000</f>
        <v>20000</v>
      </c>
      <c r="D170" s="39">
        <v>20000000</v>
      </c>
      <c r="E170" s="27">
        <v>13306</v>
      </c>
      <c r="F170" s="25" t="s">
        <v>38</v>
      </c>
      <c r="G170" s="30"/>
    </row>
    <row r="171" spans="1:7" ht="17.25" customHeight="1">
      <c r="A171" s="25" t="s">
        <v>210</v>
      </c>
      <c r="B171" s="22" t="s">
        <v>202</v>
      </c>
      <c r="C171" s="37">
        <v>1864.8</v>
      </c>
      <c r="D171" s="39">
        <v>1864800</v>
      </c>
      <c r="E171" s="27">
        <v>13305</v>
      </c>
      <c r="F171" s="25" t="s">
        <v>38</v>
      </c>
      <c r="G171" s="30"/>
    </row>
    <row r="172" spans="1:7" ht="17.25" customHeight="1">
      <c r="A172" s="25" t="s">
        <v>211</v>
      </c>
      <c r="B172" s="22" t="s">
        <v>199</v>
      </c>
      <c r="C172" s="37">
        <v>15000</v>
      </c>
      <c r="D172" s="39">
        <v>15000000</v>
      </c>
      <c r="E172" s="27">
        <v>13306</v>
      </c>
      <c r="F172" s="25" t="s">
        <v>38</v>
      </c>
      <c r="G172" s="30"/>
    </row>
    <row r="173" spans="1:7" ht="17.25" customHeight="1">
      <c r="A173" s="25" t="s">
        <v>211</v>
      </c>
      <c r="B173" s="22" t="s">
        <v>198</v>
      </c>
      <c r="C173" s="37">
        <v>51111</v>
      </c>
      <c r="D173" s="39">
        <v>51111000</v>
      </c>
      <c r="E173" s="27">
        <v>13235</v>
      </c>
      <c r="F173" s="25" t="s">
        <v>38</v>
      </c>
      <c r="G173" s="30"/>
    </row>
    <row r="174" spans="1:7" ht="17.25" customHeight="1">
      <c r="A174" s="25" t="s">
        <v>212</v>
      </c>
      <c r="B174" s="22" t="s">
        <v>199</v>
      </c>
      <c r="C174" s="37">
        <v>24000</v>
      </c>
      <c r="D174" s="39">
        <v>24000000</v>
      </c>
      <c r="E174" s="27">
        <v>13306</v>
      </c>
      <c r="F174" s="25" t="s">
        <v>38</v>
      </c>
      <c r="G174" s="30"/>
    </row>
    <row r="175" spans="1:7" ht="17.25" customHeight="1">
      <c r="A175" s="25" t="s">
        <v>213</v>
      </c>
      <c r="B175" s="22" t="s">
        <v>198</v>
      </c>
      <c r="C175" s="37">
        <f>52628+5123</f>
        <v>57751</v>
      </c>
      <c r="D175" s="39">
        <v>52628000</v>
      </c>
      <c r="E175" s="27">
        <v>13235</v>
      </c>
      <c r="F175" s="25" t="s">
        <v>38</v>
      </c>
      <c r="G175" s="30"/>
    </row>
    <row r="176" spans="1:7" ht="17.25" customHeight="1">
      <c r="A176" s="25" t="s">
        <v>214</v>
      </c>
      <c r="B176" s="22" t="s">
        <v>199</v>
      </c>
      <c r="C176" s="37">
        <v>9000</v>
      </c>
      <c r="D176" s="39">
        <v>9000000</v>
      </c>
      <c r="E176" s="27">
        <v>13306</v>
      </c>
      <c r="F176" s="25" t="s">
        <v>38</v>
      </c>
      <c r="G176" s="30"/>
    </row>
    <row r="177" spans="1:7" ht="17.25" customHeight="1">
      <c r="A177" s="25"/>
      <c r="B177" s="22" t="s">
        <v>215</v>
      </c>
      <c r="C177" s="37">
        <f>1170+1274+23+134</f>
        <v>2601</v>
      </c>
      <c r="D177" s="39">
        <f>1169550.03+1273838.7+157759.46</f>
        <v>2601148.19</v>
      </c>
      <c r="E177" s="27">
        <v>13233</v>
      </c>
      <c r="F177" s="25" t="s">
        <v>38</v>
      </c>
      <c r="G177" s="30"/>
    </row>
    <row r="178" spans="1:7" ht="17.25" customHeight="1">
      <c r="A178" s="25"/>
      <c r="B178" s="22" t="s">
        <v>216</v>
      </c>
      <c r="C178" s="37">
        <v>42</v>
      </c>
      <c r="D178" s="39">
        <v>42000</v>
      </c>
      <c r="E178" s="27">
        <v>13305</v>
      </c>
      <c r="F178" s="25" t="s">
        <v>38</v>
      </c>
      <c r="G178" s="30"/>
    </row>
    <row r="179" spans="1:7" ht="17.25" customHeight="1">
      <c r="A179" s="25"/>
      <c r="B179" s="22" t="s">
        <v>217</v>
      </c>
      <c r="C179" s="37">
        <f>522+92</f>
        <v>614</v>
      </c>
      <c r="D179" s="39">
        <f>614471.6</f>
        <v>614471.6</v>
      </c>
      <c r="E179" s="27">
        <v>13233</v>
      </c>
      <c r="F179" s="25" t="s">
        <v>38</v>
      </c>
      <c r="G179" s="30"/>
    </row>
    <row r="180" spans="1:7" ht="17.25" customHeight="1">
      <c r="A180" s="25"/>
      <c r="B180" s="22" t="s">
        <v>218</v>
      </c>
      <c r="C180" s="37">
        <v>500</v>
      </c>
      <c r="D180" s="39">
        <v>500000</v>
      </c>
      <c r="E180" s="27">
        <v>13005</v>
      </c>
      <c r="F180" s="25" t="s">
        <v>38</v>
      </c>
      <c r="G180" s="30"/>
    </row>
    <row r="181" spans="1:7" ht="17.25" customHeight="1">
      <c r="A181" s="25"/>
      <c r="B181" s="22"/>
      <c r="C181" s="37"/>
      <c r="D181" s="39"/>
      <c r="E181" s="27"/>
      <c r="F181" s="25"/>
      <c r="G181" s="30"/>
    </row>
    <row r="182" spans="1:7" ht="17.25" customHeight="1">
      <c r="A182" s="25"/>
      <c r="B182" s="18" t="s">
        <v>219</v>
      </c>
      <c r="C182" s="19">
        <f>+SUM(C183:C187)</f>
        <v>4885.9555</v>
      </c>
      <c r="D182" s="19">
        <f>+SUM(D183:D187)</f>
        <v>4886214.5</v>
      </c>
      <c r="E182" s="27"/>
      <c r="F182" s="25"/>
      <c r="G182" s="30"/>
    </row>
    <row r="183" spans="1:7" ht="17.25" customHeight="1">
      <c r="A183" s="25" t="s">
        <v>220</v>
      </c>
      <c r="B183" s="22" t="s">
        <v>221</v>
      </c>
      <c r="C183" s="37">
        <v>55.9555</v>
      </c>
      <c r="D183" s="39">
        <v>55955.5</v>
      </c>
      <c r="E183" s="27">
        <v>17007</v>
      </c>
      <c r="F183" s="25" t="s">
        <v>38</v>
      </c>
      <c r="G183" s="30"/>
    </row>
    <row r="184" spans="1:7" ht="17.25" customHeight="1">
      <c r="A184" s="25"/>
      <c r="B184" s="22" t="s">
        <v>222</v>
      </c>
      <c r="C184" s="37">
        <v>72</v>
      </c>
      <c r="D184" s="39">
        <v>72457</v>
      </c>
      <c r="E184" s="27">
        <v>17005</v>
      </c>
      <c r="F184" s="25" t="s">
        <v>38</v>
      </c>
      <c r="G184" s="30"/>
    </row>
    <row r="185" spans="1:7" ht="17.25" customHeight="1">
      <c r="A185" s="25"/>
      <c r="B185" s="22" t="s">
        <v>223</v>
      </c>
      <c r="C185" s="37">
        <v>2875</v>
      </c>
      <c r="D185" s="39">
        <v>2874813</v>
      </c>
      <c r="E185" s="27">
        <v>17005</v>
      </c>
      <c r="F185" s="25" t="s">
        <v>38</v>
      </c>
      <c r="G185" s="30"/>
    </row>
    <row r="186" spans="1:7" ht="17.25" customHeight="1">
      <c r="A186" s="25"/>
      <c r="B186" s="22" t="s">
        <v>224</v>
      </c>
      <c r="C186" s="37">
        <v>1883</v>
      </c>
      <c r="D186" s="39">
        <v>1882989</v>
      </c>
      <c r="E186" s="27">
        <v>17005</v>
      </c>
      <c r="F186" s="25" t="s">
        <v>38</v>
      </c>
      <c r="G186" s="30"/>
    </row>
    <row r="187" spans="1:7" ht="17.25" customHeight="1">
      <c r="A187" s="25"/>
      <c r="B187" s="40"/>
      <c r="C187" s="37"/>
      <c r="D187" s="39"/>
      <c r="E187" s="27"/>
      <c r="F187" s="25"/>
      <c r="G187" s="30"/>
    </row>
    <row r="188" spans="1:7" ht="17.25" customHeight="1">
      <c r="A188" s="25"/>
      <c r="B188" s="18" t="s">
        <v>225</v>
      </c>
      <c r="C188" s="19">
        <f>+C189+C190</f>
        <v>600</v>
      </c>
      <c r="D188" s="19">
        <f>+D189+D190</f>
        <v>600000</v>
      </c>
      <c r="E188" s="27"/>
      <c r="F188" s="25"/>
      <c r="G188" s="30"/>
    </row>
    <row r="189" spans="1:7" ht="17.25" customHeight="1">
      <c r="A189" s="25" t="s">
        <v>226</v>
      </c>
      <c r="B189" s="22" t="s">
        <v>227</v>
      </c>
      <c r="C189" s="37">
        <v>300</v>
      </c>
      <c r="D189" s="37">
        <v>300000</v>
      </c>
      <c r="E189" s="27">
        <v>22005</v>
      </c>
      <c r="F189" s="25" t="s">
        <v>38</v>
      </c>
      <c r="G189" s="30"/>
    </row>
    <row r="190" spans="1:7" ht="17.25" customHeight="1">
      <c r="A190" s="25" t="s">
        <v>228</v>
      </c>
      <c r="B190" s="22" t="s">
        <v>227</v>
      </c>
      <c r="C190" s="37">
        <v>300</v>
      </c>
      <c r="D190" s="37">
        <v>300000</v>
      </c>
      <c r="E190" s="27">
        <v>22005</v>
      </c>
      <c r="F190" s="25" t="s">
        <v>38</v>
      </c>
      <c r="G190" s="30"/>
    </row>
    <row r="191" spans="1:7" ht="17.25" customHeight="1">
      <c r="A191" s="25"/>
      <c r="B191" s="22"/>
      <c r="C191" s="37"/>
      <c r="D191" s="39"/>
      <c r="E191" s="27"/>
      <c r="F191" s="25"/>
      <c r="G191" s="30"/>
    </row>
    <row r="192" spans="1:7" ht="17.25" customHeight="1">
      <c r="A192" s="25"/>
      <c r="B192" s="18" t="s">
        <v>229</v>
      </c>
      <c r="C192" s="19">
        <f>SUM(C193:C208)</f>
        <v>9678.6474</v>
      </c>
      <c r="D192" s="19">
        <f>SUM(D193:D208)</f>
        <v>9679127.4</v>
      </c>
      <c r="E192" s="27"/>
      <c r="F192" s="25"/>
      <c r="G192" s="30"/>
    </row>
    <row r="193" spans="1:9" ht="17.25" customHeight="1">
      <c r="A193" s="25" t="s">
        <v>230</v>
      </c>
      <c r="B193" s="22" t="s">
        <v>231</v>
      </c>
      <c r="C193" s="37">
        <v>1518.3635</v>
      </c>
      <c r="D193" s="37">
        <v>1518363.5</v>
      </c>
      <c r="E193" s="27">
        <v>14013</v>
      </c>
      <c r="F193" s="25" t="s">
        <v>38</v>
      </c>
      <c r="G193" s="30"/>
      <c r="I193" s="1"/>
    </row>
    <row r="194" spans="1:9" ht="17.25" customHeight="1">
      <c r="A194" s="25" t="s">
        <v>230</v>
      </c>
      <c r="B194" s="22" t="s">
        <v>232</v>
      </c>
      <c r="C194" s="37">
        <v>1543.6884</v>
      </c>
      <c r="D194" s="37">
        <v>1543688.4</v>
      </c>
      <c r="E194" s="27">
        <v>14013</v>
      </c>
      <c r="F194" s="25" t="s">
        <v>38</v>
      </c>
      <c r="G194" s="30"/>
      <c r="I194" s="1"/>
    </row>
    <row r="195" spans="1:9" ht="17.25" customHeight="1">
      <c r="A195" s="25" t="s">
        <v>200</v>
      </c>
      <c r="B195" s="22" t="s">
        <v>233</v>
      </c>
      <c r="C195" s="37">
        <v>1518.3635</v>
      </c>
      <c r="D195" s="37">
        <v>1518363.5</v>
      </c>
      <c r="E195" s="27">
        <v>14013</v>
      </c>
      <c r="F195" s="25" t="s">
        <v>38</v>
      </c>
      <c r="G195" s="30"/>
      <c r="I195" s="1"/>
    </row>
    <row r="196" spans="1:9" ht="17.25" customHeight="1">
      <c r="A196" s="25" t="s">
        <v>200</v>
      </c>
      <c r="B196" s="22" t="s">
        <v>234</v>
      </c>
      <c r="C196" s="37">
        <v>3262.232</v>
      </c>
      <c r="D196" s="37">
        <v>3262232</v>
      </c>
      <c r="E196" s="27">
        <v>14013</v>
      </c>
      <c r="F196" s="25" t="s">
        <v>38</v>
      </c>
      <c r="G196" s="30"/>
      <c r="I196" s="1"/>
    </row>
    <row r="197" spans="1:9" ht="17.25" customHeight="1">
      <c r="A197" s="25" t="s">
        <v>235</v>
      </c>
      <c r="B197" s="22" t="s">
        <v>236</v>
      </c>
      <c r="C197" s="37">
        <v>84</v>
      </c>
      <c r="D197" s="37">
        <v>84000</v>
      </c>
      <c r="E197" s="27">
        <v>14336</v>
      </c>
      <c r="F197" s="25" t="s">
        <v>38</v>
      </c>
      <c r="G197" s="30"/>
      <c r="I197" s="1"/>
    </row>
    <row r="198" spans="1:9" ht="17.25" customHeight="1">
      <c r="A198" s="25" t="s">
        <v>237</v>
      </c>
      <c r="B198" s="22" t="s">
        <v>238</v>
      </c>
      <c r="C198" s="37">
        <v>232</v>
      </c>
      <c r="D198" s="37">
        <f>70000+103000+59000</f>
        <v>232000</v>
      </c>
      <c r="E198" s="27">
        <v>14005</v>
      </c>
      <c r="F198" s="25" t="s">
        <v>38</v>
      </c>
      <c r="G198" s="30"/>
      <c r="I198" s="1"/>
    </row>
    <row r="199" spans="1:9" ht="17.25" customHeight="1">
      <c r="A199" s="25" t="s">
        <v>237</v>
      </c>
      <c r="B199" s="22" t="s">
        <v>239</v>
      </c>
      <c r="C199" s="37">
        <v>120</v>
      </c>
      <c r="D199" s="37">
        <v>120000</v>
      </c>
      <c r="E199" s="27">
        <v>14005</v>
      </c>
      <c r="F199" s="25" t="s">
        <v>38</v>
      </c>
      <c r="G199" s="30"/>
      <c r="I199" s="1"/>
    </row>
    <row r="200" spans="1:9" ht="17.25" customHeight="1">
      <c r="A200" s="25" t="s">
        <v>237</v>
      </c>
      <c r="B200" s="22" t="s">
        <v>240</v>
      </c>
      <c r="C200" s="37">
        <v>75</v>
      </c>
      <c r="D200" s="37">
        <v>75000</v>
      </c>
      <c r="E200" s="27">
        <v>14005</v>
      </c>
      <c r="F200" s="25" t="s">
        <v>38</v>
      </c>
      <c r="G200" s="30"/>
      <c r="I200" s="1"/>
    </row>
    <row r="201" spans="1:9" ht="17.25" customHeight="1">
      <c r="A201" s="25" t="s">
        <v>237</v>
      </c>
      <c r="B201" s="22" t="s">
        <v>241</v>
      </c>
      <c r="C201" s="37">
        <v>25</v>
      </c>
      <c r="D201" s="37">
        <v>25000</v>
      </c>
      <c r="E201" s="27">
        <v>14005</v>
      </c>
      <c r="F201" s="25" t="s">
        <v>38</v>
      </c>
      <c r="G201" s="30"/>
      <c r="I201" s="1"/>
    </row>
    <row r="202" spans="1:9" ht="17.25" customHeight="1">
      <c r="A202" s="25" t="s">
        <v>237</v>
      </c>
      <c r="B202" s="22" t="s">
        <v>242</v>
      </c>
      <c r="C202" s="37">
        <v>25</v>
      </c>
      <c r="D202" s="37">
        <v>25000</v>
      </c>
      <c r="E202" s="27">
        <v>14005</v>
      </c>
      <c r="F202" s="25" t="s">
        <v>38</v>
      </c>
      <c r="G202" s="30"/>
      <c r="I202" s="1"/>
    </row>
    <row r="203" spans="1:9" ht="17.25" customHeight="1">
      <c r="A203" s="25" t="s">
        <v>243</v>
      </c>
      <c r="B203" s="22" t="s">
        <v>236</v>
      </c>
      <c r="C203" s="37">
        <v>84</v>
      </c>
      <c r="D203" s="37">
        <v>84000</v>
      </c>
      <c r="E203" s="27">
        <v>14336</v>
      </c>
      <c r="F203" s="25" t="s">
        <v>38</v>
      </c>
      <c r="G203" s="30"/>
      <c r="I203" s="1"/>
    </row>
    <row r="204" spans="1:9" ht="17.25" customHeight="1">
      <c r="A204" s="25" t="s">
        <v>244</v>
      </c>
      <c r="B204" s="22" t="s">
        <v>245</v>
      </c>
      <c r="C204" s="37">
        <v>120</v>
      </c>
      <c r="D204" s="37">
        <v>120000</v>
      </c>
      <c r="E204" s="27">
        <v>14005</v>
      </c>
      <c r="F204" s="25" t="s">
        <v>38</v>
      </c>
      <c r="G204" s="30"/>
      <c r="I204" s="1"/>
    </row>
    <row r="205" spans="1:9" ht="17.25" customHeight="1">
      <c r="A205" s="25" t="s">
        <v>246</v>
      </c>
      <c r="B205" s="22" t="s">
        <v>236</v>
      </c>
      <c r="C205" s="37">
        <v>35</v>
      </c>
      <c r="D205" s="37">
        <v>35000</v>
      </c>
      <c r="E205" s="27">
        <v>14336</v>
      </c>
      <c r="F205" s="25" t="s">
        <v>38</v>
      </c>
      <c r="G205" s="30"/>
      <c r="I205" s="1"/>
    </row>
    <row r="206" spans="1:9" ht="17.25" customHeight="1">
      <c r="A206" s="25"/>
      <c r="B206" s="22" t="s">
        <v>247</v>
      </c>
      <c r="C206" s="37">
        <v>600</v>
      </c>
      <c r="D206" s="37">
        <v>600000</v>
      </c>
      <c r="E206" s="27">
        <v>14336</v>
      </c>
      <c r="F206" s="25" t="s">
        <v>38</v>
      </c>
      <c r="G206" s="30"/>
      <c r="I206" s="1"/>
    </row>
    <row r="207" spans="1:9" ht="17.25" customHeight="1">
      <c r="A207" s="25"/>
      <c r="B207" s="22" t="s">
        <v>248</v>
      </c>
      <c r="C207" s="37">
        <v>400</v>
      </c>
      <c r="D207" s="37">
        <v>400000</v>
      </c>
      <c r="E207" s="27">
        <v>14336</v>
      </c>
      <c r="F207" s="25" t="s">
        <v>38</v>
      </c>
      <c r="G207" s="30"/>
      <c r="I207" s="1"/>
    </row>
    <row r="208" spans="1:9" ht="17.25" customHeight="1">
      <c r="A208" s="25"/>
      <c r="B208" s="22" t="s">
        <v>249</v>
      </c>
      <c r="C208" s="37">
        <f>28+8</f>
        <v>36</v>
      </c>
      <c r="D208" s="37">
        <f>9568+9360+9464+8088</f>
        <v>36480</v>
      </c>
      <c r="E208" s="27">
        <v>14137</v>
      </c>
      <c r="F208" s="25" t="s">
        <v>38</v>
      </c>
      <c r="G208" s="30"/>
      <c r="I208" s="1"/>
    </row>
    <row r="209" spans="1:7" ht="17.25" customHeight="1">
      <c r="A209" s="25"/>
      <c r="B209" s="22"/>
      <c r="C209" s="37"/>
      <c r="D209" s="39"/>
      <c r="E209" s="27"/>
      <c r="F209" s="25"/>
      <c r="G209" s="30"/>
    </row>
    <row r="210" spans="1:7" ht="17.25" customHeight="1">
      <c r="A210" s="25"/>
      <c r="B210" s="18" t="s">
        <v>250</v>
      </c>
      <c r="C210" s="19">
        <f>+SUM(C211:C216)</f>
        <v>401.975</v>
      </c>
      <c r="D210" s="19">
        <f>+SUM(D211:D216)</f>
        <v>401975</v>
      </c>
      <c r="E210" s="27"/>
      <c r="F210" s="17"/>
      <c r="G210" s="30"/>
    </row>
    <row r="211" spans="1:7" ht="17.25" customHeight="1">
      <c r="A211" s="25" t="s">
        <v>251</v>
      </c>
      <c r="B211" s="22" t="s">
        <v>252</v>
      </c>
      <c r="C211" s="37">
        <v>94.877</v>
      </c>
      <c r="D211" s="37">
        <v>94877</v>
      </c>
      <c r="E211" s="27">
        <v>29008</v>
      </c>
      <c r="F211" s="17" t="s">
        <v>38</v>
      </c>
      <c r="G211" s="30"/>
    </row>
    <row r="212" spans="1:7" ht="17.25" customHeight="1">
      <c r="A212" s="25" t="s">
        <v>253</v>
      </c>
      <c r="B212" s="22" t="s">
        <v>254</v>
      </c>
      <c r="C212" s="37">
        <v>1</v>
      </c>
      <c r="D212" s="39">
        <v>1000</v>
      </c>
      <c r="E212" s="27">
        <v>29004</v>
      </c>
      <c r="F212" s="17" t="s">
        <v>38</v>
      </c>
      <c r="G212" s="30"/>
    </row>
    <row r="213" spans="1:7" ht="17.25" customHeight="1">
      <c r="A213" s="25" t="s">
        <v>255</v>
      </c>
      <c r="B213" s="22" t="s">
        <v>252</v>
      </c>
      <c r="C213" s="37">
        <v>89.292</v>
      </c>
      <c r="D213" s="39">
        <v>89292</v>
      </c>
      <c r="E213" s="27">
        <v>29008</v>
      </c>
      <c r="F213" s="17" t="s">
        <v>38</v>
      </c>
      <c r="G213" s="30"/>
    </row>
    <row r="214" spans="1:7" ht="17.25" customHeight="1">
      <c r="A214" s="25" t="s">
        <v>256</v>
      </c>
      <c r="B214" s="22" t="s">
        <v>252</v>
      </c>
      <c r="C214" s="37">
        <v>90.281</v>
      </c>
      <c r="D214" s="39">
        <v>90281</v>
      </c>
      <c r="E214" s="27">
        <v>29008</v>
      </c>
      <c r="F214" s="17" t="s">
        <v>38</v>
      </c>
      <c r="G214" s="30"/>
    </row>
    <row r="215" spans="1:7" ht="17.25" customHeight="1">
      <c r="A215" s="25" t="s">
        <v>182</v>
      </c>
      <c r="B215" s="22" t="s">
        <v>254</v>
      </c>
      <c r="C215" s="37">
        <v>35.25</v>
      </c>
      <c r="D215" s="39">
        <v>35250</v>
      </c>
      <c r="E215" s="27">
        <v>29004</v>
      </c>
      <c r="F215" s="17" t="s">
        <v>38</v>
      </c>
      <c r="G215" s="30"/>
    </row>
    <row r="216" spans="1:7" ht="17.25" customHeight="1">
      <c r="A216" s="25" t="s">
        <v>257</v>
      </c>
      <c r="B216" s="22" t="s">
        <v>252</v>
      </c>
      <c r="C216" s="37">
        <v>91.275</v>
      </c>
      <c r="D216" s="39">
        <v>91275</v>
      </c>
      <c r="E216" s="27">
        <v>29008</v>
      </c>
      <c r="F216" s="17" t="s">
        <v>38</v>
      </c>
      <c r="G216" s="30"/>
    </row>
    <row r="217" spans="1:7" ht="17.25" customHeight="1">
      <c r="A217" s="25"/>
      <c r="B217" s="22"/>
      <c r="C217" s="37"/>
      <c r="D217" s="39"/>
      <c r="E217" s="27"/>
      <c r="F217" s="17"/>
      <c r="G217" s="30"/>
    </row>
    <row r="218" spans="1:7" ht="17.25" customHeight="1">
      <c r="A218" s="25"/>
      <c r="B218" s="18" t="s">
        <v>258</v>
      </c>
      <c r="C218" s="19">
        <f>++SUM(C219:C233)</f>
        <v>584.4979999999999</v>
      </c>
      <c r="D218" s="19">
        <f>++SUM(D219:D233)</f>
        <v>584498</v>
      </c>
      <c r="E218" s="27"/>
      <c r="F218" s="17"/>
      <c r="G218" s="30"/>
    </row>
    <row r="219" spans="1:7" ht="17.25" customHeight="1">
      <c r="A219" s="25" t="s">
        <v>259</v>
      </c>
      <c r="B219" s="22" t="s">
        <v>260</v>
      </c>
      <c r="C219" s="37">
        <v>56.25</v>
      </c>
      <c r="D219" s="37">
        <v>56250</v>
      </c>
      <c r="E219" s="27">
        <v>35015</v>
      </c>
      <c r="F219" s="17" t="s">
        <v>38</v>
      </c>
      <c r="G219" s="30"/>
    </row>
    <row r="220" spans="1:7" ht="17.25" customHeight="1">
      <c r="A220" s="25" t="s">
        <v>259</v>
      </c>
      <c r="B220" s="22" t="s">
        <v>261</v>
      </c>
      <c r="C220" s="37">
        <v>40.05</v>
      </c>
      <c r="D220" s="37">
        <v>40050</v>
      </c>
      <c r="E220" s="27">
        <v>35015</v>
      </c>
      <c r="F220" s="17" t="s">
        <v>38</v>
      </c>
      <c r="G220" s="30"/>
    </row>
    <row r="221" spans="1:7" ht="17.25" customHeight="1">
      <c r="A221" s="25" t="s">
        <v>259</v>
      </c>
      <c r="B221" s="22" t="s">
        <v>262</v>
      </c>
      <c r="C221" s="37">
        <v>93.75</v>
      </c>
      <c r="D221" s="37">
        <v>93750</v>
      </c>
      <c r="E221" s="27">
        <v>35015</v>
      </c>
      <c r="F221" s="17" t="s">
        <v>38</v>
      </c>
      <c r="G221" s="30"/>
    </row>
    <row r="222" spans="1:7" ht="17.25" customHeight="1">
      <c r="A222" s="25" t="s">
        <v>259</v>
      </c>
      <c r="B222" s="22" t="s">
        <v>263</v>
      </c>
      <c r="C222" s="37">
        <v>59.25</v>
      </c>
      <c r="D222" s="37">
        <v>59250</v>
      </c>
      <c r="E222" s="27">
        <v>35015</v>
      </c>
      <c r="F222" s="17" t="s">
        <v>38</v>
      </c>
      <c r="G222" s="30"/>
    </row>
    <row r="223" spans="1:7" ht="17.25" customHeight="1">
      <c r="A223" s="25" t="s">
        <v>264</v>
      </c>
      <c r="B223" s="22" t="s">
        <v>260</v>
      </c>
      <c r="C223" s="37">
        <v>56.25</v>
      </c>
      <c r="D223" s="37">
        <v>56250</v>
      </c>
      <c r="E223" s="27">
        <v>35015</v>
      </c>
      <c r="F223" s="17" t="s">
        <v>38</v>
      </c>
      <c r="G223" s="30"/>
    </row>
    <row r="224" spans="1:7" ht="17.25" customHeight="1">
      <c r="A224" s="25" t="s">
        <v>264</v>
      </c>
      <c r="B224" s="22" t="s">
        <v>261</v>
      </c>
      <c r="C224" s="37">
        <v>40.05</v>
      </c>
      <c r="D224" s="37">
        <v>40050</v>
      </c>
      <c r="E224" s="27">
        <v>35015</v>
      </c>
      <c r="F224" s="17" t="s">
        <v>38</v>
      </c>
      <c r="G224" s="30"/>
    </row>
    <row r="225" spans="1:7" ht="17.25" customHeight="1">
      <c r="A225" s="25" t="s">
        <v>264</v>
      </c>
      <c r="B225" s="22" t="s">
        <v>263</v>
      </c>
      <c r="C225" s="37">
        <v>59.25</v>
      </c>
      <c r="D225" s="37">
        <v>59250</v>
      </c>
      <c r="E225" s="27">
        <v>35015</v>
      </c>
      <c r="F225" s="17" t="s">
        <v>38</v>
      </c>
      <c r="G225" s="30"/>
    </row>
    <row r="226" spans="1:7" ht="17.25" customHeight="1">
      <c r="A226" s="25" t="s">
        <v>208</v>
      </c>
      <c r="B226" s="22" t="s">
        <v>262</v>
      </c>
      <c r="C226" s="37">
        <v>93.75</v>
      </c>
      <c r="D226" s="37">
        <v>93750</v>
      </c>
      <c r="E226" s="27">
        <v>35015</v>
      </c>
      <c r="F226" s="17" t="s">
        <v>38</v>
      </c>
      <c r="G226" s="30"/>
    </row>
    <row r="227" spans="1:7" ht="17.25" customHeight="1">
      <c r="A227" s="25" t="s">
        <v>265</v>
      </c>
      <c r="B227" s="22" t="s">
        <v>266</v>
      </c>
      <c r="C227" s="37">
        <v>-37.5</v>
      </c>
      <c r="D227" s="37">
        <v>-37500</v>
      </c>
      <c r="E227" s="27">
        <v>35015</v>
      </c>
      <c r="F227" s="17" t="s">
        <v>38</v>
      </c>
      <c r="G227" s="30"/>
    </row>
    <row r="228" spans="1:7" ht="17.25" customHeight="1">
      <c r="A228" s="25" t="s">
        <v>265</v>
      </c>
      <c r="B228" s="22" t="s">
        <v>263</v>
      </c>
      <c r="C228" s="37">
        <v>38.035</v>
      </c>
      <c r="D228" s="37">
        <v>38035</v>
      </c>
      <c r="E228" s="27">
        <v>35015</v>
      </c>
      <c r="F228" s="17" t="s">
        <v>38</v>
      </c>
      <c r="G228" s="30"/>
    </row>
    <row r="229" spans="1:7" ht="17.25" customHeight="1">
      <c r="A229" s="25" t="s">
        <v>187</v>
      </c>
      <c r="B229" s="22" t="s">
        <v>263</v>
      </c>
      <c r="C229" s="37">
        <v>0.5</v>
      </c>
      <c r="D229" s="37">
        <v>500</v>
      </c>
      <c r="E229" s="27">
        <v>35015</v>
      </c>
      <c r="F229" s="17" t="s">
        <v>38</v>
      </c>
      <c r="G229" s="30"/>
    </row>
    <row r="230" spans="1:7" ht="17.25" customHeight="1">
      <c r="A230" s="25" t="s">
        <v>187</v>
      </c>
      <c r="B230" s="22" t="s">
        <v>267</v>
      </c>
      <c r="C230" s="37">
        <v>1</v>
      </c>
      <c r="D230" s="37">
        <v>1000</v>
      </c>
      <c r="E230" s="27">
        <v>35015</v>
      </c>
      <c r="F230" s="17" t="s">
        <v>38</v>
      </c>
      <c r="G230" s="30"/>
    </row>
    <row r="231" spans="1:7" ht="17.25" customHeight="1">
      <c r="A231" s="25" t="s">
        <v>268</v>
      </c>
      <c r="B231" s="22" t="s">
        <v>263</v>
      </c>
      <c r="C231" s="37">
        <v>7.415</v>
      </c>
      <c r="D231" s="37">
        <v>7415</v>
      </c>
      <c r="E231" s="27">
        <v>35015</v>
      </c>
      <c r="F231" s="17" t="s">
        <v>38</v>
      </c>
      <c r="G231" s="30"/>
    </row>
    <row r="232" spans="1:7" ht="17.25" customHeight="1">
      <c r="A232" s="25" t="s">
        <v>268</v>
      </c>
      <c r="B232" s="22" t="s">
        <v>262</v>
      </c>
      <c r="C232" s="37">
        <v>23.442</v>
      </c>
      <c r="D232" s="37">
        <v>23442</v>
      </c>
      <c r="E232" s="27">
        <v>35015</v>
      </c>
      <c r="F232" s="17" t="s">
        <v>38</v>
      </c>
      <c r="G232" s="30"/>
    </row>
    <row r="233" spans="1:7" ht="17.25" customHeight="1">
      <c r="A233" s="25" t="s">
        <v>268</v>
      </c>
      <c r="B233" s="22" t="s">
        <v>261</v>
      </c>
      <c r="C233" s="37">
        <v>53.006</v>
      </c>
      <c r="D233" s="37">
        <v>53006</v>
      </c>
      <c r="E233" s="27">
        <v>35015</v>
      </c>
      <c r="F233" s="17" t="s">
        <v>38</v>
      </c>
      <c r="G233" s="30"/>
    </row>
    <row r="234" spans="1:7" ht="17.25" customHeight="1">
      <c r="A234" s="25"/>
      <c r="B234" s="22"/>
      <c r="C234" s="37"/>
      <c r="D234" s="39"/>
      <c r="E234" s="27"/>
      <c r="F234" s="17"/>
      <c r="G234" s="30"/>
    </row>
    <row r="235" spans="1:7" ht="17.25" customHeight="1">
      <c r="A235" s="25"/>
      <c r="B235" s="18" t="s">
        <v>269</v>
      </c>
      <c r="C235" s="19">
        <f>+C236+C237+C238+C239</f>
        <v>20708.725300000002</v>
      </c>
      <c r="D235" s="19">
        <f>+D236+D237+D238+D239</f>
        <v>20708725.3</v>
      </c>
      <c r="E235" s="27"/>
      <c r="F235" s="17"/>
      <c r="G235" s="30"/>
    </row>
    <row r="236" spans="1:7" ht="17.25" customHeight="1">
      <c r="A236" s="25" t="s">
        <v>206</v>
      </c>
      <c r="B236" s="22" t="s">
        <v>29</v>
      </c>
      <c r="C236" s="37">
        <v>11647.5845</v>
      </c>
      <c r="D236" s="37">
        <v>11647584.5</v>
      </c>
      <c r="E236" s="27">
        <v>15319</v>
      </c>
      <c r="F236" s="17" t="s">
        <v>38</v>
      </c>
      <c r="G236" s="30"/>
    </row>
    <row r="237" spans="1:7" ht="17.25" customHeight="1">
      <c r="A237" s="25" t="s">
        <v>206</v>
      </c>
      <c r="B237" s="22" t="s">
        <v>30</v>
      </c>
      <c r="C237" s="37">
        <v>4916.38639</v>
      </c>
      <c r="D237" s="37">
        <v>4916386.39</v>
      </c>
      <c r="E237" s="27">
        <v>15319</v>
      </c>
      <c r="F237" s="17" t="s">
        <v>38</v>
      </c>
      <c r="G237" s="30"/>
    </row>
    <row r="238" spans="1:7" ht="17.25" customHeight="1">
      <c r="A238" s="25" t="s">
        <v>31</v>
      </c>
      <c r="B238" s="22" t="s">
        <v>32</v>
      </c>
      <c r="C238" s="37">
        <v>2521.11241</v>
      </c>
      <c r="D238" s="37">
        <v>2521112.41</v>
      </c>
      <c r="E238" s="27">
        <v>15319</v>
      </c>
      <c r="F238" s="17" t="s">
        <v>38</v>
      </c>
      <c r="G238" s="30"/>
    </row>
    <row r="239" spans="1:7" ht="17.25" customHeight="1">
      <c r="A239" s="25" t="s">
        <v>264</v>
      </c>
      <c r="B239" s="22" t="s">
        <v>270</v>
      </c>
      <c r="C239" s="37">
        <v>1623.642</v>
      </c>
      <c r="D239" s="37">
        <v>1623642</v>
      </c>
      <c r="E239" s="27">
        <v>15065</v>
      </c>
      <c r="F239" s="17" t="s">
        <v>38</v>
      </c>
      <c r="G239" s="30"/>
    </row>
    <row r="240" spans="1:7" ht="17.25" customHeight="1">
      <c r="A240" s="25"/>
      <c r="B240" s="22"/>
      <c r="C240" s="37"/>
      <c r="D240" s="39"/>
      <c r="E240" s="27"/>
      <c r="F240" s="17"/>
      <c r="G240" s="30"/>
    </row>
    <row r="241" spans="1:7" ht="17.25" customHeight="1">
      <c r="A241" s="25"/>
      <c r="B241" s="18" t="s">
        <v>271</v>
      </c>
      <c r="C241" s="19">
        <f>+C242</f>
        <v>150.4</v>
      </c>
      <c r="D241" s="19">
        <f>+D242</f>
        <v>150400</v>
      </c>
      <c r="E241" s="27"/>
      <c r="F241" s="17"/>
      <c r="G241" s="30"/>
    </row>
    <row r="242" spans="1:7" ht="17.25" customHeight="1">
      <c r="A242" s="25" t="s">
        <v>272</v>
      </c>
      <c r="B242" s="22" t="s">
        <v>273</v>
      </c>
      <c r="C242" s="37">
        <v>150.4</v>
      </c>
      <c r="D242" s="37">
        <v>150400</v>
      </c>
      <c r="E242" s="27">
        <v>4428</v>
      </c>
      <c r="F242" s="17" t="s">
        <v>38</v>
      </c>
      <c r="G242" s="30"/>
    </row>
    <row r="243" spans="1:7" ht="17.25" customHeight="1">
      <c r="A243" s="25"/>
      <c r="B243" s="41"/>
      <c r="C243" s="37"/>
      <c r="D243" s="39"/>
      <c r="E243" s="27"/>
      <c r="F243" s="17"/>
      <c r="G243" s="30"/>
    </row>
    <row r="244" spans="1:7" ht="17.25" customHeight="1">
      <c r="A244" s="25"/>
      <c r="B244" s="18" t="s">
        <v>274</v>
      </c>
      <c r="C244" s="19">
        <f>+C245</f>
        <v>661.25983</v>
      </c>
      <c r="D244" s="19">
        <f>+D245</f>
        <v>661259.83</v>
      </c>
      <c r="E244" s="27"/>
      <c r="F244" s="17"/>
      <c r="G244" s="30"/>
    </row>
    <row r="245" spans="1:7" ht="17.25" customHeight="1">
      <c r="A245" s="25" t="s">
        <v>275</v>
      </c>
      <c r="B245" s="42" t="s">
        <v>276</v>
      </c>
      <c r="C245" s="37">
        <v>661.25983</v>
      </c>
      <c r="D245" s="37">
        <v>661259.83</v>
      </c>
      <c r="E245" s="27"/>
      <c r="F245" s="17" t="s">
        <v>277</v>
      </c>
      <c r="G245" s="30"/>
    </row>
    <row r="246" spans="1:7" ht="17.25" customHeight="1">
      <c r="A246" s="25"/>
      <c r="B246" s="42"/>
      <c r="C246" s="37"/>
      <c r="D246" s="39"/>
      <c r="E246" s="27"/>
      <c r="F246" s="17"/>
      <c r="G246" s="30"/>
    </row>
    <row r="247" spans="1:7" ht="17.25" customHeight="1">
      <c r="A247" s="25"/>
      <c r="B247" s="18" t="s">
        <v>278</v>
      </c>
      <c r="C247" s="26">
        <f>SUM(C248:C366)</f>
        <v>40908.474959999985</v>
      </c>
      <c r="D247" s="26">
        <f>SUM(D248:D366)</f>
        <v>40908569.61</v>
      </c>
      <c r="E247" s="27"/>
      <c r="F247" s="24"/>
      <c r="G247" s="30"/>
    </row>
    <row r="248" spans="1:7" ht="17.25" customHeight="1">
      <c r="A248" s="25" t="s">
        <v>8</v>
      </c>
      <c r="B248" s="22" t="s">
        <v>279</v>
      </c>
      <c r="C248" s="37">
        <f>721.62952+127.34639</f>
        <v>848.97591</v>
      </c>
      <c r="D248" s="39">
        <f>721629.52+127346.39</f>
        <v>848975.91</v>
      </c>
      <c r="E248" s="27">
        <v>33006</v>
      </c>
      <c r="F248" s="25" t="s">
        <v>280</v>
      </c>
      <c r="G248" s="30"/>
    </row>
    <row r="249" spans="1:7" ht="17.25" customHeight="1">
      <c r="A249" s="25" t="s">
        <v>127</v>
      </c>
      <c r="B249" s="22" t="s">
        <v>281</v>
      </c>
      <c r="C249" s="37">
        <f>80.27361+14.16594</f>
        <v>94.43955000000001</v>
      </c>
      <c r="D249" s="39">
        <f>80273.61+14165.94</f>
        <v>94439.55</v>
      </c>
      <c r="E249" s="27">
        <v>33006</v>
      </c>
      <c r="F249" s="25" t="s">
        <v>280</v>
      </c>
      <c r="G249" s="30"/>
    </row>
    <row r="250" spans="1:7" ht="17.25" customHeight="1">
      <c r="A250" s="25" t="s">
        <v>230</v>
      </c>
      <c r="B250" s="22" t="s">
        <v>282</v>
      </c>
      <c r="C250" s="37">
        <v>355.05475</v>
      </c>
      <c r="D250" s="39">
        <f>301796.53+53258.22</f>
        <v>355054.75</v>
      </c>
      <c r="E250" s="27">
        <v>33006</v>
      </c>
      <c r="F250" s="25" t="s">
        <v>280</v>
      </c>
      <c r="G250" s="30"/>
    </row>
    <row r="251" spans="1:7" ht="17.25" customHeight="1">
      <c r="A251" s="25" t="s">
        <v>230</v>
      </c>
      <c r="B251" s="22" t="s">
        <v>283</v>
      </c>
      <c r="C251" s="37">
        <v>949.27728</v>
      </c>
      <c r="D251" s="39">
        <f>806885.68+142391.6</f>
        <v>949277.28</v>
      </c>
      <c r="E251" s="27">
        <v>33006</v>
      </c>
      <c r="F251" s="25" t="s">
        <v>280</v>
      </c>
      <c r="G251" s="30"/>
    </row>
    <row r="252" spans="1:7" ht="17.25" customHeight="1">
      <c r="A252" s="25" t="s">
        <v>230</v>
      </c>
      <c r="B252" s="22" t="s">
        <v>284</v>
      </c>
      <c r="C252" s="37">
        <v>880.49316</v>
      </c>
      <c r="D252" s="39">
        <f>748419.18+132073.98</f>
        <v>880493.16</v>
      </c>
      <c r="E252" s="27">
        <v>33006</v>
      </c>
      <c r="F252" s="25" t="s">
        <v>280</v>
      </c>
      <c r="G252" s="30"/>
    </row>
    <row r="253" spans="1:7" ht="17.25" customHeight="1">
      <c r="A253" s="25" t="s">
        <v>285</v>
      </c>
      <c r="B253" s="22" t="s">
        <v>286</v>
      </c>
      <c r="C253" s="37">
        <v>125.5745</v>
      </c>
      <c r="D253" s="39">
        <f>106738.32+18836.18</f>
        <v>125574.5</v>
      </c>
      <c r="E253" s="27">
        <v>33006</v>
      </c>
      <c r="F253" s="25" t="s">
        <v>280</v>
      </c>
      <c r="G253" s="30"/>
    </row>
    <row r="254" spans="1:7" ht="17.25" customHeight="1">
      <c r="A254" s="25" t="s">
        <v>285</v>
      </c>
      <c r="B254" s="22" t="s">
        <v>287</v>
      </c>
      <c r="C254" s="37">
        <v>252.37342</v>
      </c>
      <c r="D254" s="39">
        <f>214517.4+37856.02</f>
        <v>252373.41999999998</v>
      </c>
      <c r="E254" s="27">
        <v>33006</v>
      </c>
      <c r="F254" s="25" t="s">
        <v>280</v>
      </c>
      <c r="G254" s="30"/>
    </row>
    <row r="255" spans="1:7" ht="17.25" customHeight="1">
      <c r="A255" s="25" t="s">
        <v>288</v>
      </c>
      <c r="B255" s="22" t="s">
        <v>289</v>
      </c>
      <c r="C255" s="37">
        <v>276.10825</v>
      </c>
      <c r="D255" s="39">
        <f>234692.01+41416.24</f>
        <v>276108.25</v>
      </c>
      <c r="E255" s="27">
        <v>33006</v>
      </c>
      <c r="F255" s="17" t="s">
        <v>280</v>
      </c>
      <c r="G255" s="30"/>
    </row>
    <row r="256" spans="1:7" ht="17.25" customHeight="1">
      <c r="A256" s="25" t="s">
        <v>200</v>
      </c>
      <c r="B256" s="22" t="s">
        <v>290</v>
      </c>
      <c r="C256" s="37">
        <v>1161.97225</v>
      </c>
      <c r="D256" s="39">
        <f>987676.41+174295.84</f>
        <v>1161972.25</v>
      </c>
      <c r="E256" s="27">
        <v>33006</v>
      </c>
      <c r="F256" s="17" t="s">
        <v>280</v>
      </c>
      <c r="G256" s="30"/>
    </row>
    <row r="257" spans="1:7" ht="17.25" customHeight="1">
      <c r="A257" s="25" t="s">
        <v>291</v>
      </c>
      <c r="B257" s="22" t="s">
        <v>292</v>
      </c>
      <c r="C257" s="39">
        <v>722.514</v>
      </c>
      <c r="D257" s="39">
        <f>614136.9+108377.1</f>
        <v>722514</v>
      </c>
      <c r="E257" s="27">
        <v>33006</v>
      </c>
      <c r="F257" s="17" t="s">
        <v>280</v>
      </c>
      <c r="G257" s="30"/>
    </row>
    <row r="258" spans="1:7" ht="17.25" customHeight="1">
      <c r="A258" s="25" t="s">
        <v>291</v>
      </c>
      <c r="B258" s="22" t="s">
        <v>293</v>
      </c>
      <c r="C258" s="39">
        <v>422.77525</v>
      </c>
      <c r="D258" s="39">
        <f>359358.96+63416.29</f>
        <v>422775.25</v>
      </c>
      <c r="E258" s="27">
        <v>33006</v>
      </c>
      <c r="F258" s="17" t="s">
        <v>280</v>
      </c>
      <c r="G258" s="30"/>
    </row>
    <row r="259" spans="1:7" ht="17.25" customHeight="1">
      <c r="A259" s="25" t="s">
        <v>259</v>
      </c>
      <c r="B259" s="22" t="s">
        <v>294</v>
      </c>
      <c r="C259" s="39">
        <v>246.12541</v>
      </c>
      <c r="D259" s="39">
        <f>209206.59+36918.82</f>
        <v>246125.41</v>
      </c>
      <c r="E259" s="27">
        <v>33006</v>
      </c>
      <c r="F259" s="17" t="s">
        <v>280</v>
      </c>
      <c r="G259" s="30"/>
    </row>
    <row r="260" spans="1:7" ht="17.25" customHeight="1">
      <c r="A260" s="25" t="s">
        <v>295</v>
      </c>
      <c r="B260" s="22" t="s">
        <v>281</v>
      </c>
      <c r="C260" s="39">
        <v>68.90774</v>
      </c>
      <c r="D260" s="39">
        <f>58571.57+10336.17</f>
        <v>68907.74</v>
      </c>
      <c r="E260" s="27">
        <v>33006</v>
      </c>
      <c r="F260" s="17" t="s">
        <v>280</v>
      </c>
      <c r="G260" s="30"/>
    </row>
    <row r="261" spans="1:7" ht="17.25" customHeight="1">
      <c r="A261" s="25" t="s">
        <v>296</v>
      </c>
      <c r="B261" s="22" t="s">
        <v>297</v>
      </c>
      <c r="C261" s="37">
        <v>226.37914</v>
      </c>
      <c r="D261" s="39">
        <f>192422.26+33956.88</f>
        <v>226379.14</v>
      </c>
      <c r="E261" s="27">
        <v>33006</v>
      </c>
      <c r="F261" s="17" t="s">
        <v>280</v>
      </c>
      <c r="G261" s="30"/>
    </row>
    <row r="262" spans="1:7" ht="17.25" customHeight="1">
      <c r="A262" s="25" t="s">
        <v>251</v>
      </c>
      <c r="B262" s="22" t="s">
        <v>298</v>
      </c>
      <c r="C262" s="37">
        <v>148.3068</v>
      </c>
      <c r="D262" s="39">
        <v>148306.8</v>
      </c>
      <c r="E262" s="27">
        <v>33006</v>
      </c>
      <c r="F262" s="17" t="s">
        <v>280</v>
      </c>
      <c r="G262" s="30"/>
    </row>
    <row r="263" spans="1:7" ht="17.25" customHeight="1">
      <c r="A263" s="25" t="s">
        <v>299</v>
      </c>
      <c r="B263" s="22" t="s">
        <v>300</v>
      </c>
      <c r="C263" s="37">
        <v>327.86173</v>
      </c>
      <c r="D263" s="39">
        <f>278682.47+49179.26</f>
        <v>327861.73</v>
      </c>
      <c r="E263" s="27">
        <v>33006</v>
      </c>
      <c r="F263" s="17" t="s">
        <v>280</v>
      </c>
      <c r="G263" s="30"/>
    </row>
    <row r="264" spans="1:7" ht="17.25" customHeight="1">
      <c r="A264" s="25" t="s">
        <v>253</v>
      </c>
      <c r="B264" s="22" t="s">
        <v>301</v>
      </c>
      <c r="C264" s="37">
        <v>50.9</v>
      </c>
      <c r="D264" s="39">
        <v>50900</v>
      </c>
      <c r="E264" s="27">
        <v>379</v>
      </c>
      <c r="F264" s="17" t="s">
        <v>280</v>
      </c>
      <c r="G264" s="30"/>
    </row>
    <row r="265" spans="1:7" ht="17.25" customHeight="1">
      <c r="A265" s="25" t="s">
        <v>205</v>
      </c>
      <c r="B265" s="22" t="s">
        <v>302</v>
      </c>
      <c r="C265" s="37">
        <f>133.72058+23.59775</f>
        <v>157.31833</v>
      </c>
      <c r="D265" s="39">
        <f>133720.58+23597.75</f>
        <v>157318.33</v>
      </c>
      <c r="E265" s="27">
        <v>33006</v>
      </c>
      <c r="F265" s="17" t="s">
        <v>280</v>
      </c>
      <c r="G265" s="30"/>
    </row>
    <row r="266" spans="1:7" ht="17.25" customHeight="1">
      <c r="A266" s="25" t="s">
        <v>303</v>
      </c>
      <c r="B266" s="22" t="s">
        <v>304</v>
      </c>
      <c r="C266" s="37">
        <f>238.74579+42.13161</f>
        <v>280.8774</v>
      </c>
      <c r="D266" s="39">
        <f>238745.79+42131.61</f>
        <v>280877.4</v>
      </c>
      <c r="E266" s="27">
        <v>33006</v>
      </c>
      <c r="F266" s="17" t="s">
        <v>280</v>
      </c>
      <c r="G266" s="30"/>
    </row>
    <row r="267" spans="1:7" ht="17.25" customHeight="1">
      <c r="A267" s="25" t="s">
        <v>303</v>
      </c>
      <c r="B267" s="22" t="s">
        <v>305</v>
      </c>
      <c r="C267" s="37">
        <f>548.00526+96.70682</f>
        <v>644.71208</v>
      </c>
      <c r="D267" s="39">
        <f>548005.26+96706.82</f>
        <v>644712.0800000001</v>
      </c>
      <c r="E267" s="27">
        <v>33006</v>
      </c>
      <c r="F267" s="17" t="s">
        <v>280</v>
      </c>
      <c r="G267" s="30"/>
    </row>
    <row r="268" spans="1:7" ht="17.25" customHeight="1">
      <c r="A268" s="25" t="s">
        <v>306</v>
      </c>
      <c r="B268" s="22" t="s">
        <v>307</v>
      </c>
      <c r="C268" s="37">
        <v>24</v>
      </c>
      <c r="D268" s="39">
        <v>24000</v>
      </c>
      <c r="E268" s="27">
        <v>379</v>
      </c>
      <c r="F268" s="17" t="s">
        <v>280</v>
      </c>
      <c r="G268" s="30"/>
    </row>
    <row r="269" spans="1:7" ht="17.25" customHeight="1">
      <c r="A269" s="25" t="s">
        <v>306</v>
      </c>
      <c r="B269" s="22" t="s">
        <v>308</v>
      </c>
      <c r="C269" s="37">
        <v>100</v>
      </c>
      <c r="D269" s="39">
        <v>100000</v>
      </c>
      <c r="E269" s="27">
        <v>331</v>
      </c>
      <c r="F269" s="17" t="s">
        <v>280</v>
      </c>
      <c r="G269" s="30"/>
    </row>
    <row r="270" spans="1:7" ht="17.25" customHeight="1">
      <c r="A270" s="25" t="s">
        <v>28</v>
      </c>
      <c r="B270" s="22" t="s">
        <v>309</v>
      </c>
      <c r="C270" s="37">
        <v>717.36543</v>
      </c>
      <c r="D270" s="39">
        <f>609760.61+107604.82</f>
        <v>717365.4299999999</v>
      </c>
      <c r="E270" s="27">
        <v>33006</v>
      </c>
      <c r="F270" s="17" t="s">
        <v>280</v>
      </c>
      <c r="G270" s="30"/>
    </row>
    <row r="271" spans="1:7" ht="17.25" customHeight="1">
      <c r="A271" s="25" t="s">
        <v>151</v>
      </c>
      <c r="B271" s="22" t="s">
        <v>310</v>
      </c>
      <c r="C271" s="37">
        <v>400</v>
      </c>
      <c r="D271" s="39">
        <v>400000</v>
      </c>
      <c r="E271" s="27">
        <v>331</v>
      </c>
      <c r="F271" s="17" t="s">
        <v>280</v>
      </c>
      <c r="G271" s="30"/>
    </row>
    <row r="272" spans="1:7" ht="17.25" customHeight="1">
      <c r="A272" s="25" t="s">
        <v>311</v>
      </c>
      <c r="B272" s="22" t="s">
        <v>312</v>
      </c>
      <c r="C272" s="37">
        <v>306.09586</v>
      </c>
      <c r="D272" s="39">
        <f>260181.48+45914.38</f>
        <v>306095.86</v>
      </c>
      <c r="E272" s="27">
        <v>33006</v>
      </c>
      <c r="F272" s="17" t="s">
        <v>280</v>
      </c>
      <c r="G272" s="30"/>
    </row>
    <row r="273" spans="1:7" ht="17.25" customHeight="1">
      <c r="A273" s="25" t="s">
        <v>313</v>
      </c>
      <c r="B273" s="22" t="s">
        <v>314</v>
      </c>
      <c r="C273" s="37">
        <v>800</v>
      </c>
      <c r="D273" s="39">
        <v>800000</v>
      </c>
      <c r="E273" s="27">
        <v>331</v>
      </c>
      <c r="F273" s="17" t="s">
        <v>280</v>
      </c>
      <c r="G273" s="30"/>
    </row>
    <row r="274" spans="1:7" ht="17.25" customHeight="1">
      <c r="A274" s="25" t="s">
        <v>313</v>
      </c>
      <c r="B274" s="22" t="s">
        <v>315</v>
      </c>
      <c r="C274" s="37">
        <v>800</v>
      </c>
      <c r="D274" s="39">
        <v>800000</v>
      </c>
      <c r="E274" s="27">
        <v>331</v>
      </c>
      <c r="F274" s="17" t="s">
        <v>280</v>
      </c>
      <c r="G274" s="30"/>
    </row>
    <row r="275" spans="1:7" ht="17.25" customHeight="1">
      <c r="A275" s="25" t="s">
        <v>313</v>
      </c>
      <c r="B275" s="22" t="s">
        <v>316</v>
      </c>
      <c r="C275" s="37">
        <v>1000</v>
      </c>
      <c r="D275" s="39">
        <v>1000000</v>
      </c>
      <c r="E275" s="27">
        <v>331</v>
      </c>
      <c r="F275" s="17" t="s">
        <v>280</v>
      </c>
      <c r="G275" s="30"/>
    </row>
    <row r="276" spans="1:7" ht="17.25" customHeight="1">
      <c r="A276" s="25" t="s">
        <v>313</v>
      </c>
      <c r="B276" s="22" t="s">
        <v>317</v>
      </c>
      <c r="C276" s="37">
        <v>200</v>
      </c>
      <c r="D276" s="39">
        <v>200000</v>
      </c>
      <c r="E276" s="27">
        <v>331</v>
      </c>
      <c r="F276" s="17" t="s">
        <v>280</v>
      </c>
      <c r="G276" s="30"/>
    </row>
    <row r="277" spans="1:7" ht="17.25" customHeight="1">
      <c r="A277" s="25" t="s">
        <v>313</v>
      </c>
      <c r="B277" s="22" t="s">
        <v>318</v>
      </c>
      <c r="C277" s="37">
        <v>3000</v>
      </c>
      <c r="D277" s="39">
        <v>3000000</v>
      </c>
      <c r="E277" s="27">
        <v>331</v>
      </c>
      <c r="F277" s="17" t="s">
        <v>280</v>
      </c>
      <c r="G277" s="30"/>
    </row>
    <row r="278" spans="1:7" ht="17.25" customHeight="1">
      <c r="A278" s="25" t="s">
        <v>313</v>
      </c>
      <c r="B278" s="22" t="s">
        <v>319</v>
      </c>
      <c r="C278" s="37">
        <v>2000</v>
      </c>
      <c r="D278" s="39">
        <v>2000000</v>
      </c>
      <c r="E278" s="27">
        <v>331</v>
      </c>
      <c r="F278" s="17" t="s">
        <v>280</v>
      </c>
      <c r="G278" s="30"/>
    </row>
    <row r="279" spans="1:7" ht="17.25" customHeight="1">
      <c r="A279" s="25" t="s">
        <v>313</v>
      </c>
      <c r="B279" s="22" t="s">
        <v>320</v>
      </c>
      <c r="C279" s="37">
        <v>200</v>
      </c>
      <c r="D279" s="39">
        <v>200000</v>
      </c>
      <c r="E279" s="27">
        <v>331</v>
      </c>
      <c r="F279" s="17" t="s">
        <v>280</v>
      </c>
      <c r="G279" s="30"/>
    </row>
    <row r="280" spans="1:7" ht="17.25" customHeight="1">
      <c r="A280" s="25" t="s">
        <v>313</v>
      </c>
      <c r="B280" s="22" t="s">
        <v>321</v>
      </c>
      <c r="C280" s="37">
        <v>400</v>
      </c>
      <c r="D280" s="39">
        <v>400000</v>
      </c>
      <c r="E280" s="27">
        <v>331</v>
      </c>
      <c r="F280" s="17" t="s">
        <v>280</v>
      </c>
      <c r="G280" s="30"/>
    </row>
    <row r="281" spans="1:7" ht="17.25" customHeight="1">
      <c r="A281" s="25" t="s">
        <v>313</v>
      </c>
      <c r="B281" s="22" t="s">
        <v>322</v>
      </c>
      <c r="C281" s="37">
        <v>750</v>
      </c>
      <c r="D281" s="39">
        <v>750000</v>
      </c>
      <c r="E281" s="27">
        <v>331</v>
      </c>
      <c r="F281" s="17" t="s">
        <v>280</v>
      </c>
      <c r="G281" s="30"/>
    </row>
    <row r="282" spans="1:7" ht="17.25" customHeight="1">
      <c r="A282" s="25" t="s">
        <v>313</v>
      </c>
      <c r="B282" s="22" t="s">
        <v>323</v>
      </c>
      <c r="C282" s="37">
        <v>240</v>
      </c>
      <c r="D282" s="39">
        <v>240000</v>
      </c>
      <c r="E282" s="27">
        <v>331</v>
      </c>
      <c r="F282" s="17" t="s">
        <v>280</v>
      </c>
      <c r="G282" s="30"/>
    </row>
    <row r="283" spans="1:7" ht="17.25" customHeight="1">
      <c r="A283" s="25" t="s">
        <v>324</v>
      </c>
      <c r="B283" s="22" t="s">
        <v>325</v>
      </c>
      <c r="C283" s="37">
        <v>117.73182</v>
      </c>
      <c r="D283" s="39">
        <f>100072.04+17659.78</f>
        <v>117731.81999999999</v>
      </c>
      <c r="E283" s="27">
        <v>33006</v>
      </c>
      <c r="F283" s="17" t="s">
        <v>280</v>
      </c>
      <c r="G283" s="30"/>
    </row>
    <row r="284" spans="1:7" ht="17.25" customHeight="1">
      <c r="A284" s="25" t="s">
        <v>324</v>
      </c>
      <c r="B284" s="22" t="s">
        <v>326</v>
      </c>
      <c r="C284" s="37">
        <v>510.09049</v>
      </c>
      <c r="D284" s="39">
        <f>433576.91+76513.58</f>
        <v>510090.49</v>
      </c>
      <c r="E284" s="27">
        <v>33006</v>
      </c>
      <c r="F284" s="17" t="s">
        <v>280</v>
      </c>
      <c r="G284" s="30"/>
    </row>
    <row r="285" spans="1:7" ht="17.25" customHeight="1">
      <c r="A285" s="25" t="s">
        <v>77</v>
      </c>
      <c r="B285" s="22" t="s">
        <v>327</v>
      </c>
      <c r="C285" s="37">
        <v>748.5</v>
      </c>
      <c r="D285" s="39">
        <v>748500</v>
      </c>
      <c r="E285" s="27">
        <v>622</v>
      </c>
      <c r="F285" s="17" t="s">
        <v>280</v>
      </c>
      <c r="G285" s="30"/>
    </row>
    <row r="286" spans="1:7" ht="17.25" customHeight="1">
      <c r="A286" s="25" t="s">
        <v>84</v>
      </c>
      <c r="B286" s="22" t="s">
        <v>328</v>
      </c>
      <c r="C286" s="37">
        <v>1196.80257</v>
      </c>
      <c r="D286" s="39">
        <v>1196802.57</v>
      </c>
      <c r="E286" s="27">
        <v>33006</v>
      </c>
      <c r="F286" s="17" t="s">
        <v>280</v>
      </c>
      <c r="G286" s="30"/>
    </row>
    <row r="287" spans="1:7" ht="17.25" customHeight="1">
      <c r="A287" s="25" t="s">
        <v>329</v>
      </c>
      <c r="B287" s="22" t="s">
        <v>330</v>
      </c>
      <c r="C287" s="37">
        <v>23.28</v>
      </c>
      <c r="D287" s="39">
        <v>23280</v>
      </c>
      <c r="E287" s="27">
        <v>14011</v>
      </c>
      <c r="F287" s="17" t="s">
        <v>280</v>
      </c>
      <c r="G287" s="30"/>
    </row>
    <row r="288" spans="1:7" ht="17.25" customHeight="1">
      <c r="A288" s="25" t="s">
        <v>331</v>
      </c>
      <c r="B288" s="22" t="s">
        <v>332</v>
      </c>
      <c r="C288" s="37">
        <f>364.54359+64.33123</f>
        <v>428.87482</v>
      </c>
      <c r="D288" s="39">
        <v>428874.82</v>
      </c>
      <c r="E288" s="27">
        <v>33006</v>
      </c>
      <c r="F288" s="17" t="s">
        <v>280</v>
      </c>
      <c r="G288" s="30"/>
    </row>
    <row r="289" spans="1:7" ht="17.25" customHeight="1">
      <c r="A289" s="25" t="s">
        <v>333</v>
      </c>
      <c r="B289" s="22" t="s">
        <v>298</v>
      </c>
      <c r="C289" s="37">
        <v>122.891</v>
      </c>
      <c r="D289" s="39">
        <f>104457.35+18433.65</f>
        <v>122891</v>
      </c>
      <c r="E289" s="27">
        <v>33006</v>
      </c>
      <c r="F289" s="17" t="s">
        <v>280</v>
      </c>
      <c r="G289" s="30"/>
    </row>
    <row r="290" spans="1:7" ht="17.25" customHeight="1">
      <c r="A290" s="25" t="s">
        <v>334</v>
      </c>
      <c r="B290" s="22" t="s">
        <v>335</v>
      </c>
      <c r="C290" s="37">
        <v>100</v>
      </c>
      <c r="D290" s="39">
        <v>100000</v>
      </c>
      <c r="E290" s="27">
        <v>311</v>
      </c>
      <c r="F290" s="17" t="s">
        <v>280</v>
      </c>
      <c r="G290" s="30"/>
    </row>
    <row r="291" spans="1:8" ht="17.25" customHeight="1">
      <c r="A291" s="25" t="s">
        <v>336</v>
      </c>
      <c r="B291" s="22" t="s">
        <v>281</v>
      </c>
      <c r="C291" s="37">
        <v>139.49927</v>
      </c>
      <c r="D291" s="39">
        <v>139499.27</v>
      </c>
      <c r="E291" s="27">
        <v>33006</v>
      </c>
      <c r="F291" s="17" t="s">
        <v>280</v>
      </c>
      <c r="G291" s="30"/>
      <c r="H291" s="30"/>
    </row>
    <row r="292" spans="1:7" ht="17.25" customHeight="1">
      <c r="A292" s="25" t="s">
        <v>337</v>
      </c>
      <c r="B292" s="22" t="s">
        <v>300</v>
      </c>
      <c r="C292" s="37">
        <v>281.54237</v>
      </c>
      <c r="D292" s="39">
        <v>281542.37</v>
      </c>
      <c r="E292" s="27">
        <v>33006</v>
      </c>
      <c r="F292" s="17" t="s">
        <v>280</v>
      </c>
      <c r="G292" s="30"/>
    </row>
    <row r="293" spans="1:7" ht="17.25" customHeight="1">
      <c r="A293" s="25" t="s">
        <v>166</v>
      </c>
      <c r="B293" s="22" t="s">
        <v>338</v>
      </c>
      <c r="C293" s="37">
        <v>70</v>
      </c>
      <c r="D293" s="39">
        <v>70000</v>
      </c>
      <c r="E293" s="27">
        <v>214</v>
      </c>
      <c r="F293" s="17" t="s">
        <v>280</v>
      </c>
      <c r="G293" s="30"/>
    </row>
    <row r="294" spans="1:7" ht="17.25" customHeight="1">
      <c r="A294" s="25" t="s">
        <v>168</v>
      </c>
      <c r="B294" s="22" t="s">
        <v>302</v>
      </c>
      <c r="C294" s="37">
        <v>235.71844</v>
      </c>
      <c r="D294" s="39">
        <f>200360.67+35357.77</f>
        <v>235718.44</v>
      </c>
      <c r="E294" s="27">
        <v>33006</v>
      </c>
      <c r="F294" s="17" t="s">
        <v>280</v>
      </c>
      <c r="G294" s="30"/>
    </row>
    <row r="295" spans="1:7" ht="17.25" customHeight="1">
      <c r="A295" s="25" t="s">
        <v>339</v>
      </c>
      <c r="B295" s="22" t="s">
        <v>282</v>
      </c>
      <c r="C295" s="37">
        <v>87.27867</v>
      </c>
      <c r="D295" s="39">
        <f>74186.86+13091.81</f>
        <v>87278.67</v>
      </c>
      <c r="E295" s="27">
        <v>33006</v>
      </c>
      <c r="F295" s="17" t="s">
        <v>280</v>
      </c>
      <c r="G295" s="30"/>
    </row>
    <row r="296" spans="1:7" ht="17.25" customHeight="1">
      <c r="A296" s="25" t="s">
        <v>340</v>
      </c>
      <c r="B296" s="22" t="s">
        <v>341</v>
      </c>
      <c r="C296" s="37">
        <v>-51.81365</v>
      </c>
      <c r="D296" s="39">
        <v>-51813.65</v>
      </c>
      <c r="E296" s="27">
        <v>622</v>
      </c>
      <c r="F296" s="17" t="s">
        <v>280</v>
      </c>
      <c r="G296" s="30"/>
    </row>
    <row r="297" spans="1:7" ht="17.25" customHeight="1">
      <c r="A297" s="25" t="s">
        <v>208</v>
      </c>
      <c r="B297" s="22" t="s">
        <v>287</v>
      </c>
      <c r="C297" s="37">
        <v>240.78024</v>
      </c>
      <c r="D297" s="39">
        <v>240780.24</v>
      </c>
      <c r="E297" s="27">
        <v>33006</v>
      </c>
      <c r="F297" s="17" t="s">
        <v>280</v>
      </c>
      <c r="G297" s="30"/>
    </row>
    <row r="298" spans="1:7" ht="17.25" customHeight="1">
      <c r="A298" s="25" t="s">
        <v>342</v>
      </c>
      <c r="B298" s="22" t="s">
        <v>328</v>
      </c>
      <c r="C298" s="37">
        <v>1234.12329</v>
      </c>
      <c r="D298" s="39">
        <v>1234123.29</v>
      </c>
      <c r="E298" s="27">
        <v>33006</v>
      </c>
      <c r="F298" s="17" t="s">
        <v>280</v>
      </c>
      <c r="G298" s="30"/>
    </row>
    <row r="299" spans="1:7" ht="17.25" customHeight="1">
      <c r="A299" s="25" t="s">
        <v>15</v>
      </c>
      <c r="B299" s="22" t="s">
        <v>343</v>
      </c>
      <c r="C299" s="37">
        <v>1202.86933</v>
      </c>
      <c r="D299" s="39">
        <v>1202869.33</v>
      </c>
      <c r="E299" s="27">
        <v>33006</v>
      </c>
      <c r="F299" s="17" t="s">
        <v>280</v>
      </c>
      <c r="G299" s="30"/>
    </row>
    <row r="300" spans="1:7" ht="17.25" customHeight="1">
      <c r="A300" s="25" t="s">
        <v>15</v>
      </c>
      <c r="B300" s="22" t="s">
        <v>292</v>
      </c>
      <c r="C300" s="37">
        <v>152.60282</v>
      </c>
      <c r="D300" s="39">
        <v>152602.82</v>
      </c>
      <c r="E300" s="27">
        <v>33006</v>
      </c>
      <c r="F300" s="17" t="s">
        <v>280</v>
      </c>
      <c r="G300" s="30"/>
    </row>
    <row r="301" spans="1:7" ht="17.25" customHeight="1">
      <c r="A301" s="25" t="s">
        <v>15</v>
      </c>
      <c r="B301" s="22" t="s">
        <v>289</v>
      </c>
      <c r="C301" s="37">
        <v>113.90097</v>
      </c>
      <c r="D301" s="39">
        <v>113900.97</v>
      </c>
      <c r="E301" s="27">
        <v>33006</v>
      </c>
      <c r="F301" s="17" t="s">
        <v>280</v>
      </c>
      <c r="G301" s="30"/>
    </row>
    <row r="302" spans="1:7" ht="17.25" customHeight="1">
      <c r="A302" s="25" t="s">
        <v>175</v>
      </c>
      <c r="B302" s="22" t="s">
        <v>344</v>
      </c>
      <c r="C302" s="37">
        <v>85</v>
      </c>
      <c r="D302" s="39">
        <v>85000</v>
      </c>
      <c r="E302" s="27">
        <v>539</v>
      </c>
      <c r="F302" s="17" t="s">
        <v>280</v>
      </c>
      <c r="G302" s="30"/>
    </row>
    <row r="303" spans="1:7" ht="17.25" customHeight="1">
      <c r="A303" s="25" t="s">
        <v>256</v>
      </c>
      <c r="B303" s="22" t="s">
        <v>330</v>
      </c>
      <c r="C303" s="37">
        <v>152.903</v>
      </c>
      <c r="D303" s="39">
        <v>152903</v>
      </c>
      <c r="E303" s="27">
        <v>14011</v>
      </c>
      <c r="F303" s="17" t="s">
        <v>280</v>
      </c>
      <c r="G303" s="30"/>
    </row>
    <row r="304" spans="1:7" ht="17.25" customHeight="1">
      <c r="A304" s="25" t="s">
        <v>275</v>
      </c>
      <c r="B304" s="22" t="s">
        <v>345</v>
      </c>
      <c r="C304" s="37">
        <v>150</v>
      </c>
      <c r="D304" s="39">
        <v>150000</v>
      </c>
      <c r="E304" s="27">
        <v>539</v>
      </c>
      <c r="F304" s="17" t="s">
        <v>280</v>
      </c>
      <c r="G304" s="30"/>
    </row>
    <row r="305" spans="1:7" ht="17.25" customHeight="1">
      <c r="A305" s="25" t="s">
        <v>244</v>
      </c>
      <c r="B305" s="22" t="s">
        <v>304</v>
      </c>
      <c r="C305" s="37">
        <v>476.21</v>
      </c>
      <c r="D305" s="39">
        <v>476210</v>
      </c>
      <c r="E305" s="27">
        <v>33006</v>
      </c>
      <c r="F305" s="17" t="s">
        <v>280</v>
      </c>
      <c r="G305" s="30"/>
    </row>
    <row r="306" spans="1:7" ht="17.25" customHeight="1">
      <c r="A306" s="25" t="s">
        <v>346</v>
      </c>
      <c r="B306" s="22" t="s">
        <v>292</v>
      </c>
      <c r="C306" s="37">
        <v>516.09623</v>
      </c>
      <c r="D306" s="39">
        <v>516096.23</v>
      </c>
      <c r="E306" s="27">
        <v>33006</v>
      </c>
      <c r="F306" s="17" t="s">
        <v>280</v>
      </c>
      <c r="G306" s="30"/>
    </row>
    <row r="307" spans="1:9" ht="17.25" customHeight="1">
      <c r="A307" s="25" t="s">
        <v>347</v>
      </c>
      <c r="B307" s="22" t="s">
        <v>348</v>
      </c>
      <c r="C307" s="37">
        <v>1740</v>
      </c>
      <c r="D307" s="39">
        <v>1740000</v>
      </c>
      <c r="E307" s="27">
        <v>222</v>
      </c>
      <c r="F307" s="17" t="s">
        <v>280</v>
      </c>
      <c r="G307" s="30"/>
      <c r="I307" s="1"/>
    </row>
    <row r="308" spans="1:9" ht="17.25" customHeight="1">
      <c r="A308" s="25" t="s">
        <v>349</v>
      </c>
      <c r="B308" s="22" t="s">
        <v>350</v>
      </c>
      <c r="C308" s="37">
        <v>20</v>
      </c>
      <c r="D308" s="39">
        <v>20000</v>
      </c>
      <c r="E308" s="27">
        <v>331</v>
      </c>
      <c r="F308" s="17" t="s">
        <v>280</v>
      </c>
      <c r="G308" s="30"/>
      <c r="I308" s="1"/>
    </row>
    <row r="309" spans="1:9" ht="17.25" customHeight="1">
      <c r="A309" s="25" t="s">
        <v>351</v>
      </c>
      <c r="B309" s="22" t="s">
        <v>293</v>
      </c>
      <c r="C309" s="37">
        <v>96.22554</v>
      </c>
      <c r="D309" s="39">
        <v>96225.54</v>
      </c>
      <c r="E309" s="27">
        <v>33006</v>
      </c>
      <c r="F309" s="17" t="s">
        <v>280</v>
      </c>
      <c r="G309" s="30"/>
      <c r="I309" s="1"/>
    </row>
    <row r="310" spans="1:9" ht="17.25" customHeight="1">
      <c r="A310" s="25" t="s">
        <v>351</v>
      </c>
      <c r="B310" s="22" t="s">
        <v>281</v>
      </c>
      <c r="C310" s="37">
        <v>204.50396</v>
      </c>
      <c r="D310" s="39">
        <v>204503.96</v>
      </c>
      <c r="E310" s="27">
        <v>33006</v>
      </c>
      <c r="F310" s="17" t="s">
        <v>280</v>
      </c>
      <c r="G310" s="30"/>
      <c r="I310" s="1"/>
    </row>
    <row r="311" spans="1:9" ht="17.25" customHeight="1">
      <c r="A311" s="25" t="s">
        <v>352</v>
      </c>
      <c r="B311" s="22" t="s">
        <v>353</v>
      </c>
      <c r="C311" s="37">
        <v>1099.80423</v>
      </c>
      <c r="D311" s="39">
        <f>934833.59+164970.64</f>
        <v>1099804.23</v>
      </c>
      <c r="E311" s="27">
        <v>33006</v>
      </c>
      <c r="F311" s="17" t="s">
        <v>280</v>
      </c>
      <c r="G311" s="30"/>
      <c r="I311" s="1"/>
    </row>
    <row r="312" spans="1:9" ht="17.25" customHeight="1">
      <c r="A312" s="25" t="s">
        <v>352</v>
      </c>
      <c r="B312" s="22" t="s">
        <v>309</v>
      </c>
      <c r="C312" s="37">
        <v>11.05909</v>
      </c>
      <c r="D312" s="39">
        <f>9400.22+1658.87</f>
        <v>11059.09</v>
      </c>
      <c r="E312" s="27">
        <v>33006</v>
      </c>
      <c r="F312" s="17" t="s">
        <v>280</v>
      </c>
      <c r="G312" s="30"/>
      <c r="I312" s="1"/>
    </row>
    <row r="313" spans="1:9" ht="17.25" customHeight="1">
      <c r="A313" s="25" t="s">
        <v>354</v>
      </c>
      <c r="B313" s="22" t="s">
        <v>355</v>
      </c>
      <c r="C313" s="37">
        <v>259.04734</v>
      </c>
      <c r="D313" s="39">
        <f>220190.23+38857.11</f>
        <v>259047.34000000003</v>
      </c>
      <c r="E313" s="27">
        <v>33006</v>
      </c>
      <c r="F313" s="17" t="s">
        <v>280</v>
      </c>
      <c r="G313" s="30"/>
      <c r="I313" s="1"/>
    </row>
    <row r="314" spans="1:9" ht="17.25" customHeight="1">
      <c r="A314" s="25" t="s">
        <v>354</v>
      </c>
      <c r="B314" s="22" t="s">
        <v>356</v>
      </c>
      <c r="C314" s="37">
        <v>233.32135</v>
      </c>
      <c r="D314" s="39">
        <f>198323.14+34998.21</f>
        <v>233321.35</v>
      </c>
      <c r="E314" s="27">
        <v>33006</v>
      </c>
      <c r="F314" s="17" t="s">
        <v>280</v>
      </c>
      <c r="G314" s="30"/>
      <c r="I314" s="1"/>
    </row>
    <row r="315" spans="1:9" ht="17.25" customHeight="1">
      <c r="A315" s="25" t="s">
        <v>265</v>
      </c>
      <c r="B315" s="22" t="s">
        <v>357</v>
      </c>
      <c r="C315" s="37">
        <v>5.95</v>
      </c>
      <c r="D315" s="39">
        <v>5950</v>
      </c>
      <c r="E315" s="27">
        <v>433</v>
      </c>
      <c r="F315" s="17" t="s">
        <v>280</v>
      </c>
      <c r="G315" s="30"/>
      <c r="I315" s="1"/>
    </row>
    <row r="316" spans="1:9" ht="17.25" customHeight="1">
      <c r="A316" s="25" t="s">
        <v>212</v>
      </c>
      <c r="B316" s="22" t="s">
        <v>358</v>
      </c>
      <c r="C316" s="37">
        <v>200</v>
      </c>
      <c r="D316" s="39">
        <v>200000</v>
      </c>
      <c r="E316" s="27">
        <v>331</v>
      </c>
      <c r="F316" s="17" t="s">
        <v>280</v>
      </c>
      <c r="G316" s="30"/>
      <c r="I316" s="1"/>
    </row>
    <row r="317" spans="1:9" ht="17.25" customHeight="1">
      <c r="A317" s="25" t="s">
        <v>212</v>
      </c>
      <c r="B317" s="22" t="s">
        <v>359</v>
      </c>
      <c r="C317" s="37">
        <v>110</v>
      </c>
      <c r="D317" s="39">
        <v>110000</v>
      </c>
      <c r="E317" s="27">
        <v>331</v>
      </c>
      <c r="F317" s="17" t="s">
        <v>280</v>
      </c>
      <c r="G317" s="30"/>
      <c r="I317" s="1"/>
    </row>
    <row r="318" spans="1:9" ht="17.25" customHeight="1">
      <c r="A318" s="25" t="s">
        <v>212</v>
      </c>
      <c r="B318" s="22" t="s">
        <v>360</v>
      </c>
      <c r="C318" s="37">
        <v>35</v>
      </c>
      <c r="D318" s="39">
        <v>35000</v>
      </c>
      <c r="E318" s="27">
        <v>331</v>
      </c>
      <c r="F318" s="17" t="s">
        <v>280</v>
      </c>
      <c r="G318" s="30"/>
      <c r="I318" s="1"/>
    </row>
    <row r="319" spans="1:9" ht="17.25" customHeight="1">
      <c r="A319" s="25" t="s">
        <v>212</v>
      </c>
      <c r="B319" s="22" t="s">
        <v>361</v>
      </c>
      <c r="C319" s="37">
        <v>20</v>
      </c>
      <c r="D319" s="39">
        <v>20000</v>
      </c>
      <c r="E319" s="27">
        <v>331</v>
      </c>
      <c r="F319" s="17" t="s">
        <v>280</v>
      </c>
      <c r="G319" s="30"/>
      <c r="I319" s="1"/>
    </row>
    <row r="320" spans="1:7" ht="17.25" customHeight="1">
      <c r="A320" s="25" t="s">
        <v>362</v>
      </c>
      <c r="B320" s="22" t="s">
        <v>312</v>
      </c>
      <c r="C320" s="37">
        <v>55.70034</v>
      </c>
      <c r="D320" s="39">
        <f>47345.28+8355.06</f>
        <v>55700.34</v>
      </c>
      <c r="E320" s="27">
        <v>33006</v>
      </c>
      <c r="F320" s="17" t="s">
        <v>280</v>
      </c>
      <c r="G320" s="30"/>
    </row>
    <row r="321" spans="1:7" ht="17.25" customHeight="1">
      <c r="A321" s="25" t="s">
        <v>187</v>
      </c>
      <c r="B321" s="22" t="s">
        <v>363</v>
      </c>
      <c r="C321" s="37">
        <v>100</v>
      </c>
      <c r="D321" s="39">
        <v>100000</v>
      </c>
      <c r="E321" s="27">
        <v>331</v>
      </c>
      <c r="F321" s="17" t="s">
        <v>280</v>
      </c>
      <c r="G321" s="30"/>
    </row>
    <row r="322" spans="1:7" ht="17.25" customHeight="1">
      <c r="A322" s="25" t="s">
        <v>187</v>
      </c>
      <c r="B322" s="22" t="s">
        <v>364</v>
      </c>
      <c r="C322" s="37">
        <v>50</v>
      </c>
      <c r="D322" s="39">
        <v>50000</v>
      </c>
      <c r="E322" s="27">
        <v>331</v>
      </c>
      <c r="F322" s="17" t="s">
        <v>280</v>
      </c>
      <c r="G322" s="30"/>
    </row>
    <row r="323" spans="1:7" ht="17.25" customHeight="1">
      <c r="A323" s="25" t="s">
        <v>365</v>
      </c>
      <c r="B323" s="22" t="s">
        <v>305</v>
      </c>
      <c r="C323" s="37">
        <f>141.1425+24.9075</f>
        <v>166.05</v>
      </c>
      <c r="D323" s="39">
        <f>141142.5+24907.5</f>
        <v>166050</v>
      </c>
      <c r="E323" s="27">
        <v>33006</v>
      </c>
      <c r="F323" s="17" t="s">
        <v>280</v>
      </c>
      <c r="G323" s="30"/>
    </row>
    <row r="324" spans="1:7" ht="17.25" customHeight="1">
      <c r="A324" s="25" t="s">
        <v>190</v>
      </c>
      <c r="B324" s="22" t="s">
        <v>332</v>
      </c>
      <c r="C324" s="37">
        <v>443.80053</v>
      </c>
      <c r="D324" s="39">
        <f>377230.45+66570.08</f>
        <v>443800.53</v>
      </c>
      <c r="E324" s="27">
        <v>33006</v>
      </c>
      <c r="F324" s="17" t="s">
        <v>280</v>
      </c>
      <c r="G324" s="30"/>
    </row>
    <row r="325" spans="1:7" ht="17.25" customHeight="1">
      <c r="A325" s="25" t="s">
        <v>190</v>
      </c>
      <c r="B325" s="22" t="s">
        <v>289</v>
      </c>
      <c r="C325" s="37">
        <v>348.50198</v>
      </c>
      <c r="D325" s="39">
        <f>296226.68+52275.3</f>
        <v>348501.98</v>
      </c>
      <c r="E325" s="27">
        <v>33006</v>
      </c>
      <c r="F325" s="17" t="s">
        <v>280</v>
      </c>
      <c r="G325" s="30"/>
    </row>
    <row r="326" spans="1:7" ht="17.25" customHeight="1">
      <c r="A326" s="25" t="s">
        <v>190</v>
      </c>
      <c r="B326" s="22" t="s">
        <v>297</v>
      </c>
      <c r="C326" s="37">
        <f>297.10582+52.43044</f>
        <v>349.53625999999997</v>
      </c>
      <c r="D326" s="39">
        <f>297105.82+52430.44</f>
        <v>349536.26</v>
      </c>
      <c r="E326" s="27">
        <v>33006</v>
      </c>
      <c r="F326" s="17" t="s">
        <v>280</v>
      </c>
      <c r="G326" s="30"/>
    </row>
    <row r="327" spans="1:7" ht="17.25" customHeight="1">
      <c r="A327" s="25" t="s">
        <v>366</v>
      </c>
      <c r="B327" s="22" t="s">
        <v>367</v>
      </c>
      <c r="C327" s="37">
        <v>127.347</v>
      </c>
      <c r="D327" s="39">
        <v>127347</v>
      </c>
      <c r="E327" s="27">
        <v>14011</v>
      </c>
      <c r="F327" s="17" t="s">
        <v>280</v>
      </c>
      <c r="G327" s="30"/>
    </row>
    <row r="328" spans="1:7" ht="17.25" customHeight="1">
      <c r="A328" s="25" t="s">
        <v>268</v>
      </c>
      <c r="B328" s="22" t="s">
        <v>368</v>
      </c>
      <c r="C328" s="37">
        <v>200</v>
      </c>
      <c r="D328" s="39">
        <v>200000</v>
      </c>
      <c r="E328" s="27">
        <v>331</v>
      </c>
      <c r="F328" s="17" t="s">
        <v>280</v>
      </c>
      <c r="G328" s="30"/>
    </row>
    <row r="329" spans="1:7" ht="17.25" customHeight="1">
      <c r="A329" s="25" t="s">
        <v>268</v>
      </c>
      <c r="B329" s="22" t="s">
        <v>369</v>
      </c>
      <c r="C329" s="37">
        <v>200</v>
      </c>
      <c r="D329" s="39">
        <v>200000</v>
      </c>
      <c r="E329" s="27">
        <v>331</v>
      </c>
      <c r="F329" s="17" t="s">
        <v>280</v>
      </c>
      <c r="G329" s="30"/>
    </row>
    <row r="330" spans="1:7" ht="17.25" customHeight="1">
      <c r="A330" s="25" t="s">
        <v>268</v>
      </c>
      <c r="B330" s="22" t="s">
        <v>298</v>
      </c>
      <c r="C330" s="37">
        <f>198.2608+34.9872</f>
        <v>233.248</v>
      </c>
      <c r="D330" s="39">
        <f>198260.8+34987.2</f>
        <v>233248</v>
      </c>
      <c r="E330" s="27">
        <v>33006</v>
      </c>
      <c r="F330" s="17" t="s">
        <v>280</v>
      </c>
      <c r="G330" s="30"/>
    </row>
    <row r="331" spans="1:7" ht="17.25" customHeight="1">
      <c r="A331" s="25" t="s">
        <v>214</v>
      </c>
      <c r="B331" s="22" t="s">
        <v>370</v>
      </c>
      <c r="C331" s="37">
        <v>-20</v>
      </c>
      <c r="D331" s="39">
        <v>-20000</v>
      </c>
      <c r="E331" s="27">
        <v>331</v>
      </c>
      <c r="F331" s="17" t="s">
        <v>280</v>
      </c>
      <c r="G331" s="30"/>
    </row>
    <row r="332" spans="1:7" ht="17.25" customHeight="1">
      <c r="A332" s="25" t="s">
        <v>111</v>
      </c>
      <c r="B332" s="22" t="s">
        <v>300</v>
      </c>
      <c r="C332" s="37">
        <f>335.97037+59.28889</f>
        <v>395.25926</v>
      </c>
      <c r="D332" s="39">
        <f>335970.37+59288.89</f>
        <v>395259.26</v>
      </c>
      <c r="E332" s="27">
        <v>33006</v>
      </c>
      <c r="F332" s="17" t="s">
        <v>280</v>
      </c>
      <c r="G332" s="30"/>
    </row>
    <row r="333" spans="1:7" ht="17.25" customHeight="1">
      <c r="A333" s="25" t="s">
        <v>111</v>
      </c>
      <c r="B333" s="22" t="s">
        <v>309</v>
      </c>
      <c r="C333" s="37">
        <v>701.2384</v>
      </c>
      <c r="D333" s="39">
        <f>596052.64+105185.76</f>
        <v>701238.4</v>
      </c>
      <c r="E333" s="27">
        <v>33006</v>
      </c>
      <c r="F333" s="17">
        <v>4122</v>
      </c>
      <c r="G333" s="30"/>
    </row>
    <row r="334" spans="1:7" ht="17.25" customHeight="1">
      <c r="A334" s="25" t="s">
        <v>111</v>
      </c>
      <c r="B334" s="22" t="s">
        <v>371</v>
      </c>
      <c r="C334" s="37">
        <v>90</v>
      </c>
      <c r="D334" s="39">
        <v>90000</v>
      </c>
      <c r="E334" s="27">
        <v>222</v>
      </c>
      <c r="F334" s="17" t="s">
        <v>280</v>
      </c>
      <c r="G334" s="30"/>
    </row>
    <row r="335" spans="1:8" ht="17.25" customHeight="1">
      <c r="A335" s="25" t="s">
        <v>372</v>
      </c>
      <c r="B335" s="22" t="s">
        <v>302</v>
      </c>
      <c r="C335" s="37">
        <f>210.57381+37.16009</f>
        <v>247.7339</v>
      </c>
      <c r="D335" s="39">
        <f>210573.81+37160.09</f>
        <v>247733.9</v>
      </c>
      <c r="E335" s="27">
        <v>33006</v>
      </c>
      <c r="F335" s="17" t="s">
        <v>280</v>
      </c>
      <c r="G335" s="30"/>
      <c r="H335" s="1"/>
    </row>
    <row r="336" spans="1:8" ht="17.25" customHeight="1">
      <c r="A336" s="25" t="s">
        <v>373</v>
      </c>
      <c r="B336" s="22" t="s">
        <v>328</v>
      </c>
      <c r="C336" s="37">
        <f>832.02918+146.82868</f>
        <v>978.85786</v>
      </c>
      <c r="D336" s="39">
        <f>832029.18+146828.68</f>
        <v>978857.8600000001</v>
      </c>
      <c r="E336" s="27">
        <v>33006</v>
      </c>
      <c r="F336" s="17" t="s">
        <v>280</v>
      </c>
      <c r="G336" s="30"/>
      <c r="H336" s="1"/>
    </row>
    <row r="337" spans="1:8" ht="17.25" customHeight="1">
      <c r="A337" s="25" t="s">
        <v>373</v>
      </c>
      <c r="B337" s="22" t="s">
        <v>374</v>
      </c>
      <c r="C337" s="37">
        <v>190</v>
      </c>
      <c r="D337" s="39">
        <v>190000</v>
      </c>
      <c r="E337" s="27">
        <v>331</v>
      </c>
      <c r="F337" s="17" t="s">
        <v>280</v>
      </c>
      <c r="G337" s="30"/>
      <c r="H337" s="1"/>
    </row>
    <row r="338" spans="1:8" ht="17.25" customHeight="1">
      <c r="A338" s="25"/>
      <c r="B338" s="22" t="s">
        <v>375</v>
      </c>
      <c r="C338" s="37">
        <v>19</v>
      </c>
      <c r="D338" s="39">
        <v>18735</v>
      </c>
      <c r="E338" s="27">
        <v>14004</v>
      </c>
      <c r="F338" s="17" t="s">
        <v>280</v>
      </c>
      <c r="G338" s="30"/>
      <c r="H338" s="1"/>
    </row>
    <row r="339" spans="1:8" ht="17.25" customHeight="1">
      <c r="A339" s="25"/>
      <c r="B339" s="22" t="s">
        <v>376</v>
      </c>
      <c r="C339" s="37">
        <v>140</v>
      </c>
      <c r="D339" s="39">
        <v>140000</v>
      </c>
      <c r="E339" s="27">
        <v>551</v>
      </c>
      <c r="F339" s="17" t="s">
        <v>280</v>
      </c>
      <c r="G339" s="30"/>
      <c r="H339" s="30"/>
    </row>
    <row r="340" spans="1:8" ht="17.25" customHeight="1">
      <c r="A340" s="25"/>
      <c r="B340" s="22" t="s">
        <v>377</v>
      </c>
      <c r="C340" s="37">
        <v>1</v>
      </c>
      <c r="D340" s="39">
        <v>1380</v>
      </c>
      <c r="E340" s="27">
        <v>14004</v>
      </c>
      <c r="F340" s="17" t="s">
        <v>280</v>
      </c>
      <c r="G340" s="30"/>
      <c r="H340" s="1"/>
    </row>
    <row r="341" spans="1:7" ht="17.25" customHeight="1">
      <c r="A341" s="25"/>
      <c r="B341" s="22" t="s">
        <v>378</v>
      </c>
      <c r="C341" s="37">
        <v>3</v>
      </c>
      <c r="D341" s="39">
        <v>2775</v>
      </c>
      <c r="E341" s="27">
        <v>14004</v>
      </c>
      <c r="F341" s="17" t="s">
        <v>280</v>
      </c>
      <c r="G341" s="30"/>
    </row>
    <row r="342" spans="1:7" ht="17.25" customHeight="1">
      <c r="A342" s="25"/>
      <c r="B342" s="22" t="s">
        <v>379</v>
      </c>
      <c r="C342" s="37">
        <v>3</v>
      </c>
      <c r="D342" s="39">
        <v>2430</v>
      </c>
      <c r="E342" s="27">
        <v>14004</v>
      </c>
      <c r="F342" s="17" t="s">
        <v>280</v>
      </c>
      <c r="G342" s="30"/>
    </row>
    <row r="343" spans="1:7" ht="17.25" customHeight="1">
      <c r="A343" s="25"/>
      <c r="B343" s="22" t="s">
        <v>380</v>
      </c>
      <c r="C343" s="37">
        <v>2</v>
      </c>
      <c r="D343" s="39">
        <v>2430</v>
      </c>
      <c r="E343" s="27">
        <v>14004</v>
      </c>
      <c r="F343" s="17" t="s">
        <v>280</v>
      </c>
      <c r="G343" s="30"/>
    </row>
    <row r="344" spans="1:7" ht="17.25" customHeight="1">
      <c r="A344" s="25"/>
      <c r="B344" s="22" t="s">
        <v>381</v>
      </c>
      <c r="C344" s="37">
        <v>175</v>
      </c>
      <c r="D344" s="39">
        <v>175000</v>
      </c>
      <c r="E344" s="27">
        <v>551</v>
      </c>
      <c r="F344" s="17" t="s">
        <v>280</v>
      </c>
      <c r="G344" s="30"/>
    </row>
    <row r="345" spans="1:7" ht="17.25" customHeight="1">
      <c r="A345" s="25"/>
      <c r="B345" s="22" t="s">
        <v>382</v>
      </c>
      <c r="C345" s="37">
        <v>7</v>
      </c>
      <c r="D345" s="39">
        <v>6940</v>
      </c>
      <c r="E345" s="27">
        <v>14004</v>
      </c>
      <c r="F345" s="17" t="s">
        <v>280</v>
      </c>
      <c r="G345" s="30"/>
    </row>
    <row r="346" spans="1:7" ht="17.25" customHeight="1">
      <c r="A346" s="25"/>
      <c r="B346" s="22" t="s">
        <v>383</v>
      </c>
      <c r="C346" s="37">
        <v>100</v>
      </c>
      <c r="D346" s="39">
        <v>100000</v>
      </c>
      <c r="E346" s="27">
        <v>342</v>
      </c>
      <c r="F346" s="17" t="s">
        <v>280</v>
      </c>
      <c r="G346" s="30"/>
    </row>
    <row r="347" spans="1:7" ht="17.25" customHeight="1">
      <c r="A347" s="25"/>
      <c r="B347" s="22" t="s">
        <v>384</v>
      </c>
      <c r="C347" s="37">
        <v>300</v>
      </c>
      <c r="D347" s="39">
        <v>300000</v>
      </c>
      <c r="E347" s="27">
        <v>551</v>
      </c>
      <c r="F347" s="17" t="s">
        <v>280</v>
      </c>
      <c r="G347" s="30"/>
    </row>
    <row r="348" spans="1:7" ht="17.25" customHeight="1">
      <c r="A348" s="25"/>
      <c r="B348" s="22" t="s">
        <v>385</v>
      </c>
      <c r="C348" s="37">
        <v>1</v>
      </c>
      <c r="D348" s="39">
        <v>695</v>
      </c>
      <c r="E348" s="27">
        <v>14004</v>
      </c>
      <c r="F348" s="17" t="s">
        <v>280</v>
      </c>
      <c r="G348" s="30"/>
    </row>
    <row r="349" spans="1:7" ht="17.25" customHeight="1">
      <c r="A349" s="25"/>
      <c r="B349" s="22" t="s">
        <v>386</v>
      </c>
      <c r="C349" s="37">
        <v>150</v>
      </c>
      <c r="D349" s="39">
        <v>150000</v>
      </c>
      <c r="E349" s="27">
        <v>101</v>
      </c>
      <c r="F349" s="17" t="s">
        <v>280</v>
      </c>
      <c r="G349" s="30"/>
    </row>
    <row r="350" spans="1:7" ht="17.25" customHeight="1">
      <c r="A350" s="25"/>
      <c r="B350" s="22" t="s">
        <v>387</v>
      </c>
      <c r="C350" s="37">
        <v>70</v>
      </c>
      <c r="D350" s="39">
        <v>70000</v>
      </c>
      <c r="E350" s="27">
        <v>551</v>
      </c>
      <c r="F350" s="17" t="s">
        <v>280</v>
      </c>
      <c r="G350" s="30"/>
    </row>
    <row r="351" spans="1:7" ht="17.25" customHeight="1">
      <c r="A351" s="25"/>
      <c r="B351" s="22" t="s">
        <v>388</v>
      </c>
      <c r="C351" s="37">
        <v>2</v>
      </c>
      <c r="D351" s="39">
        <v>2430</v>
      </c>
      <c r="E351" s="27">
        <v>14004</v>
      </c>
      <c r="F351" s="17" t="s">
        <v>280</v>
      </c>
      <c r="G351" s="30"/>
    </row>
    <row r="352" spans="1:7" ht="17.25" customHeight="1">
      <c r="A352" s="25"/>
      <c r="B352" s="22" t="s">
        <v>389</v>
      </c>
      <c r="C352" s="37">
        <v>20</v>
      </c>
      <c r="D352" s="39">
        <v>20000</v>
      </c>
      <c r="E352" s="27">
        <v>392</v>
      </c>
      <c r="F352" s="17" t="s">
        <v>280</v>
      </c>
      <c r="G352" s="30"/>
    </row>
    <row r="353" spans="1:7" ht="17.25" customHeight="1">
      <c r="A353" s="25"/>
      <c r="B353" s="22" t="s">
        <v>390</v>
      </c>
      <c r="C353" s="37">
        <v>2413</v>
      </c>
      <c r="D353" s="39">
        <f>497757.83+87839.62+635428.55+539854.45+652226.2</f>
        <v>2413106.65</v>
      </c>
      <c r="E353" s="27">
        <v>33006</v>
      </c>
      <c r="F353" s="17" t="s">
        <v>280</v>
      </c>
      <c r="G353" s="30"/>
    </row>
    <row r="354" spans="1:7" ht="17.25" customHeight="1">
      <c r="A354" s="25"/>
      <c r="B354" s="22" t="s">
        <v>391</v>
      </c>
      <c r="C354" s="37">
        <v>88</v>
      </c>
      <c r="D354" s="39">
        <v>88000</v>
      </c>
      <c r="E354" s="27">
        <v>551</v>
      </c>
      <c r="F354" s="17" t="s">
        <v>280</v>
      </c>
      <c r="G354" s="30"/>
    </row>
    <row r="355" spans="1:7" ht="17.25" customHeight="1">
      <c r="A355" s="25"/>
      <c r="B355" s="22" t="s">
        <v>392</v>
      </c>
      <c r="C355" s="37">
        <v>96</v>
      </c>
      <c r="D355" s="39">
        <v>96088</v>
      </c>
      <c r="E355" s="27">
        <v>14004</v>
      </c>
      <c r="F355" s="17" t="s">
        <v>280</v>
      </c>
      <c r="G355" s="30"/>
    </row>
    <row r="356" spans="1:7" ht="17.25" customHeight="1">
      <c r="A356" s="25"/>
      <c r="B356" s="22" t="s">
        <v>393</v>
      </c>
      <c r="C356" s="37">
        <v>4</v>
      </c>
      <c r="D356" s="39">
        <v>3465</v>
      </c>
      <c r="E356" s="27">
        <v>14004</v>
      </c>
      <c r="F356" s="17" t="s">
        <v>280</v>
      </c>
      <c r="G356" s="30"/>
    </row>
    <row r="357" spans="1:7" ht="17.25" customHeight="1">
      <c r="A357" s="25"/>
      <c r="B357" s="22" t="s">
        <v>394</v>
      </c>
      <c r="C357" s="37">
        <v>250</v>
      </c>
      <c r="D357" s="39">
        <v>250000</v>
      </c>
      <c r="E357" s="27">
        <v>311</v>
      </c>
      <c r="F357" s="17" t="s">
        <v>280</v>
      </c>
      <c r="G357" s="30"/>
    </row>
    <row r="358" spans="1:7" ht="17.25" customHeight="1">
      <c r="A358" s="25"/>
      <c r="B358" s="22" t="s">
        <v>395</v>
      </c>
      <c r="C358" s="37">
        <v>131</v>
      </c>
      <c r="D358" s="39">
        <v>131000</v>
      </c>
      <c r="E358" s="27">
        <v>14005</v>
      </c>
      <c r="F358" s="25" t="s">
        <v>280</v>
      </c>
      <c r="G358" s="30"/>
    </row>
    <row r="359" spans="1:7" ht="17.25" customHeight="1">
      <c r="A359" s="25"/>
      <c r="B359" s="22" t="s">
        <v>396</v>
      </c>
      <c r="C359" s="37">
        <v>20</v>
      </c>
      <c r="D359" s="39">
        <v>20000</v>
      </c>
      <c r="E359" s="27">
        <v>331</v>
      </c>
      <c r="F359" s="17" t="s">
        <v>280</v>
      </c>
      <c r="G359" s="30"/>
    </row>
    <row r="360" spans="1:7" ht="17.25" customHeight="1">
      <c r="A360" s="25"/>
      <c r="B360" s="22" t="s">
        <v>397</v>
      </c>
      <c r="C360" s="37">
        <v>150</v>
      </c>
      <c r="D360" s="39">
        <v>150000</v>
      </c>
      <c r="E360" s="27">
        <v>551</v>
      </c>
      <c r="F360" s="17" t="s">
        <v>280</v>
      </c>
      <c r="G360" s="30"/>
    </row>
    <row r="361" spans="1:7" ht="17.25" customHeight="1">
      <c r="A361" s="25"/>
      <c r="B361" s="22" t="s">
        <v>398</v>
      </c>
      <c r="C361" s="37">
        <v>148</v>
      </c>
      <c r="D361" s="39">
        <v>148000</v>
      </c>
      <c r="E361" s="27">
        <v>551</v>
      </c>
      <c r="F361" s="17" t="s">
        <v>280</v>
      </c>
      <c r="G361" s="30"/>
    </row>
    <row r="362" spans="1:7" ht="17.25" customHeight="1">
      <c r="A362" s="25"/>
      <c r="B362" s="22" t="s">
        <v>399</v>
      </c>
      <c r="C362" s="37">
        <v>56</v>
      </c>
      <c r="D362" s="39">
        <v>56390</v>
      </c>
      <c r="E362" s="27">
        <v>14004</v>
      </c>
      <c r="F362" s="17" t="s">
        <v>280</v>
      </c>
      <c r="G362" s="30"/>
    </row>
    <row r="363" spans="1:7" ht="17.25" customHeight="1">
      <c r="A363" s="25"/>
      <c r="B363" s="22" t="s">
        <v>400</v>
      </c>
      <c r="C363" s="37">
        <v>70</v>
      </c>
      <c r="D363" s="39">
        <v>70000</v>
      </c>
      <c r="E363" s="27">
        <v>101</v>
      </c>
      <c r="F363" s="17" t="s">
        <v>280</v>
      </c>
      <c r="G363" s="30"/>
    </row>
    <row r="364" spans="1:7" ht="17.25" customHeight="1">
      <c r="A364" s="25"/>
      <c r="B364" s="22" t="s">
        <v>401</v>
      </c>
      <c r="C364" s="37">
        <v>2</v>
      </c>
      <c r="D364" s="39">
        <v>2430</v>
      </c>
      <c r="E364" s="27">
        <v>14004</v>
      </c>
      <c r="F364" s="17" t="s">
        <v>280</v>
      </c>
      <c r="G364" s="30"/>
    </row>
    <row r="365" spans="1:7" ht="17.25" customHeight="1">
      <c r="A365" s="25"/>
      <c r="B365" s="22" t="s">
        <v>402</v>
      </c>
      <c r="C365" s="37">
        <v>70</v>
      </c>
      <c r="D365" s="39">
        <v>70000</v>
      </c>
      <c r="E365" s="27">
        <v>551</v>
      </c>
      <c r="F365" s="17" t="s">
        <v>280</v>
      </c>
      <c r="G365" s="30"/>
    </row>
    <row r="366" spans="1:7" ht="17.25" customHeight="1">
      <c r="A366" s="25"/>
      <c r="B366" s="22" t="s">
        <v>403</v>
      </c>
      <c r="C366" s="37">
        <v>12</v>
      </c>
      <c r="D366" s="39">
        <v>11800</v>
      </c>
      <c r="E366" s="27">
        <v>14004</v>
      </c>
      <c r="F366" s="17" t="s">
        <v>280</v>
      </c>
      <c r="G366" s="30"/>
    </row>
    <row r="367" spans="1:7" ht="17.25" customHeight="1">
      <c r="A367" s="25"/>
      <c r="B367" s="22"/>
      <c r="C367" s="37"/>
      <c r="D367" s="39"/>
      <c r="E367" s="27"/>
      <c r="F367" s="17"/>
      <c r="G367" s="30"/>
    </row>
    <row r="368" spans="1:7" ht="17.25" customHeight="1">
      <c r="A368" s="25"/>
      <c r="B368" s="18" t="s">
        <v>516</v>
      </c>
      <c r="C368" s="19">
        <f>SUM(C369:C370)</f>
        <v>1298.84312</v>
      </c>
      <c r="D368" s="19">
        <f>SUM(D369:D370)</f>
        <v>1298843.12</v>
      </c>
      <c r="E368" s="27"/>
      <c r="F368" s="17"/>
      <c r="G368" s="30"/>
    </row>
    <row r="369" spans="1:7" ht="17.25" customHeight="1">
      <c r="A369" s="25" t="s">
        <v>404</v>
      </c>
      <c r="B369" s="22" t="s">
        <v>405</v>
      </c>
      <c r="C369" s="37">
        <v>1193.53152</v>
      </c>
      <c r="D369" s="39">
        <v>1193531.52</v>
      </c>
      <c r="E369" s="27">
        <v>86005</v>
      </c>
      <c r="F369" s="25">
        <v>4123</v>
      </c>
      <c r="G369" s="30"/>
    </row>
    <row r="370" spans="1:7" ht="17.25" customHeight="1">
      <c r="A370" s="25" t="s">
        <v>404</v>
      </c>
      <c r="B370" s="22" t="s">
        <v>405</v>
      </c>
      <c r="C370" s="37">
        <v>105.3116</v>
      </c>
      <c r="D370" s="39">
        <v>105311.6</v>
      </c>
      <c r="E370" s="27">
        <v>86001</v>
      </c>
      <c r="F370" s="25">
        <v>4123</v>
      </c>
      <c r="G370" s="30"/>
    </row>
    <row r="371" spans="1:7" ht="17.25" customHeight="1">
      <c r="A371" s="25"/>
      <c r="B371" s="42"/>
      <c r="C371" s="37"/>
      <c r="D371" s="37"/>
      <c r="E371" s="27"/>
      <c r="F371" s="17"/>
      <c r="G371" s="30"/>
    </row>
    <row r="372" spans="1:7" ht="17.25" customHeight="1">
      <c r="A372" s="25"/>
      <c r="B372" s="43" t="s">
        <v>406</v>
      </c>
      <c r="C372" s="19">
        <f>SUM(C373:C376)</f>
        <v>5158</v>
      </c>
      <c r="D372" s="19">
        <f>SUM(D373:D376)</f>
        <v>5164940.140000001</v>
      </c>
      <c r="E372" s="27"/>
      <c r="F372" s="17"/>
      <c r="G372" s="30"/>
    </row>
    <row r="373" spans="1:7" ht="17.25" customHeight="1">
      <c r="A373" s="25" t="s">
        <v>407</v>
      </c>
      <c r="B373" s="34" t="s">
        <v>408</v>
      </c>
      <c r="C373" s="37">
        <v>1383</v>
      </c>
      <c r="D373" s="37">
        <v>1382206.36</v>
      </c>
      <c r="E373" s="27"/>
      <c r="F373" s="17" t="s">
        <v>409</v>
      </c>
      <c r="G373" s="30"/>
    </row>
    <row r="374" spans="1:7" ht="17.25" customHeight="1">
      <c r="A374" s="25" t="s">
        <v>410</v>
      </c>
      <c r="B374" s="34" t="s">
        <v>408</v>
      </c>
      <c r="C374" s="37">
        <v>1586</v>
      </c>
      <c r="D374" s="37">
        <v>1585947.22</v>
      </c>
      <c r="E374" s="27"/>
      <c r="F374" s="17" t="s">
        <v>409</v>
      </c>
      <c r="G374" s="30"/>
    </row>
    <row r="375" spans="1:7" ht="17.25" customHeight="1">
      <c r="A375" s="25" t="s">
        <v>340</v>
      </c>
      <c r="B375" s="34" t="s">
        <v>411</v>
      </c>
      <c r="C375" s="37">
        <v>0</v>
      </c>
      <c r="D375" s="37">
        <v>8155.85</v>
      </c>
      <c r="E375" s="27"/>
      <c r="F375" s="17" t="s">
        <v>409</v>
      </c>
      <c r="G375" s="30"/>
    </row>
    <row r="376" spans="1:7" ht="17.25" customHeight="1">
      <c r="A376" s="25" t="s">
        <v>412</v>
      </c>
      <c r="B376" s="34" t="s">
        <v>413</v>
      </c>
      <c r="C376" s="37">
        <v>2189</v>
      </c>
      <c r="D376" s="37">
        <v>2188630.71</v>
      </c>
      <c r="E376" s="27"/>
      <c r="F376" s="17" t="s">
        <v>409</v>
      </c>
      <c r="G376" s="30"/>
    </row>
    <row r="377" spans="1:7" ht="17.25" customHeight="1">
      <c r="A377" s="25"/>
      <c r="B377" s="42"/>
      <c r="C377" s="37"/>
      <c r="D377" s="37"/>
      <c r="E377" s="27"/>
      <c r="F377" s="17"/>
      <c r="G377" s="30"/>
    </row>
    <row r="378" spans="1:7" ht="17.25" customHeight="1">
      <c r="A378" s="25"/>
      <c r="B378" s="44" t="s">
        <v>414</v>
      </c>
      <c r="C378" s="19">
        <f>+SUM(C379:C387)</f>
        <v>5149</v>
      </c>
      <c r="D378" s="19">
        <f>+SUM(D379:D387)</f>
        <v>9842904.37</v>
      </c>
      <c r="E378" s="27"/>
      <c r="F378" s="17"/>
      <c r="G378" s="30"/>
    </row>
    <row r="379" spans="1:7" ht="17.25" customHeight="1">
      <c r="A379" s="25" t="s">
        <v>251</v>
      </c>
      <c r="B379" s="34" t="s">
        <v>517</v>
      </c>
      <c r="C379" s="37">
        <v>284</v>
      </c>
      <c r="D379" s="37">
        <v>284122.68</v>
      </c>
      <c r="E379" s="27"/>
      <c r="F379" s="17" t="s">
        <v>415</v>
      </c>
      <c r="G379" s="30"/>
    </row>
    <row r="380" spans="1:7" ht="17.25" customHeight="1">
      <c r="A380" s="25" t="s">
        <v>416</v>
      </c>
      <c r="B380" s="34" t="s">
        <v>417</v>
      </c>
      <c r="C380" s="37">
        <v>2023</v>
      </c>
      <c r="D380" s="37">
        <v>2022679.45</v>
      </c>
      <c r="E380" s="27"/>
      <c r="F380" s="17" t="s">
        <v>415</v>
      </c>
      <c r="G380" s="30"/>
    </row>
    <row r="381" spans="1:7" ht="17.25" customHeight="1">
      <c r="A381" s="25" t="s">
        <v>148</v>
      </c>
      <c r="B381" s="34" t="s">
        <v>221</v>
      </c>
      <c r="C381" s="37">
        <v>1600</v>
      </c>
      <c r="D381" s="37">
        <f>64885.54*24.65-0.001</f>
        <v>1599428.56</v>
      </c>
      <c r="E381" s="27"/>
      <c r="F381" s="17" t="s">
        <v>415</v>
      </c>
      <c r="G381" s="30"/>
    </row>
    <row r="382" spans="1:7" ht="17.25" customHeight="1">
      <c r="A382" s="25" t="s">
        <v>418</v>
      </c>
      <c r="B382" s="34" t="s">
        <v>419</v>
      </c>
      <c r="C382" s="37">
        <v>0</v>
      </c>
      <c r="D382" s="37">
        <f>16500.13+16500.13+15792.73</f>
        <v>48792.990000000005</v>
      </c>
      <c r="E382" s="27"/>
      <c r="F382" s="17" t="s">
        <v>415</v>
      </c>
      <c r="G382" s="30"/>
    </row>
    <row r="383" spans="1:7" ht="17.25" customHeight="1">
      <c r="A383" s="25" t="s">
        <v>180</v>
      </c>
      <c r="B383" s="34" t="s">
        <v>420</v>
      </c>
      <c r="C383" s="37">
        <v>367</v>
      </c>
      <c r="D383" s="37">
        <v>366184.12</v>
      </c>
      <c r="E383" s="27"/>
      <c r="F383" s="17" t="s">
        <v>415</v>
      </c>
      <c r="G383" s="30"/>
    </row>
    <row r="384" spans="1:7" ht="17.25" customHeight="1">
      <c r="A384" s="25" t="s">
        <v>257</v>
      </c>
      <c r="B384" s="34" t="s">
        <v>421</v>
      </c>
      <c r="C384" s="37">
        <v>0</v>
      </c>
      <c r="D384" s="37">
        <v>1315.62</v>
      </c>
      <c r="E384" s="27"/>
      <c r="F384" s="17" t="s">
        <v>415</v>
      </c>
      <c r="G384" s="30"/>
    </row>
    <row r="385" spans="1:7" ht="17.25" customHeight="1">
      <c r="A385" s="25" t="s">
        <v>214</v>
      </c>
      <c r="B385" s="34" t="s">
        <v>417</v>
      </c>
      <c r="C385" s="37">
        <v>0</v>
      </c>
      <c r="D385" s="37">
        <v>942760.75</v>
      </c>
      <c r="E385" s="27"/>
      <c r="F385" s="17" t="s">
        <v>415</v>
      </c>
      <c r="G385" s="30"/>
    </row>
    <row r="386" spans="1:9" ht="17.25" customHeight="1">
      <c r="A386" s="25" t="s">
        <v>422</v>
      </c>
      <c r="B386" s="22" t="s">
        <v>221</v>
      </c>
      <c r="C386" s="37">
        <v>0</v>
      </c>
      <c r="D386" s="37">
        <f>2558719.3+1145370.88</f>
        <v>3704090.1799999997</v>
      </c>
      <c r="E386" s="27"/>
      <c r="F386" s="17" t="s">
        <v>415</v>
      </c>
      <c r="G386" s="30"/>
      <c r="H386" s="30"/>
      <c r="I386" s="30"/>
    </row>
    <row r="387" spans="1:7" ht="17.25" customHeight="1">
      <c r="A387" s="25"/>
      <c r="B387" s="34" t="s">
        <v>423</v>
      </c>
      <c r="C387" s="37">
        <v>875</v>
      </c>
      <c r="D387" s="37">
        <f>611042.45+262487.57</f>
        <v>873530.02</v>
      </c>
      <c r="E387" s="27"/>
      <c r="F387" s="17" t="s">
        <v>415</v>
      </c>
      <c r="G387" s="30"/>
    </row>
    <row r="388" spans="1:7" ht="18" customHeight="1">
      <c r="A388" s="25"/>
      <c r="B388" s="34"/>
      <c r="C388" s="37"/>
      <c r="D388" s="45"/>
      <c r="E388" s="27"/>
      <c r="F388" s="17"/>
      <c r="G388" s="30"/>
    </row>
    <row r="389" spans="1:7" ht="15" customHeight="1">
      <c r="A389" s="25"/>
      <c r="B389" s="43" t="s">
        <v>424</v>
      </c>
      <c r="C389" s="26">
        <f>+C368+C247+C192+C188+C147+C34+C15+C7+C210+C372+C241+C57+C96+C378+C182+C235+C218+C26+C31+C244</f>
        <v>1214423.91705</v>
      </c>
      <c r="D389" s="26">
        <f>+D368+D247+D192+D188+D147+D34+D15+D7+D210+D372+D241+D57+D96+D378+D182+D235+D218+D26+D31+D244</f>
        <v>1209710715.71</v>
      </c>
      <c r="E389" s="46"/>
      <c r="F389" s="24"/>
      <c r="G389" s="30"/>
    </row>
    <row r="390" spans="1:7" ht="17.25" customHeight="1" thickBot="1">
      <c r="A390" s="47"/>
      <c r="B390" s="48"/>
      <c r="C390" s="49"/>
      <c r="D390" s="49"/>
      <c r="E390" s="48"/>
      <c r="F390" s="47"/>
      <c r="G390" s="30"/>
    </row>
    <row r="391" spans="1:7" ht="16.5" customHeight="1">
      <c r="A391" s="50"/>
      <c r="B391" s="51"/>
      <c r="C391" s="52"/>
      <c r="D391" s="52"/>
      <c r="E391" s="51"/>
      <c r="F391" s="51"/>
      <c r="G391" s="30"/>
    </row>
    <row r="392" spans="1:7" ht="16.5" customHeight="1" thickBot="1">
      <c r="A392" s="50"/>
      <c r="B392" s="51"/>
      <c r="C392" s="52"/>
      <c r="D392" s="52"/>
      <c r="E392" s="51"/>
      <c r="F392" s="51"/>
      <c r="G392" s="30"/>
    </row>
    <row r="393" spans="1:7" ht="17.25" customHeight="1">
      <c r="A393" s="12"/>
      <c r="B393" s="13"/>
      <c r="C393" s="14"/>
      <c r="D393" s="14"/>
      <c r="E393" s="13"/>
      <c r="F393" s="13"/>
      <c r="G393" s="30"/>
    </row>
    <row r="394" spans="1:7" ht="17.25" customHeight="1" thickBot="1">
      <c r="A394" s="15" t="s">
        <v>1</v>
      </c>
      <c r="B394" s="15" t="s">
        <v>425</v>
      </c>
      <c r="C394" s="16" t="s">
        <v>3</v>
      </c>
      <c r="D394" s="16" t="s">
        <v>4</v>
      </c>
      <c r="E394" s="15" t="s">
        <v>5</v>
      </c>
      <c r="F394" s="15" t="s">
        <v>6</v>
      </c>
      <c r="G394" s="30"/>
    </row>
    <row r="395" spans="1:6" ht="17.25" customHeight="1">
      <c r="A395" s="25"/>
      <c r="B395" s="18" t="s">
        <v>27</v>
      </c>
      <c r="C395" s="29">
        <f>+SUM(C396:C401)</f>
        <v>4440.01285</v>
      </c>
      <c r="D395" s="29">
        <f>+SUM(D396:D401)</f>
        <v>4406628.85</v>
      </c>
      <c r="E395" s="24"/>
      <c r="F395" s="17"/>
    </row>
    <row r="396" spans="1:6" ht="17.25" customHeight="1">
      <c r="A396" s="17" t="s">
        <v>426</v>
      </c>
      <c r="B396" s="42" t="s">
        <v>427</v>
      </c>
      <c r="C396" s="23">
        <v>845.70678</v>
      </c>
      <c r="D396" s="23">
        <v>845706.78</v>
      </c>
      <c r="E396" s="24">
        <v>90877</v>
      </c>
      <c r="F396" s="17" t="s">
        <v>428</v>
      </c>
    </row>
    <row r="397" spans="1:6" ht="17.25" customHeight="1">
      <c r="A397" s="17" t="s">
        <v>429</v>
      </c>
      <c r="B397" s="42" t="s">
        <v>430</v>
      </c>
      <c r="C397" s="23">
        <v>1586.2416</v>
      </c>
      <c r="D397" s="23">
        <v>1586241.6</v>
      </c>
      <c r="E397" s="24">
        <v>90877</v>
      </c>
      <c r="F397" s="17" t="s">
        <v>428</v>
      </c>
    </row>
    <row r="398" spans="1:6" ht="17.25" customHeight="1">
      <c r="A398" s="17" t="s">
        <v>365</v>
      </c>
      <c r="B398" s="42" t="s">
        <v>431</v>
      </c>
      <c r="C398" s="23">
        <v>625.06447</v>
      </c>
      <c r="D398" s="23">
        <v>625064.47</v>
      </c>
      <c r="E398" s="24">
        <v>90877</v>
      </c>
      <c r="F398" s="17" t="s">
        <v>428</v>
      </c>
    </row>
    <row r="399" spans="1:8" ht="17.25" customHeight="1">
      <c r="A399" s="17"/>
      <c r="B399" s="42" t="s">
        <v>432</v>
      </c>
      <c r="C399" s="23">
        <f>381+734</f>
        <v>1115</v>
      </c>
      <c r="D399" s="23">
        <f>380842+734275</f>
        <v>1115117</v>
      </c>
      <c r="E399" s="24">
        <v>90909</v>
      </c>
      <c r="F399" s="24">
        <v>4213</v>
      </c>
      <c r="G399" s="30"/>
      <c r="H399" s="1"/>
    </row>
    <row r="400" spans="1:7" ht="17.25" customHeight="1">
      <c r="A400" s="17"/>
      <c r="B400" s="42" t="s">
        <v>433</v>
      </c>
      <c r="C400" s="23">
        <v>251</v>
      </c>
      <c r="D400" s="23">
        <v>218179</v>
      </c>
      <c r="E400" s="24">
        <v>90909</v>
      </c>
      <c r="F400" s="24">
        <v>4213</v>
      </c>
      <c r="G400" s="30"/>
    </row>
    <row r="401" spans="1:7" ht="17.25" customHeight="1">
      <c r="A401" s="17"/>
      <c r="B401" s="42" t="s">
        <v>434</v>
      </c>
      <c r="C401" s="23">
        <v>17</v>
      </c>
      <c r="D401" s="23">
        <v>16320</v>
      </c>
      <c r="E401" s="24">
        <v>90909</v>
      </c>
      <c r="F401" s="24">
        <v>4213</v>
      </c>
      <c r="G401" s="30"/>
    </row>
    <row r="402" spans="1:7" ht="17.25" customHeight="1">
      <c r="A402" s="17"/>
      <c r="B402" s="22"/>
      <c r="C402" s="23"/>
      <c r="D402" s="23"/>
      <c r="E402" s="24"/>
      <c r="F402" s="24"/>
      <c r="G402" s="30"/>
    </row>
    <row r="403" spans="1:7" ht="17.25" customHeight="1">
      <c r="A403" s="17"/>
      <c r="B403" s="18" t="s">
        <v>435</v>
      </c>
      <c r="C403" s="29">
        <f>+C404</f>
        <v>3158.68834</v>
      </c>
      <c r="D403" s="29">
        <f>+D404</f>
        <v>3158688.34</v>
      </c>
      <c r="E403" s="24"/>
      <c r="F403" s="24"/>
      <c r="G403" s="30"/>
    </row>
    <row r="404" spans="1:7" ht="17.25" customHeight="1">
      <c r="A404" s="17" t="s">
        <v>436</v>
      </c>
      <c r="B404" s="22" t="s">
        <v>437</v>
      </c>
      <c r="C404" s="23">
        <v>3158.68834</v>
      </c>
      <c r="D404" s="23">
        <v>3158688.34</v>
      </c>
      <c r="E404" s="24">
        <v>27781</v>
      </c>
      <c r="F404" s="24">
        <v>4216</v>
      </c>
      <c r="G404" s="30"/>
    </row>
    <row r="405" spans="1:7" ht="17.25" customHeight="1">
      <c r="A405" s="17"/>
      <c r="B405" s="22"/>
      <c r="C405" s="23"/>
      <c r="D405" s="23"/>
      <c r="E405" s="24"/>
      <c r="F405" s="24"/>
      <c r="G405" s="30"/>
    </row>
    <row r="406" spans="1:7" ht="17.25" customHeight="1">
      <c r="A406" s="17"/>
      <c r="B406" s="18" t="s">
        <v>219</v>
      </c>
      <c r="C406" s="29">
        <f>SUM(C407:C415)</f>
        <v>17026.262000000002</v>
      </c>
      <c r="D406" s="29">
        <f>SUM(D407:D415)</f>
        <v>17025805</v>
      </c>
      <c r="E406" s="24"/>
      <c r="F406" s="24"/>
      <c r="G406" s="30"/>
    </row>
    <row r="407" spans="1:7" ht="17.25" customHeight="1">
      <c r="A407" s="17" t="s">
        <v>438</v>
      </c>
      <c r="B407" s="42" t="s">
        <v>439</v>
      </c>
      <c r="C407" s="23">
        <v>4309.792</v>
      </c>
      <c r="D407" s="23">
        <v>4309792</v>
      </c>
      <c r="E407" s="24">
        <v>17871</v>
      </c>
      <c r="F407" s="24">
        <v>4216</v>
      </c>
      <c r="G407" s="30"/>
    </row>
    <row r="408" spans="1:7" ht="17.25" customHeight="1">
      <c r="A408" s="25" t="s">
        <v>438</v>
      </c>
      <c r="B408" s="42" t="s">
        <v>440</v>
      </c>
      <c r="C408" s="23">
        <v>760.551</v>
      </c>
      <c r="D408" s="23">
        <v>760551</v>
      </c>
      <c r="E408" s="24">
        <v>17870</v>
      </c>
      <c r="F408" s="17" t="s">
        <v>441</v>
      </c>
      <c r="G408" s="30"/>
    </row>
    <row r="409" spans="1:7" ht="17.25" customHeight="1">
      <c r="A409" s="25" t="s">
        <v>148</v>
      </c>
      <c r="B409" s="42" t="s">
        <v>442</v>
      </c>
      <c r="C409" s="23">
        <v>804.495</v>
      </c>
      <c r="D409" s="23">
        <v>804495</v>
      </c>
      <c r="E409" s="24">
        <v>17871</v>
      </c>
      <c r="F409" s="17" t="s">
        <v>441</v>
      </c>
      <c r="G409" s="30"/>
    </row>
    <row r="410" spans="1:7" ht="17.25" customHeight="1">
      <c r="A410" s="25" t="s">
        <v>148</v>
      </c>
      <c r="B410" s="42" t="s">
        <v>443</v>
      </c>
      <c r="C410" s="23">
        <v>141.969</v>
      </c>
      <c r="D410" s="23">
        <v>141969</v>
      </c>
      <c r="E410" s="24">
        <v>17870</v>
      </c>
      <c r="F410" s="17" t="s">
        <v>441</v>
      </c>
      <c r="G410" s="30"/>
    </row>
    <row r="411" spans="1:7" ht="17.25" customHeight="1">
      <c r="A411" s="25" t="s">
        <v>426</v>
      </c>
      <c r="B411" s="42" t="s">
        <v>444</v>
      </c>
      <c r="C411" s="23">
        <v>2021.338</v>
      </c>
      <c r="D411" s="23">
        <v>2021338</v>
      </c>
      <c r="E411" s="24">
        <v>17871</v>
      </c>
      <c r="F411" s="17" t="s">
        <v>441</v>
      </c>
      <c r="G411" s="30"/>
    </row>
    <row r="412" spans="1:7" ht="17.25" customHeight="1">
      <c r="A412" s="25" t="s">
        <v>426</v>
      </c>
      <c r="B412" s="42" t="s">
        <v>445</v>
      </c>
      <c r="C412" s="23">
        <v>356.706</v>
      </c>
      <c r="D412" s="23">
        <v>356706</v>
      </c>
      <c r="E412" s="24">
        <v>17870</v>
      </c>
      <c r="F412" s="17" t="s">
        <v>441</v>
      </c>
      <c r="G412" s="30"/>
    </row>
    <row r="413" spans="1:7" ht="17.25" customHeight="1">
      <c r="A413" s="25" t="s">
        <v>182</v>
      </c>
      <c r="B413" s="42" t="s">
        <v>446</v>
      </c>
      <c r="C413" s="23">
        <v>5323.9</v>
      </c>
      <c r="D413" s="23">
        <v>5323900</v>
      </c>
      <c r="E413" s="24">
        <v>17871</v>
      </c>
      <c r="F413" s="17" t="s">
        <v>441</v>
      </c>
      <c r="G413" s="30"/>
    </row>
    <row r="414" spans="1:7" ht="17.25" customHeight="1">
      <c r="A414" s="25" t="s">
        <v>182</v>
      </c>
      <c r="B414" s="42" t="s">
        <v>447</v>
      </c>
      <c r="C414" s="23">
        <v>939.511</v>
      </c>
      <c r="D414" s="23">
        <v>939511</v>
      </c>
      <c r="E414" s="24">
        <v>17870</v>
      </c>
      <c r="F414" s="17" t="s">
        <v>441</v>
      </c>
      <c r="G414" s="30"/>
    </row>
    <row r="415" spans="1:7" ht="17.25" customHeight="1">
      <c r="A415" s="25"/>
      <c r="B415" s="22" t="s">
        <v>222</v>
      </c>
      <c r="C415" s="23">
        <v>2368</v>
      </c>
      <c r="D415" s="23">
        <v>2367543</v>
      </c>
      <c r="E415" s="24">
        <v>17880</v>
      </c>
      <c r="F415" s="17" t="s">
        <v>441</v>
      </c>
      <c r="G415" s="30"/>
    </row>
    <row r="416" spans="1:7" ht="17.25" customHeight="1">
      <c r="A416" s="25"/>
      <c r="B416" s="42"/>
      <c r="C416" s="23"/>
      <c r="D416" s="23"/>
      <c r="E416" s="24"/>
      <c r="F416" s="17"/>
      <c r="G416" s="30"/>
    </row>
    <row r="417" spans="1:7" ht="17.25" customHeight="1">
      <c r="A417" s="25"/>
      <c r="B417" s="18" t="s">
        <v>448</v>
      </c>
      <c r="C417" s="29">
        <f>+SUM(C418:C420)</f>
        <v>51969.21859999999</v>
      </c>
      <c r="D417" s="29">
        <f>+SUM(D418:D420)</f>
        <v>51969218.6</v>
      </c>
      <c r="E417" s="24"/>
      <c r="F417" s="17"/>
      <c r="G417" s="30"/>
    </row>
    <row r="418" spans="1:7" ht="17.25" customHeight="1">
      <c r="A418" s="25" t="s">
        <v>449</v>
      </c>
      <c r="B418" s="42" t="s">
        <v>427</v>
      </c>
      <c r="C418" s="23">
        <v>14377.01534</v>
      </c>
      <c r="D418" s="23">
        <v>14377015.34</v>
      </c>
      <c r="E418" s="24">
        <v>15835</v>
      </c>
      <c r="F418" s="17" t="s">
        <v>441</v>
      </c>
      <c r="G418" s="30"/>
    </row>
    <row r="419" spans="1:7" ht="17.25" customHeight="1">
      <c r="A419" s="25" t="s">
        <v>429</v>
      </c>
      <c r="B419" s="22" t="s">
        <v>430</v>
      </c>
      <c r="C419" s="23">
        <v>26966.1072</v>
      </c>
      <c r="D419" s="23">
        <v>26966107.2</v>
      </c>
      <c r="E419" s="24">
        <v>15835</v>
      </c>
      <c r="F419" s="17" t="s">
        <v>441</v>
      </c>
      <c r="G419" s="30"/>
    </row>
    <row r="420" spans="1:7" ht="17.25" customHeight="1">
      <c r="A420" s="25" t="s">
        <v>365</v>
      </c>
      <c r="B420" s="22" t="s">
        <v>431</v>
      </c>
      <c r="C420" s="23">
        <v>10626.09606</v>
      </c>
      <c r="D420" s="23">
        <v>10626096.06</v>
      </c>
      <c r="E420" s="24">
        <v>15835</v>
      </c>
      <c r="F420" s="17" t="s">
        <v>441</v>
      </c>
      <c r="G420" s="30"/>
    </row>
    <row r="421" spans="1:7" ht="17.25" customHeight="1">
      <c r="A421" s="25"/>
      <c r="B421" s="42"/>
      <c r="C421" s="23"/>
      <c r="D421" s="23"/>
      <c r="E421" s="24"/>
      <c r="F421" s="17"/>
      <c r="G421" s="30"/>
    </row>
    <row r="422" spans="1:7" ht="17.25" customHeight="1">
      <c r="A422" s="25"/>
      <c r="B422" s="36" t="s">
        <v>515</v>
      </c>
      <c r="C422" s="29">
        <f>SUM(C423:C424)</f>
        <v>89649.781</v>
      </c>
      <c r="D422" s="29">
        <f>SUM(D423:D424)</f>
        <v>82778787</v>
      </c>
      <c r="E422" s="24"/>
      <c r="F422" s="17"/>
      <c r="G422" s="30"/>
    </row>
    <row r="423" spans="1:7" ht="17.25" customHeight="1">
      <c r="A423" s="25" t="s">
        <v>450</v>
      </c>
      <c r="B423" s="34" t="s">
        <v>451</v>
      </c>
      <c r="C423" s="37">
        <v>13447.47</v>
      </c>
      <c r="D423" s="39">
        <v>12416820</v>
      </c>
      <c r="E423" s="17" t="s">
        <v>452</v>
      </c>
      <c r="F423" s="17" t="s">
        <v>441</v>
      </c>
      <c r="G423" s="30"/>
    </row>
    <row r="424" spans="1:7" ht="17.25" customHeight="1">
      <c r="A424" s="25" t="s">
        <v>450</v>
      </c>
      <c r="B424" s="34" t="s">
        <v>453</v>
      </c>
      <c r="C424" s="37">
        <v>76202.311</v>
      </c>
      <c r="D424" s="39">
        <v>70361967</v>
      </c>
      <c r="E424" s="17" t="s">
        <v>454</v>
      </c>
      <c r="F424" s="17" t="s">
        <v>441</v>
      </c>
      <c r="G424" s="30"/>
    </row>
    <row r="425" spans="1:9" ht="17.25" customHeight="1">
      <c r="A425" s="25"/>
      <c r="B425" s="22"/>
      <c r="C425" s="23"/>
      <c r="D425" s="23"/>
      <c r="E425" s="24"/>
      <c r="F425" s="17"/>
      <c r="G425" s="30"/>
      <c r="I425" s="1"/>
    </row>
    <row r="426" spans="1:7" ht="17.25" customHeight="1">
      <c r="A426" s="25"/>
      <c r="B426" s="18" t="s">
        <v>278</v>
      </c>
      <c r="C426" s="29">
        <f>SUM(C427:C440)</f>
        <v>2758.00211</v>
      </c>
      <c r="D426" s="29">
        <f>SUM(D427:D440)</f>
        <v>2758002.11</v>
      </c>
      <c r="E426" s="24"/>
      <c r="F426" s="17"/>
      <c r="G426" s="30"/>
    </row>
    <row r="427" spans="1:7" ht="17.25" customHeight="1">
      <c r="A427" s="25" t="s">
        <v>230</v>
      </c>
      <c r="B427" s="22" t="s">
        <v>356</v>
      </c>
      <c r="C427" s="37">
        <v>42</v>
      </c>
      <c r="D427" s="39">
        <v>42000</v>
      </c>
      <c r="E427" s="27">
        <v>33006</v>
      </c>
      <c r="F427" s="17" t="s">
        <v>455</v>
      </c>
      <c r="G427" s="30"/>
    </row>
    <row r="428" spans="1:7" ht="17.25" customHeight="1">
      <c r="A428" s="25" t="s">
        <v>288</v>
      </c>
      <c r="B428" s="22" t="s">
        <v>289</v>
      </c>
      <c r="C428" s="37">
        <v>115</v>
      </c>
      <c r="D428" s="39">
        <v>115000</v>
      </c>
      <c r="E428" s="27">
        <v>33006</v>
      </c>
      <c r="F428" s="17" t="s">
        <v>455</v>
      </c>
      <c r="G428" s="30"/>
    </row>
    <row r="429" spans="1:7" ht="17.25" customHeight="1">
      <c r="A429" s="25" t="s">
        <v>200</v>
      </c>
      <c r="B429" s="22" t="s">
        <v>456</v>
      </c>
      <c r="C429" s="37">
        <v>230</v>
      </c>
      <c r="D429" s="39">
        <v>230000</v>
      </c>
      <c r="E429" s="27">
        <v>33006</v>
      </c>
      <c r="F429" s="25" t="s">
        <v>455</v>
      </c>
      <c r="G429" s="30"/>
    </row>
    <row r="430" spans="1:7" ht="17.25" customHeight="1">
      <c r="A430" s="25" t="s">
        <v>291</v>
      </c>
      <c r="B430" s="22" t="s">
        <v>457</v>
      </c>
      <c r="C430" s="37">
        <v>58.8</v>
      </c>
      <c r="D430" s="37">
        <f>49980+8820</f>
        <v>58800</v>
      </c>
      <c r="E430" s="27">
        <v>33006</v>
      </c>
      <c r="F430" s="25" t="s">
        <v>455</v>
      </c>
      <c r="G430" s="30"/>
    </row>
    <row r="431" spans="1:7" ht="17.25" customHeight="1">
      <c r="A431" s="25" t="s">
        <v>295</v>
      </c>
      <c r="B431" s="22" t="s">
        <v>458</v>
      </c>
      <c r="C431" s="37">
        <v>99</v>
      </c>
      <c r="D431" s="39">
        <v>99000</v>
      </c>
      <c r="E431" s="27">
        <v>33006</v>
      </c>
      <c r="F431" s="25" t="s">
        <v>455</v>
      </c>
      <c r="G431" s="30"/>
    </row>
    <row r="432" spans="1:7" ht="17.25" customHeight="1">
      <c r="A432" s="25" t="s">
        <v>84</v>
      </c>
      <c r="B432" s="22" t="s">
        <v>328</v>
      </c>
      <c r="C432" s="37">
        <v>124.20211</v>
      </c>
      <c r="D432" s="39">
        <v>124202.11</v>
      </c>
      <c r="E432" s="27">
        <v>33006</v>
      </c>
      <c r="F432" s="17" t="s">
        <v>455</v>
      </c>
      <c r="G432" s="30"/>
    </row>
    <row r="433" spans="1:7" ht="17.25" customHeight="1">
      <c r="A433" s="25"/>
      <c r="B433" s="22" t="s">
        <v>459</v>
      </c>
      <c r="C433" s="37">
        <v>497</v>
      </c>
      <c r="D433" s="39">
        <v>497000</v>
      </c>
      <c r="E433" s="27">
        <v>551</v>
      </c>
      <c r="F433" s="17" t="s">
        <v>455</v>
      </c>
      <c r="G433" s="30"/>
    </row>
    <row r="434" spans="1:7" ht="17.25" customHeight="1">
      <c r="A434" s="25"/>
      <c r="B434" s="22" t="s">
        <v>460</v>
      </c>
      <c r="C434" s="37">
        <v>93</v>
      </c>
      <c r="D434" s="39">
        <v>93000</v>
      </c>
      <c r="E434" s="27">
        <v>551</v>
      </c>
      <c r="F434" s="17" t="s">
        <v>455</v>
      </c>
      <c r="G434" s="30"/>
    </row>
    <row r="435" spans="1:7" ht="17.25" customHeight="1">
      <c r="A435" s="25"/>
      <c r="B435" s="22" t="s">
        <v>461</v>
      </c>
      <c r="C435" s="37">
        <v>300</v>
      </c>
      <c r="D435" s="39">
        <v>300000</v>
      </c>
      <c r="E435" s="27">
        <v>342</v>
      </c>
      <c r="F435" s="17" t="s">
        <v>455</v>
      </c>
      <c r="G435" s="30"/>
    </row>
    <row r="436" spans="1:7" ht="17.25" customHeight="1">
      <c r="A436" s="25"/>
      <c r="B436" s="22" t="s">
        <v>462</v>
      </c>
      <c r="C436" s="37">
        <v>350</v>
      </c>
      <c r="D436" s="39">
        <v>350000</v>
      </c>
      <c r="E436" s="27">
        <v>551</v>
      </c>
      <c r="F436" s="17" t="s">
        <v>455</v>
      </c>
      <c r="G436" s="30"/>
    </row>
    <row r="437" spans="1:7" ht="17.25" customHeight="1">
      <c r="A437" s="25"/>
      <c r="B437" s="22" t="s">
        <v>463</v>
      </c>
      <c r="C437" s="37">
        <v>299</v>
      </c>
      <c r="D437" s="39">
        <v>299000</v>
      </c>
      <c r="E437" s="27">
        <v>551</v>
      </c>
      <c r="F437" s="17" t="s">
        <v>455</v>
      </c>
      <c r="G437" s="30"/>
    </row>
    <row r="438" spans="1:7" ht="17.25" customHeight="1">
      <c r="A438" s="25"/>
      <c r="B438" s="22" t="s">
        <v>464</v>
      </c>
      <c r="C438" s="37">
        <v>300</v>
      </c>
      <c r="D438" s="39">
        <v>300000</v>
      </c>
      <c r="E438" s="27">
        <v>311</v>
      </c>
      <c r="F438" s="17" t="s">
        <v>455</v>
      </c>
      <c r="G438" s="30"/>
    </row>
    <row r="439" spans="1:7" ht="17.25" customHeight="1">
      <c r="A439" s="25"/>
      <c r="B439" s="22" t="s">
        <v>465</v>
      </c>
      <c r="C439" s="37">
        <v>250</v>
      </c>
      <c r="D439" s="39">
        <v>250000</v>
      </c>
      <c r="E439" s="27">
        <v>331</v>
      </c>
      <c r="F439" s="17" t="s">
        <v>455</v>
      </c>
      <c r="G439" s="30"/>
    </row>
    <row r="440" spans="1:7" ht="17.25" customHeight="1">
      <c r="A440" s="25"/>
      <c r="B440" s="34"/>
      <c r="C440" s="37"/>
      <c r="D440" s="39"/>
      <c r="E440" s="27"/>
      <c r="F440" s="17"/>
      <c r="G440" s="30"/>
    </row>
    <row r="441" spans="1:7" ht="17.25" customHeight="1">
      <c r="A441" s="25"/>
      <c r="B441" s="18" t="s">
        <v>516</v>
      </c>
      <c r="C441" s="19">
        <f>+SUM(C442:C480)</f>
        <v>223453.63225000008</v>
      </c>
      <c r="D441" s="19">
        <f>+SUM(D442:D480)</f>
        <v>223453632.25</v>
      </c>
      <c r="E441" s="27"/>
      <c r="F441" s="17"/>
      <c r="G441" s="30"/>
    </row>
    <row r="442" spans="1:7" ht="17.25" customHeight="1">
      <c r="A442" s="25" t="s">
        <v>466</v>
      </c>
      <c r="B442" s="22" t="s">
        <v>467</v>
      </c>
      <c r="C442" s="37">
        <v>7608.17213</v>
      </c>
      <c r="D442" s="39">
        <v>7608172.13</v>
      </c>
      <c r="E442" s="27">
        <v>86505</v>
      </c>
      <c r="F442" s="25">
        <v>4223</v>
      </c>
      <c r="G442" s="30"/>
    </row>
    <row r="443" spans="1:7" ht="17.25" customHeight="1">
      <c r="A443" s="25" t="s">
        <v>466</v>
      </c>
      <c r="B443" s="22" t="s">
        <v>468</v>
      </c>
      <c r="C443" s="37">
        <v>671.30931</v>
      </c>
      <c r="D443" s="39">
        <v>671309.31</v>
      </c>
      <c r="E443" s="27">
        <v>86501</v>
      </c>
      <c r="F443" s="25">
        <v>4223</v>
      </c>
      <c r="G443" s="30"/>
    </row>
    <row r="444" spans="1:7" ht="17.25" customHeight="1">
      <c r="A444" s="25" t="s">
        <v>466</v>
      </c>
      <c r="B444" s="22" t="s">
        <v>469</v>
      </c>
      <c r="C444" s="37">
        <v>17604.93205</v>
      </c>
      <c r="D444" s="39">
        <v>17604932.05</v>
      </c>
      <c r="E444" s="27">
        <v>86505</v>
      </c>
      <c r="F444" s="25">
        <v>4223</v>
      </c>
      <c r="G444" s="30"/>
    </row>
    <row r="445" spans="1:7" ht="17.25" customHeight="1">
      <c r="A445" s="25" t="s">
        <v>466</v>
      </c>
      <c r="B445" s="22" t="s">
        <v>470</v>
      </c>
      <c r="C445" s="37">
        <v>1553.37637</v>
      </c>
      <c r="D445" s="39">
        <v>1553376.37</v>
      </c>
      <c r="E445" s="27">
        <v>86501</v>
      </c>
      <c r="F445" s="25">
        <v>4223</v>
      </c>
      <c r="G445" s="30"/>
    </row>
    <row r="446" spans="1:7" ht="17.25" customHeight="1">
      <c r="A446" s="25" t="s">
        <v>471</v>
      </c>
      <c r="B446" s="22" t="s">
        <v>472</v>
      </c>
      <c r="C446" s="37">
        <v>3821.31375</v>
      </c>
      <c r="D446" s="39">
        <v>3821313.75</v>
      </c>
      <c r="E446" s="27">
        <v>86505</v>
      </c>
      <c r="F446" s="25" t="s">
        <v>473</v>
      </c>
      <c r="G446" s="30"/>
    </row>
    <row r="447" spans="1:7" ht="17.25" customHeight="1">
      <c r="A447" s="25" t="s">
        <v>471</v>
      </c>
      <c r="B447" s="22" t="s">
        <v>474</v>
      </c>
      <c r="C447" s="37">
        <v>337.17474</v>
      </c>
      <c r="D447" s="39">
        <v>337174.74</v>
      </c>
      <c r="E447" s="27">
        <v>86501</v>
      </c>
      <c r="F447" s="17" t="s">
        <v>473</v>
      </c>
      <c r="G447" s="30"/>
    </row>
    <row r="448" spans="1:7" ht="17.25" customHeight="1">
      <c r="A448" s="25" t="s">
        <v>251</v>
      </c>
      <c r="B448" s="22" t="s">
        <v>475</v>
      </c>
      <c r="C448" s="37">
        <v>3619.68845</v>
      </c>
      <c r="D448" s="39">
        <v>3619688.45</v>
      </c>
      <c r="E448" s="27">
        <v>86505</v>
      </c>
      <c r="F448" s="17" t="s">
        <v>473</v>
      </c>
      <c r="G448" s="30"/>
    </row>
    <row r="449" spans="1:7" ht="17.25" customHeight="1">
      <c r="A449" s="25" t="s">
        <v>251</v>
      </c>
      <c r="B449" s="22" t="s">
        <v>476</v>
      </c>
      <c r="C449" s="37">
        <v>319.38427</v>
      </c>
      <c r="D449" s="39">
        <v>319384.27</v>
      </c>
      <c r="E449" s="27">
        <v>86501</v>
      </c>
      <c r="F449" s="17" t="s">
        <v>473</v>
      </c>
      <c r="G449" s="30"/>
    </row>
    <row r="450" spans="1:7" ht="17.25" customHeight="1">
      <c r="A450" s="25" t="s">
        <v>407</v>
      </c>
      <c r="B450" s="22" t="s">
        <v>477</v>
      </c>
      <c r="C450" s="37">
        <v>3405.95698</v>
      </c>
      <c r="D450" s="39">
        <v>3405956.98</v>
      </c>
      <c r="E450" s="27">
        <v>86505</v>
      </c>
      <c r="F450" s="17" t="s">
        <v>473</v>
      </c>
      <c r="G450" s="30"/>
    </row>
    <row r="451" spans="1:7" ht="17.25" customHeight="1">
      <c r="A451" s="25" t="s">
        <v>407</v>
      </c>
      <c r="B451" s="22" t="s">
        <v>478</v>
      </c>
      <c r="C451" s="37">
        <v>300.52562</v>
      </c>
      <c r="D451" s="39">
        <v>300525.62</v>
      </c>
      <c r="E451" s="27">
        <v>86501</v>
      </c>
      <c r="F451" s="17" t="s">
        <v>473</v>
      </c>
      <c r="G451" s="30"/>
    </row>
    <row r="452" spans="1:7" ht="17.25" customHeight="1">
      <c r="A452" s="25" t="s">
        <v>31</v>
      </c>
      <c r="B452" s="22" t="s">
        <v>479</v>
      </c>
      <c r="C452" s="37">
        <v>11765.91162</v>
      </c>
      <c r="D452" s="39">
        <v>11765911.62</v>
      </c>
      <c r="E452" s="27">
        <v>86505</v>
      </c>
      <c r="F452" s="17" t="s">
        <v>473</v>
      </c>
      <c r="G452" s="30"/>
    </row>
    <row r="453" spans="1:7" ht="17.25" customHeight="1">
      <c r="A453" s="25" t="s">
        <v>31</v>
      </c>
      <c r="B453" s="22" t="s">
        <v>480</v>
      </c>
      <c r="C453" s="37">
        <v>1038.16868</v>
      </c>
      <c r="D453" s="39">
        <v>1038168.68</v>
      </c>
      <c r="E453" s="27">
        <v>86501</v>
      </c>
      <c r="F453" s="17" t="s">
        <v>473</v>
      </c>
      <c r="G453" s="30"/>
    </row>
    <row r="454" spans="1:7" ht="17.25" customHeight="1">
      <c r="A454" s="25" t="s">
        <v>31</v>
      </c>
      <c r="B454" s="22" t="s">
        <v>481</v>
      </c>
      <c r="C454" s="37">
        <v>54452.08373</v>
      </c>
      <c r="D454" s="39">
        <v>54452083.73</v>
      </c>
      <c r="E454" s="27">
        <v>86505</v>
      </c>
      <c r="F454" s="17" t="s">
        <v>473</v>
      </c>
      <c r="G454" s="30"/>
    </row>
    <row r="455" spans="1:7" ht="17.25" customHeight="1">
      <c r="A455" s="25" t="s">
        <v>31</v>
      </c>
      <c r="B455" s="22" t="s">
        <v>482</v>
      </c>
      <c r="C455" s="37">
        <v>4804.59562</v>
      </c>
      <c r="D455" s="39">
        <v>4804595.62</v>
      </c>
      <c r="E455" s="27">
        <v>86501</v>
      </c>
      <c r="F455" s="17" t="s">
        <v>473</v>
      </c>
      <c r="G455" s="30"/>
    </row>
    <row r="456" spans="1:7" ht="17.25" customHeight="1">
      <c r="A456" s="53">
        <v>40725</v>
      </c>
      <c r="B456" s="22" t="s">
        <v>483</v>
      </c>
      <c r="C456" s="37">
        <v>2306.85694</v>
      </c>
      <c r="D456" s="39">
        <v>2306856.94</v>
      </c>
      <c r="E456" s="27">
        <v>86505</v>
      </c>
      <c r="F456" s="17" t="s">
        <v>473</v>
      </c>
      <c r="G456" s="30"/>
    </row>
    <row r="457" spans="1:7" ht="17.25" customHeight="1">
      <c r="A457" s="53">
        <v>40725</v>
      </c>
      <c r="B457" s="22" t="s">
        <v>484</v>
      </c>
      <c r="C457" s="37">
        <v>203.5462</v>
      </c>
      <c r="D457" s="39">
        <v>203546.2</v>
      </c>
      <c r="E457" s="27">
        <v>86501</v>
      </c>
      <c r="F457" s="17" t="s">
        <v>473</v>
      </c>
      <c r="G457" s="30"/>
    </row>
    <row r="458" spans="1:7" ht="17.25" customHeight="1">
      <c r="A458" s="53">
        <v>40725</v>
      </c>
      <c r="B458" s="22" t="s">
        <v>485</v>
      </c>
      <c r="C458" s="37">
        <v>3878.6235</v>
      </c>
      <c r="D458" s="39">
        <v>3878623.5</v>
      </c>
      <c r="E458" s="27">
        <v>86505</v>
      </c>
      <c r="F458" s="17" t="s">
        <v>473</v>
      </c>
      <c r="G458" s="30"/>
    </row>
    <row r="459" spans="1:7" ht="17.25" customHeight="1">
      <c r="A459" s="53">
        <v>40725</v>
      </c>
      <c r="B459" s="22" t="s">
        <v>486</v>
      </c>
      <c r="C459" s="37">
        <v>342.2315</v>
      </c>
      <c r="D459" s="39">
        <v>342231.5</v>
      </c>
      <c r="E459" s="27">
        <v>86501</v>
      </c>
      <c r="F459" s="17" t="s">
        <v>473</v>
      </c>
      <c r="G459" s="30"/>
    </row>
    <row r="460" spans="1:7" ht="17.25" customHeight="1">
      <c r="A460" s="25" t="s">
        <v>161</v>
      </c>
      <c r="B460" s="22" t="s">
        <v>487</v>
      </c>
      <c r="C460" s="37">
        <v>7292.61378</v>
      </c>
      <c r="D460" s="39">
        <v>7292613.78</v>
      </c>
      <c r="E460" s="27">
        <v>86505</v>
      </c>
      <c r="F460" s="17" t="s">
        <v>473</v>
      </c>
      <c r="G460" s="30"/>
    </row>
    <row r="461" spans="1:7" ht="17.25" customHeight="1">
      <c r="A461" s="25" t="s">
        <v>161</v>
      </c>
      <c r="B461" s="22" t="s">
        <v>488</v>
      </c>
      <c r="C461" s="37">
        <v>643.46593</v>
      </c>
      <c r="D461" s="39">
        <v>643465.93</v>
      </c>
      <c r="E461" s="27">
        <v>86501</v>
      </c>
      <c r="F461" s="17" t="s">
        <v>473</v>
      </c>
      <c r="G461" s="30"/>
    </row>
    <row r="462" spans="1:7" ht="17.25" customHeight="1">
      <c r="A462" s="25" t="s">
        <v>164</v>
      </c>
      <c r="B462" s="22" t="s">
        <v>489</v>
      </c>
      <c r="C462" s="37">
        <v>7484.4673</v>
      </c>
      <c r="D462" s="39">
        <v>7484467.3</v>
      </c>
      <c r="E462" s="27">
        <v>86505</v>
      </c>
      <c r="F462" s="17" t="s">
        <v>473</v>
      </c>
      <c r="G462" s="30"/>
    </row>
    <row r="463" spans="1:7" ht="17.25" customHeight="1">
      <c r="A463" s="25" t="s">
        <v>164</v>
      </c>
      <c r="B463" s="22" t="s">
        <v>490</v>
      </c>
      <c r="C463" s="37">
        <v>660.39417</v>
      </c>
      <c r="D463" s="39">
        <v>660394.17</v>
      </c>
      <c r="E463" s="27">
        <v>86501</v>
      </c>
      <c r="F463" s="17" t="s">
        <v>473</v>
      </c>
      <c r="G463" s="30"/>
    </row>
    <row r="464" spans="1:7" ht="17.25" customHeight="1">
      <c r="A464" s="25" t="s">
        <v>491</v>
      </c>
      <c r="B464" s="22" t="s">
        <v>475</v>
      </c>
      <c r="C464" s="37">
        <v>4937.23516</v>
      </c>
      <c r="D464" s="39">
        <v>4937235.16</v>
      </c>
      <c r="E464" s="27">
        <v>86505</v>
      </c>
      <c r="F464" s="17" t="s">
        <v>473</v>
      </c>
      <c r="G464" s="30"/>
    </row>
    <row r="465" spans="1:7" ht="17.25" customHeight="1">
      <c r="A465" s="25" t="s">
        <v>491</v>
      </c>
      <c r="B465" s="22" t="s">
        <v>476</v>
      </c>
      <c r="C465" s="37">
        <v>435.6384</v>
      </c>
      <c r="D465" s="39">
        <v>435638.4</v>
      </c>
      <c r="E465" s="27">
        <v>86501</v>
      </c>
      <c r="F465" s="17" t="s">
        <v>473</v>
      </c>
      <c r="G465" s="30"/>
    </row>
    <row r="466" spans="1:7" ht="17.25" customHeight="1">
      <c r="A466" s="25" t="s">
        <v>491</v>
      </c>
      <c r="B466" s="22" t="s">
        <v>492</v>
      </c>
      <c r="C466" s="37">
        <v>2633.74841</v>
      </c>
      <c r="D466" s="39">
        <v>2633748.41</v>
      </c>
      <c r="E466" s="27">
        <v>86505</v>
      </c>
      <c r="F466" s="17" t="s">
        <v>473</v>
      </c>
      <c r="G466" s="30"/>
    </row>
    <row r="467" spans="1:7" ht="17.25" customHeight="1">
      <c r="A467" s="25" t="s">
        <v>491</v>
      </c>
      <c r="B467" s="22" t="s">
        <v>493</v>
      </c>
      <c r="C467" s="37">
        <v>232.38956</v>
      </c>
      <c r="D467" s="39">
        <v>232389.56</v>
      </c>
      <c r="E467" s="27">
        <v>86501</v>
      </c>
      <c r="F467" s="17" t="s">
        <v>473</v>
      </c>
      <c r="G467" s="30"/>
    </row>
    <row r="468" spans="1:7" ht="17.25" customHeight="1">
      <c r="A468" s="25" t="s">
        <v>436</v>
      </c>
      <c r="B468" s="22" t="s">
        <v>494</v>
      </c>
      <c r="C468" s="37">
        <v>9416.12247</v>
      </c>
      <c r="D468" s="39">
        <v>9416122.47</v>
      </c>
      <c r="E468" s="27">
        <v>86505</v>
      </c>
      <c r="F468" s="17" t="s">
        <v>473</v>
      </c>
      <c r="G468" s="30"/>
    </row>
    <row r="469" spans="1:7" ht="17.25" customHeight="1">
      <c r="A469" s="25" t="s">
        <v>436</v>
      </c>
      <c r="B469" s="22" t="s">
        <v>495</v>
      </c>
      <c r="C469" s="37">
        <v>830.83433</v>
      </c>
      <c r="D469" s="39">
        <v>830834.33</v>
      </c>
      <c r="E469" s="27">
        <v>86501</v>
      </c>
      <c r="F469" s="17" t="s">
        <v>473</v>
      </c>
      <c r="G469" s="30"/>
    </row>
    <row r="470" spans="1:7" ht="17.25" customHeight="1">
      <c r="A470" s="25" t="s">
        <v>436</v>
      </c>
      <c r="B470" s="22" t="s">
        <v>496</v>
      </c>
      <c r="C470" s="37">
        <v>27399.99026</v>
      </c>
      <c r="D470" s="39">
        <v>27399990.26</v>
      </c>
      <c r="E470" s="27">
        <v>86505</v>
      </c>
      <c r="F470" s="17" t="s">
        <v>473</v>
      </c>
      <c r="G470" s="30"/>
    </row>
    <row r="471" spans="1:7" ht="17.25" customHeight="1">
      <c r="A471" s="25" t="s">
        <v>497</v>
      </c>
      <c r="B471" s="22" t="s">
        <v>498</v>
      </c>
      <c r="C471" s="37">
        <v>12792.57517</v>
      </c>
      <c r="D471" s="39">
        <v>12792575.17</v>
      </c>
      <c r="E471" s="27">
        <v>86505</v>
      </c>
      <c r="F471" s="17" t="s">
        <v>473</v>
      </c>
      <c r="G471" s="30"/>
    </row>
    <row r="472" spans="1:7" ht="17.25" customHeight="1">
      <c r="A472" s="25" t="s">
        <v>497</v>
      </c>
      <c r="B472" s="22" t="s">
        <v>499</v>
      </c>
      <c r="C472" s="37">
        <v>1128.75664</v>
      </c>
      <c r="D472" s="39">
        <v>1128756.64</v>
      </c>
      <c r="E472" s="27">
        <v>86501</v>
      </c>
      <c r="F472" s="17" t="s">
        <v>473</v>
      </c>
      <c r="G472" s="30"/>
    </row>
    <row r="473" spans="1:7" ht="17.25" customHeight="1">
      <c r="A473" s="25" t="s">
        <v>497</v>
      </c>
      <c r="B473" s="22" t="s">
        <v>487</v>
      </c>
      <c r="C473" s="37">
        <v>7669.9351</v>
      </c>
      <c r="D473" s="39">
        <v>7669935.1</v>
      </c>
      <c r="E473" s="27">
        <v>86505</v>
      </c>
      <c r="F473" s="17" t="s">
        <v>473</v>
      </c>
      <c r="G473" s="30"/>
    </row>
    <row r="474" spans="1:7" ht="17.25" customHeight="1">
      <c r="A474" s="25" t="s">
        <v>497</v>
      </c>
      <c r="B474" s="22" t="s">
        <v>488</v>
      </c>
      <c r="C474" s="37">
        <v>676.75898</v>
      </c>
      <c r="D474" s="39">
        <v>676758.98</v>
      </c>
      <c r="E474" s="27">
        <v>86501</v>
      </c>
      <c r="F474" s="17" t="s">
        <v>473</v>
      </c>
      <c r="G474" s="30"/>
    </row>
    <row r="475" spans="1:7" ht="17.25" customHeight="1">
      <c r="A475" s="25" t="s">
        <v>362</v>
      </c>
      <c r="B475" s="22" t="s">
        <v>500</v>
      </c>
      <c r="C475" s="37">
        <v>3770.87025</v>
      </c>
      <c r="D475" s="39">
        <v>3770870.25</v>
      </c>
      <c r="E475" s="27">
        <v>86505</v>
      </c>
      <c r="F475" s="17">
        <v>4223</v>
      </c>
      <c r="G475" s="30"/>
    </row>
    <row r="476" spans="1:7" ht="17.25" customHeight="1">
      <c r="A476" s="25" t="s">
        <v>362</v>
      </c>
      <c r="B476" s="22" t="s">
        <v>501</v>
      </c>
      <c r="C476" s="37">
        <v>332.72385</v>
      </c>
      <c r="D476" s="39">
        <v>332723.85</v>
      </c>
      <c r="E476" s="27">
        <v>86501</v>
      </c>
      <c r="F476" s="17">
        <v>4223</v>
      </c>
      <c r="G476" s="30"/>
    </row>
    <row r="477" spans="1:7" ht="17.25" customHeight="1">
      <c r="A477" s="25" t="s">
        <v>362</v>
      </c>
      <c r="B477" s="22" t="s">
        <v>502</v>
      </c>
      <c r="C477" s="37">
        <v>13233.49549</v>
      </c>
      <c r="D477" s="39">
        <v>13233495.49</v>
      </c>
      <c r="E477" s="27">
        <v>86505</v>
      </c>
      <c r="F477" s="17">
        <v>4223</v>
      </c>
      <c r="G477" s="30"/>
    </row>
    <row r="478" spans="1:7" ht="17.25" customHeight="1">
      <c r="A478" s="25" t="s">
        <v>362</v>
      </c>
      <c r="B478" s="22" t="s">
        <v>503</v>
      </c>
      <c r="C478" s="37">
        <v>1167.66137</v>
      </c>
      <c r="D478" s="39">
        <v>1167661.37</v>
      </c>
      <c r="E478" s="27">
        <v>86501</v>
      </c>
      <c r="F478" s="17">
        <v>4223</v>
      </c>
      <c r="G478" s="30"/>
    </row>
    <row r="479" spans="1:7" ht="17.25" customHeight="1">
      <c r="A479" s="25" t="s">
        <v>366</v>
      </c>
      <c r="B479" s="22" t="s">
        <v>504</v>
      </c>
      <c r="C479" s="37">
        <v>2462.79843</v>
      </c>
      <c r="D479" s="39">
        <v>2462798.43</v>
      </c>
      <c r="E479" s="27">
        <v>86505</v>
      </c>
      <c r="F479" s="17">
        <v>4223</v>
      </c>
      <c r="G479" s="30"/>
    </row>
    <row r="480" spans="1:7" ht="17.25" customHeight="1">
      <c r="A480" s="25" t="s">
        <v>366</v>
      </c>
      <c r="B480" s="22" t="s">
        <v>505</v>
      </c>
      <c r="C480" s="37">
        <v>217.30574</v>
      </c>
      <c r="D480" s="39">
        <v>217305.74</v>
      </c>
      <c r="E480" s="27">
        <v>86501</v>
      </c>
      <c r="F480" s="17">
        <v>4223</v>
      </c>
      <c r="G480" s="30"/>
    </row>
    <row r="481" spans="1:7" ht="17.25" customHeight="1">
      <c r="A481" s="25"/>
      <c r="B481" s="22"/>
      <c r="C481" s="37"/>
      <c r="D481" s="39"/>
      <c r="E481" s="27"/>
      <c r="F481" s="17"/>
      <c r="G481" s="30"/>
    </row>
    <row r="482" spans="1:7" ht="17.25" customHeight="1">
      <c r="A482" s="25"/>
      <c r="B482" s="18" t="s">
        <v>506</v>
      </c>
      <c r="C482" s="19">
        <f>+C483</f>
        <v>351</v>
      </c>
      <c r="D482" s="26">
        <f>+D483</f>
        <v>350219.65</v>
      </c>
      <c r="E482" s="27"/>
      <c r="F482" s="17"/>
      <c r="G482" s="30"/>
    </row>
    <row r="483" spans="1:7" ht="17.25" customHeight="1">
      <c r="A483" s="25"/>
      <c r="B483" s="22" t="s">
        <v>507</v>
      </c>
      <c r="C483" s="37">
        <v>351</v>
      </c>
      <c r="D483" s="39">
        <v>350219.65</v>
      </c>
      <c r="E483" s="27"/>
      <c r="F483" s="17" t="s">
        <v>508</v>
      </c>
      <c r="G483" s="30"/>
    </row>
    <row r="484" spans="1:7" ht="17.25" customHeight="1">
      <c r="A484" s="25"/>
      <c r="B484" s="54"/>
      <c r="C484" s="37"/>
      <c r="D484" s="39"/>
      <c r="E484" s="27"/>
      <c r="F484" s="17"/>
      <c r="G484" s="30"/>
    </row>
    <row r="485" spans="1:6" ht="17.25" customHeight="1">
      <c r="A485" s="25"/>
      <c r="B485" s="43" t="s">
        <v>509</v>
      </c>
      <c r="C485" s="26">
        <f>+C426+C422+C395+C417+C406+C441+C482+C403</f>
        <v>392806.59715000005</v>
      </c>
      <c r="D485" s="26">
        <f>+D426+D422+D395+D417+D406+D441+D482+D403</f>
        <v>385900981.79999995</v>
      </c>
      <c r="E485" s="46"/>
      <c r="F485" s="27"/>
    </row>
    <row r="486" spans="1:7" ht="17.25" customHeight="1" thickBot="1">
      <c r="A486" s="47"/>
      <c r="B486" s="48"/>
      <c r="C486" s="49"/>
      <c r="D486" s="49"/>
      <c r="E486" s="48"/>
      <c r="F486" s="48"/>
      <c r="G486" s="55"/>
    </row>
    <row r="488" spans="1:6" ht="16.5" thickBot="1">
      <c r="A488" s="56"/>
      <c r="B488" s="9"/>
      <c r="C488" s="57"/>
      <c r="D488" s="57"/>
      <c r="E488" s="58"/>
      <c r="F488" s="58"/>
    </row>
    <row r="489" spans="1:6" ht="17.25" customHeight="1">
      <c r="A489" s="59"/>
      <c r="B489" s="60"/>
      <c r="C489" s="61"/>
      <c r="D489" s="14"/>
      <c r="E489" s="62"/>
      <c r="F489" s="58"/>
    </row>
    <row r="490" spans="1:6" ht="17.25" customHeight="1" thickBot="1">
      <c r="A490" s="59"/>
      <c r="B490" s="15" t="s">
        <v>510</v>
      </c>
      <c r="C490" s="16" t="s">
        <v>3</v>
      </c>
      <c r="D490" s="16" t="s">
        <v>4</v>
      </c>
      <c r="E490" s="62"/>
      <c r="F490" s="58"/>
    </row>
    <row r="491" spans="1:6" ht="17.25" customHeight="1">
      <c r="A491" s="59"/>
      <c r="B491" s="63"/>
      <c r="C491" s="64"/>
      <c r="D491" s="65"/>
      <c r="E491" s="62"/>
      <c r="F491" s="58"/>
    </row>
    <row r="492" spans="1:6" ht="17.25" customHeight="1">
      <c r="A492" s="66"/>
      <c r="B492" s="67" t="s">
        <v>511</v>
      </c>
      <c r="C492" s="68">
        <f>+C389</f>
        <v>1214423.91705</v>
      </c>
      <c r="D492" s="39">
        <f>+D389</f>
        <v>1209710715.71</v>
      </c>
      <c r="E492" s="55"/>
      <c r="F492" s="58"/>
    </row>
    <row r="493" spans="1:6" ht="17.25" customHeight="1">
      <c r="A493" s="66"/>
      <c r="B493" s="67" t="s">
        <v>512</v>
      </c>
      <c r="C493" s="68">
        <f>+C485</f>
        <v>392806.59715000005</v>
      </c>
      <c r="D493" s="39">
        <f>+D485</f>
        <v>385900981.79999995</v>
      </c>
      <c r="E493" s="69"/>
      <c r="F493" s="58"/>
    </row>
    <row r="494" spans="1:6" ht="15.75">
      <c r="A494" s="66"/>
      <c r="B494" s="67"/>
      <c r="C494" s="68"/>
      <c r="D494" s="39"/>
      <c r="E494" s="69"/>
      <c r="F494" s="58"/>
    </row>
    <row r="495" spans="1:6" ht="17.25" customHeight="1">
      <c r="A495" s="66"/>
      <c r="B495" s="70" t="s">
        <v>513</v>
      </c>
      <c r="C495" s="71">
        <f>+C492+C493</f>
        <v>1607230.5142</v>
      </c>
      <c r="D495" s="26">
        <f>SUM(D492:D493)</f>
        <v>1595611697.51</v>
      </c>
      <c r="E495" s="69"/>
      <c r="F495" s="72"/>
    </row>
    <row r="496" spans="1:29" ht="17.25" customHeight="1" thickBot="1">
      <c r="A496" s="66"/>
      <c r="B496" s="73"/>
      <c r="C496" s="74"/>
      <c r="D496" s="49"/>
      <c r="E496" s="75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 spans="5:29" ht="15.75">
      <c r="E497" s="76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 spans="5:29" ht="15.75">
      <c r="E498" s="76"/>
      <c r="F498" s="58"/>
      <c r="G498" s="72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 spans="5:29" ht="1.5" customHeight="1">
      <c r="E499" s="76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 spans="5:29" ht="15.75">
      <c r="E500" s="76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 spans="5:29" ht="15.75">
      <c r="E501" s="76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 spans="5:29" ht="15.75">
      <c r="E502" s="76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 spans="5:29" ht="15.75">
      <c r="E503" s="76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 spans="5:29" ht="15.75">
      <c r="E504" s="76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 spans="5:29" ht="15.75">
      <c r="E505" s="76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 spans="5:29" ht="15.75">
      <c r="E506" s="76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</sheetData>
  <mergeCells count="2">
    <mergeCell ref="A1:F1"/>
    <mergeCell ref="A2:F2"/>
  </mergeCells>
  <printOptions/>
  <pageMargins left="0.75" right="0.67" top="0.62" bottom="0.74" header="0.4921259845" footer="0.4921259845"/>
  <pageSetup fitToHeight="6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hujnakov</dc:creator>
  <cp:keywords/>
  <dc:description/>
  <cp:lastModifiedBy>trnecka</cp:lastModifiedBy>
  <cp:lastPrinted>2012-04-13T05:29:11Z</cp:lastPrinted>
  <dcterms:created xsi:type="dcterms:W3CDTF">2012-02-20T14:44:20Z</dcterms:created>
  <dcterms:modified xsi:type="dcterms:W3CDTF">2012-04-13T05:29:14Z</dcterms:modified>
  <cp:category/>
  <cp:version/>
  <cp:contentType/>
  <cp:contentStatus/>
</cp:coreProperties>
</file>