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195" windowHeight="8700"/>
  </bookViews>
  <sheets>
    <sheet name="VHČ 2012 (v tis.Kč)" sheetId="3" r:id="rId1"/>
    <sheet name="VHČ 2012 (v Kč)" sheetId="4" r:id="rId2"/>
  </sheets>
  <definedNames>
    <definedName name="_xlnm.Print_Titles" localSheetId="1">'VHČ 2012 (v Kč)'!$A:$C</definedName>
    <definedName name="_xlnm.Print_Titles" localSheetId="0">'VHČ 2012 (v tis.Kč)'!$A:$C</definedName>
    <definedName name="_xlnm.Print_Area" localSheetId="1">'VHČ 2012 (v Kč)'!$A$1:$AC$32</definedName>
    <definedName name="_xlnm.Print_Area" localSheetId="0">'VHČ 2012 (v tis.Kč)'!$A$1:$AC$29</definedName>
  </definedNames>
  <calcPr calcId="125725"/>
</workbook>
</file>

<file path=xl/calcChain.xml><?xml version="1.0" encoding="utf-8"?>
<calcChain xmlns="http://schemas.openxmlformats.org/spreadsheetml/2006/main">
  <c r="H29" i="3"/>
  <c r="AA31" i="4"/>
  <c r="U31"/>
  <c r="U30"/>
  <c r="E5" i="3"/>
  <c r="M24"/>
  <c r="X15"/>
  <c r="X13"/>
  <c r="AC13"/>
  <c r="V15"/>
  <c r="Q14"/>
  <c r="J14"/>
  <c r="J5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I24"/>
  <c r="J24"/>
  <c r="K24"/>
  <c r="L24"/>
  <c r="N24"/>
  <c r="O24"/>
  <c r="P24"/>
  <c r="Q24"/>
  <c r="R24"/>
  <c r="S24"/>
  <c r="T24"/>
  <c r="U24"/>
  <c r="V24"/>
  <c r="W24"/>
  <c r="X24"/>
  <c r="Y24"/>
  <c r="Z24"/>
  <c r="AA24"/>
  <c r="AB24"/>
  <c r="AC24"/>
  <c r="H24"/>
  <c r="I13"/>
  <c r="J13"/>
  <c r="K13"/>
  <c r="L13"/>
  <c r="M13"/>
  <c r="N13"/>
  <c r="O13"/>
  <c r="P13"/>
  <c r="R13"/>
  <c r="S13"/>
  <c r="T13"/>
  <c r="U13"/>
  <c r="V13"/>
  <c r="W13"/>
  <c r="Y13"/>
  <c r="AA13"/>
  <c r="AB13"/>
  <c r="I14"/>
  <c r="K14"/>
  <c r="L14"/>
  <c r="M14"/>
  <c r="N14"/>
  <c r="O14"/>
  <c r="P14"/>
  <c r="R14"/>
  <c r="S14"/>
  <c r="T14"/>
  <c r="U14"/>
  <c r="V14"/>
  <c r="W14"/>
  <c r="X14"/>
  <c r="Y14"/>
  <c r="Z14"/>
  <c r="AA14"/>
  <c r="AB14"/>
  <c r="AC14"/>
  <c r="I15"/>
  <c r="J15"/>
  <c r="K15"/>
  <c r="L15"/>
  <c r="M15"/>
  <c r="N15"/>
  <c r="O15"/>
  <c r="P15"/>
  <c r="Q15"/>
  <c r="R15"/>
  <c r="S15"/>
  <c r="T15"/>
  <c r="U15"/>
  <c r="W15"/>
  <c r="Y15"/>
  <c r="Z15"/>
  <c r="AA15"/>
  <c r="AB15"/>
  <c r="AC15"/>
  <c r="J16"/>
  <c r="L16"/>
  <c r="M16"/>
  <c r="Q16"/>
  <c r="S16"/>
  <c r="U16"/>
  <c r="V16"/>
  <c r="Y16"/>
  <c r="AA16"/>
  <c r="AC16"/>
  <c r="J17"/>
  <c r="K17"/>
  <c r="L17"/>
  <c r="R17"/>
  <c r="V17"/>
  <c r="X17"/>
  <c r="AC17"/>
  <c r="I18"/>
  <c r="J18"/>
  <c r="K18"/>
  <c r="L18"/>
  <c r="N18"/>
  <c r="O18"/>
  <c r="Q18"/>
  <c r="R18"/>
  <c r="T18"/>
  <c r="U18"/>
  <c r="V18"/>
  <c r="W18"/>
  <c r="X18"/>
  <c r="Y18"/>
  <c r="AA18"/>
  <c r="AC18"/>
  <c r="H14"/>
  <c r="G14" s="1"/>
  <c r="D14" s="1"/>
  <c r="H15"/>
  <c r="H16"/>
  <c r="H17"/>
  <c r="H18"/>
  <c r="H13"/>
  <c r="K5"/>
  <c r="U5"/>
  <c r="AA5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L8"/>
  <c r="G8" s="1"/>
  <c r="D8" s="1"/>
  <c r="AA8"/>
  <c r="H6"/>
  <c r="H8"/>
  <c r="H5"/>
  <c r="I19" i="4"/>
  <c r="I19" i="3" s="1"/>
  <c r="AC20" i="4"/>
  <c r="AC19" s="1"/>
  <c r="AC19" i="3" s="1"/>
  <c r="AC20" s="1"/>
  <c r="AB20" i="4"/>
  <c r="AB19"/>
  <c r="AB22"/>
  <c r="AB26"/>
  <c r="AA20"/>
  <c r="AA19"/>
  <c r="AA19" i="3" s="1"/>
  <c r="AA20" s="1"/>
  <c r="Z20" i="4"/>
  <c r="Z19" s="1"/>
  <c r="Z19" i="3" s="1"/>
  <c r="E9" i="4"/>
  <c r="E7"/>
  <c r="E5"/>
  <c r="F19"/>
  <c r="F16"/>
  <c r="F13"/>
  <c r="Y20"/>
  <c r="Y19" s="1"/>
  <c r="Y19" i="3" s="1"/>
  <c r="Y20" s="1"/>
  <c r="X20" i="4"/>
  <c r="X19"/>
  <c r="X19" i="3" s="1"/>
  <c r="X20" s="1"/>
  <c r="W20" i="4"/>
  <c r="W19" s="1"/>
  <c r="W19" i="3" s="1"/>
  <c r="W20" s="1"/>
  <c r="V20" i="4"/>
  <c r="V19"/>
  <c r="V19" i="3" s="1"/>
  <c r="U20" i="4"/>
  <c r="U19" s="1"/>
  <c r="U19" i="3" s="1"/>
  <c r="U20" s="1"/>
  <c r="T20" i="4"/>
  <c r="T19"/>
  <c r="T19" i="3" s="1"/>
  <c r="T20" s="1"/>
  <c r="S20" i="4"/>
  <c r="S19" s="1"/>
  <c r="S19" i="3" s="1"/>
  <c r="R20" i="4"/>
  <c r="R19"/>
  <c r="R19" i="3" s="1"/>
  <c r="Q20" i="4"/>
  <c r="Q19" s="1"/>
  <c r="Q19" i="3" s="1"/>
  <c r="Q20" s="1"/>
  <c r="P20" i="4"/>
  <c r="P19"/>
  <c r="P19" i="3" s="1"/>
  <c r="P20" s="1"/>
  <c r="O20" i="4"/>
  <c r="O19" s="1"/>
  <c r="O19" i="3" s="1"/>
  <c r="O20" s="1"/>
  <c r="N20" i="4"/>
  <c r="N19"/>
  <c r="N19" i="3" s="1"/>
  <c r="M20" i="4"/>
  <c r="M19" s="1"/>
  <c r="M19" i="3" s="1"/>
  <c r="M20" s="1"/>
  <c r="L20" i="4"/>
  <c r="L19"/>
  <c r="L19" i="3" s="1"/>
  <c r="L20" s="1"/>
  <c r="K16" i="4"/>
  <c r="K16" i="3" s="1"/>
  <c r="K20" i="4"/>
  <c r="K19" s="1"/>
  <c r="J20"/>
  <c r="J19"/>
  <c r="H19"/>
  <c r="H19" i="3"/>
  <c r="F16"/>
  <c r="F19"/>
  <c r="F20" s="1"/>
  <c r="F22" s="1"/>
  <c r="F26" s="1"/>
  <c r="F13"/>
  <c r="D7"/>
  <c r="E9"/>
  <c r="E10"/>
  <c r="G32" i="4"/>
  <c r="D32"/>
  <c r="G30"/>
  <c r="D30" s="1"/>
  <c r="G31"/>
  <c r="D31" s="1"/>
  <c r="G15"/>
  <c r="D15"/>
  <c r="AC9"/>
  <c r="AC9" i="3"/>
  <c r="AB9" i="4"/>
  <c r="AB9" i="3"/>
  <c r="AA9" i="4"/>
  <c r="AA9" i="3"/>
  <c r="Z9" i="4"/>
  <c r="Z9" i="3"/>
  <c r="Y9" i="4"/>
  <c r="Y9" i="3"/>
  <c r="Y10" s="1"/>
  <c r="X9" i="4"/>
  <c r="X9" i="3"/>
  <c r="X10" s="1"/>
  <c r="X22" s="1"/>
  <c r="X26" s="1"/>
  <c r="W9" i="4"/>
  <c r="W9" i="3"/>
  <c r="W10" s="1"/>
  <c r="V9" i="4"/>
  <c r="V9" i="3"/>
  <c r="U9" i="4"/>
  <c r="U9" i="3"/>
  <c r="T9" i="4"/>
  <c r="T9" i="3"/>
  <c r="S9" i="4"/>
  <c r="S9" i="3"/>
  <c r="S10" s="1"/>
  <c r="R9" i="4"/>
  <c r="R9" i="3"/>
  <c r="Q9" i="4"/>
  <c r="Q9" i="3"/>
  <c r="P9" i="4"/>
  <c r="P9" i="3"/>
  <c r="P10" s="1"/>
  <c r="P22" s="1"/>
  <c r="P26" s="1"/>
  <c r="O9" i="4"/>
  <c r="O9" i="3"/>
  <c r="O10" s="1"/>
  <c r="N9" i="4"/>
  <c r="N9" i="3"/>
  <c r="M9" i="4"/>
  <c r="M9" i="3"/>
  <c r="M10" s="1"/>
  <c r="M22" s="1"/>
  <c r="M26" s="1"/>
  <c r="L9" i="4"/>
  <c r="L9" i="3"/>
  <c r="K9" i="4"/>
  <c r="K9" i="3"/>
  <c r="J9" i="4"/>
  <c r="J9" i="3"/>
  <c r="I9" i="4"/>
  <c r="I9" i="3"/>
  <c r="I10" s="1"/>
  <c r="H9" i="4"/>
  <c r="H9" i="3"/>
  <c r="G9" s="1"/>
  <c r="D9" s="1"/>
  <c r="E10" i="4"/>
  <c r="G6" i="3"/>
  <c r="D6" s="1"/>
  <c r="G6" i="4"/>
  <c r="D6" s="1"/>
  <c r="G7"/>
  <c r="D7" s="1"/>
  <c r="G14"/>
  <c r="D14" s="1"/>
  <c r="G15" i="3"/>
  <c r="D15" s="1"/>
  <c r="G29"/>
  <c r="D29" s="1"/>
  <c r="G5" i="4"/>
  <c r="G8"/>
  <c r="D8"/>
  <c r="F10"/>
  <c r="G17"/>
  <c r="D17" s="1"/>
  <c r="E20"/>
  <c r="E22" s="1"/>
  <c r="E26" s="1"/>
  <c r="I22"/>
  <c r="J22"/>
  <c r="J26" s="1"/>
  <c r="L22"/>
  <c r="L26" s="1"/>
  <c r="N22"/>
  <c r="N26" s="1"/>
  <c r="O22"/>
  <c r="O26" s="1"/>
  <c r="R22"/>
  <c r="R26" s="1"/>
  <c r="U22"/>
  <c r="U26" s="1"/>
  <c r="V22"/>
  <c r="V26" s="1"/>
  <c r="Y22"/>
  <c r="Y26" s="1"/>
  <c r="AA22"/>
  <c r="AA26" s="1"/>
  <c r="AC22"/>
  <c r="AC26" s="1"/>
  <c r="G24"/>
  <c r="D24" s="1"/>
  <c r="I26"/>
  <c r="F10" i="3"/>
  <c r="G13"/>
  <c r="G18"/>
  <c r="D18" s="1"/>
  <c r="E20"/>
  <c r="G24"/>
  <c r="D24" s="1"/>
  <c r="Q22" i="4"/>
  <c r="Q26"/>
  <c r="P22"/>
  <c r="P26"/>
  <c r="K22"/>
  <c r="K26"/>
  <c r="H22"/>
  <c r="H26"/>
  <c r="G18"/>
  <c r="D18"/>
  <c r="G9"/>
  <c r="D9"/>
  <c r="T22"/>
  <c r="T26"/>
  <c r="X22"/>
  <c r="X26"/>
  <c r="F20"/>
  <c r="F22"/>
  <c r="F26" s="1"/>
  <c r="D13" i="3"/>
  <c r="D5" i="4"/>
  <c r="D10" s="1"/>
  <c r="G13"/>
  <c r="D13"/>
  <c r="G10"/>
  <c r="G5" i="3"/>
  <c r="D5" s="1"/>
  <c r="AB20"/>
  <c r="J19"/>
  <c r="J20" s="1"/>
  <c r="AB10"/>
  <c r="AB22" s="1"/>
  <c r="AB26" s="1"/>
  <c r="T10"/>
  <c r="L10"/>
  <c r="AA10"/>
  <c r="AA22" s="1"/>
  <c r="AA26" s="1"/>
  <c r="AC10"/>
  <c r="Q10"/>
  <c r="U10"/>
  <c r="E22" l="1"/>
  <c r="E26" s="1"/>
  <c r="Z10"/>
  <c r="V10"/>
  <c r="R10"/>
  <c r="N10"/>
  <c r="J10"/>
  <c r="K10"/>
  <c r="H20"/>
  <c r="G17"/>
  <c r="D17" s="1"/>
  <c r="N20"/>
  <c r="R20"/>
  <c r="R22" s="1"/>
  <c r="R26" s="1"/>
  <c r="S20"/>
  <c r="V20"/>
  <c r="Z20"/>
  <c r="J22"/>
  <c r="J26" s="1"/>
  <c r="G10"/>
  <c r="N22"/>
  <c r="N26" s="1"/>
  <c r="V22"/>
  <c r="V26" s="1"/>
  <c r="W22"/>
  <c r="W26" s="1"/>
  <c r="Z22"/>
  <c r="Z26" s="1"/>
  <c r="L22"/>
  <c r="L26" s="1"/>
  <c r="Q22"/>
  <c r="Q26" s="1"/>
  <c r="T22"/>
  <c r="T26" s="1"/>
  <c r="U22"/>
  <c r="U26" s="1"/>
  <c r="AC22"/>
  <c r="AC26" s="1"/>
  <c r="K19"/>
  <c r="K20" s="1"/>
  <c r="K22" s="1"/>
  <c r="K26" s="1"/>
  <c r="G19" i="4"/>
  <c r="D19" s="1"/>
  <c r="G16" i="3"/>
  <c r="I20"/>
  <c r="I22" s="1"/>
  <c r="I26" s="1"/>
  <c r="S22"/>
  <c r="S26" s="1"/>
  <c r="O22"/>
  <c r="O26" s="1"/>
  <c r="G16" i="4"/>
  <c r="M22"/>
  <c r="M26" s="1"/>
  <c r="S22"/>
  <c r="S26" s="1"/>
  <c r="W22"/>
  <c r="W26" s="1"/>
  <c r="Z22"/>
  <c r="Z26" s="1"/>
  <c r="Y22" i="3"/>
  <c r="Y26" s="1"/>
  <c r="D10"/>
  <c r="H10"/>
  <c r="H22" s="1"/>
  <c r="H26" s="1"/>
  <c r="G19" l="1"/>
  <c r="D19" s="1"/>
  <c r="D16" i="4"/>
  <c r="D20" s="1"/>
  <c r="D22" s="1"/>
  <c r="D26" s="1"/>
  <c r="G20"/>
  <c r="G22" s="1"/>
  <c r="G26" s="1"/>
  <c r="D16" i="3"/>
  <c r="D20" l="1"/>
  <c r="D22" s="1"/>
  <c r="D26" s="1"/>
  <c r="G20"/>
  <c r="G22" s="1"/>
  <c r="G26" s="1"/>
</calcChain>
</file>

<file path=xl/comments1.xml><?xml version="1.0" encoding="utf-8"?>
<comments xmlns="http://schemas.openxmlformats.org/spreadsheetml/2006/main">
  <authors>
    <author>trnecka</author>
    <author>Jiří Trnečka</author>
  </authors>
  <commentList>
    <comment ref="J5" author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9" author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C13" author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4" author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14" author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V15" author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X15" author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19" author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24" author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9" authorId="0">
      <text>
        <r>
          <rPr>
            <b/>
            <sz val="8"/>
            <color indexed="81"/>
            <rFont val="Tahoma"/>
            <charset val="238"/>
          </rPr>
          <t>trnecka:</t>
        </r>
        <r>
          <rPr>
            <sz val="8"/>
            <color indexed="81"/>
            <rFont val="Tahoma"/>
            <charset val="238"/>
          </rPr>
          <t xml:space="preserve">
788 388</t>
        </r>
      </text>
    </comment>
    <comment ref="H29" authorId="1">
      <text>
        <r>
          <rPr>
            <b/>
            <sz val="8"/>
            <color indexed="81"/>
            <rFont val="Tahoma"/>
            <charset val="1"/>
          </rPr>
          <t>Jiří Trnečka: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Jiří Trnečka</author>
  </authors>
  <commentList>
    <comment ref="G30" authorId="0">
      <text>
        <r>
          <rPr>
            <b/>
            <sz val="8"/>
            <color indexed="81"/>
            <rFont val="Tahoma"/>
            <charset val="1"/>
          </rPr>
          <t>Jiří Trnečka:</t>
        </r>
        <r>
          <rPr>
            <sz val="8"/>
            <color indexed="81"/>
            <rFont val="Tahoma"/>
            <charset val="1"/>
          </rPr>
          <t xml:space="preserve">
78 792 327,69</t>
        </r>
      </text>
    </comment>
    <comment ref="G31" authorId="0">
      <text>
        <r>
          <rPr>
            <b/>
            <sz val="8"/>
            <color indexed="81"/>
            <rFont val="Tahoma"/>
            <charset val="1"/>
          </rPr>
          <t>Jiří Trnečka:</t>
        </r>
        <r>
          <rPr>
            <sz val="8"/>
            <color indexed="81"/>
            <rFont val="Tahoma"/>
            <charset val="1"/>
          </rPr>
          <t xml:space="preserve">
643 468 191,44</t>
        </r>
      </text>
    </comment>
    <comment ref="G32" authorId="0">
      <text>
        <r>
          <rPr>
            <b/>
            <sz val="8"/>
            <color indexed="81"/>
            <rFont val="Tahoma"/>
            <charset val="1"/>
          </rPr>
          <t>Jiří Trnečka:</t>
        </r>
        <r>
          <rPr>
            <sz val="8"/>
            <color indexed="81"/>
            <rFont val="Tahoma"/>
            <charset val="1"/>
          </rPr>
          <t xml:space="preserve">
747 710 357,05</t>
        </r>
      </text>
    </comment>
  </commentList>
</comments>
</file>

<file path=xl/sharedStrings.xml><?xml version="1.0" encoding="utf-8"?>
<sst xmlns="http://schemas.openxmlformats.org/spreadsheetml/2006/main" count="143" uniqueCount="76">
  <si>
    <t>Statutární</t>
  </si>
  <si>
    <t xml:space="preserve">Město </t>
  </si>
  <si>
    <t>městské</t>
  </si>
  <si>
    <t xml:space="preserve">č.ř. </t>
  </si>
  <si>
    <t>účet</t>
  </si>
  <si>
    <t xml:space="preserve"> Název finanční operace</t>
  </si>
  <si>
    <t xml:space="preserve">město </t>
  </si>
  <si>
    <t>účet DPH</t>
  </si>
  <si>
    <t>Jídelna MMB</t>
  </si>
  <si>
    <t>části</t>
  </si>
  <si>
    <t>Brno-střed</t>
  </si>
  <si>
    <t>Bohunice</t>
  </si>
  <si>
    <t>Starý</t>
  </si>
  <si>
    <t>Nový</t>
  </si>
  <si>
    <t>Kohoutovice</t>
  </si>
  <si>
    <t>Bosonohy</t>
  </si>
  <si>
    <t>Žabovřesky</t>
  </si>
  <si>
    <t xml:space="preserve"> Bystrc</t>
  </si>
  <si>
    <t>Komín</t>
  </si>
  <si>
    <t>Jundrov</t>
  </si>
  <si>
    <t>Brno-sever</t>
  </si>
  <si>
    <t>Maloměřice</t>
  </si>
  <si>
    <t>Židenice</t>
  </si>
  <si>
    <t>Černovice</t>
  </si>
  <si>
    <t xml:space="preserve"> Brno-jih</t>
  </si>
  <si>
    <t>Vinohrady</t>
  </si>
  <si>
    <t xml:space="preserve"> Líšeň</t>
  </si>
  <si>
    <t xml:space="preserve"> Slatina</t>
  </si>
  <si>
    <t>Chrlice</t>
  </si>
  <si>
    <t xml:space="preserve"> Královo</t>
  </si>
  <si>
    <t>Medlánky</t>
  </si>
  <si>
    <t>Řečkovice</t>
  </si>
  <si>
    <t>celkem</t>
  </si>
  <si>
    <t>klub zastupitelů</t>
  </si>
  <si>
    <t>Lískovec</t>
  </si>
  <si>
    <t>- Obřany</t>
  </si>
  <si>
    <t xml:space="preserve">   Pole</t>
  </si>
  <si>
    <t>Mokrá Hora</t>
  </si>
  <si>
    <t xml:space="preserve"> A: VÝNOSY  </t>
  </si>
  <si>
    <t>Výnosy z prodeje vlastních výrobků a služeb</t>
  </si>
  <si>
    <t>644-647</t>
  </si>
  <si>
    <t>Výnosy z prodeje dlouhodobého majetku a materiálu</t>
  </si>
  <si>
    <t>Ostatní výnosy</t>
  </si>
  <si>
    <t xml:space="preserve"> B: NÁKLADY   </t>
  </si>
  <si>
    <t xml:space="preserve">Spotřeba materiálu a energie </t>
  </si>
  <si>
    <t>Opravy a udržování</t>
  </si>
  <si>
    <t>512-518</t>
  </si>
  <si>
    <t>Služby</t>
  </si>
  <si>
    <t>52x</t>
  </si>
  <si>
    <t>Osobní náklady</t>
  </si>
  <si>
    <t>53x</t>
  </si>
  <si>
    <t>Daně a poplatky</t>
  </si>
  <si>
    <t>55x</t>
  </si>
  <si>
    <t>Odpisy, rezervy a opravné položky</t>
  </si>
  <si>
    <t>Ostatní náklady</t>
  </si>
  <si>
    <t xml:space="preserve"> Daň z příjmů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</si>
  <si>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</si>
  <si>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;</t>
  </si>
  <si>
    <t>Ostatní krátkodobé závazky</t>
  </si>
  <si>
    <t xml:space="preserve"> Ú h r n  výnosů (ř.1 až ř.5)  </t>
  </si>
  <si>
    <t>Výnosy z pronájmu</t>
  </si>
  <si>
    <t>ost. 6xx</t>
  </si>
  <si>
    <t>ost. 5xx</t>
  </si>
  <si>
    <t>Doplňkové ukazatele hospodaření:</t>
  </si>
  <si>
    <t>Stav běžného účtu vedlejší hospodářské činnosti k 31.12.</t>
  </si>
  <si>
    <t>Ostatní krátkodobé pohledávky (brutto)</t>
  </si>
  <si>
    <t xml:space="preserve">VÝNOSY  </t>
  </si>
  <si>
    <t xml:space="preserve">NÁKLADY   </t>
  </si>
  <si>
    <t>Výnosy z transferů</t>
  </si>
  <si>
    <t>19</t>
  </si>
  <si>
    <t>20</t>
  </si>
  <si>
    <t>18</t>
  </si>
  <si>
    <t xml:space="preserve"> Ú h r n  nákladů (ř.7 až ř.13)   </t>
  </si>
  <si>
    <t>Hospodářský výsledek před zdaněním (ř.6-ř.14)</t>
  </si>
  <si>
    <t>Hospodářský výsledek po zdanění (ř.15-ř.16)</t>
  </si>
  <si>
    <t>Hospodářský výsledek před zdaněním (ř.6 - ř.14)</t>
  </si>
</sst>
</file>

<file path=xl/styles.xml><?xml version="1.0" encoding="utf-8"?>
<styleSheet xmlns="http://schemas.openxmlformats.org/spreadsheetml/2006/main">
  <fonts count="20">
    <font>
      <sz val="12"/>
      <name val="Arial CE"/>
      <charset val="238"/>
    </font>
    <font>
      <sz val="10"/>
      <name val="Courier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sz val="14"/>
      <name val="Times New Roman CE"/>
      <charset val="238"/>
    </font>
    <font>
      <b/>
      <sz val="14"/>
      <name val="Times New Roman CE"/>
      <charset val="238"/>
    </font>
    <font>
      <sz val="14"/>
      <name val="Times New Roman"/>
      <family val="1"/>
      <charset val="238"/>
    </font>
    <font>
      <sz val="14"/>
      <name val="Arial CE"/>
      <family val="2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u/>
      <sz val="14"/>
      <name val="Times New Roman CE"/>
      <family val="1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2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 CE"/>
      <family val="2"/>
      <charset val="238"/>
    </font>
    <font>
      <sz val="14"/>
      <color rgb="FFFF0000"/>
      <name val="Times New Roman CE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23">
    <border>
      <left/>
      <right/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5">
    <xf numFmtId="0" fontId="0" fillId="0" borderId="0" xfId="0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" fontId="3" fillId="0" borderId="4" xfId="0" applyNumberFormat="1" applyFont="1" applyFill="1" applyBorder="1" applyProtection="1"/>
    <xf numFmtId="4" fontId="3" fillId="0" borderId="5" xfId="0" applyNumberFormat="1" applyFont="1" applyFill="1" applyBorder="1" applyProtection="1"/>
    <xf numFmtId="4" fontId="3" fillId="0" borderId="6" xfId="0" applyNumberFormat="1" applyFont="1" applyFill="1" applyBorder="1" applyProtection="1"/>
    <xf numFmtId="0" fontId="0" fillId="0" borderId="0" xfId="0" applyFill="1"/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4" fontId="2" fillId="0" borderId="15" xfId="0" applyNumberFormat="1" applyFont="1" applyFill="1" applyBorder="1" applyAlignment="1" applyProtection="1">
      <alignment horizontal="center"/>
    </xf>
    <xf numFmtId="4" fontId="2" fillId="0" borderId="11" xfId="0" applyNumberFormat="1" applyFont="1" applyFill="1" applyBorder="1" applyAlignment="1" applyProtection="1">
      <alignment horizontal="center"/>
    </xf>
    <xf numFmtId="4" fontId="2" fillId="0" borderId="14" xfId="0" applyNumberFormat="1" applyFont="1" applyFill="1" applyBorder="1" applyAlignment="1" applyProtection="1">
      <alignment horizontal="center"/>
    </xf>
    <xf numFmtId="4" fontId="2" fillId="0" borderId="16" xfId="0" applyNumberFormat="1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3" fillId="0" borderId="19" xfId="0" applyFont="1" applyFill="1" applyBorder="1" applyProtection="1"/>
    <xf numFmtId="0" fontId="2" fillId="0" borderId="18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shrinkToFit="1"/>
    </xf>
    <xf numFmtId="0" fontId="2" fillId="0" borderId="22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0" fontId="2" fillId="0" borderId="14" xfId="0" applyFont="1" applyFill="1" applyBorder="1" applyProtection="1"/>
    <xf numFmtId="4" fontId="2" fillId="0" borderId="15" xfId="0" applyNumberFormat="1" applyFont="1" applyFill="1" applyBorder="1" applyProtection="1"/>
    <xf numFmtId="4" fontId="2" fillId="0" borderId="21" xfId="0" applyNumberFormat="1" applyFont="1" applyFill="1" applyBorder="1" applyAlignment="1" applyProtection="1">
      <alignment horizontal="center"/>
    </xf>
    <xf numFmtId="4" fontId="2" fillId="0" borderId="23" xfId="0" applyNumberFormat="1" applyFont="1" applyFill="1" applyBorder="1" applyAlignment="1" applyProtection="1">
      <alignment horizontal="center"/>
    </xf>
    <xf numFmtId="4" fontId="2" fillId="0" borderId="24" xfId="0" applyNumberFormat="1" applyFont="1" applyFill="1" applyBorder="1" applyProtection="1"/>
    <xf numFmtId="0" fontId="3" fillId="0" borderId="25" xfId="0" applyFont="1" applyFill="1" applyBorder="1" applyProtection="1"/>
    <xf numFmtId="0" fontId="3" fillId="0" borderId="26" xfId="0" applyFont="1" applyFill="1" applyBorder="1" applyProtection="1"/>
    <xf numFmtId="0" fontId="2" fillId="0" borderId="27" xfId="0" applyFont="1" applyFill="1" applyBorder="1" applyProtection="1"/>
    <xf numFmtId="3" fontId="2" fillId="0" borderId="26" xfId="0" applyNumberFormat="1" applyFont="1" applyFill="1" applyBorder="1" applyAlignment="1" applyProtection="1">
      <alignment horizontal="right"/>
    </xf>
    <xf numFmtId="3" fontId="2" fillId="0" borderId="28" xfId="0" applyNumberFormat="1" applyFont="1" applyFill="1" applyBorder="1" applyAlignment="1" applyProtection="1">
      <alignment horizontal="right"/>
    </xf>
    <xf numFmtId="3" fontId="2" fillId="0" borderId="29" xfId="0" applyNumberFormat="1" applyFont="1" applyFill="1" applyBorder="1" applyAlignment="1" applyProtection="1">
      <alignment horizontal="right"/>
    </xf>
    <xf numFmtId="3" fontId="3" fillId="0" borderId="30" xfId="0" applyNumberFormat="1" applyFont="1" applyFill="1" applyBorder="1" applyAlignment="1" applyProtection="1">
      <alignment horizontal="right"/>
    </xf>
    <xf numFmtId="3" fontId="3" fillId="0" borderId="31" xfId="0" applyNumberFormat="1" applyFont="1" applyFill="1" applyBorder="1" applyAlignment="1" applyProtection="1">
      <alignment horizontal="right"/>
    </xf>
    <xf numFmtId="3" fontId="3" fillId="0" borderId="32" xfId="0" applyNumberFormat="1" applyFont="1" applyFill="1" applyBorder="1" applyAlignment="1" applyProtection="1">
      <alignment horizontal="right"/>
    </xf>
    <xf numFmtId="3" fontId="3" fillId="0" borderId="33" xfId="0" applyNumberFormat="1" applyFont="1" applyFill="1" applyBorder="1" applyAlignment="1" applyProtection="1">
      <alignment horizontal="right"/>
    </xf>
    <xf numFmtId="4" fontId="3" fillId="0" borderId="33" xfId="0" applyNumberFormat="1" applyFont="1" applyFill="1" applyBorder="1" applyAlignment="1" applyProtection="1">
      <alignment horizontal="right"/>
    </xf>
    <xf numFmtId="4" fontId="3" fillId="0" borderId="34" xfId="0" applyNumberFormat="1" applyFont="1" applyFill="1" applyBorder="1" applyAlignment="1" applyProtection="1">
      <alignment horizontal="right"/>
    </xf>
    <xf numFmtId="3" fontId="3" fillId="0" borderId="35" xfId="0" applyNumberFormat="1" applyFont="1" applyFill="1" applyBorder="1" applyAlignment="1" applyProtection="1">
      <alignment horizontal="right"/>
    </xf>
    <xf numFmtId="4" fontId="3" fillId="0" borderId="36" xfId="0" applyNumberFormat="1" applyFont="1" applyFill="1" applyBorder="1" applyAlignment="1" applyProtection="1">
      <alignment horizontal="right"/>
    </xf>
    <xf numFmtId="4" fontId="3" fillId="0" borderId="35" xfId="0" applyNumberFormat="1" applyFont="1" applyFill="1" applyBorder="1" applyAlignment="1" applyProtection="1">
      <alignment horizontal="right"/>
    </xf>
    <xf numFmtId="4" fontId="3" fillId="0" borderId="37" xfId="0" applyNumberFormat="1" applyFont="1" applyFill="1" applyBorder="1" applyAlignment="1" applyProtection="1">
      <alignment horizontal="right"/>
    </xf>
    <xf numFmtId="3" fontId="3" fillId="0" borderId="38" xfId="0" applyNumberFormat="1" applyFont="1" applyFill="1" applyBorder="1" applyAlignment="1" applyProtection="1">
      <alignment horizontal="right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Protection="1"/>
    <xf numFmtId="4" fontId="3" fillId="0" borderId="26" xfId="0" applyNumberFormat="1" applyFont="1" applyFill="1" applyBorder="1" applyAlignment="1" applyProtection="1">
      <alignment horizontal="right"/>
    </xf>
    <xf numFmtId="4" fontId="4" fillId="0" borderId="28" xfId="0" applyNumberFormat="1" applyFont="1" applyFill="1" applyBorder="1" applyAlignment="1" applyProtection="1">
      <alignment horizontal="right"/>
    </xf>
    <xf numFmtId="4" fontId="4" fillId="0" borderId="29" xfId="0" applyNumberFormat="1" applyFont="1" applyFill="1" applyBorder="1" applyAlignment="1" applyProtection="1">
      <alignment horizontal="right"/>
    </xf>
    <xf numFmtId="4" fontId="3" fillId="0" borderId="28" xfId="0" applyNumberFormat="1" applyFont="1" applyFill="1" applyBorder="1" applyAlignment="1" applyProtection="1">
      <alignment horizontal="right"/>
    </xf>
    <xf numFmtId="4" fontId="3" fillId="0" borderId="29" xfId="0" applyNumberFormat="1" applyFont="1" applyFill="1" applyBorder="1" applyAlignment="1" applyProtection="1">
      <alignment horizontal="right"/>
    </xf>
    <xf numFmtId="4" fontId="3" fillId="0" borderId="40" xfId="0" applyNumberFormat="1" applyFont="1" applyFill="1" applyBorder="1" applyAlignment="1" applyProtection="1">
      <alignment horizontal="right"/>
    </xf>
    <xf numFmtId="4" fontId="3" fillId="0" borderId="41" xfId="0" applyNumberFormat="1" applyFont="1" applyFill="1" applyBorder="1" applyAlignment="1" applyProtection="1">
      <alignment horizontal="right"/>
    </xf>
    <xf numFmtId="0" fontId="3" fillId="0" borderId="42" xfId="0" applyFont="1" applyFill="1" applyBorder="1" applyAlignment="1" applyProtection="1">
      <alignment horizontal="center"/>
    </xf>
    <xf numFmtId="0" fontId="3" fillId="0" borderId="43" xfId="0" applyFont="1" applyFill="1" applyBorder="1" applyAlignment="1" applyProtection="1">
      <alignment horizontal="center"/>
    </xf>
    <xf numFmtId="0" fontId="2" fillId="0" borderId="44" xfId="0" applyFont="1" applyFill="1" applyBorder="1" applyAlignment="1" applyProtection="1">
      <alignment horizontal="center"/>
    </xf>
    <xf numFmtId="0" fontId="2" fillId="0" borderId="45" xfId="0" applyFont="1" applyFill="1" applyBorder="1" applyAlignment="1" applyProtection="1">
      <alignment horizontal="center"/>
    </xf>
    <xf numFmtId="0" fontId="2" fillId="0" borderId="46" xfId="0" applyFont="1" applyFill="1" applyBorder="1" applyProtection="1"/>
    <xf numFmtId="4" fontId="2" fillId="0" borderId="47" xfId="0" applyNumberFormat="1" applyFont="1" applyFill="1" applyBorder="1" applyAlignment="1" applyProtection="1">
      <alignment horizontal="right"/>
    </xf>
    <xf numFmtId="4" fontId="2" fillId="0" borderId="48" xfId="0" applyNumberFormat="1" applyFont="1" applyFill="1" applyBorder="1" applyAlignment="1" applyProtection="1">
      <alignment horizontal="right"/>
    </xf>
    <xf numFmtId="4" fontId="2" fillId="0" borderId="49" xfId="0" applyNumberFormat="1" applyFont="1" applyFill="1" applyBorder="1" applyAlignment="1" applyProtection="1">
      <alignment horizontal="right"/>
    </xf>
    <xf numFmtId="0" fontId="2" fillId="0" borderId="50" xfId="0" applyFont="1" applyFill="1" applyBorder="1" applyAlignment="1" applyProtection="1">
      <alignment horizontal="center"/>
    </xf>
    <xf numFmtId="0" fontId="2" fillId="0" borderId="51" xfId="0" applyFont="1" applyFill="1" applyBorder="1" applyAlignment="1" applyProtection="1">
      <alignment horizontal="center"/>
    </xf>
    <xf numFmtId="4" fontId="2" fillId="0" borderId="51" xfId="0" applyNumberFormat="1" applyFont="1" applyFill="1" applyBorder="1" applyAlignment="1" applyProtection="1">
      <alignment horizontal="right"/>
    </xf>
    <xf numFmtId="4" fontId="2" fillId="0" borderId="52" xfId="0" applyNumberFormat="1" applyFont="1" applyFill="1" applyBorder="1" applyAlignment="1" applyProtection="1">
      <alignment horizontal="right"/>
    </xf>
    <xf numFmtId="4" fontId="2" fillId="0" borderId="53" xfId="0" applyNumberFormat="1" applyFont="1" applyFill="1" applyBorder="1" applyAlignment="1" applyProtection="1">
      <alignment horizontal="right"/>
    </xf>
    <xf numFmtId="0" fontId="3" fillId="0" borderId="54" xfId="0" applyFont="1" applyFill="1" applyBorder="1" applyProtection="1"/>
    <xf numFmtId="0" fontId="3" fillId="0" borderId="51" xfId="0" applyFont="1" applyFill="1" applyBorder="1" applyProtection="1"/>
    <xf numFmtId="4" fontId="2" fillId="0" borderId="26" xfId="0" applyNumberFormat="1" applyFont="1" applyFill="1" applyBorder="1" applyAlignment="1" applyProtection="1">
      <alignment horizontal="right"/>
    </xf>
    <xf numFmtId="4" fontId="2" fillId="0" borderId="28" xfId="0" applyNumberFormat="1" applyFont="1" applyFill="1" applyBorder="1" applyAlignment="1" applyProtection="1">
      <alignment horizontal="right"/>
    </xf>
    <xf numFmtId="4" fontId="2" fillId="0" borderId="29" xfId="0" applyNumberFormat="1" applyFont="1" applyFill="1" applyBorder="1" applyAlignment="1" applyProtection="1">
      <alignment horizontal="right"/>
    </xf>
    <xf numFmtId="4" fontId="2" fillId="0" borderId="45" xfId="0" applyNumberFormat="1" applyFont="1" applyFill="1" applyBorder="1" applyAlignment="1" applyProtection="1">
      <alignment horizontal="right"/>
    </xf>
    <xf numFmtId="4" fontId="2" fillId="0" borderId="55" xfId="0" applyNumberFormat="1" applyFont="1" applyFill="1" applyBorder="1" applyAlignment="1" applyProtection="1">
      <alignment horizontal="right"/>
    </xf>
    <xf numFmtId="4" fontId="2" fillId="0" borderId="56" xfId="0" applyNumberFormat="1" applyFont="1" applyFill="1" applyBorder="1" applyAlignment="1" applyProtection="1">
      <alignment horizontal="right"/>
    </xf>
    <xf numFmtId="0" fontId="2" fillId="0" borderId="9" xfId="0" applyFont="1" applyFill="1" applyBorder="1" applyProtection="1"/>
    <xf numFmtId="4" fontId="2" fillId="0" borderId="8" xfId="0" applyNumberFormat="1" applyFont="1" applyFill="1" applyBorder="1" applyAlignment="1" applyProtection="1">
      <alignment horizontal="right"/>
    </xf>
    <xf numFmtId="4" fontId="2" fillId="0" borderId="12" xfId="0" applyNumberFormat="1" applyFont="1" applyFill="1" applyBorder="1" applyAlignment="1" applyProtection="1">
      <alignment horizontal="right"/>
    </xf>
    <xf numFmtId="4" fontId="2" fillId="0" borderId="57" xfId="0" applyNumberFormat="1" applyFont="1" applyFill="1" applyBorder="1" applyAlignment="1" applyProtection="1">
      <alignment horizontal="right"/>
    </xf>
    <xf numFmtId="4" fontId="2" fillId="0" borderId="58" xfId="0" applyNumberFormat="1" applyFont="1" applyFill="1" applyBorder="1" applyAlignment="1" applyProtection="1">
      <alignment horizontal="right"/>
    </xf>
    <xf numFmtId="0" fontId="2" fillId="0" borderId="59" xfId="0" applyFont="1" applyFill="1" applyBorder="1" applyProtection="1"/>
    <xf numFmtId="4" fontId="2" fillId="0" borderId="60" xfId="0" applyNumberFormat="1" applyFont="1" applyFill="1" applyBorder="1" applyAlignment="1" applyProtection="1">
      <alignment horizontal="right"/>
    </xf>
    <xf numFmtId="4" fontId="2" fillId="0" borderId="61" xfId="0" applyNumberFormat="1" applyFont="1" applyFill="1" applyBorder="1" applyAlignment="1" applyProtection="1">
      <alignment horizontal="right"/>
    </xf>
    <xf numFmtId="4" fontId="2" fillId="0" borderId="62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0" fontId="3" fillId="0" borderId="63" xfId="0" applyFont="1" applyFill="1" applyBorder="1" applyProtection="1"/>
    <xf numFmtId="3" fontId="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4" fontId="7" fillId="0" borderId="0" xfId="0" applyNumberFormat="1" applyFont="1" applyFill="1" applyProtection="1"/>
    <xf numFmtId="4" fontId="8" fillId="0" borderId="0" xfId="0" applyNumberFormat="1" applyFont="1" applyFill="1"/>
    <xf numFmtId="4" fontId="0" fillId="0" borderId="0" xfId="0" applyNumberFormat="1" applyFill="1"/>
    <xf numFmtId="4" fontId="9" fillId="0" borderId="0" xfId="0" applyNumberFormat="1" applyFont="1" applyFill="1"/>
    <xf numFmtId="0" fontId="8" fillId="0" borderId="0" xfId="0" applyFont="1" applyFill="1"/>
    <xf numFmtId="0" fontId="3" fillId="0" borderId="64" xfId="0" applyFont="1" applyFill="1" applyBorder="1" applyProtection="1"/>
    <xf numFmtId="0" fontId="3" fillId="0" borderId="5" xfId="0" applyFont="1" applyFill="1" applyBorder="1" applyProtection="1"/>
    <xf numFmtId="0" fontId="3" fillId="0" borderId="65" xfId="0" applyFont="1" applyFill="1" applyBorder="1" applyProtection="1"/>
    <xf numFmtId="0" fontId="3" fillId="0" borderId="66" xfId="0" applyFont="1" applyFill="1" applyBorder="1" applyProtection="1"/>
    <xf numFmtId="0" fontId="3" fillId="0" borderId="4" xfId="0" applyFont="1" applyFill="1" applyBorder="1" applyProtection="1"/>
    <xf numFmtId="4" fontId="3" fillId="0" borderId="65" xfId="0" applyNumberFormat="1" applyFont="1" applyFill="1" applyBorder="1" applyProtection="1"/>
    <xf numFmtId="4" fontId="3" fillId="0" borderId="67" xfId="0" applyNumberFormat="1" applyFont="1" applyFill="1" applyBorder="1" applyProtection="1"/>
    <xf numFmtId="4" fontId="2" fillId="0" borderId="4" xfId="0" applyNumberFormat="1" applyFont="1" applyFill="1" applyBorder="1" applyAlignment="1" applyProtection="1">
      <alignment horizontal="center"/>
    </xf>
    <xf numFmtId="0" fontId="2" fillId="0" borderId="57" xfId="0" applyFont="1" applyFill="1" applyBorder="1" applyAlignment="1" applyProtection="1">
      <alignment horizontal="center"/>
    </xf>
    <xf numFmtId="4" fontId="2" fillId="0" borderId="57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2" fillId="0" borderId="22" xfId="0" applyFont="1" applyFill="1" applyBorder="1" applyProtection="1"/>
    <xf numFmtId="0" fontId="2" fillId="0" borderId="21" xfId="0" applyFont="1" applyFill="1" applyBorder="1" applyProtection="1"/>
    <xf numFmtId="0" fontId="2" fillId="0" borderId="68" xfId="0" applyFont="1" applyFill="1" applyBorder="1" applyAlignment="1" applyProtection="1">
      <alignment horizontal="center"/>
    </xf>
    <xf numFmtId="0" fontId="2" fillId="0" borderId="69" xfId="0" applyFont="1" applyFill="1" applyBorder="1" applyAlignment="1" applyProtection="1">
      <alignment horizontal="center"/>
    </xf>
    <xf numFmtId="0" fontId="2" fillId="0" borderId="23" xfId="0" applyFont="1" applyFill="1" applyBorder="1" applyProtection="1"/>
    <xf numFmtId="4" fontId="2" fillId="0" borderId="21" xfId="0" applyNumberFormat="1" applyFont="1" applyFill="1" applyBorder="1" applyProtection="1"/>
    <xf numFmtId="4" fontId="2" fillId="0" borderId="68" xfId="0" applyNumberFormat="1" applyFont="1" applyFill="1" applyBorder="1" applyProtection="1"/>
    <xf numFmtId="4" fontId="2" fillId="0" borderId="70" xfId="0" applyNumberFormat="1" applyFont="1" applyFill="1" applyBorder="1" applyProtection="1"/>
    <xf numFmtId="4" fontId="2" fillId="0" borderId="71" xfId="0" applyNumberFormat="1" applyFont="1" applyFill="1" applyBorder="1" applyAlignment="1" applyProtection="1">
      <alignment horizontal="center"/>
    </xf>
    <xf numFmtId="3" fontId="2" fillId="0" borderId="27" xfId="0" applyNumberFormat="1" applyFont="1" applyFill="1" applyBorder="1" applyAlignment="1" applyProtection="1">
      <alignment horizontal="right"/>
    </xf>
    <xf numFmtId="3" fontId="3" fillId="0" borderId="72" xfId="0" applyNumberFormat="1" applyFont="1" applyFill="1" applyBorder="1" applyAlignment="1" applyProtection="1">
      <alignment horizontal="right"/>
    </xf>
    <xf numFmtId="3" fontId="3" fillId="0" borderId="29" xfId="0" applyNumberFormat="1" applyFont="1" applyFill="1" applyBorder="1" applyAlignment="1" applyProtection="1">
      <alignment horizontal="right"/>
    </xf>
    <xf numFmtId="4" fontId="3" fillId="0" borderId="73" xfId="0" applyNumberFormat="1" applyFont="1" applyFill="1" applyBorder="1" applyAlignment="1" applyProtection="1">
      <alignment horizontal="right"/>
    </xf>
    <xf numFmtId="4" fontId="3" fillId="0" borderId="74" xfId="0" applyNumberFormat="1" applyFont="1" applyFill="1" applyBorder="1" applyAlignment="1" applyProtection="1">
      <alignment horizontal="right"/>
    </xf>
    <xf numFmtId="4" fontId="3" fillId="0" borderId="72" xfId="0" applyNumberFormat="1" applyFont="1" applyFill="1" applyBorder="1" applyAlignment="1" applyProtection="1">
      <alignment horizontal="right"/>
    </xf>
    <xf numFmtId="4" fontId="3" fillId="0" borderId="75" xfId="0" applyNumberFormat="1" applyFont="1" applyFill="1" applyBorder="1" applyAlignment="1" applyProtection="1">
      <alignment horizontal="right"/>
    </xf>
    <xf numFmtId="4" fontId="3" fillId="0" borderId="76" xfId="0" applyNumberFormat="1" applyFont="1" applyFill="1" applyBorder="1" applyAlignment="1" applyProtection="1">
      <alignment horizontal="right"/>
    </xf>
    <xf numFmtId="4" fontId="3" fillId="0" borderId="77" xfId="0" applyNumberFormat="1" applyFont="1" applyFill="1" applyBorder="1" applyAlignment="1" applyProtection="1">
      <alignment horizontal="right"/>
    </xf>
    <xf numFmtId="4" fontId="2" fillId="0" borderId="78" xfId="0" applyNumberFormat="1" applyFont="1" applyFill="1" applyBorder="1" applyAlignment="1" applyProtection="1">
      <alignment horizontal="right"/>
    </xf>
    <xf numFmtId="4" fontId="3" fillId="0" borderId="79" xfId="0" applyNumberFormat="1" applyFont="1" applyFill="1" applyBorder="1" applyAlignment="1" applyProtection="1">
      <alignment horizontal="right"/>
    </xf>
    <xf numFmtId="4" fontId="3" fillId="0" borderId="80" xfId="0" applyNumberFormat="1" applyFont="1" applyFill="1" applyBorder="1" applyAlignment="1" applyProtection="1">
      <alignment horizontal="right"/>
    </xf>
    <xf numFmtId="4" fontId="3" fillId="0" borderId="53" xfId="0" applyNumberFormat="1" applyFont="1" applyFill="1" applyBorder="1" applyAlignment="1" applyProtection="1">
      <alignment horizontal="right"/>
    </xf>
    <xf numFmtId="4" fontId="3" fillId="0" borderId="81" xfId="0" applyNumberFormat="1" applyFont="1" applyFill="1" applyBorder="1" applyAlignment="1" applyProtection="1">
      <alignment horizontal="right"/>
    </xf>
    <xf numFmtId="4" fontId="3" fillId="0" borderId="82" xfId="0" applyNumberFormat="1" applyFont="1" applyFill="1" applyBorder="1" applyAlignment="1" applyProtection="1">
      <alignment horizontal="right"/>
    </xf>
    <xf numFmtId="4" fontId="3" fillId="0" borderId="83" xfId="0" applyNumberFormat="1" applyFont="1" applyFill="1" applyBorder="1" applyAlignment="1" applyProtection="1">
      <alignment horizontal="right"/>
    </xf>
    <xf numFmtId="4" fontId="2" fillId="0" borderId="27" xfId="0" applyNumberFormat="1" applyFont="1" applyFill="1" applyBorder="1" applyAlignment="1" applyProtection="1">
      <alignment horizontal="right"/>
    </xf>
    <xf numFmtId="4" fontId="2" fillId="0" borderId="9" xfId="0" applyNumberFormat="1" applyFont="1" applyFill="1" applyBorder="1" applyAlignment="1" applyProtection="1">
      <alignment horizontal="right"/>
    </xf>
    <xf numFmtId="4" fontId="2" fillId="0" borderId="84" xfId="0" applyNumberFormat="1" applyFont="1" applyFill="1" applyBorder="1" applyAlignment="1" applyProtection="1">
      <alignment horizontal="right"/>
    </xf>
    <xf numFmtId="3" fontId="3" fillId="0" borderId="67" xfId="0" applyNumberFormat="1" applyFont="1" applyFill="1" applyBorder="1" applyAlignment="1" applyProtection="1">
      <alignment horizontal="right"/>
    </xf>
    <xf numFmtId="4" fontId="6" fillId="0" borderId="0" xfId="0" applyNumberFormat="1" applyFont="1" applyFill="1"/>
    <xf numFmtId="3" fontId="3" fillId="0" borderId="26" xfId="0" applyNumberFormat="1" applyFont="1" applyFill="1" applyBorder="1" applyAlignment="1" applyProtection="1">
      <alignment horizontal="right"/>
    </xf>
    <xf numFmtId="3" fontId="4" fillId="0" borderId="28" xfId="0" applyNumberFormat="1" applyFont="1" applyFill="1" applyBorder="1" applyAlignment="1" applyProtection="1">
      <alignment horizontal="right"/>
    </xf>
    <xf numFmtId="3" fontId="4" fillId="0" borderId="29" xfId="0" applyNumberFormat="1" applyFont="1" applyFill="1" applyBorder="1" applyAlignment="1" applyProtection="1">
      <alignment horizontal="right"/>
    </xf>
    <xf numFmtId="3" fontId="3" fillId="0" borderId="28" xfId="0" applyNumberFormat="1" applyFont="1" applyFill="1" applyBorder="1" applyAlignment="1" applyProtection="1">
      <alignment horizontal="right"/>
    </xf>
    <xf numFmtId="3" fontId="3" fillId="0" borderId="85" xfId="0" applyNumberFormat="1" applyFont="1" applyFill="1" applyBorder="1" applyAlignment="1" applyProtection="1">
      <alignment horizontal="right"/>
    </xf>
    <xf numFmtId="3" fontId="3" fillId="0" borderId="86" xfId="0" applyNumberFormat="1" applyFont="1" applyFill="1" applyBorder="1" applyAlignment="1" applyProtection="1">
      <alignment horizontal="right"/>
    </xf>
    <xf numFmtId="3" fontId="3" fillId="0" borderId="87" xfId="0" applyNumberFormat="1" applyFont="1" applyFill="1" applyBorder="1" applyAlignment="1" applyProtection="1">
      <alignment horizontal="right"/>
    </xf>
    <xf numFmtId="3" fontId="3" fillId="0" borderId="88" xfId="0" applyNumberFormat="1" applyFont="1" applyFill="1" applyBorder="1" applyAlignment="1" applyProtection="1">
      <alignment horizontal="right"/>
    </xf>
    <xf numFmtId="3" fontId="3" fillId="0" borderId="40" xfId="0" applyNumberFormat="1" applyFont="1" applyFill="1" applyBorder="1" applyAlignment="1" applyProtection="1">
      <alignment horizontal="right"/>
    </xf>
    <xf numFmtId="3" fontId="3" fillId="0" borderId="41" xfId="0" applyNumberFormat="1" applyFont="1" applyFill="1" applyBorder="1" applyAlignment="1" applyProtection="1">
      <alignment horizontal="right"/>
    </xf>
    <xf numFmtId="3" fontId="3" fillId="0" borderId="89" xfId="0" applyNumberFormat="1" applyFont="1" applyFill="1" applyBorder="1" applyAlignment="1" applyProtection="1">
      <alignment horizontal="right"/>
    </xf>
    <xf numFmtId="3" fontId="3" fillId="0" borderId="90" xfId="0" applyNumberFormat="1" applyFont="1" applyFill="1" applyBorder="1" applyAlignment="1" applyProtection="1">
      <alignment horizontal="right"/>
    </xf>
    <xf numFmtId="3" fontId="2" fillId="0" borderId="47" xfId="0" applyNumberFormat="1" applyFont="1" applyFill="1" applyBorder="1" applyAlignment="1" applyProtection="1">
      <alignment horizontal="right"/>
    </xf>
    <xf numFmtId="3" fontId="2" fillId="0" borderId="48" xfId="0" applyNumberFormat="1" applyFont="1" applyFill="1" applyBorder="1" applyAlignment="1" applyProtection="1">
      <alignment horizontal="right"/>
    </xf>
    <xf numFmtId="3" fontId="2" fillId="0" borderId="49" xfId="0" applyNumberFormat="1" applyFont="1" applyFill="1" applyBorder="1" applyAlignment="1" applyProtection="1">
      <alignment horizontal="right"/>
    </xf>
    <xf numFmtId="3" fontId="2" fillId="0" borderId="91" xfId="0" applyNumberFormat="1" applyFont="1" applyFill="1" applyBorder="1" applyAlignment="1" applyProtection="1">
      <alignment horizontal="right"/>
    </xf>
    <xf numFmtId="3" fontId="5" fillId="0" borderId="92" xfId="0" applyNumberFormat="1" applyFont="1" applyFill="1" applyBorder="1" applyAlignment="1" applyProtection="1">
      <alignment horizontal="right"/>
    </xf>
    <xf numFmtId="3" fontId="5" fillId="0" borderId="93" xfId="0" applyNumberFormat="1" applyFont="1" applyFill="1" applyBorder="1" applyAlignment="1" applyProtection="1">
      <alignment horizontal="right"/>
    </xf>
    <xf numFmtId="3" fontId="5" fillId="0" borderId="94" xfId="0" applyNumberFormat="1" applyFont="1" applyFill="1" applyBorder="1" applyAlignment="1" applyProtection="1">
      <alignment horizontal="right"/>
    </xf>
    <xf numFmtId="3" fontId="5" fillId="0" borderId="48" xfId="0" applyNumberFormat="1" applyFont="1" applyFill="1" applyBorder="1" applyAlignment="1" applyProtection="1">
      <alignment horizontal="right"/>
    </xf>
    <xf numFmtId="3" fontId="5" fillId="0" borderId="47" xfId="0" applyNumberFormat="1" applyFont="1" applyFill="1" applyBorder="1" applyAlignment="1" applyProtection="1">
      <alignment horizontal="right"/>
    </xf>
    <xf numFmtId="3" fontId="2" fillId="0" borderId="51" xfId="0" applyNumberFormat="1" applyFont="1" applyFill="1" applyBorder="1" applyAlignment="1" applyProtection="1">
      <alignment horizontal="right"/>
    </xf>
    <xf numFmtId="3" fontId="2" fillId="0" borderId="52" xfId="0" applyNumberFormat="1" applyFont="1" applyFill="1" applyBorder="1" applyAlignment="1" applyProtection="1">
      <alignment horizontal="right"/>
    </xf>
    <xf numFmtId="3" fontId="2" fillId="0" borderId="53" xfId="0" applyNumberFormat="1" applyFont="1" applyFill="1" applyBorder="1" applyAlignment="1" applyProtection="1">
      <alignment horizontal="right"/>
    </xf>
    <xf numFmtId="3" fontId="3" fillId="0" borderId="95" xfId="0" applyNumberFormat="1" applyFont="1" applyFill="1" applyBorder="1" applyAlignment="1" applyProtection="1">
      <alignment horizontal="right"/>
    </xf>
    <xf numFmtId="3" fontId="3" fillId="0" borderId="96" xfId="0" applyNumberFormat="1" applyFont="1" applyFill="1" applyBorder="1" applyAlignment="1" applyProtection="1">
      <alignment horizontal="right"/>
    </xf>
    <xf numFmtId="3" fontId="3" fillId="0" borderId="97" xfId="0" applyNumberFormat="1" applyFont="1" applyFill="1" applyBorder="1" applyAlignment="1" applyProtection="1">
      <alignment horizontal="right"/>
    </xf>
    <xf numFmtId="3" fontId="3" fillId="0" borderId="98" xfId="0" applyNumberFormat="1" applyFont="1" applyFill="1" applyBorder="1" applyAlignment="1" applyProtection="1">
      <alignment horizontal="right"/>
    </xf>
    <xf numFmtId="3" fontId="3" fillId="0" borderId="99" xfId="0" applyNumberFormat="1" applyFont="1" applyFill="1" applyBorder="1" applyAlignment="1" applyProtection="1">
      <alignment horizontal="right"/>
    </xf>
    <xf numFmtId="3" fontId="3" fillId="0" borderId="100" xfId="0" applyNumberFormat="1" applyFont="1" applyFill="1" applyBorder="1" applyAlignment="1" applyProtection="1">
      <alignment horizontal="right"/>
    </xf>
    <xf numFmtId="3" fontId="2" fillId="0" borderId="45" xfId="0" applyNumberFormat="1" applyFont="1" applyFill="1" applyBorder="1" applyAlignment="1" applyProtection="1">
      <alignment horizontal="right"/>
    </xf>
    <xf numFmtId="3" fontId="2" fillId="0" borderId="55" xfId="0" applyNumberFormat="1" applyFont="1" applyFill="1" applyBorder="1" applyAlignment="1" applyProtection="1">
      <alignment horizontal="right"/>
    </xf>
    <xf numFmtId="3" fontId="2" fillId="0" borderId="56" xfId="0" applyNumberFormat="1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 applyProtection="1">
      <alignment horizontal="right"/>
    </xf>
    <xf numFmtId="3" fontId="2" fillId="0" borderId="12" xfId="0" applyNumberFormat="1" applyFont="1" applyFill="1" applyBorder="1" applyAlignment="1" applyProtection="1">
      <alignment horizontal="right"/>
    </xf>
    <xf numFmtId="3" fontId="2" fillId="0" borderId="57" xfId="0" applyNumberFormat="1" applyFont="1" applyFill="1" applyBorder="1" applyAlignment="1" applyProtection="1">
      <alignment horizontal="right"/>
    </xf>
    <xf numFmtId="3" fontId="2" fillId="0" borderId="101" xfId="0" applyNumberFormat="1" applyFont="1" applyFill="1" applyBorder="1" applyAlignment="1" applyProtection="1">
      <alignment horizontal="right"/>
    </xf>
    <xf numFmtId="3" fontId="2" fillId="0" borderId="102" xfId="0" applyNumberFormat="1" applyFont="1" applyFill="1" applyBorder="1" applyAlignment="1" applyProtection="1">
      <alignment horizontal="right"/>
    </xf>
    <xf numFmtId="3" fontId="2" fillId="0" borderId="103" xfId="0" applyNumberFormat="1" applyFont="1" applyFill="1" applyBorder="1" applyAlignment="1" applyProtection="1">
      <alignment horizontal="right"/>
    </xf>
    <xf numFmtId="3" fontId="2" fillId="0" borderId="104" xfId="0" applyNumberFormat="1" applyFont="1" applyFill="1" applyBorder="1" applyAlignment="1" applyProtection="1">
      <alignment horizontal="right"/>
    </xf>
    <xf numFmtId="3" fontId="2" fillId="0" borderId="58" xfId="0" applyNumberFormat="1" applyFont="1" applyFill="1" applyBorder="1" applyAlignment="1" applyProtection="1">
      <alignment horizontal="right"/>
    </xf>
    <xf numFmtId="3" fontId="2" fillId="0" borderId="92" xfId="0" applyNumberFormat="1" applyFont="1" applyFill="1" applyBorder="1" applyAlignment="1" applyProtection="1">
      <alignment horizontal="right"/>
    </xf>
    <xf numFmtId="3" fontId="2" fillId="0" borderId="93" xfId="0" applyNumberFormat="1" applyFont="1" applyFill="1" applyBorder="1" applyAlignment="1" applyProtection="1">
      <alignment horizontal="right"/>
    </xf>
    <xf numFmtId="3" fontId="2" fillId="0" borderId="94" xfId="0" applyNumberFormat="1" applyFont="1" applyFill="1" applyBorder="1" applyAlignment="1" applyProtection="1">
      <alignment horizontal="right"/>
    </xf>
    <xf numFmtId="3" fontId="2" fillId="0" borderId="95" xfId="0" applyNumberFormat="1" applyFont="1" applyFill="1" applyBorder="1" applyAlignment="1" applyProtection="1">
      <alignment horizontal="right"/>
    </xf>
    <xf numFmtId="3" fontId="2" fillId="0" borderId="96" xfId="0" applyNumberFormat="1" applyFont="1" applyFill="1" applyBorder="1" applyAlignment="1" applyProtection="1">
      <alignment horizontal="right"/>
    </xf>
    <xf numFmtId="3" fontId="2" fillId="0" borderId="97" xfId="0" applyNumberFormat="1" applyFont="1" applyFill="1" applyBorder="1" applyAlignment="1" applyProtection="1">
      <alignment horizontal="right"/>
    </xf>
    <xf numFmtId="3" fontId="3" fillId="0" borderId="105" xfId="0" applyNumberFormat="1" applyFont="1" applyFill="1" applyBorder="1" applyAlignment="1" applyProtection="1">
      <alignment horizontal="right"/>
    </xf>
    <xf numFmtId="3" fontId="3" fillId="0" borderId="106" xfId="0" applyNumberFormat="1" applyFont="1" applyFill="1" applyBorder="1" applyAlignment="1" applyProtection="1">
      <alignment horizontal="right"/>
    </xf>
    <xf numFmtId="3" fontId="3" fillId="0" borderId="107" xfId="0" applyNumberFormat="1" applyFont="1" applyFill="1" applyBorder="1" applyAlignment="1" applyProtection="1">
      <alignment horizontal="right"/>
    </xf>
    <xf numFmtId="3" fontId="3" fillId="0" borderId="70" xfId="0" applyNumberFormat="1" applyFont="1" applyFill="1" applyBorder="1" applyAlignment="1" applyProtection="1">
      <alignment horizontal="right"/>
    </xf>
    <xf numFmtId="3" fontId="3" fillId="0" borderId="21" xfId="0" applyNumberFormat="1" applyFont="1" applyFill="1" applyBorder="1" applyAlignment="1" applyProtection="1">
      <alignment horizontal="right"/>
    </xf>
    <xf numFmtId="3" fontId="3" fillId="0" borderId="23" xfId="0" applyNumberFormat="1" applyFont="1" applyFill="1" applyBorder="1" applyAlignment="1" applyProtection="1">
      <alignment horizontal="right"/>
    </xf>
    <xf numFmtId="3" fontId="3" fillId="0" borderId="24" xfId="0" applyNumberFormat="1" applyFont="1" applyFill="1" applyBorder="1" applyAlignment="1" applyProtection="1">
      <alignment horizontal="right"/>
    </xf>
    <xf numFmtId="3" fontId="2" fillId="0" borderId="105" xfId="0" applyNumberFormat="1" applyFont="1" applyFill="1" applyBorder="1" applyAlignment="1" applyProtection="1">
      <alignment horizontal="right"/>
    </xf>
    <xf numFmtId="3" fontId="2" fillId="0" borderId="106" xfId="0" applyNumberFormat="1" applyFont="1" applyFill="1" applyBorder="1" applyAlignment="1" applyProtection="1">
      <alignment horizontal="right"/>
    </xf>
    <xf numFmtId="3" fontId="2" fillId="0" borderId="107" xfId="0" applyNumberFormat="1" applyFont="1" applyFill="1" applyBorder="1" applyAlignment="1" applyProtection="1">
      <alignment horizontal="right"/>
    </xf>
    <xf numFmtId="3" fontId="2" fillId="0" borderId="108" xfId="0" applyNumberFormat="1" applyFont="1" applyFill="1" applyBorder="1" applyAlignment="1" applyProtection="1">
      <alignment horizontal="right"/>
    </xf>
    <xf numFmtId="3" fontId="2" fillId="0" borderId="109" xfId="0" applyNumberFormat="1" applyFont="1" applyFill="1" applyBorder="1" applyAlignment="1" applyProtection="1">
      <alignment horizontal="right"/>
    </xf>
    <xf numFmtId="3" fontId="2" fillId="0" borderId="110" xfId="0" applyNumberFormat="1" applyFont="1" applyFill="1" applyBorder="1" applyAlignment="1" applyProtection="1">
      <alignment horizontal="right"/>
    </xf>
    <xf numFmtId="3" fontId="2" fillId="0" borderId="111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3" fontId="3" fillId="0" borderId="26" xfId="0" applyNumberFormat="1" applyFont="1" applyFill="1" applyBorder="1" applyAlignment="1" applyProtection="1">
      <alignment horizontal="center"/>
    </xf>
    <xf numFmtId="3" fontId="3" fillId="0" borderId="125" xfId="0" applyNumberFormat="1" applyFont="1" applyFill="1" applyBorder="1" applyAlignment="1" applyProtection="1">
      <alignment horizontal="right"/>
    </xf>
    <xf numFmtId="4" fontId="3" fillId="0" borderId="113" xfId="0" applyNumberFormat="1" applyFont="1" applyFill="1" applyBorder="1" applyProtection="1"/>
    <xf numFmtId="4" fontId="3" fillId="0" borderId="114" xfId="0" applyNumberFormat="1" applyFont="1" applyFill="1" applyBorder="1" applyAlignment="1" applyProtection="1">
      <alignment horizontal="right"/>
    </xf>
    <xf numFmtId="4" fontId="3" fillId="0" borderId="115" xfId="0" applyNumberFormat="1" applyFont="1" applyFill="1" applyBorder="1" applyAlignment="1" applyProtection="1">
      <alignment horizontal="right"/>
    </xf>
    <xf numFmtId="3" fontId="3" fillId="0" borderId="120" xfId="0" applyNumberFormat="1" applyFont="1" applyFill="1" applyBorder="1" applyAlignment="1" applyProtection="1">
      <alignment horizontal="center"/>
    </xf>
    <xf numFmtId="4" fontId="3" fillId="0" borderId="121" xfId="0" applyNumberFormat="1" applyFont="1" applyFill="1" applyBorder="1" applyAlignment="1" applyProtection="1">
      <alignment horizontal="right"/>
    </xf>
    <xf numFmtId="4" fontId="3" fillId="0" borderId="122" xfId="0" applyNumberFormat="1" applyFont="1" applyFill="1" applyBorder="1" applyAlignment="1" applyProtection="1">
      <alignment horizontal="right"/>
    </xf>
    <xf numFmtId="3" fontId="3" fillId="0" borderId="127" xfId="0" applyNumberFormat="1" applyFont="1" applyFill="1" applyBorder="1" applyAlignment="1" applyProtection="1">
      <alignment horizontal="right"/>
    </xf>
    <xf numFmtId="3" fontId="3" fillId="0" borderId="128" xfId="0" applyNumberFormat="1" applyFont="1" applyFill="1" applyBorder="1" applyAlignment="1" applyProtection="1">
      <alignment horizontal="right"/>
    </xf>
    <xf numFmtId="3" fontId="5" fillId="0" borderId="129" xfId="0" applyNumberFormat="1" applyFont="1" applyFill="1" applyBorder="1" applyAlignment="1" applyProtection="1">
      <alignment horizontal="right"/>
    </xf>
    <xf numFmtId="3" fontId="3" fillId="0" borderId="130" xfId="0" applyNumberFormat="1" applyFont="1" applyFill="1" applyBorder="1" applyAlignment="1" applyProtection="1">
      <alignment horizontal="right"/>
    </xf>
    <xf numFmtId="3" fontId="2" fillId="0" borderId="131" xfId="0" applyNumberFormat="1" applyFont="1" applyFill="1" applyBorder="1" applyAlignment="1" applyProtection="1">
      <alignment horizontal="right"/>
    </xf>
    <xf numFmtId="3" fontId="2" fillId="0" borderId="129" xfId="0" applyNumberFormat="1" applyFont="1" applyFill="1" applyBorder="1" applyAlignment="1" applyProtection="1">
      <alignment horizontal="right"/>
    </xf>
    <xf numFmtId="3" fontId="2" fillId="0" borderId="130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3" fontId="3" fillId="0" borderId="134" xfId="0" applyNumberFormat="1" applyFont="1" applyFill="1" applyBorder="1" applyAlignment="1" applyProtection="1">
      <alignment horizontal="right"/>
    </xf>
    <xf numFmtId="3" fontId="3" fillId="0" borderId="135" xfId="0" applyNumberFormat="1" applyFont="1" applyFill="1" applyBorder="1" applyAlignment="1" applyProtection="1">
      <alignment horizontal="right"/>
    </xf>
    <xf numFmtId="3" fontId="3" fillId="0" borderId="136" xfId="0" applyNumberFormat="1" applyFont="1" applyFill="1" applyBorder="1" applyAlignment="1" applyProtection="1">
      <alignment horizontal="right"/>
    </xf>
    <xf numFmtId="3" fontId="2" fillId="0" borderId="137" xfId="0" applyNumberFormat="1" applyFont="1" applyFill="1" applyBorder="1" applyAlignment="1" applyProtection="1">
      <alignment horizontal="right"/>
    </xf>
    <xf numFmtId="3" fontId="2" fillId="0" borderId="136" xfId="0" applyNumberFormat="1" applyFont="1" applyFill="1" applyBorder="1" applyAlignment="1" applyProtection="1">
      <alignment horizontal="right"/>
    </xf>
    <xf numFmtId="3" fontId="3" fillId="0" borderId="138" xfId="0" applyNumberFormat="1" applyFont="1" applyFill="1" applyBorder="1" applyAlignment="1" applyProtection="1">
      <alignment horizontal="right"/>
    </xf>
    <xf numFmtId="0" fontId="2" fillId="0" borderId="139" xfId="0" applyFont="1" applyFill="1" applyBorder="1" applyAlignment="1" applyProtection="1">
      <alignment horizontal="center"/>
    </xf>
    <xf numFmtId="3" fontId="3" fillId="0" borderId="140" xfId="0" applyNumberFormat="1" applyFont="1" applyFill="1" applyBorder="1" applyAlignment="1" applyProtection="1">
      <alignment horizontal="right"/>
    </xf>
    <xf numFmtId="3" fontId="2" fillId="0" borderId="140" xfId="0" applyNumberFormat="1" applyFont="1" applyFill="1" applyBorder="1" applyAlignment="1" applyProtection="1">
      <alignment horizontal="right"/>
    </xf>
    <xf numFmtId="4" fontId="2" fillId="0" borderId="23" xfId="0" applyNumberFormat="1" applyFont="1" applyFill="1" applyBorder="1" applyProtection="1"/>
    <xf numFmtId="4" fontId="2" fillId="0" borderId="101" xfId="0" applyNumberFormat="1" applyFont="1" applyFill="1" applyBorder="1" applyAlignment="1" applyProtection="1">
      <alignment horizontal="center"/>
    </xf>
    <xf numFmtId="4" fontId="2" fillId="0" borderId="101" xfId="0" applyNumberFormat="1" applyFont="1" applyFill="1" applyBorder="1" applyProtection="1"/>
    <xf numFmtId="4" fontId="3" fillId="0" borderId="141" xfId="0" applyNumberFormat="1" applyFont="1" applyFill="1" applyBorder="1" applyAlignment="1" applyProtection="1">
      <alignment horizontal="right"/>
    </xf>
    <xf numFmtId="3" fontId="3" fillId="0" borderId="142" xfId="0" applyNumberFormat="1" applyFont="1" applyFill="1" applyBorder="1" applyAlignment="1" applyProtection="1">
      <alignment horizontal="right"/>
    </xf>
    <xf numFmtId="3" fontId="3" fillId="0" borderId="143" xfId="0" applyNumberFormat="1" applyFont="1" applyFill="1" applyBorder="1" applyAlignment="1" applyProtection="1">
      <alignment horizontal="right"/>
    </xf>
    <xf numFmtId="3" fontId="3" fillId="0" borderId="144" xfId="0" applyNumberFormat="1" applyFont="1" applyFill="1" applyBorder="1" applyAlignment="1" applyProtection="1">
      <alignment horizontal="right"/>
    </xf>
    <xf numFmtId="3" fontId="2" fillId="0" borderId="144" xfId="0" applyNumberFormat="1" applyFont="1" applyFill="1" applyBorder="1" applyAlignment="1" applyProtection="1">
      <alignment horizontal="right"/>
    </xf>
    <xf numFmtId="4" fontId="2" fillId="0" borderId="102" xfId="0" applyNumberFormat="1" applyFont="1" applyFill="1" applyBorder="1" applyAlignment="1" applyProtection="1">
      <alignment horizontal="center"/>
    </xf>
    <xf numFmtId="4" fontId="2" fillId="0" borderId="103" xfId="0" applyNumberFormat="1" applyFont="1" applyFill="1" applyBorder="1" applyAlignment="1" applyProtection="1">
      <alignment horizontal="center"/>
    </xf>
    <xf numFmtId="4" fontId="2" fillId="0" borderId="102" xfId="0" applyNumberFormat="1" applyFont="1" applyFill="1" applyBorder="1" applyProtection="1"/>
    <xf numFmtId="3" fontId="3" fillId="0" borderId="141" xfId="0" applyNumberFormat="1" applyFont="1" applyFill="1" applyBorder="1" applyAlignment="1" applyProtection="1">
      <alignment horizontal="right"/>
    </xf>
    <xf numFmtId="3" fontId="3" fillId="0" borderId="145" xfId="0" applyNumberFormat="1" applyFont="1" applyFill="1" applyBorder="1" applyAlignment="1" applyProtection="1">
      <alignment horizontal="right"/>
    </xf>
    <xf numFmtId="3" fontId="3" fillId="0" borderId="146" xfId="0" applyNumberFormat="1" applyFont="1" applyFill="1" applyBorder="1" applyAlignment="1" applyProtection="1">
      <alignment horizontal="right"/>
    </xf>
    <xf numFmtId="3" fontId="3" fillId="0" borderId="147" xfId="0" applyNumberFormat="1" applyFont="1" applyFill="1" applyBorder="1" applyAlignment="1" applyProtection="1">
      <alignment horizontal="right"/>
    </xf>
    <xf numFmtId="3" fontId="3" fillId="0" borderId="148" xfId="0" applyNumberFormat="1" applyFont="1" applyFill="1" applyBorder="1" applyAlignment="1" applyProtection="1">
      <alignment horizontal="right"/>
    </xf>
    <xf numFmtId="3" fontId="3" fillId="0" borderId="149" xfId="0" applyNumberFormat="1" applyFont="1" applyFill="1" applyBorder="1" applyAlignment="1" applyProtection="1">
      <alignment horizontal="right"/>
    </xf>
    <xf numFmtId="3" fontId="3" fillId="0" borderId="150" xfId="0" applyNumberFormat="1" applyFont="1" applyFill="1" applyBorder="1" applyAlignment="1" applyProtection="1">
      <alignment horizontal="right"/>
    </xf>
    <xf numFmtId="3" fontId="2" fillId="0" borderId="151" xfId="0" applyNumberFormat="1" applyFont="1" applyFill="1" applyBorder="1" applyAlignment="1" applyProtection="1">
      <alignment horizontal="right"/>
    </xf>
    <xf numFmtId="3" fontId="2" fillId="0" borderId="149" xfId="0" applyNumberFormat="1" applyFont="1" applyFill="1" applyBorder="1" applyAlignment="1" applyProtection="1">
      <alignment horizontal="right"/>
    </xf>
    <xf numFmtId="3" fontId="3" fillId="0" borderId="152" xfId="0" applyNumberFormat="1" applyFont="1" applyFill="1" applyBorder="1" applyAlignment="1" applyProtection="1">
      <alignment horizontal="right"/>
    </xf>
    <xf numFmtId="3" fontId="3" fillId="0" borderId="153" xfId="0" applyNumberFormat="1" applyFont="1" applyFill="1" applyBorder="1" applyAlignment="1" applyProtection="1">
      <alignment horizontal="right"/>
    </xf>
    <xf numFmtId="3" fontId="3" fillId="0" borderId="103" xfId="0" applyNumberFormat="1" applyFont="1" applyFill="1" applyBorder="1" applyAlignment="1" applyProtection="1">
      <alignment horizontal="right"/>
    </xf>
    <xf numFmtId="3" fontId="2" fillId="0" borderId="154" xfId="0" applyNumberFormat="1" applyFont="1" applyFill="1" applyBorder="1" applyAlignment="1" applyProtection="1">
      <alignment horizontal="right"/>
    </xf>
    <xf numFmtId="3" fontId="2" fillId="0" borderId="155" xfId="0" applyNumberFormat="1" applyFont="1" applyFill="1" applyBorder="1" applyAlignment="1" applyProtection="1">
      <alignment horizontal="right"/>
    </xf>
    <xf numFmtId="3" fontId="2" fillId="0" borderId="156" xfId="0" applyNumberFormat="1" applyFont="1" applyFill="1" applyBorder="1" applyAlignment="1" applyProtection="1">
      <alignment horizontal="right"/>
    </xf>
    <xf numFmtId="0" fontId="2" fillId="0" borderId="104" xfId="0" applyFont="1" applyFill="1" applyBorder="1" applyAlignment="1" applyProtection="1">
      <alignment horizontal="center"/>
    </xf>
    <xf numFmtId="0" fontId="2" fillId="0" borderId="157" xfId="0" applyFont="1" applyFill="1" applyBorder="1" applyProtection="1"/>
    <xf numFmtId="3" fontId="3" fillId="0" borderId="158" xfId="0" applyNumberFormat="1" applyFont="1" applyFill="1" applyBorder="1" applyAlignment="1" applyProtection="1">
      <alignment horizontal="right"/>
    </xf>
    <xf numFmtId="3" fontId="3" fillId="0" borderId="159" xfId="0" applyNumberFormat="1" applyFont="1" applyFill="1" applyBorder="1" applyAlignment="1" applyProtection="1">
      <alignment horizontal="right"/>
    </xf>
    <xf numFmtId="3" fontId="3" fillId="0" borderId="160" xfId="0" applyNumberFormat="1" applyFont="1" applyFill="1" applyBorder="1" applyAlignment="1" applyProtection="1">
      <alignment horizontal="right"/>
    </xf>
    <xf numFmtId="3" fontId="3" fillId="0" borderId="161" xfId="0" applyNumberFormat="1" applyFont="1" applyFill="1" applyBorder="1" applyAlignment="1" applyProtection="1">
      <alignment horizontal="right"/>
    </xf>
    <xf numFmtId="3" fontId="2" fillId="0" borderId="160" xfId="0" applyNumberFormat="1" applyFont="1" applyFill="1" applyBorder="1" applyAlignment="1" applyProtection="1">
      <alignment horizontal="right"/>
    </xf>
    <xf numFmtId="0" fontId="2" fillId="0" borderId="101" xfId="0" applyFont="1" applyFill="1" applyBorder="1" applyAlignment="1" applyProtection="1">
      <alignment horizontal="center"/>
    </xf>
    <xf numFmtId="0" fontId="2" fillId="0" borderId="144" xfId="0" applyFont="1" applyFill="1" applyBorder="1" applyProtection="1"/>
    <xf numFmtId="0" fontId="2" fillId="0" borderId="162" xfId="0" applyFont="1" applyFill="1" applyBorder="1" applyProtection="1"/>
    <xf numFmtId="0" fontId="2" fillId="0" borderId="163" xfId="0" applyFont="1" applyFill="1" applyBorder="1" applyAlignment="1" applyProtection="1">
      <alignment horizontal="center"/>
    </xf>
    <xf numFmtId="0" fontId="2" fillId="0" borderId="162" xfId="0" applyFont="1" applyFill="1" applyBorder="1" applyAlignment="1" applyProtection="1">
      <alignment horizontal="center"/>
    </xf>
    <xf numFmtId="0" fontId="2" fillId="0" borderId="84" xfId="0" applyFont="1" applyFill="1" applyBorder="1" applyAlignment="1" applyProtection="1">
      <alignment horizontal="center"/>
    </xf>
    <xf numFmtId="0" fontId="3" fillId="0" borderId="164" xfId="0" applyFont="1" applyFill="1" applyBorder="1" applyProtection="1"/>
    <xf numFmtId="0" fontId="3" fillId="0" borderId="165" xfId="0" applyFont="1" applyFill="1" applyBorder="1" applyProtection="1"/>
    <xf numFmtId="0" fontId="3" fillId="0" borderId="166" xfId="0" applyFont="1" applyFill="1" applyBorder="1" applyProtection="1"/>
    <xf numFmtId="0" fontId="3" fillId="0" borderId="167" xfId="0" applyFont="1" applyFill="1" applyBorder="1" applyProtection="1"/>
    <xf numFmtId="0" fontId="3" fillId="0" borderId="168" xfId="0" applyFont="1" applyFill="1" applyBorder="1" applyProtection="1"/>
    <xf numFmtId="0" fontId="3" fillId="0" borderId="36" xfId="0" applyFont="1" applyFill="1" applyBorder="1" applyProtection="1"/>
    <xf numFmtId="4" fontId="3" fillId="0" borderId="169" xfId="0" applyNumberFormat="1" applyFont="1" applyFill="1" applyBorder="1" applyProtection="1"/>
    <xf numFmtId="4" fontId="3" fillId="0" borderId="164" xfId="0" applyNumberFormat="1" applyFont="1" applyFill="1" applyBorder="1" applyProtection="1"/>
    <xf numFmtId="4" fontId="3" fillId="0" borderId="36" xfId="0" applyNumberFormat="1" applyFont="1" applyFill="1" applyBorder="1" applyProtection="1"/>
    <xf numFmtId="4" fontId="3" fillId="0" borderId="168" xfId="0" applyNumberFormat="1" applyFont="1" applyFill="1" applyBorder="1" applyProtection="1"/>
    <xf numFmtId="4" fontId="2" fillId="0" borderId="36" xfId="0" applyNumberFormat="1" applyFont="1" applyFill="1" applyBorder="1" applyAlignment="1" applyProtection="1">
      <alignment horizontal="center"/>
    </xf>
    <xf numFmtId="4" fontId="3" fillId="0" borderId="170" xfId="0" applyNumberFormat="1" applyFont="1" applyFill="1" applyBorder="1" applyProtection="1"/>
    <xf numFmtId="4" fontId="3" fillId="0" borderId="171" xfId="0" applyNumberFormat="1" applyFont="1" applyFill="1" applyBorder="1" applyProtection="1"/>
    <xf numFmtId="4" fontId="3" fillId="0" borderId="172" xfId="0" applyNumberFormat="1" applyFont="1" applyFill="1" applyBorder="1" applyAlignment="1" applyProtection="1">
      <alignment horizontal="right"/>
    </xf>
    <xf numFmtId="4" fontId="3" fillId="0" borderId="173" xfId="0" applyNumberFormat="1" applyFont="1" applyFill="1" applyBorder="1" applyAlignment="1" applyProtection="1">
      <alignment horizontal="right"/>
    </xf>
    <xf numFmtId="49" fontId="3" fillId="0" borderId="112" xfId="0" applyNumberFormat="1" applyFont="1" applyFill="1" applyBorder="1" applyAlignment="1" applyProtection="1">
      <alignment horizontal="center"/>
    </xf>
    <xf numFmtId="49" fontId="3" fillId="0" borderId="118" xfId="0" applyNumberFormat="1" applyFont="1" applyFill="1" applyBorder="1" applyAlignment="1" applyProtection="1">
      <alignment horizontal="center"/>
    </xf>
    <xf numFmtId="49" fontId="3" fillId="0" borderId="119" xfId="0" applyNumberFormat="1" applyFont="1" applyFill="1" applyBorder="1" applyAlignment="1" applyProtection="1">
      <alignment horizontal="center"/>
    </xf>
    <xf numFmtId="3" fontId="3" fillId="0" borderId="174" xfId="0" applyNumberFormat="1" applyFont="1" applyFill="1" applyBorder="1" applyAlignment="1" applyProtection="1">
      <alignment horizontal="right"/>
    </xf>
    <xf numFmtId="3" fontId="2" fillId="0" borderId="175" xfId="0" applyNumberFormat="1" applyFont="1" applyFill="1" applyBorder="1" applyAlignment="1" applyProtection="1">
      <alignment horizontal="right"/>
    </xf>
    <xf numFmtId="3" fontId="2" fillId="0" borderId="176" xfId="0" applyNumberFormat="1" applyFont="1" applyFill="1" applyBorder="1" applyAlignment="1" applyProtection="1">
      <alignment horizontal="right"/>
    </xf>
    <xf numFmtId="3" fontId="2" fillId="0" borderId="177" xfId="0" applyNumberFormat="1" applyFont="1" applyFill="1" applyBorder="1" applyAlignment="1" applyProtection="1">
      <alignment horizontal="right"/>
    </xf>
    <xf numFmtId="0" fontId="2" fillId="0" borderId="178" xfId="0" applyFont="1" applyFill="1" applyBorder="1" applyProtection="1"/>
    <xf numFmtId="3" fontId="3" fillId="0" borderId="179" xfId="0" applyNumberFormat="1" applyFont="1" applyFill="1" applyBorder="1" applyAlignment="1" applyProtection="1">
      <alignment horizontal="right"/>
    </xf>
    <xf numFmtId="0" fontId="13" fillId="0" borderId="0" xfId="0" applyFont="1" applyFill="1"/>
    <xf numFmtId="0" fontId="3" fillId="0" borderId="27" xfId="0" applyFont="1" applyFill="1" applyBorder="1" applyAlignment="1" applyProtection="1">
      <alignment horizontal="left" shrinkToFit="1"/>
    </xf>
    <xf numFmtId="0" fontId="13" fillId="0" borderId="0" xfId="0" applyFont="1" applyFill="1" applyBorder="1"/>
    <xf numFmtId="0" fontId="3" fillId="0" borderId="181" xfId="0" applyFont="1" applyFill="1" applyBorder="1" applyAlignment="1" applyProtection="1">
      <alignment horizontal="left" shrinkToFit="1"/>
    </xf>
    <xf numFmtId="0" fontId="13" fillId="0" borderId="0" xfId="0" applyFont="1" applyFill="1" applyProtection="1"/>
    <xf numFmtId="4" fontId="13" fillId="0" borderId="0" xfId="0" applyNumberFormat="1" applyFont="1" applyFill="1"/>
    <xf numFmtId="3" fontId="3" fillId="0" borderId="74" xfId="0" applyNumberFormat="1" applyFont="1" applyFill="1" applyBorder="1" applyAlignment="1" applyProtection="1">
      <alignment horizontal="right"/>
    </xf>
    <xf numFmtId="3" fontId="3" fillId="0" borderId="81" xfId="0" applyNumberFormat="1" applyFont="1" applyFill="1" applyBorder="1" applyAlignment="1" applyProtection="1">
      <alignment horizontal="right"/>
    </xf>
    <xf numFmtId="3" fontId="3" fillId="0" borderId="73" xfId="0" applyNumberFormat="1" applyFont="1" applyFill="1" applyBorder="1" applyAlignment="1" applyProtection="1">
      <alignment horizontal="right"/>
    </xf>
    <xf numFmtId="3" fontId="3" fillId="0" borderId="182" xfId="0" applyNumberFormat="1" applyFont="1" applyFill="1" applyBorder="1" applyAlignment="1" applyProtection="1">
      <alignment horizontal="right"/>
    </xf>
    <xf numFmtId="4" fontId="2" fillId="0" borderId="168" xfId="0" applyNumberFormat="1" applyFont="1" applyFill="1" applyBorder="1" applyAlignment="1" applyProtection="1">
      <alignment horizontal="right"/>
    </xf>
    <xf numFmtId="4" fontId="2" fillId="0" borderId="183" xfId="0" applyNumberFormat="1" applyFont="1" applyFill="1" applyBorder="1" applyAlignment="1" applyProtection="1">
      <alignment horizontal="right"/>
    </xf>
    <xf numFmtId="4" fontId="2" fillId="0" borderId="184" xfId="0" applyNumberFormat="1" applyFont="1" applyFill="1" applyBorder="1" applyAlignment="1" applyProtection="1">
      <alignment horizontal="right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36" xfId="0" applyNumberFormat="1" applyFont="1" applyFill="1" applyBorder="1" applyAlignment="1" applyProtection="1">
      <alignment horizontal="right"/>
    </xf>
    <xf numFmtId="4" fontId="2" fillId="0" borderId="166" xfId="0" applyNumberFormat="1" applyFont="1" applyFill="1" applyBorder="1" applyAlignment="1" applyProtection="1">
      <alignment horizontal="right"/>
    </xf>
    <xf numFmtId="4" fontId="2" fillId="0" borderId="185" xfId="0" applyNumberFormat="1" applyFont="1" applyFill="1" applyBorder="1" applyAlignment="1" applyProtection="1">
      <alignment horizontal="right"/>
    </xf>
    <xf numFmtId="4" fontId="2" fillId="0" borderId="80" xfId="0" applyNumberFormat="1" applyFont="1" applyFill="1" applyBorder="1" applyAlignment="1" applyProtection="1">
      <alignment horizontal="right"/>
    </xf>
    <xf numFmtId="4" fontId="2" fillId="0" borderId="13" xfId="0" applyNumberFormat="1" applyFont="1" applyFill="1" applyBorder="1" applyAlignment="1" applyProtection="1">
      <alignment horizontal="right"/>
    </xf>
    <xf numFmtId="4" fontId="2" fillId="0" borderId="14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right"/>
    </xf>
    <xf numFmtId="4" fontId="2" fillId="0" borderId="83" xfId="0" applyNumberFormat="1" applyFont="1" applyFill="1" applyBorder="1" applyAlignment="1" applyProtection="1">
      <alignment horizontal="right"/>
    </xf>
    <xf numFmtId="4" fontId="3" fillId="0" borderId="22" xfId="0" applyNumberFormat="1" applyFont="1" applyFill="1" applyBorder="1" applyAlignment="1" applyProtection="1">
      <alignment horizontal="right"/>
    </xf>
    <xf numFmtId="4" fontId="3" fillId="0" borderId="186" xfId="0" applyNumberFormat="1" applyFont="1" applyFill="1" applyBorder="1" applyAlignment="1" applyProtection="1">
      <alignment horizontal="right"/>
    </xf>
    <xf numFmtId="4" fontId="3" fillId="0" borderId="68" xfId="0" applyNumberFormat="1" applyFont="1" applyFill="1" applyBorder="1" applyAlignment="1" applyProtection="1">
      <alignment horizontal="right"/>
    </xf>
    <xf numFmtId="4" fontId="3" fillId="0" borderId="13" xfId="0" applyNumberFormat="1" applyFont="1" applyFill="1" applyBorder="1" applyAlignment="1" applyProtection="1">
      <alignment horizontal="right"/>
    </xf>
    <xf numFmtId="4" fontId="3" fillId="0" borderId="11" xfId="0" applyNumberFormat="1" applyFont="1" applyFill="1" applyBorder="1" applyAlignment="1" applyProtection="1">
      <alignment horizontal="right"/>
    </xf>
    <xf numFmtId="4" fontId="3" fillId="0" borderId="23" xfId="0" applyNumberFormat="1" applyFont="1" applyFill="1" applyBorder="1" applyAlignment="1" applyProtection="1">
      <alignment horizontal="right"/>
    </xf>
    <xf numFmtId="4" fontId="3" fillId="0" borderId="21" xfId="0" applyNumberFormat="1" applyFont="1" applyFill="1" applyBorder="1" applyAlignment="1" applyProtection="1">
      <alignment horizontal="right"/>
    </xf>
    <xf numFmtId="4" fontId="3" fillId="0" borderId="70" xfId="0" applyNumberFormat="1" applyFont="1" applyFill="1" applyBorder="1" applyAlignment="1" applyProtection="1">
      <alignment horizontal="right"/>
    </xf>
    <xf numFmtId="4" fontId="3" fillId="0" borderId="185" xfId="0" applyNumberFormat="1" applyFont="1" applyFill="1" applyBorder="1" applyAlignment="1" applyProtection="1">
      <alignment horizontal="right"/>
    </xf>
    <xf numFmtId="0" fontId="2" fillId="0" borderId="187" xfId="0" applyFont="1" applyFill="1" applyBorder="1" applyAlignment="1" applyProtection="1">
      <alignment horizontal="center"/>
    </xf>
    <xf numFmtId="0" fontId="2" fillId="0" borderId="60" xfId="0" applyFont="1" applyFill="1" applyBorder="1" applyAlignment="1" applyProtection="1">
      <alignment horizontal="center"/>
    </xf>
    <xf numFmtId="3" fontId="3" fillId="0" borderId="180" xfId="0" applyNumberFormat="1" applyFont="1" applyFill="1" applyBorder="1" applyAlignment="1" applyProtection="1">
      <alignment horizontal="center"/>
    </xf>
    <xf numFmtId="4" fontId="3" fillId="0" borderId="27" xfId="0" applyNumberFormat="1" applyFont="1" applyFill="1" applyBorder="1" applyAlignment="1" applyProtection="1">
      <alignment horizontal="left" shrinkToFit="1"/>
    </xf>
    <xf numFmtId="4" fontId="3" fillId="0" borderId="27" xfId="0" applyNumberFormat="1" applyFont="1" applyFill="1" applyBorder="1" applyAlignment="1" applyProtection="1">
      <alignment horizontal="right"/>
    </xf>
    <xf numFmtId="4" fontId="3" fillId="0" borderId="182" xfId="0" applyNumberFormat="1" applyFont="1" applyFill="1" applyBorder="1" applyAlignment="1" applyProtection="1">
      <alignment horizontal="right"/>
    </xf>
    <xf numFmtId="4" fontId="17" fillId="0" borderId="72" xfId="0" applyNumberFormat="1" applyFont="1" applyFill="1" applyBorder="1" applyAlignment="1" applyProtection="1">
      <alignment horizontal="right"/>
    </xf>
    <xf numFmtId="4" fontId="3" fillId="0" borderId="63" xfId="0" applyNumberFormat="1" applyFont="1" applyFill="1" applyBorder="1" applyAlignment="1" applyProtection="1">
      <alignment horizontal="right"/>
    </xf>
    <xf numFmtId="4" fontId="3" fillId="0" borderId="188" xfId="0" applyNumberFormat="1" applyFont="1" applyFill="1" applyBorder="1" applyAlignment="1" applyProtection="1">
      <alignment horizontal="right"/>
    </xf>
    <xf numFmtId="4" fontId="3" fillId="0" borderId="189" xfId="0" applyNumberFormat="1" applyFont="1" applyFill="1" applyBorder="1" applyAlignment="1" applyProtection="1">
      <alignment horizontal="right"/>
    </xf>
    <xf numFmtId="4" fontId="3" fillId="0" borderId="190" xfId="0" applyNumberFormat="1" applyFont="1" applyFill="1" applyBorder="1" applyAlignment="1" applyProtection="1">
      <alignment horizontal="right"/>
    </xf>
    <xf numFmtId="4" fontId="3" fillId="0" borderId="43" xfId="0" applyNumberFormat="1" applyFont="1" applyFill="1" applyBorder="1" applyAlignment="1" applyProtection="1">
      <alignment horizontal="right"/>
    </xf>
    <xf numFmtId="4" fontId="3" fillId="0" borderId="191" xfId="0" applyNumberFormat="1" applyFont="1" applyFill="1" applyBorder="1" applyAlignment="1" applyProtection="1">
      <alignment horizontal="right"/>
    </xf>
    <xf numFmtId="4" fontId="3" fillId="0" borderId="192" xfId="0" applyNumberFormat="1" applyFont="1" applyFill="1" applyBorder="1" applyAlignment="1" applyProtection="1">
      <alignment horizontal="right"/>
    </xf>
    <xf numFmtId="4" fontId="3" fillId="0" borderId="193" xfId="0" applyNumberFormat="1" applyFont="1" applyFill="1" applyBorder="1" applyAlignment="1" applyProtection="1">
      <alignment horizontal="right"/>
    </xf>
    <xf numFmtId="4" fontId="2" fillId="0" borderId="194" xfId="0" applyNumberFormat="1" applyFont="1" applyFill="1" applyBorder="1" applyAlignment="1" applyProtection="1">
      <alignment horizontal="right"/>
    </xf>
    <xf numFmtId="4" fontId="2" fillId="0" borderId="195" xfId="0" applyNumberFormat="1" applyFont="1" applyFill="1" applyBorder="1" applyAlignment="1" applyProtection="1">
      <alignment horizontal="right"/>
    </xf>
    <xf numFmtId="4" fontId="2" fillId="0" borderId="196" xfId="0" applyNumberFormat="1" applyFont="1" applyFill="1" applyBorder="1" applyAlignment="1" applyProtection="1">
      <alignment horizontal="right"/>
    </xf>
    <xf numFmtId="4" fontId="2" fillId="0" borderId="197" xfId="0" applyNumberFormat="1" applyFont="1" applyFill="1" applyBorder="1" applyAlignment="1" applyProtection="1">
      <alignment horizontal="right"/>
    </xf>
    <xf numFmtId="4" fontId="2" fillId="0" borderId="198" xfId="0" applyNumberFormat="1" applyFont="1" applyFill="1" applyBorder="1" applyAlignment="1" applyProtection="1">
      <alignment horizontal="right"/>
    </xf>
    <xf numFmtId="4" fontId="2" fillId="0" borderId="199" xfId="0" applyNumberFormat="1" applyFont="1" applyFill="1" applyBorder="1" applyAlignment="1" applyProtection="1">
      <alignment horizontal="right"/>
    </xf>
    <xf numFmtId="4" fontId="3" fillId="0" borderId="153" xfId="0" applyNumberFormat="1" applyFont="1" applyFill="1" applyBorder="1" applyAlignment="1" applyProtection="1">
      <alignment horizontal="right"/>
    </xf>
    <xf numFmtId="4" fontId="5" fillId="0" borderId="200" xfId="0" applyNumberFormat="1" applyFont="1" applyFill="1" applyBorder="1" applyAlignment="1" applyProtection="1">
      <alignment horizontal="right"/>
    </xf>
    <xf numFmtId="4" fontId="2" fillId="0" borderId="46" xfId="0" applyNumberFormat="1" applyFont="1" applyFill="1" applyBorder="1" applyAlignment="1" applyProtection="1">
      <alignment horizontal="right"/>
    </xf>
    <xf numFmtId="4" fontId="3" fillId="0" borderId="201" xfId="0" applyNumberFormat="1" applyFont="1" applyFill="1" applyBorder="1" applyAlignment="1" applyProtection="1">
      <alignment horizontal="right"/>
    </xf>
    <xf numFmtId="4" fontId="3" fillId="0" borderId="202" xfId="0" applyNumberFormat="1" applyFont="1" applyFill="1" applyBorder="1" applyAlignment="1" applyProtection="1">
      <alignment horizontal="right"/>
    </xf>
    <xf numFmtId="4" fontId="3" fillId="0" borderId="203" xfId="0" applyNumberFormat="1" applyFont="1" applyFill="1" applyBorder="1" applyAlignment="1" applyProtection="1">
      <alignment horizontal="right"/>
    </xf>
    <xf numFmtId="4" fontId="2" fillId="0" borderId="59" xfId="0" applyNumberFormat="1" applyFont="1" applyFill="1" applyBorder="1" applyAlignment="1" applyProtection="1">
      <alignment horizontal="right"/>
    </xf>
    <xf numFmtId="4" fontId="2" fillId="0" borderId="204" xfId="0" applyNumberFormat="1" applyFont="1" applyFill="1" applyBorder="1" applyAlignment="1" applyProtection="1">
      <alignment horizontal="right"/>
    </xf>
    <xf numFmtId="4" fontId="2" fillId="0" borderId="205" xfId="0" applyNumberFormat="1" applyFont="1" applyFill="1" applyBorder="1" applyAlignment="1" applyProtection="1">
      <alignment horizontal="right"/>
    </xf>
    <xf numFmtId="4" fontId="2" fillId="0" borderId="206" xfId="0" applyNumberFormat="1" applyFont="1" applyFill="1" applyBorder="1" applyAlignment="1" applyProtection="1">
      <alignment horizontal="right"/>
    </xf>
    <xf numFmtId="4" fontId="2" fillId="0" borderId="207" xfId="0" applyNumberFormat="1" applyFont="1" applyFill="1" applyBorder="1" applyAlignment="1" applyProtection="1">
      <alignment horizontal="right"/>
    </xf>
    <xf numFmtId="4" fontId="2" fillId="0" borderId="208" xfId="0" applyNumberFormat="1" applyFont="1" applyFill="1" applyBorder="1" applyAlignment="1" applyProtection="1">
      <alignment horizontal="right"/>
    </xf>
    <xf numFmtId="4" fontId="3" fillId="0" borderId="209" xfId="0" applyNumberFormat="1" applyFont="1" applyFill="1" applyBorder="1" applyAlignment="1" applyProtection="1">
      <alignment horizontal="right"/>
    </xf>
    <xf numFmtId="4" fontId="4" fillId="0" borderId="116" xfId="0" applyNumberFormat="1" applyFont="1" applyFill="1" applyBorder="1" applyAlignment="1" applyProtection="1">
      <alignment horizontal="right"/>
    </xf>
    <xf numFmtId="4" fontId="4" fillId="0" borderId="209" xfId="0" applyNumberFormat="1" applyFont="1" applyFill="1" applyBorder="1" applyAlignment="1" applyProtection="1">
      <alignment horizontal="right"/>
    </xf>
    <xf numFmtId="4" fontId="4" fillId="0" borderId="146" xfId="0" applyNumberFormat="1" applyFont="1" applyFill="1" applyBorder="1" applyAlignment="1" applyProtection="1">
      <alignment horizontal="right"/>
    </xf>
    <xf numFmtId="4" fontId="4" fillId="0" borderId="132" xfId="0" applyNumberFormat="1" applyFont="1" applyFill="1" applyBorder="1" applyAlignment="1" applyProtection="1">
      <alignment horizontal="right"/>
    </xf>
    <xf numFmtId="4" fontId="4" fillId="0" borderId="210" xfId="0" applyNumberFormat="1" applyFont="1" applyFill="1" applyBorder="1" applyAlignment="1" applyProtection="1">
      <alignment horizontal="right"/>
    </xf>
    <xf numFmtId="4" fontId="4" fillId="0" borderId="211" xfId="0" applyNumberFormat="1" applyFont="1" applyFill="1" applyBorder="1" applyAlignment="1" applyProtection="1">
      <alignment horizontal="right"/>
    </xf>
    <xf numFmtId="4" fontId="4" fillId="0" borderId="39" xfId="0" applyNumberFormat="1" applyFont="1" applyFill="1" applyBorder="1" applyAlignment="1" applyProtection="1">
      <alignment horizontal="right"/>
    </xf>
    <xf numFmtId="4" fontId="3" fillId="0" borderId="85" xfId="0" applyNumberFormat="1" applyFont="1" applyFill="1" applyBorder="1" applyAlignment="1" applyProtection="1">
      <alignment horizontal="right"/>
    </xf>
    <xf numFmtId="4" fontId="3" fillId="0" borderId="212" xfId="0" applyNumberFormat="1" applyFont="1" applyFill="1" applyBorder="1" applyAlignment="1" applyProtection="1">
      <alignment horizontal="right"/>
    </xf>
    <xf numFmtId="4" fontId="4" fillId="0" borderId="86" xfId="0" applyNumberFormat="1" applyFont="1" applyFill="1" applyBorder="1" applyAlignment="1" applyProtection="1">
      <alignment horizontal="right"/>
    </xf>
    <xf numFmtId="4" fontId="4" fillId="0" borderId="212" xfId="0" applyNumberFormat="1" applyFont="1" applyFill="1" applyBorder="1" applyAlignment="1" applyProtection="1">
      <alignment horizontal="right"/>
    </xf>
    <xf numFmtId="4" fontId="4" fillId="0" borderId="147" xfId="0" applyNumberFormat="1" applyFont="1" applyFill="1" applyBorder="1" applyAlignment="1" applyProtection="1">
      <alignment horizontal="right"/>
    </xf>
    <xf numFmtId="4" fontId="4" fillId="0" borderId="86" xfId="0" applyNumberFormat="1" applyFont="1" applyFill="1" applyBorder="1"/>
    <xf numFmtId="4" fontId="4" fillId="0" borderId="201" xfId="0" applyNumberFormat="1" applyFont="1" applyFill="1" applyBorder="1" applyAlignment="1" applyProtection="1">
      <alignment horizontal="right"/>
    </xf>
    <xf numFmtId="4" fontId="4" fillId="0" borderId="72" xfId="0" applyNumberFormat="1" applyFont="1" applyFill="1" applyBorder="1" applyAlignment="1" applyProtection="1">
      <alignment horizontal="right"/>
    </xf>
    <xf numFmtId="4" fontId="4" fillId="0" borderId="88" xfId="0" applyNumberFormat="1" applyFont="1" applyFill="1" applyBorder="1" applyAlignment="1" applyProtection="1">
      <alignment horizontal="right"/>
    </xf>
    <xf numFmtId="4" fontId="3" fillId="0" borderId="123" xfId="0" applyNumberFormat="1" applyFont="1" applyFill="1" applyBorder="1" applyAlignment="1" applyProtection="1">
      <alignment horizontal="right"/>
    </xf>
    <xf numFmtId="4" fontId="3" fillId="0" borderId="213" xfId="0" applyNumberFormat="1" applyFont="1" applyFill="1" applyBorder="1" applyAlignment="1" applyProtection="1">
      <alignment horizontal="right"/>
    </xf>
    <xf numFmtId="4" fontId="4" fillId="0" borderId="124" xfId="0" applyNumberFormat="1" applyFont="1" applyFill="1" applyBorder="1" applyAlignment="1" applyProtection="1">
      <alignment horizontal="right"/>
    </xf>
    <xf numFmtId="4" fontId="4" fillId="0" borderId="213" xfId="0" applyNumberFormat="1" applyFont="1" applyFill="1" applyBorder="1" applyAlignment="1" applyProtection="1">
      <alignment horizontal="right"/>
    </xf>
    <xf numFmtId="4" fontId="4" fillId="0" borderId="174" xfId="0" applyNumberFormat="1" applyFont="1" applyFill="1" applyBorder="1" applyAlignment="1" applyProtection="1">
      <alignment horizontal="right"/>
    </xf>
    <xf numFmtId="4" fontId="4" fillId="0" borderId="133" xfId="0" applyNumberFormat="1" applyFont="1" applyFill="1" applyBorder="1" applyAlignment="1" applyProtection="1">
      <alignment horizontal="right"/>
    </xf>
    <xf numFmtId="4" fontId="4" fillId="0" borderId="124" xfId="0" applyNumberFormat="1" applyFont="1" applyFill="1" applyBorder="1"/>
    <xf numFmtId="4" fontId="4" fillId="0" borderId="214" xfId="0" applyNumberFormat="1" applyFont="1" applyFill="1" applyBorder="1" applyAlignment="1" applyProtection="1">
      <alignment horizontal="right"/>
    </xf>
    <xf numFmtId="4" fontId="4" fillId="0" borderId="215" xfId="0" applyNumberFormat="1" applyFont="1" applyFill="1" applyBorder="1" applyAlignment="1" applyProtection="1">
      <alignment horizontal="right"/>
    </xf>
    <xf numFmtId="4" fontId="4" fillId="0" borderId="126" xfId="0" applyNumberFormat="1" applyFont="1" applyFill="1" applyBorder="1" applyAlignment="1" applyProtection="1">
      <alignment horizontal="right"/>
    </xf>
    <xf numFmtId="4" fontId="3" fillId="0" borderId="51" xfId="0" applyNumberFormat="1" applyFont="1" applyFill="1" applyBorder="1" applyAlignment="1" applyProtection="1">
      <alignment horizontal="right"/>
    </xf>
    <xf numFmtId="4" fontId="3" fillId="0" borderId="52" xfId="0" applyNumberFormat="1" applyFont="1" applyFill="1" applyBorder="1" applyAlignment="1" applyProtection="1">
      <alignment horizontal="right"/>
    </xf>
    <xf numFmtId="4" fontId="3" fillId="0" borderId="9" xfId="0" applyNumberFormat="1" applyFont="1" applyFill="1" applyBorder="1" applyAlignment="1" applyProtection="1">
      <alignment horizontal="right"/>
    </xf>
    <xf numFmtId="4" fontId="3" fillId="0" borderId="216" xfId="0" applyNumberFormat="1" applyFont="1" applyFill="1" applyBorder="1" applyAlignment="1" applyProtection="1">
      <alignment horizontal="right"/>
    </xf>
    <xf numFmtId="4" fontId="3" fillId="0" borderId="177" xfId="0" applyNumberFormat="1" applyFont="1" applyFill="1" applyBorder="1" applyAlignment="1" applyProtection="1">
      <alignment horizontal="right"/>
    </xf>
    <xf numFmtId="4" fontId="3" fillId="0" borderId="16" xfId="0" applyNumberFormat="1" applyFont="1" applyFill="1" applyBorder="1" applyAlignment="1" applyProtection="1">
      <alignment horizontal="right"/>
    </xf>
    <xf numFmtId="4" fontId="16" fillId="0" borderId="0" xfId="0" applyNumberFormat="1" applyFont="1" applyFill="1"/>
    <xf numFmtId="4" fontId="3" fillId="0" borderId="217" xfId="0" applyNumberFormat="1" applyFont="1" applyFill="1" applyBorder="1" applyAlignment="1" applyProtection="1">
      <alignment horizontal="right"/>
    </xf>
    <xf numFmtId="0" fontId="0" fillId="0" borderId="0" xfId="0" applyAlignment="1">
      <alignment wrapText="1"/>
    </xf>
    <xf numFmtId="4" fontId="4" fillId="0" borderId="128" xfId="0" applyNumberFormat="1" applyFont="1" applyFill="1" applyBorder="1" applyAlignment="1" applyProtection="1">
      <alignment horizontal="right"/>
    </xf>
    <xf numFmtId="4" fontId="4" fillId="0" borderId="117" xfId="0" applyNumberFormat="1" applyFont="1" applyFill="1" applyBorder="1" applyAlignment="1" applyProtection="1">
      <alignment horizontal="right"/>
    </xf>
    <xf numFmtId="4" fontId="4" fillId="0" borderId="87" xfId="0" applyNumberFormat="1" applyFont="1" applyFill="1" applyBorder="1" applyAlignment="1" applyProtection="1">
      <alignment horizontal="right"/>
    </xf>
    <xf numFmtId="4" fontId="4" fillId="0" borderId="125" xfId="0" applyNumberFormat="1" applyFont="1" applyFill="1" applyBorder="1" applyAlignment="1" applyProtection="1">
      <alignment horizontal="right"/>
    </xf>
    <xf numFmtId="0" fontId="3" fillId="0" borderId="218" xfId="0" applyFont="1" applyFill="1" applyBorder="1" applyAlignment="1" applyProtection="1">
      <alignment horizontal="center"/>
    </xf>
    <xf numFmtId="0" fontId="3" fillId="0" borderId="219" xfId="0" applyFont="1" applyFill="1" applyBorder="1" applyAlignment="1" applyProtection="1">
      <alignment horizontal="center"/>
    </xf>
    <xf numFmtId="0" fontId="3" fillId="0" borderId="220" xfId="0" applyFont="1" applyFill="1" applyBorder="1" applyAlignment="1" applyProtection="1">
      <alignment horizontal="left" shrinkToFit="1"/>
    </xf>
    <xf numFmtId="3" fontId="3" fillId="0" borderId="219" xfId="0" applyNumberFormat="1" applyFont="1" applyFill="1" applyBorder="1" applyAlignment="1" applyProtection="1">
      <alignment horizontal="right"/>
    </xf>
    <xf numFmtId="3" fontId="3" fillId="0" borderId="221" xfId="0" applyNumberFormat="1" applyFont="1" applyFill="1" applyBorder="1" applyAlignment="1" applyProtection="1">
      <alignment horizontal="right"/>
    </xf>
    <xf numFmtId="3" fontId="3" fillId="0" borderId="222" xfId="0" applyNumberFormat="1" applyFont="1" applyFill="1" applyBorder="1" applyAlignment="1" applyProtection="1">
      <alignment horizontal="right"/>
    </xf>
    <xf numFmtId="3" fontId="3" fillId="0" borderId="92" xfId="0" applyNumberFormat="1" applyFont="1" applyFill="1" applyBorder="1" applyAlignment="1" applyProtection="1">
      <alignment horizontal="right"/>
    </xf>
    <xf numFmtId="3" fontId="3" fillId="0" borderId="94" xfId="0" applyNumberFormat="1" applyFont="1" applyFill="1" applyBorder="1" applyAlignment="1" applyProtection="1">
      <alignment horizontal="right"/>
    </xf>
    <xf numFmtId="3" fontId="3" fillId="0" borderId="129" xfId="0" applyNumberFormat="1" applyFont="1" applyFill="1" applyBorder="1" applyAlignment="1" applyProtection="1">
      <alignment horizontal="right"/>
    </xf>
    <xf numFmtId="3" fontId="3" fillId="0" borderId="93" xfId="0" applyNumberFormat="1" applyFont="1" applyFill="1" applyBorder="1" applyAlignment="1" applyProtection="1">
      <alignment horizontal="right"/>
    </xf>
    <xf numFmtId="3" fontId="3" fillId="0" borderId="48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Alignment="1" applyProtection="1">
      <alignment horizontal="right"/>
    </xf>
    <xf numFmtId="0" fontId="2" fillId="0" borderId="84" xfId="0" applyFont="1" applyFill="1" applyBorder="1" applyAlignment="1" applyProtection="1">
      <alignment horizontal="center"/>
    </xf>
    <xf numFmtId="0" fontId="0" fillId="0" borderId="162" xfId="0" applyFill="1" applyBorder="1" applyAlignment="1">
      <alignment horizontal="center"/>
    </xf>
    <xf numFmtId="0" fontId="2" fillId="0" borderId="64" xfId="0" applyFont="1" applyFill="1" applyBorder="1" applyAlignment="1" applyProtection="1">
      <alignment horizontal="center"/>
    </xf>
    <xf numFmtId="0" fontId="13" fillId="0" borderId="2" xfId="0" applyFont="1" applyFill="1" applyBorder="1" applyAlignment="1">
      <alignment horizontal="center"/>
    </xf>
  </cellXfs>
  <cellStyles count="2">
    <cellStyle name="Nedefinován" xfId="1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K42"/>
  <sheetViews>
    <sheetView tabSelected="1" zoomScale="75" zoomScaleNormal="75" zoomScaleSheetLayoutView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12.6640625" defaultRowHeight="15"/>
  <cols>
    <col min="1" max="1" width="5" style="8" customWidth="1"/>
    <col min="2" max="2" width="7.5546875" style="8" customWidth="1"/>
    <col min="3" max="3" width="51.6640625" style="8" customWidth="1"/>
    <col min="4" max="4" width="16.88671875" style="8" bestFit="1" customWidth="1"/>
    <col min="5" max="6" width="14.77734375" style="8" customWidth="1"/>
    <col min="7" max="7" width="16.88671875" style="8" bestFit="1" customWidth="1"/>
    <col min="8" max="29" width="14.77734375" style="8" customWidth="1"/>
    <col min="30" max="16384" width="12.6640625" style="8"/>
  </cols>
  <sheetData>
    <row r="1" spans="1:29" ht="18" customHeight="1">
      <c r="A1" s="293"/>
      <c r="B1" s="267"/>
      <c r="C1" s="268"/>
      <c r="D1" s="269" t="s">
        <v>0</v>
      </c>
      <c r="E1" s="411" t="s">
        <v>1</v>
      </c>
      <c r="F1" s="412"/>
      <c r="G1" s="270" t="s">
        <v>2</v>
      </c>
      <c r="H1" s="271"/>
      <c r="I1" s="272"/>
      <c r="J1" s="273"/>
      <c r="K1" s="274"/>
      <c r="L1" s="275"/>
      <c r="M1" s="276"/>
      <c r="N1" s="276"/>
      <c r="O1" s="275"/>
      <c r="P1" s="277"/>
      <c r="Q1" s="278"/>
      <c r="R1" s="279"/>
      <c r="S1" s="280"/>
      <c r="T1" s="281"/>
      <c r="U1" s="280"/>
      <c r="V1" s="279"/>
      <c r="W1" s="277"/>
      <c r="X1" s="278"/>
      <c r="Y1" s="282"/>
      <c r="Z1" s="282"/>
      <c r="AA1" s="282"/>
      <c r="AB1" s="282"/>
      <c r="AC1" s="283"/>
    </row>
    <row r="2" spans="1:29" ht="18" customHeight="1">
      <c r="A2" s="9" t="s">
        <v>3</v>
      </c>
      <c r="B2" s="10" t="s">
        <v>4</v>
      </c>
      <c r="C2" s="11" t="s">
        <v>5</v>
      </c>
      <c r="D2" s="10" t="s">
        <v>6</v>
      </c>
      <c r="E2" s="12" t="s">
        <v>7</v>
      </c>
      <c r="F2" s="13" t="s">
        <v>8</v>
      </c>
      <c r="G2" s="14" t="s">
        <v>9</v>
      </c>
      <c r="H2" s="265" t="s">
        <v>10</v>
      </c>
      <c r="I2" s="258" t="s">
        <v>11</v>
      </c>
      <c r="J2" s="222" t="s">
        <v>12</v>
      </c>
      <c r="K2" s="229" t="s">
        <v>13</v>
      </c>
      <c r="L2" s="13" t="s">
        <v>14</v>
      </c>
      <c r="M2" s="16" t="s">
        <v>15</v>
      </c>
      <c r="N2" s="16" t="s">
        <v>16</v>
      </c>
      <c r="O2" s="13" t="s">
        <v>17</v>
      </c>
      <c r="P2" s="17" t="s">
        <v>18</v>
      </c>
      <c r="Q2" s="233" t="s">
        <v>19</v>
      </c>
      <c r="R2" s="19" t="s">
        <v>20</v>
      </c>
      <c r="S2" s="18" t="s">
        <v>21</v>
      </c>
      <c r="T2" s="19" t="s">
        <v>22</v>
      </c>
      <c r="U2" s="18" t="s">
        <v>23</v>
      </c>
      <c r="V2" s="19" t="s">
        <v>24</v>
      </c>
      <c r="W2" s="17" t="s">
        <v>25</v>
      </c>
      <c r="X2" s="233" t="s">
        <v>26</v>
      </c>
      <c r="Y2" s="240" t="s">
        <v>27</v>
      </c>
      <c r="Z2" s="240" t="s">
        <v>28</v>
      </c>
      <c r="AA2" s="240" t="s">
        <v>29</v>
      </c>
      <c r="AB2" s="240" t="s">
        <v>30</v>
      </c>
      <c r="AC2" s="241" t="s">
        <v>31</v>
      </c>
    </row>
    <row r="3" spans="1:29" ht="18" customHeight="1" thickBot="1">
      <c r="A3" s="21"/>
      <c r="B3" s="22"/>
      <c r="C3" s="23"/>
      <c r="D3" s="24" t="s">
        <v>32</v>
      </c>
      <c r="E3" s="25"/>
      <c r="F3" s="26" t="s">
        <v>33</v>
      </c>
      <c r="G3" s="27" t="s">
        <v>32</v>
      </c>
      <c r="H3" s="266"/>
      <c r="I3" s="259"/>
      <c r="J3" s="222" t="s">
        <v>34</v>
      </c>
      <c r="K3" s="229" t="s">
        <v>34</v>
      </c>
      <c r="L3" s="28"/>
      <c r="M3" s="29"/>
      <c r="N3" s="29"/>
      <c r="O3" s="28"/>
      <c r="P3" s="30"/>
      <c r="Q3" s="234"/>
      <c r="R3" s="232"/>
      <c r="S3" s="31" t="s">
        <v>35</v>
      </c>
      <c r="T3" s="32"/>
      <c r="U3" s="31"/>
      <c r="V3" s="32"/>
      <c r="W3" s="33"/>
      <c r="X3" s="234"/>
      <c r="Y3" s="240"/>
      <c r="Z3" s="240"/>
      <c r="AA3" s="240" t="s">
        <v>36</v>
      </c>
      <c r="AB3" s="242"/>
      <c r="AC3" s="241" t="s">
        <v>37</v>
      </c>
    </row>
    <row r="4" spans="1:29" ht="21" customHeight="1">
      <c r="A4" s="34"/>
      <c r="B4" s="35"/>
      <c r="C4" s="36" t="s">
        <v>66</v>
      </c>
      <c r="D4" s="37"/>
      <c r="E4" s="38"/>
      <c r="F4" s="39"/>
      <c r="G4" s="38"/>
      <c r="H4" s="40"/>
      <c r="I4" s="260"/>
      <c r="J4" s="214"/>
      <c r="K4" s="41"/>
      <c r="L4" s="42"/>
      <c r="M4" s="43"/>
      <c r="N4" s="44"/>
      <c r="O4" s="42"/>
      <c r="P4" s="45"/>
      <c r="Q4" s="235"/>
      <c r="R4" s="47"/>
      <c r="S4" s="46"/>
      <c r="T4" s="47"/>
      <c r="U4" s="48"/>
      <c r="V4" s="49"/>
      <c r="W4" s="50"/>
      <c r="X4" s="243"/>
      <c r="Y4" s="244"/>
      <c r="Z4" s="244"/>
      <c r="AA4" s="244"/>
      <c r="AB4" s="244"/>
      <c r="AC4" s="245"/>
    </row>
    <row r="5" spans="1:29" s="295" customFormat="1" ht="18" customHeight="1">
      <c r="A5" s="51">
        <v>1</v>
      </c>
      <c r="B5" s="52">
        <v>601.20000000000005</v>
      </c>
      <c r="C5" s="53" t="s">
        <v>39</v>
      </c>
      <c r="D5" s="144">
        <f>SUM(E5:G5)</f>
        <v>65751</v>
      </c>
      <c r="E5" s="145">
        <f>112+39112</f>
        <v>39224</v>
      </c>
      <c r="F5" s="146">
        <v>9382</v>
      </c>
      <c r="G5" s="147">
        <f>SUM(H5:AC5)</f>
        <v>17145</v>
      </c>
      <c r="H5" s="148">
        <f>ROUND('VHČ 2012 (v Kč)'!H5/1000,0)</f>
        <v>2116</v>
      </c>
      <c r="I5" s="261"/>
      <c r="J5" s="223">
        <f>ROUND('VHČ 2012 (v Kč)'!J5/1000,0)-1</f>
        <v>328</v>
      </c>
      <c r="K5" s="149">
        <f>ROUND('VHČ 2012 (v Kč)'!K5/1000,0)</f>
        <v>8</v>
      </c>
      <c r="L5" s="149"/>
      <c r="M5" s="149"/>
      <c r="N5" s="149"/>
      <c r="O5" s="149"/>
      <c r="P5" s="150"/>
      <c r="Q5" s="236"/>
      <c r="R5" s="215"/>
      <c r="S5" s="149"/>
      <c r="T5" s="149"/>
      <c r="U5" s="149">
        <f>ROUND('VHČ 2012 (v Kč)'!U5/1000,0)</f>
        <v>6876</v>
      </c>
      <c r="V5" s="149"/>
      <c r="W5" s="151"/>
      <c r="X5" s="236"/>
      <c r="Y5" s="149"/>
      <c r="Z5" s="149"/>
      <c r="AA5" s="149">
        <f>ROUND('VHČ 2012 (v Kč)'!AA5/1000,0)</f>
        <v>7817</v>
      </c>
      <c r="AB5" s="149"/>
      <c r="AC5" s="246"/>
    </row>
    <row r="6" spans="1:29" s="295" customFormat="1" ht="18" customHeight="1">
      <c r="A6" s="51">
        <v>2</v>
      </c>
      <c r="B6" s="52">
        <v>603</v>
      </c>
      <c r="C6" s="53" t="s">
        <v>60</v>
      </c>
      <c r="D6" s="144">
        <f>SUM(E6:G6)</f>
        <v>1848555</v>
      </c>
      <c r="E6" s="145">
        <v>424025</v>
      </c>
      <c r="F6" s="146"/>
      <c r="G6" s="147">
        <f>SUM(H6:AC6)</f>
        <v>1424530</v>
      </c>
      <c r="H6" s="148">
        <f>ROUND('VHČ 2012 (v Kč)'!H6/1000,0)</f>
        <v>305084</v>
      </c>
      <c r="I6" s="261">
        <f>ROUND('VHČ 2012 (v Kč)'!I6/1000,0)</f>
        <v>477</v>
      </c>
      <c r="J6" s="223">
        <f>ROUND('VHČ 2012 (v Kč)'!J6/1000,0)</f>
        <v>48532</v>
      </c>
      <c r="K6" s="149">
        <f>ROUND('VHČ 2012 (v Kč)'!K6/1000,0)</f>
        <v>43189</v>
      </c>
      <c r="L6" s="149">
        <f>ROUND('VHČ 2012 (v Kč)'!L6/1000,0)</f>
        <v>69661</v>
      </c>
      <c r="M6" s="149">
        <f>ROUND('VHČ 2012 (v Kč)'!M6/1000,0)</f>
        <v>585</v>
      </c>
      <c r="N6" s="149">
        <f>ROUND('VHČ 2012 (v Kč)'!N6/1000,0)</f>
        <v>79728</v>
      </c>
      <c r="O6" s="149">
        <f>ROUND('VHČ 2012 (v Kč)'!O6/1000,0)</f>
        <v>80438</v>
      </c>
      <c r="P6" s="150">
        <f>ROUND('VHČ 2012 (v Kč)'!P6/1000,0)</f>
        <v>3901</v>
      </c>
      <c r="Q6" s="236">
        <f>ROUND('VHČ 2012 (v Kč)'!Q6/1000,0)</f>
        <v>7574</v>
      </c>
      <c r="R6" s="215">
        <f>ROUND('VHČ 2012 (v Kč)'!R6/1000,0)</f>
        <v>277944</v>
      </c>
      <c r="S6" s="149">
        <f>ROUND('VHČ 2012 (v Kč)'!S6/1000,0)</f>
        <v>5121</v>
      </c>
      <c r="T6" s="149">
        <f>ROUND('VHČ 2012 (v Kč)'!T6/1000,0)</f>
        <v>104790</v>
      </c>
      <c r="U6" s="149">
        <f>ROUND('VHČ 2012 (v Kč)'!U6/1000,0)</f>
        <v>48074</v>
      </c>
      <c r="V6" s="149">
        <f>ROUND('VHČ 2012 (v Kč)'!V6/1000,0)</f>
        <v>37344</v>
      </c>
      <c r="W6" s="151">
        <f>ROUND('VHČ 2012 (v Kč)'!W6/1000,0)</f>
        <v>38269</v>
      </c>
      <c r="X6" s="236">
        <f>ROUND('VHČ 2012 (v Kč)'!X6/1000,0)</f>
        <v>105054</v>
      </c>
      <c r="Y6" s="149">
        <f>ROUND('VHČ 2012 (v Kč)'!Y6/1000,0)</f>
        <v>36835</v>
      </c>
      <c r="Z6" s="149">
        <f>ROUND('VHČ 2012 (v Kč)'!Z6/1000,0)</f>
        <v>389</v>
      </c>
      <c r="AA6" s="149">
        <f>ROUND('VHČ 2012 (v Kč)'!AA6/1000,0)</f>
        <v>104582</v>
      </c>
      <c r="AB6" s="149">
        <f>ROUND('VHČ 2012 (v Kč)'!AB6/1000,0)</f>
        <v>6695</v>
      </c>
      <c r="AC6" s="246">
        <f>ROUND('VHČ 2012 (v Kč)'!AC6/1000,0)</f>
        <v>20264</v>
      </c>
    </row>
    <row r="7" spans="1:29" s="295" customFormat="1" ht="18" customHeight="1">
      <c r="A7" s="51">
        <v>3</v>
      </c>
      <c r="B7" s="52" t="s">
        <v>40</v>
      </c>
      <c r="C7" s="53" t="s">
        <v>41</v>
      </c>
      <c r="D7" s="144">
        <f>SUM(E7:G7)</f>
        <v>18230</v>
      </c>
      <c r="E7" s="147">
        <v>18230</v>
      </c>
      <c r="F7" s="125"/>
      <c r="G7" s="147"/>
      <c r="H7" s="148"/>
      <c r="I7" s="261"/>
      <c r="J7" s="223"/>
      <c r="K7" s="149"/>
      <c r="L7" s="149"/>
      <c r="M7" s="149"/>
      <c r="N7" s="149"/>
      <c r="O7" s="149"/>
      <c r="P7" s="150"/>
      <c r="Q7" s="236"/>
      <c r="R7" s="215"/>
      <c r="S7" s="149"/>
      <c r="T7" s="149"/>
      <c r="U7" s="149"/>
      <c r="V7" s="149"/>
      <c r="W7" s="151"/>
      <c r="X7" s="236"/>
      <c r="Y7" s="149"/>
      <c r="Z7" s="149"/>
      <c r="AA7" s="149"/>
      <c r="AB7" s="149"/>
      <c r="AC7" s="246"/>
    </row>
    <row r="8" spans="1:29" s="295" customFormat="1" ht="18" customHeight="1">
      <c r="A8" s="51">
        <v>4</v>
      </c>
      <c r="B8" s="52">
        <v>672</v>
      </c>
      <c r="C8" s="53" t="s">
        <v>68</v>
      </c>
      <c r="D8" s="144">
        <f>SUM(E8:G8)</f>
        <v>3476</v>
      </c>
      <c r="E8" s="152">
        <v>426</v>
      </c>
      <c r="F8" s="153"/>
      <c r="G8" s="147">
        <f>SUM(H8:AC8)</f>
        <v>3050</v>
      </c>
      <c r="H8" s="148">
        <f>ROUND('VHČ 2012 (v Kč)'!H8/1000,0)</f>
        <v>1903</v>
      </c>
      <c r="I8" s="261"/>
      <c r="J8" s="223"/>
      <c r="K8" s="149"/>
      <c r="L8" s="149">
        <f>ROUND('VHČ 2012 (v Kč)'!L8/1000,0)</f>
        <v>746</v>
      </c>
      <c r="M8" s="149"/>
      <c r="N8" s="149"/>
      <c r="O8" s="149"/>
      <c r="P8" s="150"/>
      <c r="Q8" s="236"/>
      <c r="R8" s="215"/>
      <c r="S8" s="149"/>
      <c r="T8" s="149"/>
      <c r="U8" s="149"/>
      <c r="V8" s="149"/>
      <c r="W8" s="151"/>
      <c r="X8" s="236"/>
      <c r="Y8" s="149"/>
      <c r="Z8" s="149"/>
      <c r="AA8" s="149">
        <f>ROUND('VHČ 2012 (v Kč)'!AA8/1000,0)</f>
        <v>401</v>
      </c>
      <c r="AB8" s="149"/>
      <c r="AC8" s="246"/>
    </row>
    <row r="9" spans="1:29" s="295" customFormat="1" ht="18" customHeight="1" thickBot="1">
      <c r="A9" s="61">
        <v>5</v>
      </c>
      <c r="B9" s="62" t="s">
        <v>61</v>
      </c>
      <c r="C9" s="53" t="s">
        <v>42</v>
      </c>
      <c r="D9" s="144">
        <f>SUM(E9:G9)</f>
        <v>69778</v>
      </c>
      <c r="E9" s="152">
        <f>24+6</f>
        <v>30</v>
      </c>
      <c r="F9" s="153">
        <v>1450</v>
      </c>
      <c r="G9" s="147">
        <f>SUM(H9:AC9)</f>
        <v>68298</v>
      </c>
      <c r="H9" s="154">
        <f>ROUND('VHČ 2012 (v Kč)'!H9/1000,0)</f>
        <v>9926</v>
      </c>
      <c r="I9" s="263">
        <f>ROUND('VHČ 2012 (v Kč)'!I9/1000,0)+1</f>
        <v>113</v>
      </c>
      <c r="J9" s="224">
        <f>ROUND('VHČ 2012 (v Kč)'!J9/1000,0)</f>
        <v>8076</v>
      </c>
      <c r="K9" s="172">
        <f>ROUND('VHČ 2012 (v Kč)'!K9/1000,0)</f>
        <v>4662</v>
      </c>
      <c r="L9" s="172">
        <f>ROUND('VHČ 2012 (v Kč)'!L9/1000,0)</f>
        <v>757</v>
      </c>
      <c r="M9" s="172">
        <f>ROUND('VHČ 2012 (v Kč)'!M9/1000,0)</f>
        <v>17</v>
      </c>
      <c r="N9" s="172">
        <f>ROUND('VHČ 2012 (v Kč)'!N9/1000,0)</f>
        <v>1136</v>
      </c>
      <c r="O9" s="172">
        <f>ROUND('VHČ 2012 (v Kč)'!O9/1000,0)</f>
        <v>3892</v>
      </c>
      <c r="P9" s="173">
        <f>ROUND('VHČ 2012 (v Kč)'!P9/1000,0)</f>
        <v>15</v>
      </c>
      <c r="Q9" s="249">
        <f>ROUND('VHČ 2012 (v Kč)'!Q9/1000,0)</f>
        <v>63</v>
      </c>
      <c r="R9" s="294">
        <f>ROUND('VHČ 2012 (v Kč)'!R9/1000,0)</f>
        <v>28256</v>
      </c>
      <c r="S9" s="172">
        <f>ROUND('VHČ 2012 (v Kč)'!S9/1000,0)</f>
        <v>24</v>
      </c>
      <c r="T9" s="172">
        <f>ROUND('VHČ 2012 (v Kč)'!T9/1000,0)</f>
        <v>1290</v>
      </c>
      <c r="U9" s="172">
        <f>ROUND('VHČ 2012 (v Kč)'!U9/1000,0)</f>
        <v>905</v>
      </c>
      <c r="V9" s="172">
        <f>ROUND('VHČ 2012 (v Kč)'!V9/1000,0)</f>
        <v>404</v>
      </c>
      <c r="W9" s="155">
        <f>ROUND('VHČ 2012 (v Kč)'!W9/1000,0)</f>
        <v>757</v>
      </c>
      <c r="X9" s="249">
        <f>ROUND('VHČ 2012 (v Kč)'!X9/1000,0)</f>
        <v>1019</v>
      </c>
      <c r="Y9" s="172">
        <f>ROUND('VHČ 2012 (v Kč)'!Y9/1000,0)</f>
        <v>675</v>
      </c>
      <c r="Z9" s="172">
        <f>ROUND('VHČ 2012 (v Kč)'!Z9/1000,0)</f>
        <v>8</v>
      </c>
      <c r="AA9" s="172">
        <f>ROUND('VHČ 2012 (v Kč)'!AA9/1000,0)</f>
        <v>5179</v>
      </c>
      <c r="AB9" s="172">
        <f>ROUND('VHČ 2012 (v Kč)'!AB9/1000,0)</f>
        <v>36</v>
      </c>
      <c r="AC9" s="247">
        <f>ROUND('VHČ 2012 (v Kč)'!AC9/1000,0)</f>
        <v>1088</v>
      </c>
    </row>
    <row r="10" spans="1:29" s="295" customFormat="1" ht="21" customHeight="1" thickBot="1">
      <c r="A10" s="63">
        <v>6</v>
      </c>
      <c r="B10" s="64"/>
      <c r="C10" s="65" t="s">
        <v>59</v>
      </c>
      <c r="D10" s="156">
        <f>SUM(D5:D9)</f>
        <v>2005790</v>
      </c>
      <c r="E10" s="157">
        <f>SUM(E5:E9)</f>
        <v>481935</v>
      </c>
      <c r="F10" s="158">
        <f>SUM(F5:F9)</f>
        <v>10832</v>
      </c>
      <c r="G10" s="159">
        <f>SUM(G5:G9)</f>
        <v>1513023</v>
      </c>
      <c r="H10" s="185">
        <f>SUM(H5:H9)</f>
        <v>319029</v>
      </c>
      <c r="I10" s="156">
        <f t="shared" ref="I10:AC10" si="0">SUM(I5:I9)</f>
        <v>590</v>
      </c>
      <c r="J10" s="226">
        <f t="shared" si="0"/>
        <v>56936</v>
      </c>
      <c r="K10" s="186">
        <f t="shared" si="0"/>
        <v>47859</v>
      </c>
      <c r="L10" s="186">
        <f t="shared" si="0"/>
        <v>71164</v>
      </c>
      <c r="M10" s="161">
        <f t="shared" si="0"/>
        <v>602</v>
      </c>
      <c r="N10" s="161">
        <f t="shared" si="0"/>
        <v>80864</v>
      </c>
      <c r="O10" s="161">
        <f t="shared" si="0"/>
        <v>84330</v>
      </c>
      <c r="P10" s="162">
        <f t="shared" si="0"/>
        <v>3916</v>
      </c>
      <c r="Q10" s="160">
        <f t="shared" si="0"/>
        <v>7637</v>
      </c>
      <c r="R10" s="216">
        <f t="shared" si="0"/>
        <v>306200</v>
      </c>
      <c r="S10" s="161">
        <f t="shared" si="0"/>
        <v>5145</v>
      </c>
      <c r="T10" s="161">
        <f t="shared" si="0"/>
        <v>106080</v>
      </c>
      <c r="U10" s="161">
        <f t="shared" si="0"/>
        <v>55855</v>
      </c>
      <c r="V10" s="161">
        <f t="shared" si="0"/>
        <v>37748</v>
      </c>
      <c r="W10" s="164">
        <f t="shared" si="0"/>
        <v>39026</v>
      </c>
      <c r="X10" s="160">
        <f t="shared" si="0"/>
        <v>106073</v>
      </c>
      <c r="Y10" s="161">
        <f t="shared" si="0"/>
        <v>37510</v>
      </c>
      <c r="Z10" s="161">
        <f t="shared" si="0"/>
        <v>397</v>
      </c>
      <c r="AA10" s="161">
        <f t="shared" si="0"/>
        <v>117979</v>
      </c>
      <c r="AB10" s="161">
        <f t="shared" si="0"/>
        <v>6731</v>
      </c>
      <c r="AC10" s="162">
        <f t="shared" si="0"/>
        <v>21352</v>
      </c>
    </row>
    <row r="11" spans="1:29" s="295" customFormat="1" ht="18" customHeight="1">
      <c r="A11" s="69"/>
      <c r="B11" s="70"/>
      <c r="C11" s="53"/>
      <c r="D11" s="165"/>
      <c r="E11" s="166"/>
      <c r="F11" s="167"/>
      <c r="G11" s="166"/>
      <c r="H11" s="168"/>
      <c r="I11" s="262"/>
      <c r="J11" s="225"/>
      <c r="K11" s="169"/>
      <c r="L11" s="169"/>
      <c r="M11" s="169"/>
      <c r="N11" s="169"/>
      <c r="O11" s="169"/>
      <c r="P11" s="170"/>
      <c r="Q11" s="237"/>
      <c r="R11" s="217"/>
      <c r="S11" s="169"/>
      <c r="T11" s="169"/>
      <c r="U11" s="169"/>
      <c r="V11" s="169"/>
      <c r="W11" s="171"/>
      <c r="X11" s="237"/>
      <c r="Y11" s="169"/>
      <c r="Z11" s="169"/>
      <c r="AA11" s="169"/>
      <c r="AB11" s="169"/>
      <c r="AC11" s="248"/>
    </row>
    <row r="12" spans="1:29" s="295" customFormat="1" ht="21.75" customHeight="1">
      <c r="A12" s="74"/>
      <c r="B12" s="75"/>
      <c r="C12" s="36" t="s">
        <v>67</v>
      </c>
      <c r="D12" s="37"/>
      <c r="E12" s="38"/>
      <c r="F12" s="39"/>
      <c r="G12" s="38"/>
      <c r="H12" s="148"/>
      <c r="I12" s="261"/>
      <c r="J12" s="223"/>
      <c r="K12" s="149"/>
      <c r="L12" s="149"/>
      <c r="M12" s="149"/>
      <c r="N12" s="149"/>
      <c r="O12" s="149"/>
      <c r="P12" s="150"/>
      <c r="Q12" s="236"/>
      <c r="R12" s="215"/>
      <c r="S12" s="149"/>
      <c r="T12" s="149"/>
      <c r="U12" s="149"/>
      <c r="V12" s="149"/>
      <c r="W12" s="151"/>
      <c r="X12" s="236"/>
      <c r="Y12" s="149"/>
      <c r="Z12" s="149"/>
      <c r="AA12" s="149"/>
      <c r="AB12" s="149"/>
      <c r="AC12" s="246"/>
    </row>
    <row r="13" spans="1:29" s="295" customFormat="1" ht="18" customHeight="1">
      <c r="A13" s="51">
        <v>7</v>
      </c>
      <c r="B13" s="52">
        <v>501.2</v>
      </c>
      <c r="C13" s="53" t="s">
        <v>44</v>
      </c>
      <c r="D13" s="144">
        <f t="shared" ref="D13:D19" si="1">SUM(E13:G13)</f>
        <v>29447</v>
      </c>
      <c r="E13" s="147">
        <v>2002</v>
      </c>
      <c r="F13" s="125">
        <f>4941+720</f>
        <v>5661</v>
      </c>
      <c r="G13" s="147">
        <f t="shared" ref="G13:G19" si="2">SUM(H13:AC13)</f>
        <v>21784</v>
      </c>
      <c r="H13" s="154">
        <f>ROUND('VHČ 2012 (v Kč)'!H13/1000,0)</f>
        <v>2788</v>
      </c>
      <c r="I13" s="261">
        <f>ROUND('VHČ 2012 (v Kč)'!I13/1000,0)</f>
        <v>9</v>
      </c>
      <c r="J13" s="223">
        <f>ROUND('VHČ 2012 (v Kč)'!J13/1000,0)</f>
        <v>236</v>
      </c>
      <c r="K13" s="149">
        <f>ROUND('VHČ 2012 (v Kč)'!K13/1000,0)</f>
        <v>29</v>
      </c>
      <c r="L13" s="149">
        <f>ROUND('VHČ 2012 (v Kč)'!L13/1000,0)</f>
        <v>688</v>
      </c>
      <c r="M13" s="149">
        <f>ROUND('VHČ 2012 (v Kč)'!M13/1000,0)</f>
        <v>4</v>
      </c>
      <c r="N13" s="149">
        <f>ROUND('VHČ 2012 (v Kč)'!N13/1000,0)</f>
        <v>-61</v>
      </c>
      <c r="O13" s="149">
        <f>ROUND('VHČ 2012 (v Kč)'!O13/1000,0)</f>
        <v>237</v>
      </c>
      <c r="P13" s="150">
        <f>ROUND('VHČ 2012 (v Kč)'!P13/1000,0)</f>
        <v>137</v>
      </c>
      <c r="Q13" s="236"/>
      <c r="R13" s="215">
        <f>ROUND('VHČ 2012 (v Kč)'!R13/1000,0)</f>
        <v>3692</v>
      </c>
      <c r="S13" s="149">
        <f>ROUND('VHČ 2012 (v Kč)'!S13/1000,0)</f>
        <v>5</v>
      </c>
      <c r="T13" s="149">
        <f>ROUND('VHČ 2012 (v Kč)'!T13/1000,0)</f>
        <v>380</v>
      </c>
      <c r="U13" s="149">
        <f>ROUND('VHČ 2012 (v Kč)'!U13/1000,0)</f>
        <v>7161</v>
      </c>
      <c r="V13" s="149">
        <f>ROUND('VHČ 2012 (v Kč)'!V13/1000,0)</f>
        <v>87</v>
      </c>
      <c r="W13" s="151">
        <f>ROUND('VHČ 2012 (v Kč)'!W13/1000,0)</f>
        <v>22</v>
      </c>
      <c r="X13" s="236">
        <f>ROUND('VHČ 2012 (v Kč)'!X13/1000,0)</f>
        <v>20</v>
      </c>
      <c r="Y13" s="149">
        <f>ROUND('VHČ 2012 (v Kč)'!Y13/1000,0)</f>
        <v>119</v>
      </c>
      <c r="Z13" s="149"/>
      <c r="AA13" s="149">
        <f>ROUND('VHČ 2012 (v Kč)'!AA13/1000,0)</f>
        <v>4806</v>
      </c>
      <c r="AB13" s="149">
        <f>ROUND('VHČ 2012 (v Kč)'!AB13/1000,0)</f>
        <v>637</v>
      </c>
      <c r="AC13" s="246">
        <f>ROUND('VHČ 2012 (v Kč)'!AC13/1000,0)+1</f>
        <v>788</v>
      </c>
    </row>
    <row r="14" spans="1:29" s="295" customFormat="1" ht="18" customHeight="1">
      <c r="A14" s="51">
        <v>8</v>
      </c>
      <c r="B14" s="52">
        <v>511</v>
      </c>
      <c r="C14" s="53" t="s">
        <v>45</v>
      </c>
      <c r="D14" s="144">
        <f t="shared" si="1"/>
        <v>541153</v>
      </c>
      <c r="E14" s="147">
        <v>4470</v>
      </c>
      <c r="F14" s="125"/>
      <c r="G14" s="147">
        <f t="shared" si="2"/>
        <v>536683</v>
      </c>
      <c r="H14" s="148">
        <f>ROUND('VHČ 2012 (v Kč)'!H14/1000,0)</f>
        <v>171162</v>
      </c>
      <c r="I14" s="261">
        <f>ROUND('VHČ 2012 (v Kč)'!I14/1000,0)</f>
        <v>217</v>
      </c>
      <c r="J14" s="223">
        <f>ROUND('VHČ 2012 (v Kč)'!J14/1000,0)+1</f>
        <v>6298</v>
      </c>
      <c r="K14" s="149">
        <f>ROUND('VHČ 2012 (v Kč)'!K14/1000,0)</f>
        <v>8638</v>
      </c>
      <c r="L14" s="149">
        <f>ROUND('VHČ 2012 (v Kč)'!L14/1000,0)</f>
        <v>26125</v>
      </c>
      <c r="M14" s="149">
        <f>ROUND('VHČ 2012 (v Kč)'!M14/1000,0)</f>
        <v>192</v>
      </c>
      <c r="N14" s="149">
        <f>ROUND('VHČ 2012 (v Kč)'!N14/1000,0)</f>
        <v>31413</v>
      </c>
      <c r="O14" s="149">
        <f>ROUND('VHČ 2012 (v Kč)'!O14/1000,0)</f>
        <v>11046</v>
      </c>
      <c r="P14" s="150">
        <f>ROUND('VHČ 2012 (v Kč)'!P14/1000,0)</f>
        <v>758</v>
      </c>
      <c r="Q14" s="236">
        <f>ROUND('VHČ 2012 (v Kč)'!Q14/1000,0)+1</f>
        <v>356</v>
      </c>
      <c r="R14" s="215">
        <f>ROUND('VHČ 2012 (v Kč)'!R14/1000,0)</f>
        <v>122515</v>
      </c>
      <c r="S14" s="149">
        <f>ROUND('VHČ 2012 (v Kč)'!S14/1000,0)</f>
        <v>1094</v>
      </c>
      <c r="T14" s="149">
        <f>ROUND('VHČ 2012 (v Kč)'!T14/1000,0)</f>
        <v>20137</v>
      </c>
      <c r="U14" s="149">
        <f>ROUND('VHČ 2012 (v Kč)'!U14/1000,0)</f>
        <v>23494</v>
      </c>
      <c r="V14" s="149">
        <f>ROUND('VHČ 2012 (v Kč)'!V14/1000,0)</f>
        <v>16075</v>
      </c>
      <c r="W14" s="151">
        <f>ROUND('VHČ 2012 (v Kč)'!W14/1000,0)</f>
        <v>7135</v>
      </c>
      <c r="X14" s="236">
        <f>ROUND('VHČ 2012 (v Kč)'!X14/1000,0)</f>
        <v>35626</v>
      </c>
      <c r="Y14" s="149">
        <f>ROUND('VHČ 2012 (v Kč)'!Y14/1000,0)</f>
        <v>13692</v>
      </c>
      <c r="Z14" s="149">
        <f>ROUND('VHČ 2012 (v Kč)'!Z14/1000,0)</f>
        <v>19</v>
      </c>
      <c r="AA14" s="149">
        <f>ROUND('VHČ 2012 (v Kč)'!AA14/1000,0)</f>
        <v>35360</v>
      </c>
      <c r="AB14" s="149">
        <f>ROUND('VHČ 2012 (v Kč)'!AB14/1000,0)</f>
        <v>204</v>
      </c>
      <c r="AC14" s="246">
        <f>ROUND('VHČ 2012 (v Kč)'!AC14/1000,0)</f>
        <v>5127</v>
      </c>
    </row>
    <row r="15" spans="1:29" s="295" customFormat="1" ht="18" customHeight="1">
      <c r="A15" s="51">
        <v>9</v>
      </c>
      <c r="B15" s="52" t="s">
        <v>46</v>
      </c>
      <c r="C15" s="53" t="s">
        <v>47</v>
      </c>
      <c r="D15" s="144">
        <f t="shared" si="1"/>
        <v>176180</v>
      </c>
      <c r="E15" s="147">
        <v>44007</v>
      </c>
      <c r="F15" s="125">
        <v>319</v>
      </c>
      <c r="G15" s="147">
        <f t="shared" si="2"/>
        <v>131854</v>
      </c>
      <c r="H15" s="148">
        <f>ROUND('VHČ 2012 (v Kč)'!H15/1000,0)</f>
        <v>23238</v>
      </c>
      <c r="I15" s="261">
        <f>ROUND('VHČ 2012 (v Kč)'!I15/1000,0)</f>
        <v>55</v>
      </c>
      <c r="J15" s="223">
        <f>ROUND('VHČ 2012 (v Kč)'!J15/1000,0)</f>
        <v>1886</v>
      </c>
      <c r="K15" s="149">
        <f>ROUND('VHČ 2012 (v Kč)'!K15/1000,0)</f>
        <v>1820</v>
      </c>
      <c r="L15" s="149">
        <f>ROUND('VHČ 2012 (v Kč)'!L15/1000,0)</f>
        <v>7168</v>
      </c>
      <c r="M15" s="149">
        <f>ROUND('VHČ 2012 (v Kč)'!M15/1000,0)</f>
        <v>28</v>
      </c>
      <c r="N15" s="149">
        <f>ROUND('VHČ 2012 (v Kč)'!N15/1000,0)</f>
        <v>6865</v>
      </c>
      <c r="O15" s="149">
        <f>ROUND('VHČ 2012 (v Kč)'!O15/1000,0)</f>
        <v>6615</v>
      </c>
      <c r="P15" s="150">
        <f>ROUND('VHČ 2012 (v Kč)'!P15/1000,0)</f>
        <v>257</v>
      </c>
      <c r="Q15" s="236">
        <f>ROUND('VHČ 2012 (v Kč)'!Q15/1000,0)</f>
        <v>319</v>
      </c>
      <c r="R15" s="215">
        <f>ROUND('VHČ 2012 (v Kč)'!R15/1000,0)</f>
        <v>38893</v>
      </c>
      <c r="S15" s="149">
        <f>ROUND('VHČ 2012 (v Kč)'!S15/1000,0)</f>
        <v>304</v>
      </c>
      <c r="T15" s="149">
        <f>ROUND('VHČ 2012 (v Kč)'!T15/1000,0)</f>
        <v>10014</v>
      </c>
      <c r="U15" s="149">
        <f>ROUND('VHČ 2012 (v Kč)'!U15/1000,0)</f>
        <v>2786</v>
      </c>
      <c r="V15" s="149">
        <f>ROUND('VHČ 2012 (v Kč)'!V15/1000,0)-1</f>
        <v>3471</v>
      </c>
      <c r="W15" s="151">
        <f>ROUND('VHČ 2012 (v Kč)'!W15/1000,0)</f>
        <v>3407</v>
      </c>
      <c r="X15" s="236">
        <f>ROUND('VHČ 2012 (v Kč)'!X15/1000,0)+1</f>
        <v>8705</v>
      </c>
      <c r="Y15" s="149">
        <f>ROUND('VHČ 2012 (v Kč)'!Y15/1000,0)</f>
        <v>1145</v>
      </c>
      <c r="Z15" s="149">
        <f>ROUND('VHČ 2012 (v Kč)'!Z15/1000,0)</f>
        <v>70</v>
      </c>
      <c r="AA15" s="149">
        <f>ROUND('VHČ 2012 (v Kč)'!AA15/1000,0)</f>
        <v>11210</v>
      </c>
      <c r="AB15" s="149">
        <f>ROUND('VHČ 2012 (v Kč)'!AB15/1000,0)</f>
        <v>2280</v>
      </c>
      <c r="AC15" s="246">
        <f>ROUND('VHČ 2012 (v Kč)'!AC15/1000,0)</f>
        <v>1318</v>
      </c>
    </row>
    <row r="16" spans="1:29" s="295" customFormat="1" ht="18" customHeight="1">
      <c r="A16" s="51">
        <v>10</v>
      </c>
      <c r="B16" s="52" t="s">
        <v>48</v>
      </c>
      <c r="C16" s="53" t="s">
        <v>49</v>
      </c>
      <c r="D16" s="144">
        <f t="shared" si="1"/>
        <v>39012</v>
      </c>
      <c r="E16" s="147"/>
      <c r="F16" s="125">
        <f>2138+725+27+118</f>
        <v>3008</v>
      </c>
      <c r="G16" s="147">
        <f t="shared" si="2"/>
        <v>36004</v>
      </c>
      <c r="H16" s="148">
        <f>ROUND('VHČ 2012 (v Kč)'!H16/1000,0)</f>
        <v>6377</v>
      </c>
      <c r="I16" s="261"/>
      <c r="J16" s="223">
        <f>ROUND('VHČ 2012 (v Kč)'!J16/1000,0)</f>
        <v>5494</v>
      </c>
      <c r="K16" s="149">
        <f>ROUND('VHČ 2012 (v Kč)'!K16/1000,0)</f>
        <v>2884</v>
      </c>
      <c r="L16" s="149">
        <f>ROUND('VHČ 2012 (v Kč)'!L16/1000,0)</f>
        <v>3074</v>
      </c>
      <c r="M16" s="149">
        <f>ROUND('VHČ 2012 (v Kč)'!M16/1000,0)</f>
        <v>10</v>
      </c>
      <c r="N16" s="149"/>
      <c r="O16" s="149"/>
      <c r="P16" s="150"/>
      <c r="Q16" s="236">
        <f>ROUND('VHČ 2012 (v Kč)'!Q16/1000,0)</f>
        <v>404</v>
      </c>
      <c r="R16" s="215"/>
      <c r="S16" s="149">
        <f>ROUND('VHČ 2012 (v Kč)'!S16/1000,0)</f>
        <v>182</v>
      </c>
      <c r="T16" s="149"/>
      <c r="U16" s="149">
        <f>ROUND('VHČ 2012 (v Kč)'!U16/1000,0)</f>
        <v>5082</v>
      </c>
      <c r="V16" s="149">
        <f>ROUND('VHČ 2012 (v Kč)'!V16/1000,0)</f>
        <v>1856</v>
      </c>
      <c r="W16" s="151"/>
      <c r="X16" s="236"/>
      <c r="Y16" s="149">
        <f>ROUND('VHČ 2012 (v Kč)'!Y16/1000,0)</f>
        <v>2509</v>
      </c>
      <c r="Z16" s="149"/>
      <c r="AA16" s="149">
        <f>ROUND('VHČ 2012 (v Kč)'!AA16/1000,0)</f>
        <v>6403</v>
      </c>
      <c r="AB16" s="149"/>
      <c r="AC16" s="246">
        <f>ROUND('VHČ 2012 (v Kč)'!AC16/1000,0)</f>
        <v>1729</v>
      </c>
    </row>
    <row r="17" spans="1:219" s="295" customFormat="1" ht="18" customHeight="1">
      <c r="A17" s="51">
        <v>11</v>
      </c>
      <c r="B17" s="52" t="s">
        <v>50</v>
      </c>
      <c r="C17" s="53" t="s">
        <v>51</v>
      </c>
      <c r="D17" s="144">
        <f t="shared" si="1"/>
        <v>1721</v>
      </c>
      <c r="E17" s="147"/>
      <c r="F17" s="125"/>
      <c r="G17" s="147">
        <f t="shared" si="2"/>
        <v>1721</v>
      </c>
      <c r="H17" s="148">
        <f>ROUND('VHČ 2012 (v Kč)'!H17/1000,0)</f>
        <v>1174</v>
      </c>
      <c r="I17" s="261"/>
      <c r="J17" s="223">
        <f>ROUND('VHČ 2012 (v Kč)'!J17/1000,0)</f>
        <v>115</v>
      </c>
      <c r="K17" s="149">
        <f>ROUND('VHČ 2012 (v Kč)'!K17/1000,0)</f>
        <v>77</v>
      </c>
      <c r="L17" s="149">
        <f>ROUND('VHČ 2012 (v Kč)'!L17/1000,0)</f>
        <v>51</v>
      </c>
      <c r="M17" s="149"/>
      <c r="N17" s="149"/>
      <c r="O17" s="149"/>
      <c r="P17" s="150"/>
      <c r="Q17" s="236"/>
      <c r="R17" s="215">
        <f>ROUND('VHČ 2012 (v Kč)'!R17/1000,0)</f>
        <v>200</v>
      </c>
      <c r="S17" s="149"/>
      <c r="T17" s="149"/>
      <c r="U17" s="149"/>
      <c r="V17" s="149">
        <f>ROUND('VHČ 2012 (v Kč)'!V17/1000,0)</f>
        <v>35</v>
      </c>
      <c r="W17" s="151"/>
      <c r="X17" s="236">
        <f>ROUND('VHČ 2012 (v Kč)'!X17/1000,0)</f>
        <v>11</v>
      </c>
      <c r="Y17" s="149"/>
      <c r="Z17" s="149"/>
      <c r="AA17" s="149"/>
      <c r="AB17" s="149"/>
      <c r="AC17" s="246">
        <f>ROUND('VHČ 2012 (v Kč)'!AC17/1000,0)</f>
        <v>58</v>
      </c>
    </row>
    <row r="18" spans="1:219" s="295" customFormat="1" ht="18" customHeight="1">
      <c r="A18" s="51">
        <v>12</v>
      </c>
      <c r="B18" s="52" t="s">
        <v>52</v>
      </c>
      <c r="C18" s="296" t="s">
        <v>53</v>
      </c>
      <c r="D18" s="144">
        <f t="shared" si="1"/>
        <v>70782</v>
      </c>
      <c r="E18" s="147">
        <v>1283</v>
      </c>
      <c r="F18" s="125">
        <v>1184</v>
      </c>
      <c r="G18" s="147">
        <f t="shared" si="2"/>
        <v>68315</v>
      </c>
      <c r="H18" s="148">
        <f>ROUND('VHČ 2012 (v Kč)'!H18/1000,0)</f>
        <v>13402</v>
      </c>
      <c r="I18" s="261">
        <f>ROUND('VHČ 2012 (v Kč)'!I18/1000,0)</f>
        <v>64</v>
      </c>
      <c r="J18" s="223">
        <f>ROUND('VHČ 2012 (v Kč)'!J18/1000,0)</f>
        <v>598</v>
      </c>
      <c r="K18" s="149">
        <f>ROUND('VHČ 2012 (v Kč)'!K18/1000,0)</f>
        <v>765</v>
      </c>
      <c r="L18" s="149">
        <f>ROUND('VHČ 2012 (v Kč)'!L18/1000,0)</f>
        <v>551</v>
      </c>
      <c r="M18" s="149"/>
      <c r="N18" s="149">
        <f>ROUND('VHČ 2012 (v Kč)'!N18/1000,0)</f>
        <v>283</v>
      </c>
      <c r="O18" s="149">
        <f>ROUND('VHČ 2012 (v Kč)'!O18/1000,0)</f>
        <v>-16</v>
      </c>
      <c r="P18" s="150"/>
      <c r="Q18" s="236">
        <f>ROUND('VHČ 2012 (v Kč)'!Q18/1000,0)</f>
        <v>-46</v>
      </c>
      <c r="R18" s="215">
        <f>ROUND('VHČ 2012 (v Kč)'!R18/1000,0)</f>
        <v>36519</v>
      </c>
      <c r="S18" s="149"/>
      <c r="T18" s="149">
        <f>ROUND('VHČ 2012 (v Kč)'!T18/1000,0)</f>
        <v>2354</v>
      </c>
      <c r="U18" s="149">
        <f>ROUND('VHČ 2012 (v Kč)'!U18/1000,0)</f>
        <v>125</v>
      </c>
      <c r="V18" s="149">
        <f>ROUND('VHČ 2012 (v Kč)'!V18/1000,0)</f>
        <v>268</v>
      </c>
      <c r="W18" s="151">
        <f>ROUND('VHČ 2012 (v Kč)'!W18/1000,0)</f>
        <v>213</v>
      </c>
      <c r="X18" s="236">
        <f>ROUND('VHČ 2012 (v Kč)'!X18/1000,0)</f>
        <v>365</v>
      </c>
      <c r="Y18" s="149">
        <f>ROUND('VHČ 2012 (v Kč)'!Y18/1000,0)</f>
        <v>217</v>
      </c>
      <c r="Z18" s="149"/>
      <c r="AA18" s="149">
        <f>ROUND('VHČ 2012 (v Kč)'!AA18/1000,0)</f>
        <v>12456</v>
      </c>
      <c r="AB18" s="149"/>
      <c r="AC18" s="246">
        <f>ROUND('VHČ 2012 (v Kč)'!AC18/1000,0)</f>
        <v>197</v>
      </c>
    </row>
    <row r="19" spans="1:219" s="295" customFormat="1" ht="18" customHeight="1" thickBot="1">
      <c r="A19" s="51">
        <v>13</v>
      </c>
      <c r="B19" s="52" t="s">
        <v>62</v>
      </c>
      <c r="C19" s="53" t="s">
        <v>54</v>
      </c>
      <c r="D19" s="144">
        <f t="shared" si="1"/>
        <v>13066</v>
      </c>
      <c r="E19" s="147"/>
      <c r="F19" s="125">
        <f>30+5</f>
        <v>35</v>
      </c>
      <c r="G19" s="152">
        <f t="shared" si="2"/>
        <v>13031</v>
      </c>
      <c r="H19" s="154">
        <f>ROUND('VHČ 2012 (v Kč)'!H19/1000,0)</f>
        <v>3894</v>
      </c>
      <c r="I19" s="263">
        <f>ROUND('VHČ 2012 (v Kč)'!I19/1000,0)</f>
        <v>1</v>
      </c>
      <c r="J19" s="224">
        <f>ROUND('VHČ 2012 (v Kč)'!J19/1000,0)</f>
        <v>125</v>
      </c>
      <c r="K19" s="172">
        <f>ROUND('VHČ 2012 (v Kč)'!K19/1000,0)</f>
        <v>129</v>
      </c>
      <c r="L19" s="172">
        <f>ROUND('VHČ 2012 (v Kč)'!L19/1000,0)</f>
        <v>393</v>
      </c>
      <c r="M19" s="172">
        <f>ROUND('VHČ 2012 (v Kč)'!M19/1000,0)</f>
        <v>5</v>
      </c>
      <c r="N19" s="172">
        <f>ROUND('VHČ 2012 (v Kč)'!N19/1000,0)</f>
        <v>664</v>
      </c>
      <c r="O19" s="172">
        <f>ROUND('VHČ 2012 (v Kč)'!O19/1000,0)+1</f>
        <v>621</v>
      </c>
      <c r="P19" s="207">
        <f>ROUND('VHČ 2012 (v Kč)'!P19/1000,0)</f>
        <v>2</v>
      </c>
      <c r="Q19" s="294">
        <f>ROUND('VHČ 2012 (v Kč)'!Q19/1000,0)</f>
        <v>11</v>
      </c>
      <c r="R19" s="172">
        <f>ROUND('VHČ 2012 (v Kč)'!R19/1000,0)</f>
        <v>2951</v>
      </c>
      <c r="S19" s="172">
        <f>ROUND('VHČ 2012 (v Kč)'!S19/1000,0)</f>
        <v>155</v>
      </c>
      <c r="T19" s="172">
        <f>ROUND('VHČ 2012 (v Kč)'!T19/1000,0)</f>
        <v>827</v>
      </c>
      <c r="U19" s="172">
        <f>ROUND('VHČ 2012 (v Kč)'!U19/1000,0)</f>
        <v>575</v>
      </c>
      <c r="V19" s="172">
        <f>ROUND('VHČ 2012 (v Kč)'!V19/1000,0)</f>
        <v>299</v>
      </c>
      <c r="W19" s="289">
        <f>ROUND('VHČ 2012 (v Kč)'!W19/1000,0)</f>
        <v>644</v>
      </c>
      <c r="X19" s="294">
        <f>ROUND('VHČ 2012 (v Kč)'!X19/1000,0)</f>
        <v>171</v>
      </c>
      <c r="Y19" s="172">
        <f>ROUND('VHČ 2012 (v Kč)'!Y19/1000,0)</f>
        <v>25</v>
      </c>
      <c r="Z19" s="172">
        <f>ROUND('VHČ 2012 (v Kč)'!Z19/1000,0)</f>
        <v>11</v>
      </c>
      <c r="AA19" s="172">
        <f>ROUND('VHČ 2012 (v Kč)'!AA19/1000,0)</f>
        <v>1413</v>
      </c>
      <c r="AB19" s="172"/>
      <c r="AC19" s="172">
        <f>ROUND('VHČ 2012 (v Kč)'!AC19/1000,0)</f>
        <v>115</v>
      </c>
    </row>
    <row r="20" spans="1:219" s="295" customFormat="1" ht="23.25" customHeight="1" thickBot="1">
      <c r="A20" s="63">
        <v>14</v>
      </c>
      <c r="B20" s="64"/>
      <c r="C20" s="65" t="s">
        <v>72</v>
      </c>
      <c r="D20" s="174">
        <f>SUM(D13:D19)</f>
        <v>871361</v>
      </c>
      <c r="E20" s="175">
        <f>SUM(E13:E19)</f>
        <v>51762</v>
      </c>
      <c r="F20" s="176">
        <f>SUM(F13:F19)</f>
        <v>10207</v>
      </c>
      <c r="G20" s="163">
        <f>SUM(G13:G19)</f>
        <v>809392</v>
      </c>
      <c r="H20" s="185">
        <f>SUM(H13:H19)</f>
        <v>222035</v>
      </c>
      <c r="I20" s="156">
        <f t="shared" ref="I20:AC20" si="3">SUM(I13:I19)</f>
        <v>346</v>
      </c>
      <c r="J20" s="226">
        <f t="shared" si="3"/>
        <v>14752</v>
      </c>
      <c r="K20" s="186">
        <f t="shared" si="3"/>
        <v>14342</v>
      </c>
      <c r="L20" s="186">
        <f t="shared" si="3"/>
        <v>38050</v>
      </c>
      <c r="M20" s="161">
        <f t="shared" si="3"/>
        <v>239</v>
      </c>
      <c r="N20" s="161">
        <f t="shared" si="3"/>
        <v>39164</v>
      </c>
      <c r="O20" s="161">
        <f t="shared" si="3"/>
        <v>18503</v>
      </c>
      <c r="P20" s="162">
        <f t="shared" si="3"/>
        <v>1154</v>
      </c>
      <c r="Q20" s="160">
        <f t="shared" si="3"/>
        <v>1044</v>
      </c>
      <c r="R20" s="216">
        <f t="shared" si="3"/>
        <v>204770</v>
      </c>
      <c r="S20" s="161">
        <f t="shared" si="3"/>
        <v>1740</v>
      </c>
      <c r="T20" s="161">
        <f t="shared" si="3"/>
        <v>33712</v>
      </c>
      <c r="U20" s="161">
        <f t="shared" si="3"/>
        <v>39223</v>
      </c>
      <c r="V20" s="161">
        <f t="shared" si="3"/>
        <v>22091</v>
      </c>
      <c r="W20" s="164">
        <f t="shared" si="3"/>
        <v>11421</v>
      </c>
      <c r="X20" s="160">
        <f t="shared" si="3"/>
        <v>44898</v>
      </c>
      <c r="Y20" s="161">
        <f t="shared" si="3"/>
        <v>17707</v>
      </c>
      <c r="Z20" s="161">
        <f t="shared" si="3"/>
        <v>100</v>
      </c>
      <c r="AA20" s="161">
        <f t="shared" si="3"/>
        <v>71648</v>
      </c>
      <c r="AB20" s="161">
        <f t="shared" si="3"/>
        <v>3121</v>
      </c>
      <c r="AC20" s="162">
        <f t="shared" si="3"/>
        <v>9332</v>
      </c>
    </row>
    <row r="21" spans="1:219" s="295" customFormat="1" ht="18" customHeight="1" thickBot="1">
      <c r="A21" s="9"/>
      <c r="B21" s="10"/>
      <c r="C21" s="82"/>
      <c r="D21" s="177"/>
      <c r="E21" s="178"/>
      <c r="F21" s="179"/>
      <c r="G21" s="178"/>
      <c r="H21" s="180"/>
      <c r="I21" s="183"/>
      <c r="J21" s="93"/>
      <c r="K21" s="181"/>
      <c r="L21" s="181"/>
      <c r="M21" s="181"/>
      <c r="N21" s="181"/>
      <c r="O21" s="181"/>
      <c r="P21" s="182"/>
      <c r="Q21" s="180"/>
      <c r="R21" s="218"/>
      <c r="S21" s="181"/>
      <c r="T21" s="181"/>
      <c r="U21" s="181"/>
      <c r="V21" s="181"/>
      <c r="W21" s="183"/>
      <c r="X21" s="180"/>
      <c r="Y21" s="181"/>
      <c r="Z21" s="181"/>
      <c r="AA21" s="181"/>
      <c r="AB21" s="181"/>
      <c r="AC21" s="182"/>
    </row>
    <row r="22" spans="1:219" s="297" customFormat="1" ht="24" customHeight="1" thickBot="1">
      <c r="A22" s="63">
        <v>15</v>
      </c>
      <c r="B22" s="64"/>
      <c r="C22" s="65" t="s">
        <v>75</v>
      </c>
      <c r="D22" s="174">
        <f>SUM(D10-D20)</f>
        <v>1134429</v>
      </c>
      <c r="E22" s="175">
        <f>0+E10-E20</f>
        <v>430173</v>
      </c>
      <c r="F22" s="184">
        <f>0+F10-F20</f>
        <v>625</v>
      </c>
      <c r="G22" s="175">
        <f t="shared" ref="G22:AC22" si="4">SUM(G10-G20)</f>
        <v>703631</v>
      </c>
      <c r="H22" s="185">
        <f t="shared" si="4"/>
        <v>96994</v>
      </c>
      <c r="I22" s="156">
        <f t="shared" si="4"/>
        <v>244</v>
      </c>
      <c r="J22" s="226">
        <f t="shared" si="4"/>
        <v>42184</v>
      </c>
      <c r="K22" s="186">
        <f t="shared" si="4"/>
        <v>33517</v>
      </c>
      <c r="L22" s="186">
        <f t="shared" si="4"/>
        <v>33114</v>
      </c>
      <c r="M22" s="186">
        <f t="shared" si="4"/>
        <v>363</v>
      </c>
      <c r="N22" s="186">
        <f t="shared" si="4"/>
        <v>41700</v>
      </c>
      <c r="O22" s="186">
        <f t="shared" si="4"/>
        <v>65827</v>
      </c>
      <c r="P22" s="187">
        <f t="shared" si="4"/>
        <v>2762</v>
      </c>
      <c r="Q22" s="185">
        <f t="shared" si="4"/>
        <v>6593</v>
      </c>
      <c r="R22" s="219">
        <f t="shared" si="4"/>
        <v>101430</v>
      </c>
      <c r="S22" s="186">
        <f t="shared" si="4"/>
        <v>3405</v>
      </c>
      <c r="T22" s="186">
        <f t="shared" si="4"/>
        <v>72368</v>
      </c>
      <c r="U22" s="186">
        <f t="shared" si="4"/>
        <v>16632</v>
      </c>
      <c r="V22" s="186">
        <f t="shared" si="4"/>
        <v>15657</v>
      </c>
      <c r="W22" s="156">
        <f t="shared" si="4"/>
        <v>27605</v>
      </c>
      <c r="X22" s="250">
        <f t="shared" si="4"/>
        <v>61175</v>
      </c>
      <c r="Y22" s="186">
        <f t="shared" si="4"/>
        <v>19803</v>
      </c>
      <c r="Z22" s="186">
        <f t="shared" si="4"/>
        <v>297</v>
      </c>
      <c r="AA22" s="186">
        <f t="shared" si="4"/>
        <v>46331</v>
      </c>
      <c r="AB22" s="186">
        <f t="shared" si="4"/>
        <v>3610</v>
      </c>
      <c r="AC22" s="187">
        <f t="shared" si="4"/>
        <v>12020</v>
      </c>
    </row>
    <row r="23" spans="1:219" s="295" customFormat="1" ht="18" customHeight="1">
      <c r="A23" s="9"/>
      <c r="B23" s="10"/>
      <c r="C23" s="82"/>
      <c r="D23" s="177"/>
      <c r="E23" s="178"/>
      <c r="F23" s="179"/>
      <c r="G23" s="178"/>
      <c r="H23" s="188"/>
      <c r="I23" s="264"/>
      <c r="J23" s="227"/>
      <c r="K23" s="189"/>
      <c r="L23" s="189"/>
      <c r="M23" s="189"/>
      <c r="N23" s="189"/>
      <c r="O23" s="189"/>
      <c r="P23" s="190"/>
      <c r="Q23" s="180"/>
      <c r="R23" s="220"/>
      <c r="S23" s="189"/>
      <c r="T23" s="189"/>
      <c r="U23" s="189"/>
      <c r="V23" s="189"/>
      <c r="W23" s="183"/>
      <c r="X23" s="180"/>
      <c r="Y23" s="189"/>
      <c r="Z23" s="189"/>
      <c r="AA23" s="189"/>
      <c r="AB23" s="189"/>
      <c r="AC23" s="251"/>
    </row>
    <row r="24" spans="1:219" s="295" customFormat="1" ht="18" customHeight="1">
      <c r="A24" s="51">
        <v>16</v>
      </c>
      <c r="B24" s="52">
        <v>591</v>
      </c>
      <c r="C24" s="53" t="s">
        <v>55</v>
      </c>
      <c r="D24" s="144">
        <f>SUM(E24:G24)</f>
        <v>125430</v>
      </c>
      <c r="E24" s="147">
        <v>26</v>
      </c>
      <c r="F24" s="125">
        <v>405</v>
      </c>
      <c r="G24" s="147">
        <f>SUM(H24:AC24)</f>
        <v>124999</v>
      </c>
      <c r="H24" s="148">
        <f>ROUND('VHČ 2012 (v Kč)'!H24/1000,0)</f>
        <v>23806</v>
      </c>
      <c r="I24" s="261">
        <f>ROUND('VHČ 2012 (v Kč)'!I24/1000,0)</f>
        <v>53</v>
      </c>
      <c r="J24" s="223">
        <f>ROUND('VHČ 2012 (v Kč)'!J24/1000,0)</f>
        <v>6585</v>
      </c>
      <c r="K24" s="149">
        <f>ROUND('VHČ 2012 (v Kč)'!K24/1000,0)</f>
        <v>3496</v>
      </c>
      <c r="L24" s="149">
        <f>ROUND('VHČ 2012 (v Kč)'!L24/1000,0)</f>
        <v>6084</v>
      </c>
      <c r="M24" s="149">
        <f>ROUND('VHČ 2012 (v Kč)'!M24/1000,0)-1</f>
        <v>69</v>
      </c>
      <c r="N24" s="149">
        <f>ROUND('VHČ 2012 (v Kč)'!N24/1000,0)</f>
        <v>7952</v>
      </c>
      <c r="O24" s="149">
        <f>ROUND('VHČ 2012 (v Kč)'!O24/1000,0)</f>
        <v>12440</v>
      </c>
      <c r="P24" s="150">
        <f>ROUND('VHČ 2012 (v Kč)'!P24/1000,0)</f>
        <v>483</v>
      </c>
      <c r="Q24" s="236">
        <f>ROUND('VHČ 2012 (v Kč)'!Q24/1000,0)</f>
        <v>1261</v>
      </c>
      <c r="R24" s="215">
        <f>ROUND('VHČ 2012 (v Kč)'!R24/1000,0)</f>
        <v>8753</v>
      </c>
      <c r="S24" s="149">
        <f>ROUND('VHČ 2012 (v Kč)'!S24/1000,0)</f>
        <v>632</v>
      </c>
      <c r="T24" s="149">
        <f>ROUND('VHČ 2012 (v Kč)'!T24/1000,0)</f>
        <v>9872</v>
      </c>
      <c r="U24" s="149">
        <f>ROUND('VHČ 2012 (v Kč)'!U24/1000,0)</f>
        <v>946</v>
      </c>
      <c r="V24" s="149">
        <f>ROUND('VHČ 2012 (v Kč)'!V24/1000,0)</f>
        <v>4932</v>
      </c>
      <c r="W24" s="151">
        <f>ROUND('VHČ 2012 (v Kč)'!W24/1000,0)</f>
        <v>5265</v>
      </c>
      <c r="X24" s="236">
        <f>ROUND('VHČ 2012 (v Kč)'!X24/1000,0)</f>
        <v>16915</v>
      </c>
      <c r="Y24" s="149">
        <f>ROUND('VHČ 2012 (v Kč)'!Y24/1000,0)</f>
        <v>3742</v>
      </c>
      <c r="Z24" s="149">
        <f>ROUND('VHČ 2012 (v Kč)'!Z24/1000,0)</f>
        <v>55</v>
      </c>
      <c r="AA24" s="149">
        <f>ROUND('VHČ 2012 (v Kč)'!AA24/1000,0)</f>
        <v>8801</v>
      </c>
      <c r="AB24" s="149">
        <f>ROUND('VHČ 2012 (v Kč)'!AB24/1000,0)</f>
        <v>675</v>
      </c>
      <c r="AC24" s="246">
        <f>ROUND('VHČ 2012 (v Kč)'!AC24/1000,0)</f>
        <v>2182</v>
      </c>
    </row>
    <row r="25" spans="1:219" s="295" customFormat="1" ht="18" customHeight="1" thickBot="1">
      <c r="A25" s="9"/>
      <c r="B25" s="10"/>
      <c r="C25" s="82"/>
      <c r="D25" s="177"/>
      <c r="E25" s="178"/>
      <c r="F25" s="179"/>
      <c r="G25" s="178"/>
      <c r="H25" s="154"/>
      <c r="I25" s="263"/>
      <c r="J25" s="228"/>
      <c r="K25" s="230"/>
      <c r="L25" s="191"/>
      <c r="M25" s="191"/>
      <c r="N25" s="192"/>
      <c r="O25" s="191"/>
      <c r="P25" s="193"/>
      <c r="Q25" s="238"/>
      <c r="R25" s="194"/>
      <c r="S25" s="195"/>
      <c r="T25" s="196"/>
      <c r="U25" s="195"/>
      <c r="V25" s="196"/>
      <c r="W25" s="197"/>
      <c r="X25" s="252"/>
      <c r="Y25" s="253"/>
      <c r="Z25" s="253"/>
      <c r="AA25" s="253"/>
      <c r="AB25" s="253"/>
      <c r="AC25" s="254"/>
    </row>
    <row r="26" spans="1:219" s="295" customFormat="1" ht="21" customHeight="1" thickBot="1">
      <c r="A26" s="63">
        <v>17</v>
      </c>
      <c r="B26" s="64"/>
      <c r="C26" s="65" t="s">
        <v>74</v>
      </c>
      <c r="D26" s="174">
        <f>D22-D24</f>
        <v>1008999</v>
      </c>
      <c r="E26" s="175">
        <f>0+E22-E24</f>
        <v>430147</v>
      </c>
      <c r="F26" s="184">
        <f>0+F22-F24</f>
        <v>220</v>
      </c>
      <c r="G26" s="175">
        <f t="shared" ref="G26:AC26" si="5">SUM(G22-G24)</f>
        <v>578632</v>
      </c>
      <c r="H26" s="290">
        <f t="shared" si="5"/>
        <v>73188</v>
      </c>
      <c r="I26" s="291">
        <f t="shared" si="5"/>
        <v>191</v>
      </c>
      <c r="J26" s="292">
        <f t="shared" si="5"/>
        <v>35599</v>
      </c>
      <c r="K26" s="231">
        <f t="shared" si="5"/>
        <v>30021</v>
      </c>
      <c r="L26" s="198">
        <f t="shared" si="5"/>
        <v>27030</v>
      </c>
      <c r="M26" s="198">
        <f t="shared" si="5"/>
        <v>294</v>
      </c>
      <c r="N26" s="199">
        <f t="shared" si="5"/>
        <v>33748</v>
      </c>
      <c r="O26" s="198">
        <f t="shared" si="5"/>
        <v>53387</v>
      </c>
      <c r="P26" s="200">
        <f t="shared" si="5"/>
        <v>2279</v>
      </c>
      <c r="Q26" s="239">
        <f t="shared" si="5"/>
        <v>5332</v>
      </c>
      <c r="R26" s="201">
        <f t="shared" si="5"/>
        <v>92677</v>
      </c>
      <c r="S26" s="202">
        <f t="shared" si="5"/>
        <v>2773</v>
      </c>
      <c r="T26" s="203">
        <f t="shared" si="5"/>
        <v>62496</v>
      </c>
      <c r="U26" s="202">
        <f t="shared" si="5"/>
        <v>15686</v>
      </c>
      <c r="V26" s="203">
        <f t="shared" si="5"/>
        <v>10725</v>
      </c>
      <c r="W26" s="204">
        <f t="shared" si="5"/>
        <v>22340</v>
      </c>
      <c r="X26" s="255">
        <f t="shared" si="5"/>
        <v>44260</v>
      </c>
      <c r="Y26" s="256">
        <f t="shared" si="5"/>
        <v>16061</v>
      </c>
      <c r="Z26" s="256">
        <f t="shared" si="5"/>
        <v>242</v>
      </c>
      <c r="AA26" s="256">
        <f t="shared" si="5"/>
        <v>37530</v>
      </c>
      <c r="AB26" s="256">
        <f t="shared" si="5"/>
        <v>2935</v>
      </c>
      <c r="AC26" s="257">
        <f t="shared" si="5"/>
        <v>9838</v>
      </c>
    </row>
    <row r="27" spans="1:219" s="295" customFormat="1" ht="15" customHeight="1">
      <c r="A27" s="91"/>
      <c r="B27" s="91"/>
      <c r="C27" s="205"/>
      <c r="D27" s="93"/>
      <c r="E27" s="94"/>
      <c r="F27" s="94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</row>
    <row r="28" spans="1:219" s="295" customFormat="1" ht="18.75" customHeight="1" thickBot="1">
      <c r="A28" s="91"/>
      <c r="B28" s="91"/>
      <c r="C28" s="205"/>
      <c r="D28" s="93"/>
      <c r="E28" s="94"/>
      <c r="F28" s="94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</row>
    <row r="29" spans="1:219" s="295" customFormat="1" ht="19.5" thickBot="1">
      <c r="A29" s="399">
        <v>18</v>
      </c>
      <c r="B29" s="400">
        <v>241</v>
      </c>
      <c r="C29" s="401" t="s">
        <v>64</v>
      </c>
      <c r="D29" s="402">
        <f>SUM(E29:G29)</f>
        <v>788388</v>
      </c>
      <c r="E29" s="403">
        <v>40200</v>
      </c>
      <c r="F29" s="404">
        <v>477</v>
      </c>
      <c r="G29" s="403">
        <f>SUM(H29:AC29)</f>
        <v>747711</v>
      </c>
      <c r="H29" s="405">
        <f>ROUND('VHČ 2012 (v Kč)'!H32/1000,0)-1</f>
        <v>131909</v>
      </c>
      <c r="I29" s="406">
        <f>ROUND('VHČ 2012 (v Kč)'!I32/1000,0)</f>
        <v>460</v>
      </c>
      <c r="J29" s="407">
        <f>ROUND('VHČ 2012 (v Kč)'!J32/1000,0)</f>
        <v>71561</v>
      </c>
      <c r="K29" s="408">
        <f>ROUND('VHČ 2012 (v Kč)'!K32/1000,0)</f>
        <v>10133</v>
      </c>
      <c r="L29" s="408">
        <f>ROUND('VHČ 2012 (v Kč)'!L32/1000,0)</f>
        <v>46825</v>
      </c>
      <c r="M29" s="408">
        <f>ROUND('VHČ 2012 (v Kč)'!M32/1000,0)</f>
        <v>3325</v>
      </c>
      <c r="N29" s="408">
        <f>ROUND('VHČ 2012 (v Kč)'!N32/1000,0)</f>
        <v>28681</v>
      </c>
      <c r="O29" s="408">
        <f>ROUND('VHČ 2012 (v Kč)'!O32/1000,0)</f>
        <v>61964</v>
      </c>
      <c r="P29" s="406">
        <f>ROUND('VHČ 2012 (v Kč)'!P32/1000,0)</f>
        <v>1805</v>
      </c>
      <c r="Q29" s="409">
        <f>ROUND('VHČ 2012 (v Kč)'!Q32/1000,0)</f>
        <v>1899</v>
      </c>
      <c r="R29" s="408">
        <f>ROUND('VHČ 2012 (v Kč)'!R32/1000,0)</f>
        <v>130864</v>
      </c>
      <c r="S29" s="408">
        <f>ROUND('VHČ 2012 (v Kč)'!S32/1000,0)</f>
        <v>5193</v>
      </c>
      <c r="T29" s="408">
        <f>ROUND('VHČ 2012 (v Kč)'!T32/1000,0)</f>
        <v>56974</v>
      </c>
      <c r="U29" s="408">
        <f>ROUND('VHČ 2012 (v Kč)'!U32/1000,0)</f>
        <v>19389</v>
      </c>
      <c r="V29" s="408">
        <f>ROUND('VHČ 2012 (v Kč)'!V32/1000,0)</f>
        <v>696</v>
      </c>
      <c r="W29" s="410">
        <f>ROUND('VHČ 2012 (v Kč)'!W32/1000,0)</f>
        <v>24790</v>
      </c>
      <c r="X29" s="409">
        <f>ROUND('VHČ 2012 (v Kč)'!X32/1000,0)</f>
        <v>36738</v>
      </c>
      <c r="Y29" s="408">
        <f>ROUND('VHČ 2012 (v Kč)'!Y32/1000,0)</f>
        <v>17818</v>
      </c>
      <c r="Z29" s="408">
        <f>ROUND('VHČ 2012 (v Kč)'!Z32/1000,0)</f>
        <v>1543</v>
      </c>
      <c r="AA29" s="408">
        <f>ROUND('VHČ 2012 (v Kč)'!AA32/1000,0)</f>
        <v>59682</v>
      </c>
      <c r="AB29" s="408">
        <f>ROUND('VHČ 2012 (v Kč)'!AB32/1000,0)</f>
        <v>21788</v>
      </c>
      <c r="AC29" s="406">
        <f>ROUND('VHČ 2012 (v Kč)'!AC32/1000,0)</f>
        <v>13674</v>
      </c>
    </row>
    <row r="30" spans="1:219" s="295" customFormat="1" ht="15" customHeight="1">
      <c r="A30" s="95" t="s">
        <v>56</v>
      </c>
      <c r="B30" s="95"/>
      <c r="C30" s="96"/>
      <c r="D30" s="96"/>
      <c r="E30" s="97"/>
      <c r="F30" s="97"/>
      <c r="G30" s="97"/>
      <c r="H30" s="97"/>
      <c r="I30" s="97"/>
      <c r="J30" s="97"/>
      <c r="K30" s="97"/>
      <c r="L30" s="97"/>
      <c r="M30" s="97"/>
      <c r="N30" s="299"/>
      <c r="O30" s="299"/>
      <c r="P30" s="299"/>
      <c r="Q30" s="299"/>
      <c r="R30" s="299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96"/>
      <c r="FG30" s="96"/>
      <c r="FH30" s="96"/>
      <c r="FI30" s="96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96"/>
      <c r="FU30" s="96"/>
      <c r="FV30" s="96"/>
      <c r="FW30" s="96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96"/>
      <c r="GI30" s="96"/>
      <c r="GJ30" s="96"/>
      <c r="GK30" s="96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96"/>
      <c r="GW30" s="96"/>
      <c r="GX30" s="96"/>
      <c r="GY30" s="96"/>
      <c r="GZ30" s="96"/>
      <c r="HA30" s="96"/>
      <c r="HB30" s="96"/>
      <c r="HC30" s="96"/>
      <c r="HD30" s="96"/>
      <c r="HE30" s="96"/>
      <c r="HF30" s="96"/>
      <c r="HG30" s="96"/>
      <c r="HH30" s="96"/>
      <c r="HI30" s="96"/>
      <c r="HJ30" s="96"/>
      <c r="HK30" s="96"/>
    </row>
    <row r="31" spans="1:219" s="295" customFormat="1" ht="18">
      <c r="E31" s="98"/>
      <c r="F31" s="98"/>
      <c r="G31" s="98"/>
      <c r="H31" s="98"/>
      <c r="I31" s="98"/>
      <c r="J31" s="98"/>
      <c r="K31" s="98"/>
      <c r="L31" s="98"/>
      <c r="M31" s="300"/>
    </row>
    <row r="32" spans="1:219" s="295" customFormat="1" ht="18">
      <c r="E32" s="98"/>
      <c r="F32" s="98"/>
      <c r="G32" s="100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</row>
    <row r="33" spans="5:13" ht="18">
      <c r="E33" s="98"/>
      <c r="F33" s="98"/>
      <c r="G33" s="98"/>
      <c r="H33" s="98"/>
      <c r="I33" s="98"/>
      <c r="J33" s="98"/>
      <c r="K33" s="98"/>
      <c r="L33" s="98"/>
      <c r="M33" s="99"/>
    </row>
    <row r="34" spans="5:13" ht="18">
      <c r="E34" s="101"/>
      <c r="F34" s="101"/>
      <c r="G34" s="101"/>
      <c r="H34" s="101"/>
      <c r="I34" s="101"/>
      <c r="J34" s="101"/>
      <c r="K34" s="101"/>
      <c r="L34" s="101"/>
    </row>
    <row r="35" spans="5:13" ht="18">
      <c r="E35" s="101"/>
      <c r="F35" s="101"/>
      <c r="G35" s="101"/>
      <c r="H35" s="101"/>
      <c r="I35" s="101"/>
      <c r="J35" s="101"/>
      <c r="K35" s="101"/>
      <c r="L35" s="101"/>
    </row>
    <row r="36" spans="5:13" ht="18">
      <c r="E36" s="101"/>
      <c r="F36" s="101"/>
      <c r="G36" s="101"/>
      <c r="H36" s="101"/>
      <c r="I36" s="101"/>
      <c r="J36" s="101"/>
      <c r="K36" s="101"/>
      <c r="L36" s="101"/>
    </row>
    <row r="37" spans="5:13" ht="18">
      <c r="E37" s="101"/>
      <c r="F37" s="101"/>
      <c r="G37" s="101"/>
      <c r="H37" s="101"/>
      <c r="I37" s="101"/>
      <c r="J37" s="101"/>
      <c r="K37" s="101"/>
      <c r="L37" s="101"/>
    </row>
    <row r="38" spans="5:13" ht="18">
      <c r="E38" s="101"/>
      <c r="F38" s="101"/>
      <c r="G38" s="101"/>
      <c r="H38" s="101"/>
      <c r="I38" s="101"/>
      <c r="J38" s="101"/>
      <c r="K38" s="101"/>
      <c r="L38" s="101"/>
    </row>
    <row r="39" spans="5:13" ht="18">
      <c r="E39" s="101"/>
      <c r="F39" s="101"/>
      <c r="G39" s="101"/>
      <c r="H39" s="101"/>
      <c r="I39" s="101"/>
      <c r="J39" s="101"/>
      <c r="K39" s="101"/>
      <c r="L39" s="101"/>
    </row>
    <row r="40" spans="5:13" ht="18">
      <c r="E40" s="101"/>
      <c r="F40" s="101"/>
      <c r="G40" s="101"/>
      <c r="H40" s="101"/>
      <c r="I40" s="101"/>
      <c r="J40" s="101"/>
      <c r="K40" s="101"/>
      <c r="L40" s="101"/>
    </row>
    <row r="41" spans="5:13" ht="18">
      <c r="E41" s="101"/>
      <c r="F41" s="101"/>
      <c r="G41" s="101"/>
      <c r="H41" s="101"/>
      <c r="I41" s="101"/>
      <c r="J41" s="101"/>
      <c r="K41" s="101"/>
      <c r="L41" s="101"/>
    </row>
    <row r="42" spans="5:13" ht="18">
      <c r="E42" s="101"/>
      <c r="F42" s="101"/>
      <c r="G42" s="101"/>
      <c r="H42" s="101"/>
      <c r="I42" s="101"/>
      <c r="J42" s="101"/>
      <c r="K42" s="101"/>
      <c r="L42" s="101"/>
    </row>
  </sheetData>
  <mergeCells count="1">
    <mergeCell ref="E1:F1"/>
  </mergeCells>
  <phoneticPr fontId="0" type="noConversion"/>
  <printOptions horizontalCentered="1"/>
  <pageMargins left="0.51181102362204722" right="0.51181102362204722" top="1.3385826771653544" bottom="0.86614173228346458" header="0.82677165354330717" footer="0.59055118110236227"/>
  <pageSetup paperSize="9" scale="68" fitToHeight="4" orientation="landscape" r:id="rId1"/>
  <headerFooter alignWithMargins="0">
    <oddHeader>&amp;C&amp;"Times New Roman CE,Tučné"&amp;20Přehled o vedlejší hospodářské činnosti statutárního města Brna za rok 2012 (v tis. Kč)</oddHeader>
    <oddFooter>&amp;R&amp;"Times New Roman,Obyčejné"&amp;11&amp;P</oddFooter>
  </headerFooter>
  <colBreaks count="3" manualBreakCount="3">
    <brk id="9" max="1048575" man="1"/>
    <brk id="16" max="1048575" man="1"/>
    <brk id="2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K45"/>
  <sheetViews>
    <sheetView topLeftCell="A10" zoomScale="75" zoomScaleNormal="75" zoomScaleSheetLayoutView="75" workbookViewId="0">
      <pane xSplit="3" topLeftCell="D1" activePane="topRight" state="frozen"/>
      <selection pane="topRight" activeCell="D35" sqref="D35"/>
    </sheetView>
  </sheetViews>
  <sheetFormatPr defaultColWidth="12.6640625" defaultRowHeight="15"/>
  <cols>
    <col min="1" max="1" width="5" style="8" customWidth="1"/>
    <col min="2" max="2" width="7.5546875" style="8" customWidth="1"/>
    <col min="3" max="3" width="51.6640625" style="8" customWidth="1"/>
    <col min="4" max="4" width="16.88671875" style="8" bestFit="1" customWidth="1"/>
    <col min="5" max="6" width="14.77734375" style="8" customWidth="1"/>
    <col min="7" max="7" width="16.88671875" style="8" bestFit="1" customWidth="1"/>
    <col min="8" max="29" width="14.77734375" style="8" customWidth="1"/>
    <col min="30" max="16384" width="12.6640625" style="8"/>
  </cols>
  <sheetData>
    <row r="1" spans="1:29" s="295" customFormat="1" ht="18" customHeight="1" thickTop="1">
      <c r="A1" s="1"/>
      <c r="B1" s="2"/>
      <c r="C1" s="3"/>
      <c r="D1" s="4" t="s">
        <v>0</v>
      </c>
      <c r="E1" s="413" t="s">
        <v>1</v>
      </c>
      <c r="F1" s="414"/>
      <c r="G1" s="3" t="s">
        <v>2</v>
      </c>
      <c r="H1" s="102"/>
      <c r="I1" s="103"/>
      <c r="J1" s="104"/>
      <c r="K1" s="105"/>
      <c r="L1" s="103"/>
      <c r="M1" s="106"/>
      <c r="N1" s="106"/>
      <c r="O1" s="103"/>
      <c r="P1" s="6"/>
      <c r="Q1" s="107"/>
      <c r="R1" s="108"/>
      <c r="S1" s="6"/>
      <c r="T1" s="109"/>
      <c r="U1" s="6"/>
      <c r="V1" s="5"/>
      <c r="W1" s="6"/>
      <c r="X1" s="6"/>
      <c r="Y1" s="6"/>
      <c r="Z1" s="5"/>
      <c r="AA1" s="5"/>
      <c r="AB1" s="6"/>
      <c r="AC1" s="7"/>
    </row>
    <row r="2" spans="1:29" s="295" customFormat="1" ht="18" customHeight="1">
      <c r="A2" s="9" t="s">
        <v>3</v>
      </c>
      <c r="B2" s="10" t="s">
        <v>4</v>
      </c>
      <c r="C2" s="11" t="s">
        <v>5</v>
      </c>
      <c r="D2" s="10" t="s">
        <v>6</v>
      </c>
      <c r="E2" s="12" t="s">
        <v>7</v>
      </c>
      <c r="F2" s="13" t="s">
        <v>8</v>
      </c>
      <c r="G2" s="11" t="s">
        <v>9</v>
      </c>
      <c r="H2" s="14" t="s">
        <v>10</v>
      </c>
      <c r="I2" s="13" t="s">
        <v>11</v>
      </c>
      <c r="J2" s="110" t="s">
        <v>12</v>
      </c>
      <c r="K2" s="15" t="s">
        <v>13</v>
      </c>
      <c r="L2" s="13" t="s">
        <v>14</v>
      </c>
      <c r="M2" s="16" t="s">
        <v>15</v>
      </c>
      <c r="N2" s="16" t="s">
        <v>16</v>
      </c>
      <c r="O2" s="13" t="s">
        <v>17</v>
      </c>
      <c r="P2" s="18" t="s">
        <v>18</v>
      </c>
      <c r="Q2" s="111" t="s">
        <v>19</v>
      </c>
      <c r="R2" s="112" t="s">
        <v>20</v>
      </c>
      <c r="S2" s="18" t="s">
        <v>21</v>
      </c>
      <c r="T2" s="19" t="s">
        <v>22</v>
      </c>
      <c r="U2" s="18" t="s">
        <v>23</v>
      </c>
      <c r="V2" s="19" t="s">
        <v>24</v>
      </c>
      <c r="W2" s="18" t="s">
        <v>25</v>
      </c>
      <c r="X2" s="18" t="s">
        <v>26</v>
      </c>
      <c r="Y2" s="18" t="s">
        <v>27</v>
      </c>
      <c r="Z2" s="19" t="s">
        <v>28</v>
      </c>
      <c r="AA2" s="19" t="s">
        <v>29</v>
      </c>
      <c r="AB2" s="18" t="s">
        <v>30</v>
      </c>
      <c r="AC2" s="20" t="s">
        <v>31</v>
      </c>
    </row>
    <row r="3" spans="1:29" s="295" customFormat="1" ht="18" customHeight="1" thickBot="1">
      <c r="A3" s="21"/>
      <c r="B3" s="22"/>
      <c r="C3" s="23"/>
      <c r="D3" s="24" t="s">
        <v>32</v>
      </c>
      <c r="E3" s="25"/>
      <c r="F3" s="26" t="s">
        <v>33</v>
      </c>
      <c r="G3" s="113" t="s">
        <v>32</v>
      </c>
      <c r="H3" s="114"/>
      <c r="I3" s="115"/>
      <c r="J3" s="116" t="s">
        <v>34</v>
      </c>
      <c r="K3" s="117" t="s">
        <v>34</v>
      </c>
      <c r="L3" s="115"/>
      <c r="M3" s="118"/>
      <c r="N3" s="118"/>
      <c r="O3" s="115"/>
      <c r="P3" s="119"/>
      <c r="Q3" s="120"/>
      <c r="R3" s="121"/>
      <c r="S3" s="31" t="s">
        <v>35</v>
      </c>
      <c r="T3" s="32"/>
      <c r="U3" s="31"/>
      <c r="V3" s="32"/>
      <c r="W3" s="119"/>
      <c r="X3" s="119"/>
      <c r="Y3" s="31"/>
      <c r="Z3" s="32"/>
      <c r="AA3" s="32" t="s">
        <v>36</v>
      </c>
      <c r="AB3" s="119"/>
      <c r="AC3" s="122" t="s">
        <v>37</v>
      </c>
    </row>
    <row r="4" spans="1:29" s="295" customFormat="1" ht="18" customHeight="1">
      <c r="A4" s="34"/>
      <c r="B4" s="35"/>
      <c r="C4" s="36" t="s">
        <v>38</v>
      </c>
      <c r="D4" s="37"/>
      <c r="E4" s="38"/>
      <c r="F4" s="39"/>
      <c r="G4" s="123"/>
      <c r="H4" s="124"/>
      <c r="I4" s="301"/>
      <c r="J4" s="125"/>
      <c r="K4" s="302"/>
      <c r="L4" s="301"/>
      <c r="M4" s="303"/>
      <c r="N4" s="126"/>
      <c r="O4" s="301"/>
      <c r="P4" s="127"/>
      <c r="Q4" s="58"/>
      <c r="R4" s="128"/>
      <c r="S4" s="301"/>
      <c r="T4" s="129"/>
      <c r="U4" s="127"/>
      <c r="V4" s="126"/>
      <c r="W4" s="301"/>
      <c r="X4" s="301"/>
      <c r="Y4" s="301"/>
      <c r="Z4" s="303"/>
      <c r="AA4" s="303"/>
      <c r="AB4" s="301"/>
      <c r="AC4" s="304"/>
    </row>
    <row r="5" spans="1:29" s="295" customFormat="1" ht="18" customHeight="1">
      <c r="A5" s="51">
        <v>1</v>
      </c>
      <c r="B5" s="52">
        <v>601.20000000000005</v>
      </c>
      <c r="C5" s="53" t="s">
        <v>39</v>
      </c>
      <c r="D5" s="54">
        <f>SUM(E5:G5)</f>
        <v>65752420.120000005</v>
      </c>
      <c r="E5" s="55">
        <f>112167.17+39112323.19</f>
        <v>39224490.359999999</v>
      </c>
      <c r="F5" s="56">
        <v>9381705.9800000004</v>
      </c>
      <c r="G5" s="330">
        <f>SUM(H5:AC5)</f>
        <v>17146223.780000001</v>
      </c>
      <c r="H5" s="128">
        <v>2116371.08</v>
      </c>
      <c r="I5" s="127"/>
      <c r="J5" s="58">
        <v>328525</v>
      </c>
      <c r="K5" s="130">
        <v>8170.62</v>
      </c>
      <c r="L5" s="127"/>
      <c r="M5" s="127"/>
      <c r="N5" s="126"/>
      <c r="O5" s="127"/>
      <c r="P5" s="127"/>
      <c r="Q5" s="58"/>
      <c r="R5" s="128"/>
      <c r="S5" s="127"/>
      <c r="T5" s="126"/>
      <c r="U5" s="127">
        <v>6875890.0800000001</v>
      </c>
      <c r="V5" s="126"/>
      <c r="W5" s="127"/>
      <c r="X5" s="127"/>
      <c r="Y5" s="127"/>
      <c r="Z5" s="126"/>
      <c r="AA5" s="126">
        <v>7817267</v>
      </c>
      <c r="AB5" s="127"/>
      <c r="AC5" s="331"/>
    </row>
    <row r="6" spans="1:29" s="295" customFormat="1" ht="18" customHeight="1">
      <c r="A6" s="51">
        <v>2</v>
      </c>
      <c r="B6" s="52">
        <v>603</v>
      </c>
      <c r="C6" s="53" t="s">
        <v>60</v>
      </c>
      <c r="D6" s="54">
        <f>SUM(E6:G6)</f>
        <v>1848554911.6999998</v>
      </c>
      <c r="E6" s="55">
        <v>424025150</v>
      </c>
      <c r="F6" s="56"/>
      <c r="G6" s="330">
        <f>SUM(H6:AC6)</f>
        <v>1424529761.6999998</v>
      </c>
      <c r="H6" s="128">
        <v>305084277.14999998</v>
      </c>
      <c r="I6" s="127">
        <v>477309</v>
      </c>
      <c r="J6" s="58">
        <v>48531658.579999998</v>
      </c>
      <c r="K6" s="130">
        <v>43188657.5</v>
      </c>
      <c r="L6" s="127">
        <v>69660518.670000002</v>
      </c>
      <c r="M6" s="127">
        <v>585168</v>
      </c>
      <c r="N6" s="126">
        <v>79727966.150000006</v>
      </c>
      <c r="O6" s="127">
        <v>80438141</v>
      </c>
      <c r="P6" s="127">
        <v>3900924</v>
      </c>
      <c r="Q6" s="58">
        <v>7573948</v>
      </c>
      <c r="R6" s="128">
        <v>277944358.81999999</v>
      </c>
      <c r="S6" s="127">
        <v>5121070</v>
      </c>
      <c r="T6" s="126">
        <v>104789586</v>
      </c>
      <c r="U6" s="127">
        <v>48073908.439999998</v>
      </c>
      <c r="V6" s="126">
        <v>37343630</v>
      </c>
      <c r="W6" s="127">
        <v>38269249.560000002</v>
      </c>
      <c r="X6" s="127">
        <v>105054336</v>
      </c>
      <c r="Y6" s="127">
        <v>36835288.619999997</v>
      </c>
      <c r="Z6" s="126">
        <v>388903</v>
      </c>
      <c r="AA6" s="126">
        <v>104581658.31999999</v>
      </c>
      <c r="AB6" s="127">
        <v>6695132.8899999997</v>
      </c>
      <c r="AC6" s="331">
        <v>20264072</v>
      </c>
    </row>
    <row r="7" spans="1:29" s="295" customFormat="1" ht="18" customHeight="1">
      <c r="A7" s="51">
        <v>3</v>
      </c>
      <c r="B7" s="52" t="s">
        <v>40</v>
      </c>
      <c r="C7" s="53" t="s">
        <v>41</v>
      </c>
      <c r="D7" s="54">
        <f>SUM(E7:G7)</f>
        <v>18230306.129999999</v>
      </c>
      <c r="E7" s="57">
        <f>333419.13+17896887</f>
        <v>18230306.129999999</v>
      </c>
      <c r="F7" s="58"/>
      <c r="G7" s="330">
        <f>SUM(H7:AC7)</f>
        <v>0</v>
      </c>
      <c r="H7" s="332"/>
      <c r="I7" s="127"/>
      <c r="J7" s="58"/>
      <c r="K7" s="130"/>
      <c r="L7" s="127"/>
      <c r="M7" s="127"/>
      <c r="N7" s="126"/>
      <c r="O7" s="127"/>
      <c r="P7" s="127"/>
      <c r="Q7" s="58"/>
      <c r="R7" s="128"/>
      <c r="S7" s="127"/>
      <c r="T7" s="126"/>
      <c r="U7" s="127"/>
      <c r="V7" s="126"/>
      <c r="W7" s="127"/>
      <c r="X7" s="127"/>
      <c r="Y7" s="127"/>
      <c r="Z7" s="126"/>
      <c r="AA7" s="126"/>
      <c r="AB7" s="127"/>
      <c r="AC7" s="131"/>
    </row>
    <row r="8" spans="1:29" s="295" customFormat="1" ht="18" customHeight="1">
      <c r="A8" s="51">
        <v>4</v>
      </c>
      <c r="B8" s="52">
        <v>672</v>
      </c>
      <c r="C8" s="53" t="s">
        <v>68</v>
      </c>
      <c r="D8" s="54">
        <f>SUM(E8:G8)</f>
        <v>3476239.25</v>
      </c>
      <c r="E8" s="59">
        <v>426000</v>
      </c>
      <c r="F8" s="60"/>
      <c r="G8" s="330">
        <f>SUM(H8:AC8)</f>
        <v>3050239.25</v>
      </c>
      <c r="H8" s="333">
        <v>1903000</v>
      </c>
      <c r="I8" s="48"/>
      <c r="J8" s="60"/>
      <c r="K8" s="334"/>
      <c r="L8" s="48">
        <v>745932</v>
      </c>
      <c r="M8" s="48"/>
      <c r="N8" s="49"/>
      <c r="O8" s="48"/>
      <c r="P8" s="48"/>
      <c r="Q8" s="60"/>
      <c r="R8" s="297"/>
      <c r="S8" s="48"/>
      <c r="T8" s="49"/>
      <c r="U8" s="48"/>
      <c r="V8" s="49"/>
      <c r="W8" s="48"/>
      <c r="X8" s="48"/>
      <c r="Y8" s="48"/>
      <c r="Z8" s="49"/>
      <c r="AA8" s="49">
        <v>401307.25</v>
      </c>
      <c r="AB8" s="48"/>
      <c r="AC8" s="335"/>
    </row>
    <row r="9" spans="1:29" s="295" customFormat="1" ht="18" customHeight="1" thickBot="1">
      <c r="A9" s="61">
        <v>5</v>
      </c>
      <c r="B9" s="62" t="s">
        <v>61</v>
      </c>
      <c r="C9" s="53" t="s">
        <v>42</v>
      </c>
      <c r="D9" s="54">
        <f>SUM(E9:G9)</f>
        <v>69776778.080000058</v>
      </c>
      <c r="E9" s="59">
        <f>24134.4+5647.71+15.93</f>
        <v>29798.04</v>
      </c>
      <c r="F9" s="60">
        <v>1450242.12</v>
      </c>
      <c r="G9" s="330">
        <f>SUM(H9:AC9)</f>
        <v>68296737.920000061</v>
      </c>
      <c r="H9" s="333">
        <f t="shared" ref="H9:AC9" si="0">H10-H5-H6-H7-H8</f>
        <v>9925586.0800000429</v>
      </c>
      <c r="I9" s="336">
        <f t="shared" si="0"/>
        <v>112426.17000000004</v>
      </c>
      <c r="J9" s="337">
        <f t="shared" si="0"/>
        <v>8076014.3500000015</v>
      </c>
      <c r="K9" s="333">
        <f t="shared" si="0"/>
        <v>4662457.0399999991</v>
      </c>
      <c r="L9" s="338">
        <f t="shared" si="0"/>
        <v>757179.04999999702</v>
      </c>
      <c r="M9" s="338">
        <f t="shared" si="0"/>
        <v>16938.510000000009</v>
      </c>
      <c r="N9" s="338">
        <f t="shared" si="0"/>
        <v>1135882.1199999899</v>
      </c>
      <c r="O9" s="338">
        <f t="shared" si="0"/>
        <v>3891575.0600000024</v>
      </c>
      <c r="P9" s="336">
        <f t="shared" si="0"/>
        <v>15362.569999999832</v>
      </c>
      <c r="Q9" s="338">
        <f t="shared" si="0"/>
        <v>62930.150000000373</v>
      </c>
      <c r="R9" s="339">
        <f t="shared" si="0"/>
        <v>28255593.879999995</v>
      </c>
      <c r="S9" s="338">
        <f t="shared" si="0"/>
        <v>24057.740000000224</v>
      </c>
      <c r="T9" s="338">
        <f t="shared" si="0"/>
        <v>1290243.4699999988</v>
      </c>
      <c r="U9" s="338">
        <f t="shared" si="0"/>
        <v>905442.60000000149</v>
      </c>
      <c r="V9" s="338">
        <f t="shared" si="0"/>
        <v>404452.92000000179</v>
      </c>
      <c r="W9" s="336">
        <f t="shared" si="0"/>
        <v>756711.96000000089</v>
      </c>
      <c r="X9" s="338">
        <f t="shared" si="0"/>
        <v>1018543.3599999994</v>
      </c>
      <c r="Y9" s="338">
        <f t="shared" si="0"/>
        <v>674656.74000000209</v>
      </c>
      <c r="Z9" s="338">
        <f t="shared" si="0"/>
        <v>7792.7600000000093</v>
      </c>
      <c r="AA9" s="338">
        <f t="shared" si="0"/>
        <v>5178975.0700000077</v>
      </c>
      <c r="AB9" s="338">
        <f t="shared" si="0"/>
        <v>36118.930000000633</v>
      </c>
      <c r="AC9" s="340">
        <f t="shared" si="0"/>
        <v>1087797.3900000006</v>
      </c>
    </row>
    <row r="10" spans="1:29" s="295" customFormat="1" ht="18" customHeight="1" thickBot="1">
      <c r="A10" s="63">
        <v>6</v>
      </c>
      <c r="B10" s="64"/>
      <c r="C10" s="65" t="s">
        <v>59</v>
      </c>
      <c r="D10" s="66">
        <f>SUM(D5:D9)</f>
        <v>2005790655.28</v>
      </c>
      <c r="E10" s="67">
        <f>SUM(E5:E9)</f>
        <v>481935744.53000003</v>
      </c>
      <c r="F10" s="68">
        <f>SUM(F5:F9)</f>
        <v>10831948.100000001</v>
      </c>
      <c r="G10" s="341">
        <f>SUM(G5:G9)</f>
        <v>1513022962.6499999</v>
      </c>
      <c r="H10" s="342">
        <v>319029234.31</v>
      </c>
      <c r="I10" s="343">
        <v>589735.17000000004</v>
      </c>
      <c r="J10" s="86">
        <v>56936197.93</v>
      </c>
      <c r="K10" s="344">
        <v>47859285.159999996</v>
      </c>
      <c r="L10" s="343">
        <v>71163629.719999999</v>
      </c>
      <c r="M10" s="343">
        <v>602106.51</v>
      </c>
      <c r="N10" s="345">
        <v>80863848.269999996</v>
      </c>
      <c r="O10" s="343">
        <v>84329716.060000002</v>
      </c>
      <c r="P10" s="343">
        <v>3916286.57</v>
      </c>
      <c r="Q10" s="86">
        <v>7636878.1500000004</v>
      </c>
      <c r="R10" s="342">
        <v>306199952.69999999</v>
      </c>
      <c r="S10" s="343">
        <v>5145127.74</v>
      </c>
      <c r="T10" s="345">
        <v>106079829.47</v>
      </c>
      <c r="U10" s="343">
        <v>55855241.119999997</v>
      </c>
      <c r="V10" s="345">
        <v>37748082.920000002</v>
      </c>
      <c r="W10" s="343">
        <v>39025961.520000003</v>
      </c>
      <c r="X10" s="343">
        <v>106072879.36</v>
      </c>
      <c r="Y10" s="343">
        <v>37509945.359999999</v>
      </c>
      <c r="Z10" s="343">
        <v>396695.76</v>
      </c>
      <c r="AA10" s="345">
        <v>117979207.64</v>
      </c>
      <c r="AB10" s="343">
        <v>6731251.8200000003</v>
      </c>
      <c r="AC10" s="346">
        <v>21351869.390000001</v>
      </c>
    </row>
    <row r="11" spans="1:29" s="295" customFormat="1" ht="18" customHeight="1">
      <c r="A11" s="69"/>
      <c r="B11" s="70"/>
      <c r="C11" s="53"/>
      <c r="D11" s="71"/>
      <c r="E11" s="72"/>
      <c r="F11" s="73"/>
      <c r="G11" s="132"/>
      <c r="H11" s="133"/>
      <c r="I11" s="134"/>
      <c r="J11" s="135"/>
      <c r="K11" s="136"/>
      <c r="L11" s="134"/>
      <c r="M11" s="134"/>
      <c r="N11" s="137"/>
      <c r="O11" s="134"/>
      <c r="P11" s="134"/>
      <c r="Q11" s="135"/>
      <c r="R11" s="133"/>
      <c r="S11" s="134"/>
      <c r="T11" s="129"/>
      <c r="U11" s="134"/>
      <c r="V11" s="137"/>
      <c r="W11" s="134"/>
      <c r="X11" s="134"/>
      <c r="Y11" s="134"/>
      <c r="Z11" s="137"/>
      <c r="AA11" s="137"/>
      <c r="AB11" s="134"/>
      <c r="AC11" s="138"/>
    </row>
    <row r="12" spans="1:29" s="295" customFormat="1" ht="18" customHeight="1">
      <c r="A12" s="74"/>
      <c r="B12" s="75"/>
      <c r="C12" s="36" t="s">
        <v>43</v>
      </c>
      <c r="D12" s="76"/>
      <c r="E12" s="77"/>
      <c r="F12" s="78"/>
      <c r="G12" s="139"/>
      <c r="H12" s="128"/>
      <c r="I12" s="127"/>
      <c r="J12" s="58"/>
      <c r="K12" s="130"/>
      <c r="L12" s="127"/>
      <c r="M12" s="127"/>
      <c r="N12" s="126"/>
      <c r="O12" s="127"/>
      <c r="P12" s="127"/>
      <c r="Q12" s="58"/>
      <c r="R12" s="128"/>
      <c r="S12" s="127"/>
      <c r="T12" s="126"/>
      <c r="U12" s="127"/>
      <c r="V12" s="126"/>
      <c r="W12" s="127"/>
      <c r="X12" s="127"/>
      <c r="Y12" s="127"/>
      <c r="Z12" s="126"/>
      <c r="AA12" s="126"/>
      <c r="AB12" s="127"/>
      <c r="AC12" s="131"/>
    </row>
    <row r="13" spans="1:29" s="295" customFormat="1" ht="18" customHeight="1">
      <c r="A13" s="51">
        <v>7</v>
      </c>
      <c r="B13" s="52">
        <v>501.2</v>
      </c>
      <c r="C13" s="53" t="s">
        <v>44</v>
      </c>
      <c r="D13" s="54">
        <f t="shared" ref="D13:D19" si="1">SUM(E13:G13)</f>
        <v>29446050.360000003</v>
      </c>
      <c r="E13" s="57">
        <v>2001948</v>
      </c>
      <c r="F13" s="58">
        <f>4940714.46+720000</f>
        <v>5660714.46</v>
      </c>
      <c r="G13" s="330">
        <f t="shared" ref="G13:G19" si="2">SUM(H13:AC13)</f>
        <v>21783387.900000002</v>
      </c>
      <c r="H13" s="128">
        <v>2787925.62</v>
      </c>
      <c r="I13" s="127">
        <v>9175.83</v>
      </c>
      <c r="J13" s="58">
        <v>235915.79</v>
      </c>
      <c r="K13" s="130">
        <v>28656.799999999999</v>
      </c>
      <c r="L13" s="127">
        <v>688307.94</v>
      </c>
      <c r="M13" s="127">
        <v>3684</v>
      </c>
      <c r="N13" s="126">
        <v>-60803.87</v>
      </c>
      <c r="O13" s="127">
        <v>236778.05</v>
      </c>
      <c r="P13" s="127">
        <v>136783</v>
      </c>
      <c r="Q13" s="58">
        <v>107.15</v>
      </c>
      <c r="R13" s="128">
        <v>3692253.66</v>
      </c>
      <c r="S13" s="127">
        <v>5046.6499999999996</v>
      </c>
      <c r="T13" s="126">
        <v>380236.19</v>
      </c>
      <c r="U13" s="127">
        <v>7160550.7300000004</v>
      </c>
      <c r="V13" s="126">
        <v>86800.29</v>
      </c>
      <c r="W13" s="127">
        <v>22272</v>
      </c>
      <c r="X13" s="127">
        <v>20348</v>
      </c>
      <c r="Y13" s="127">
        <v>118917.45</v>
      </c>
      <c r="Z13" s="126"/>
      <c r="AA13" s="126">
        <v>4806314.88</v>
      </c>
      <c r="AB13" s="127">
        <v>636631.62</v>
      </c>
      <c r="AC13" s="131">
        <v>787486.12</v>
      </c>
    </row>
    <row r="14" spans="1:29" s="295" customFormat="1" ht="18" customHeight="1">
      <c r="A14" s="51">
        <v>8</v>
      </c>
      <c r="B14" s="52">
        <v>511</v>
      </c>
      <c r="C14" s="53" t="s">
        <v>45</v>
      </c>
      <c r="D14" s="54">
        <f t="shared" si="1"/>
        <v>541154324.42999995</v>
      </c>
      <c r="E14" s="57">
        <v>4469988</v>
      </c>
      <c r="F14" s="58"/>
      <c r="G14" s="330">
        <f t="shared" si="2"/>
        <v>536684336.42999995</v>
      </c>
      <c r="H14" s="128">
        <v>171161823.72999999</v>
      </c>
      <c r="I14" s="127">
        <v>217328.79</v>
      </c>
      <c r="J14" s="58">
        <v>6297483.0800000001</v>
      </c>
      <c r="K14" s="130">
        <v>8638248.3300000001</v>
      </c>
      <c r="L14" s="127">
        <v>26125127.23</v>
      </c>
      <c r="M14" s="127">
        <v>192311.12</v>
      </c>
      <c r="N14" s="126">
        <v>31413025.77</v>
      </c>
      <c r="O14" s="127">
        <v>11046353.26</v>
      </c>
      <c r="P14" s="127">
        <v>757819.04</v>
      </c>
      <c r="Q14" s="58">
        <v>355492</v>
      </c>
      <c r="R14" s="128">
        <v>122515121.90000001</v>
      </c>
      <c r="S14" s="127">
        <v>1094368.08</v>
      </c>
      <c r="T14" s="126">
        <v>20136936.760000002</v>
      </c>
      <c r="U14" s="127">
        <v>23494211.879999999</v>
      </c>
      <c r="V14" s="126">
        <v>16075446.34</v>
      </c>
      <c r="W14" s="127">
        <v>7134681.1299999999</v>
      </c>
      <c r="X14" s="127">
        <v>35626201.880000003</v>
      </c>
      <c r="Y14" s="127">
        <v>13692223.08</v>
      </c>
      <c r="Z14" s="126">
        <v>18810</v>
      </c>
      <c r="AA14" s="126">
        <v>35360194.560000002</v>
      </c>
      <c r="AB14" s="127">
        <v>204022.24</v>
      </c>
      <c r="AC14" s="131">
        <v>5127106.2300000004</v>
      </c>
    </row>
    <row r="15" spans="1:29" s="295" customFormat="1" ht="18" customHeight="1">
      <c r="A15" s="51">
        <v>9</v>
      </c>
      <c r="B15" s="52" t="s">
        <v>46</v>
      </c>
      <c r="C15" s="53" t="s">
        <v>47</v>
      </c>
      <c r="D15" s="54">
        <f t="shared" si="1"/>
        <v>176178545.00999999</v>
      </c>
      <c r="E15" s="57">
        <v>44007092.289999999</v>
      </c>
      <c r="F15" s="58">
        <v>318760.40000000002</v>
      </c>
      <c r="G15" s="330">
        <f t="shared" si="2"/>
        <v>131852692.31999999</v>
      </c>
      <c r="H15" s="128">
        <v>23238220.390000001</v>
      </c>
      <c r="I15" s="127">
        <v>54768.7</v>
      </c>
      <c r="J15" s="58">
        <v>1886376.04</v>
      </c>
      <c r="K15" s="130">
        <v>1819900.3</v>
      </c>
      <c r="L15" s="127">
        <v>7167737.0999999996</v>
      </c>
      <c r="M15" s="127">
        <v>27779.1</v>
      </c>
      <c r="N15" s="126">
        <v>6864622.5599999996</v>
      </c>
      <c r="O15" s="127">
        <v>6614765.2699999996</v>
      </c>
      <c r="P15" s="127">
        <v>256663.85</v>
      </c>
      <c r="Q15" s="58">
        <v>319016.09999999998</v>
      </c>
      <c r="R15" s="128">
        <v>38893159.439999998</v>
      </c>
      <c r="S15" s="127">
        <v>304354.19</v>
      </c>
      <c r="T15" s="126">
        <v>10013753.83</v>
      </c>
      <c r="U15" s="127">
        <v>2786262.44</v>
      </c>
      <c r="V15" s="126">
        <v>3471517.44</v>
      </c>
      <c r="W15" s="127">
        <v>3407088.74</v>
      </c>
      <c r="X15" s="127">
        <v>8704252.0600000005</v>
      </c>
      <c r="Y15" s="127">
        <v>1144862.96</v>
      </c>
      <c r="Z15" s="126">
        <v>69715.5</v>
      </c>
      <c r="AA15" s="126">
        <v>11209551.73</v>
      </c>
      <c r="AB15" s="127">
        <v>2279922.7000000002</v>
      </c>
      <c r="AC15" s="131">
        <v>1318401.8799999999</v>
      </c>
    </row>
    <row r="16" spans="1:29" s="295" customFormat="1" ht="18" customHeight="1">
      <c r="A16" s="51">
        <v>10</v>
      </c>
      <c r="B16" s="52" t="s">
        <v>48</v>
      </c>
      <c r="C16" s="53" t="s">
        <v>49</v>
      </c>
      <c r="D16" s="330">
        <f t="shared" si="1"/>
        <v>39010649.810000002</v>
      </c>
      <c r="E16" s="57"/>
      <c r="F16" s="58">
        <f>2137906+724822+27516+118000</f>
        <v>3008244</v>
      </c>
      <c r="G16" s="330">
        <f t="shared" si="2"/>
        <v>36002405.810000002</v>
      </c>
      <c r="H16" s="128">
        <v>6377054</v>
      </c>
      <c r="I16" s="127"/>
      <c r="J16" s="58">
        <v>5494387.8099999996</v>
      </c>
      <c r="K16" s="130">
        <f>2160060+723959</f>
        <v>2884019</v>
      </c>
      <c r="L16" s="127">
        <v>3073644</v>
      </c>
      <c r="M16" s="127">
        <v>10200</v>
      </c>
      <c r="N16" s="126"/>
      <c r="O16" s="127"/>
      <c r="P16" s="127"/>
      <c r="Q16" s="58">
        <v>403925</v>
      </c>
      <c r="R16" s="128"/>
      <c r="S16" s="127">
        <v>181578</v>
      </c>
      <c r="T16" s="126"/>
      <c r="U16" s="127">
        <v>5081754</v>
      </c>
      <c r="V16" s="126">
        <v>1855543</v>
      </c>
      <c r="W16" s="127"/>
      <c r="X16" s="127"/>
      <c r="Y16" s="127">
        <v>2508669</v>
      </c>
      <c r="Z16" s="126"/>
      <c r="AA16" s="126">
        <v>6402917</v>
      </c>
      <c r="AB16" s="127"/>
      <c r="AC16" s="131">
        <v>1728715</v>
      </c>
    </row>
    <row r="17" spans="1:29" s="295" customFormat="1" ht="18" customHeight="1">
      <c r="A17" s="51">
        <v>11</v>
      </c>
      <c r="B17" s="52" t="s">
        <v>50</v>
      </c>
      <c r="C17" s="53" t="s">
        <v>51</v>
      </c>
      <c r="D17" s="330">
        <f t="shared" si="1"/>
        <v>1719579</v>
      </c>
      <c r="E17" s="57"/>
      <c r="F17" s="58"/>
      <c r="G17" s="330">
        <f t="shared" si="2"/>
        <v>1719579</v>
      </c>
      <c r="H17" s="128">
        <v>1173704</v>
      </c>
      <c r="I17" s="127"/>
      <c r="J17" s="58">
        <v>114804</v>
      </c>
      <c r="K17" s="130">
        <v>76610</v>
      </c>
      <c r="L17" s="127">
        <v>50645</v>
      </c>
      <c r="M17" s="127"/>
      <c r="N17" s="126"/>
      <c r="O17" s="127"/>
      <c r="P17" s="127"/>
      <c r="Q17" s="58"/>
      <c r="R17" s="128">
        <v>200000</v>
      </c>
      <c r="S17" s="127"/>
      <c r="T17" s="126"/>
      <c r="U17" s="127">
        <v>336</v>
      </c>
      <c r="V17" s="126">
        <v>34710</v>
      </c>
      <c r="W17" s="127"/>
      <c r="X17" s="127">
        <v>11000</v>
      </c>
      <c r="Y17" s="127"/>
      <c r="Z17" s="126"/>
      <c r="AA17" s="126"/>
      <c r="AB17" s="127"/>
      <c r="AC17" s="331">
        <v>57770</v>
      </c>
    </row>
    <row r="18" spans="1:29" s="295" customFormat="1" ht="18" customHeight="1">
      <c r="A18" s="51">
        <v>12</v>
      </c>
      <c r="B18" s="52" t="s">
        <v>52</v>
      </c>
      <c r="C18" s="296" t="s">
        <v>53</v>
      </c>
      <c r="D18" s="330">
        <f t="shared" si="1"/>
        <v>70782788.86999999</v>
      </c>
      <c r="E18" s="57">
        <v>1282681.3500000001</v>
      </c>
      <c r="F18" s="58">
        <v>1183974</v>
      </c>
      <c r="G18" s="330">
        <f t="shared" si="2"/>
        <v>68316133.519999996</v>
      </c>
      <c r="H18" s="128">
        <v>13402175.130000001</v>
      </c>
      <c r="I18" s="127">
        <v>64222.05</v>
      </c>
      <c r="J18" s="58">
        <v>597861</v>
      </c>
      <c r="K18" s="130">
        <v>764742.49</v>
      </c>
      <c r="L18" s="127">
        <v>551224.73</v>
      </c>
      <c r="M18" s="127"/>
      <c r="N18" s="126">
        <v>283039</v>
      </c>
      <c r="O18" s="127">
        <v>-15706</v>
      </c>
      <c r="P18" s="127"/>
      <c r="Q18" s="58">
        <v>-45933.599999999999</v>
      </c>
      <c r="R18" s="128">
        <v>36518731.229999997</v>
      </c>
      <c r="S18" s="127"/>
      <c r="T18" s="126">
        <v>2353865</v>
      </c>
      <c r="U18" s="127">
        <v>124814.89</v>
      </c>
      <c r="V18" s="126">
        <v>268070</v>
      </c>
      <c r="W18" s="127">
        <v>213054.9</v>
      </c>
      <c r="X18" s="127">
        <v>365188</v>
      </c>
      <c r="Y18" s="127">
        <v>217058.8</v>
      </c>
      <c r="Z18" s="126"/>
      <c r="AA18" s="126">
        <v>12456406.199999999</v>
      </c>
      <c r="AB18" s="127"/>
      <c r="AC18" s="331">
        <v>197319.7</v>
      </c>
    </row>
    <row r="19" spans="1:29" s="295" customFormat="1" ht="18" customHeight="1" thickBot="1">
      <c r="A19" s="51">
        <v>13</v>
      </c>
      <c r="B19" s="52" t="s">
        <v>62</v>
      </c>
      <c r="C19" s="53" t="s">
        <v>54</v>
      </c>
      <c r="D19" s="386">
        <f t="shared" si="1"/>
        <v>13068641.119999995</v>
      </c>
      <c r="E19" s="387">
        <v>6.62</v>
      </c>
      <c r="F19" s="135">
        <f>29621+5762.87</f>
        <v>35383.870000000003</v>
      </c>
      <c r="G19" s="388">
        <f t="shared" si="2"/>
        <v>13033250.629999995</v>
      </c>
      <c r="H19" s="133">
        <f>H20-H13-H14-H15-H16-H17-H18</f>
        <v>3894164.1900000069</v>
      </c>
      <c r="I19" s="347">
        <f>I20-I13-I14-I15-I16-I17-I18</f>
        <v>1322.7599999999802</v>
      </c>
      <c r="J19" s="389">
        <f t="shared" ref="J19:AC19" si="3">J20-J13-J14-J15-J16-J17-J18</f>
        <v>125121.04000000283</v>
      </c>
      <c r="K19" s="390">
        <f t="shared" si="3"/>
        <v>129275.11999999848</v>
      </c>
      <c r="L19" s="347">
        <f t="shared" si="3"/>
        <v>393350.27000000561</v>
      </c>
      <c r="M19" s="347">
        <f t="shared" si="3"/>
        <v>4921.9999999999782</v>
      </c>
      <c r="N19" s="347">
        <f t="shared" si="3"/>
        <v>663982.07999999728</v>
      </c>
      <c r="O19" s="347">
        <f t="shared" si="3"/>
        <v>620392.52000000142</v>
      </c>
      <c r="P19" s="347">
        <f t="shared" si="3"/>
        <v>2343.5999999999476</v>
      </c>
      <c r="Q19" s="386">
        <f t="shared" si="3"/>
        <v>11093.629999999794</v>
      </c>
      <c r="R19" s="347">
        <f t="shared" si="3"/>
        <v>2951059.3699999973</v>
      </c>
      <c r="S19" s="347">
        <f t="shared" si="3"/>
        <v>154825.99999999994</v>
      </c>
      <c r="T19" s="347">
        <f t="shared" si="3"/>
        <v>827418.97999999486</v>
      </c>
      <c r="U19" s="347">
        <f t="shared" si="3"/>
        <v>575249.60999999812</v>
      </c>
      <c r="V19" s="347">
        <f t="shared" si="3"/>
        <v>298904.5700000017</v>
      </c>
      <c r="W19" s="347">
        <f t="shared" si="3"/>
        <v>644163.67999999912</v>
      </c>
      <c r="X19" s="347">
        <f t="shared" si="3"/>
        <v>170897.36999999918</v>
      </c>
      <c r="Y19" s="347">
        <f t="shared" si="3"/>
        <v>24882.30000000057</v>
      </c>
      <c r="Z19" s="347">
        <f t="shared" si="3"/>
        <v>11486</v>
      </c>
      <c r="AA19" s="347">
        <f t="shared" si="3"/>
        <v>1413040.8999999911</v>
      </c>
      <c r="AB19" s="347">
        <f t="shared" si="3"/>
        <v>213</v>
      </c>
      <c r="AC19" s="391">
        <f t="shared" si="3"/>
        <v>115141.64000000077</v>
      </c>
    </row>
    <row r="20" spans="1:29" s="295" customFormat="1" ht="18" customHeight="1" thickBot="1">
      <c r="A20" s="63">
        <v>14</v>
      </c>
      <c r="B20" s="64"/>
      <c r="C20" s="65" t="s">
        <v>72</v>
      </c>
      <c r="D20" s="79">
        <f>SUM(D13:D19)</f>
        <v>871360578.5999999</v>
      </c>
      <c r="E20" s="80">
        <f>SUM(E13:E19)</f>
        <v>51761716.259999998</v>
      </c>
      <c r="F20" s="81">
        <f>SUM(F13:F19)</f>
        <v>10207076.729999999</v>
      </c>
      <c r="G20" s="348">
        <f>SUM(G13:G19)</f>
        <v>809391785.60999978</v>
      </c>
      <c r="H20" s="342">
        <v>222035067.06</v>
      </c>
      <c r="I20" s="343">
        <v>346818.13</v>
      </c>
      <c r="J20" s="86">
        <f>21337238.76-J24</f>
        <v>14751948.760000002</v>
      </c>
      <c r="K20" s="344">
        <f>17837842.04-K24</f>
        <v>14341452.039999999</v>
      </c>
      <c r="L20" s="343">
        <f>44133683.27-L24</f>
        <v>38050036.270000003</v>
      </c>
      <c r="M20" s="343">
        <f>308476.22-M24</f>
        <v>238896.21999999997</v>
      </c>
      <c r="N20" s="345">
        <f>47115433.54-N24</f>
        <v>39163865.539999999</v>
      </c>
      <c r="O20" s="343">
        <f>30942513.1-O24</f>
        <v>18502583.100000001</v>
      </c>
      <c r="P20" s="343">
        <f>1636837.49-P24</f>
        <v>1153609.49</v>
      </c>
      <c r="Q20" s="86">
        <f>2305131.28-Q24</f>
        <v>1043700.2799999998</v>
      </c>
      <c r="R20" s="342">
        <f>213523720.6-R24</f>
        <v>204770325.59999999</v>
      </c>
      <c r="S20" s="343">
        <f>2372379.92-S24</f>
        <v>1740172.92</v>
      </c>
      <c r="T20" s="345">
        <f>43584444.76-T24</f>
        <v>33712210.759999998</v>
      </c>
      <c r="U20" s="343">
        <f>40168803.55-U24</f>
        <v>39223179.549999997</v>
      </c>
      <c r="V20" s="345">
        <f>27022785.64-V24</f>
        <v>22090991.640000001</v>
      </c>
      <c r="W20" s="343">
        <f>16686302.45-W24</f>
        <v>11421260.449999999</v>
      </c>
      <c r="X20" s="343">
        <f>61812477.31-X24</f>
        <v>44897887.310000002</v>
      </c>
      <c r="Y20" s="343">
        <f>21448366.59-Y24</f>
        <v>17706613.59</v>
      </c>
      <c r="Z20" s="343">
        <f>155215.5-Z24</f>
        <v>100011.5</v>
      </c>
      <c r="AA20" s="345">
        <f>80449199.27-AA24</f>
        <v>71648425.269999996</v>
      </c>
      <c r="AB20" s="343">
        <f>3795707.56-AB24</f>
        <v>3120789.56</v>
      </c>
      <c r="AC20" s="346">
        <f>11513621.57-AC24</f>
        <v>9331940.5700000003</v>
      </c>
    </row>
    <row r="21" spans="1:29" s="295" customFormat="1" ht="18" customHeight="1" thickBot="1">
      <c r="A21" s="9"/>
      <c r="B21" s="10"/>
      <c r="C21" s="82"/>
      <c r="D21" s="83"/>
      <c r="E21" s="84"/>
      <c r="F21" s="85"/>
      <c r="G21" s="140"/>
      <c r="H21" s="141"/>
      <c r="I21" s="305"/>
      <c r="J21" s="306"/>
      <c r="K21" s="307"/>
      <c r="L21" s="308"/>
      <c r="M21" s="308"/>
      <c r="N21" s="309"/>
      <c r="O21" s="305"/>
      <c r="P21" s="305"/>
      <c r="Q21" s="306"/>
      <c r="R21" s="310"/>
      <c r="S21" s="305"/>
      <c r="T21" s="309"/>
      <c r="U21" s="308"/>
      <c r="V21" s="309"/>
      <c r="W21" s="305"/>
      <c r="X21" s="305"/>
      <c r="Y21" s="305"/>
      <c r="Z21" s="309"/>
      <c r="AA21" s="309"/>
      <c r="AB21" s="305"/>
      <c r="AC21" s="311"/>
    </row>
    <row r="22" spans="1:29" s="297" customFormat="1" ht="18" customHeight="1" thickBot="1">
      <c r="A22" s="63">
        <v>15</v>
      </c>
      <c r="B22" s="64"/>
      <c r="C22" s="65" t="s">
        <v>73</v>
      </c>
      <c r="D22" s="79">
        <f>SUM(D10-D20)</f>
        <v>1134430076.6800001</v>
      </c>
      <c r="E22" s="80">
        <f>0+E10-E20</f>
        <v>430174028.27000004</v>
      </c>
      <c r="F22" s="86">
        <f>0+F10-F20</f>
        <v>624871.37000000291</v>
      </c>
      <c r="G22" s="349">
        <f t="shared" ref="G22:AC22" si="4">SUM(G10-G20)</f>
        <v>703631177.04000008</v>
      </c>
      <c r="H22" s="80">
        <f t="shared" si="4"/>
        <v>96994167.25</v>
      </c>
      <c r="I22" s="343">
        <f t="shared" si="4"/>
        <v>242917.04000000004</v>
      </c>
      <c r="J22" s="86">
        <f t="shared" si="4"/>
        <v>42184249.170000002</v>
      </c>
      <c r="K22" s="344">
        <f t="shared" si="4"/>
        <v>33517833.119999997</v>
      </c>
      <c r="L22" s="343">
        <f t="shared" si="4"/>
        <v>33113593.449999996</v>
      </c>
      <c r="M22" s="343">
        <f t="shared" si="4"/>
        <v>363210.29000000004</v>
      </c>
      <c r="N22" s="345">
        <f t="shared" si="4"/>
        <v>41699982.729999997</v>
      </c>
      <c r="O22" s="343">
        <f t="shared" si="4"/>
        <v>65827132.960000001</v>
      </c>
      <c r="P22" s="343">
        <f t="shared" si="4"/>
        <v>2762677.08</v>
      </c>
      <c r="Q22" s="86">
        <f t="shared" si="4"/>
        <v>6593177.870000001</v>
      </c>
      <c r="R22" s="342">
        <f t="shared" si="4"/>
        <v>101429627.09999999</v>
      </c>
      <c r="S22" s="343">
        <f t="shared" si="4"/>
        <v>3404954.8200000003</v>
      </c>
      <c r="T22" s="345">
        <f t="shared" si="4"/>
        <v>72367618.710000008</v>
      </c>
      <c r="U22" s="343">
        <f t="shared" si="4"/>
        <v>16632061.57</v>
      </c>
      <c r="V22" s="345">
        <f t="shared" si="4"/>
        <v>15657091.280000001</v>
      </c>
      <c r="W22" s="343">
        <f t="shared" si="4"/>
        <v>27604701.070000004</v>
      </c>
      <c r="X22" s="343">
        <f t="shared" si="4"/>
        <v>61174992.049999997</v>
      </c>
      <c r="Y22" s="343">
        <f t="shared" si="4"/>
        <v>19803331.77</v>
      </c>
      <c r="Z22" s="343">
        <f t="shared" si="4"/>
        <v>296684.26</v>
      </c>
      <c r="AA22" s="345">
        <f t="shared" si="4"/>
        <v>46330782.370000005</v>
      </c>
      <c r="AB22" s="343">
        <f t="shared" si="4"/>
        <v>3610462.2600000002</v>
      </c>
      <c r="AC22" s="346">
        <f t="shared" si="4"/>
        <v>12019928.82</v>
      </c>
    </row>
    <row r="23" spans="1:29" s="295" customFormat="1" ht="18" customHeight="1">
      <c r="A23" s="9"/>
      <c r="B23" s="10"/>
      <c r="C23" s="82"/>
      <c r="D23" s="83"/>
      <c r="E23" s="84"/>
      <c r="F23" s="85"/>
      <c r="G23" s="140"/>
      <c r="H23" s="84"/>
      <c r="I23" s="312"/>
      <c r="J23" s="85"/>
      <c r="K23" s="313"/>
      <c r="L23" s="308"/>
      <c r="M23" s="308"/>
      <c r="N23" s="314"/>
      <c r="O23" s="308"/>
      <c r="P23" s="308"/>
      <c r="Q23" s="85"/>
      <c r="R23" s="315"/>
      <c r="S23" s="308"/>
      <c r="T23" s="314"/>
      <c r="U23" s="305"/>
      <c r="V23" s="314"/>
      <c r="W23" s="308"/>
      <c r="X23" s="308"/>
      <c r="Y23" s="308"/>
      <c r="Z23" s="314"/>
      <c r="AA23" s="314"/>
      <c r="AB23" s="308"/>
      <c r="AC23" s="316"/>
    </row>
    <row r="24" spans="1:29" s="295" customFormat="1" ht="18" customHeight="1">
      <c r="A24" s="51">
        <v>16</v>
      </c>
      <c r="B24" s="52">
        <v>591</v>
      </c>
      <c r="C24" s="53" t="s">
        <v>55</v>
      </c>
      <c r="D24" s="54">
        <f>SUM(E24:G24)</f>
        <v>125430697</v>
      </c>
      <c r="E24" s="57">
        <v>26278</v>
      </c>
      <c r="F24" s="58">
        <v>404960</v>
      </c>
      <c r="G24" s="330">
        <f>SUM(H24:AC24)</f>
        <v>124999459</v>
      </c>
      <c r="H24" s="57">
        <v>23805765</v>
      </c>
      <c r="I24" s="350">
        <v>53414</v>
      </c>
      <c r="J24" s="351">
        <v>6585290</v>
      </c>
      <c r="K24" s="57">
        <v>3496390</v>
      </c>
      <c r="L24" s="350">
        <v>6083647</v>
      </c>
      <c r="M24" s="350">
        <v>69580</v>
      </c>
      <c r="N24" s="350">
        <v>7951568</v>
      </c>
      <c r="O24" s="350">
        <v>12439930</v>
      </c>
      <c r="P24" s="350">
        <v>483228</v>
      </c>
      <c r="Q24" s="351">
        <v>1261431</v>
      </c>
      <c r="R24" s="57">
        <v>8753395</v>
      </c>
      <c r="S24" s="350">
        <v>632207</v>
      </c>
      <c r="T24" s="350">
        <v>9872234</v>
      </c>
      <c r="U24" s="350">
        <v>945624</v>
      </c>
      <c r="V24" s="350">
        <v>4931794</v>
      </c>
      <c r="W24" s="350">
        <v>5265042</v>
      </c>
      <c r="X24" s="350">
        <v>16914590</v>
      </c>
      <c r="Y24" s="350">
        <v>3741753</v>
      </c>
      <c r="Z24" s="350">
        <v>55204</v>
      </c>
      <c r="AA24" s="350">
        <v>8800774</v>
      </c>
      <c r="AB24" s="352">
        <v>674918</v>
      </c>
      <c r="AC24" s="138">
        <v>2181681</v>
      </c>
    </row>
    <row r="25" spans="1:29" s="295" customFormat="1" ht="18" customHeight="1" thickBot="1">
      <c r="A25" s="9"/>
      <c r="B25" s="10"/>
      <c r="C25" s="82"/>
      <c r="D25" s="83"/>
      <c r="E25" s="84"/>
      <c r="F25" s="85"/>
      <c r="G25" s="140"/>
      <c r="H25" s="317"/>
      <c r="I25" s="318"/>
      <c r="J25" s="319"/>
      <c r="K25" s="320"/>
      <c r="L25" s="321"/>
      <c r="M25" s="321"/>
      <c r="N25" s="322"/>
      <c r="O25" s="323"/>
      <c r="P25" s="321"/>
      <c r="Q25" s="319"/>
      <c r="R25" s="324"/>
      <c r="S25" s="323"/>
      <c r="T25" s="322"/>
      <c r="U25" s="323"/>
      <c r="V25" s="322"/>
      <c r="W25" s="323"/>
      <c r="X25" s="323"/>
      <c r="Y25" s="323"/>
      <c r="Z25" s="322"/>
      <c r="AA25" s="322"/>
      <c r="AB25" s="323"/>
      <c r="AC25" s="325"/>
    </row>
    <row r="26" spans="1:29" s="295" customFormat="1" ht="18" customHeight="1" thickBot="1">
      <c r="A26" s="326">
        <v>17</v>
      </c>
      <c r="B26" s="327"/>
      <c r="C26" s="87" t="s">
        <v>74</v>
      </c>
      <c r="D26" s="88">
        <f>D22-D24</f>
        <v>1008999379.6800001</v>
      </c>
      <c r="E26" s="89">
        <f>0+E22-E24</f>
        <v>430147750.27000004</v>
      </c>
      <c r="F26" s="90">
        <f>0+F22-F24</f>
        <v>219911.37000000291</v>
      </c>
      <c r="G26" s="353">
        <f t="shared" ref="G26:AC26" si="5">SUM(G22-G24)</f>
        <v>578631718.04000008</v>
      </c>
      <c r="H26" s="89">
        <f t="shared" si="5"/>
        <v>73188402.25</v>
      </c>
      <c r="I26" s="354">
        <f t="shared" si="5"/>
        <v>189503.04000000004</v>
      </c>
      <c r="J26" s="90">
        <f t="shared" si="5"/>
        <v>35598959.170000002</v>
      </c>
      <c r="K26" s="355">
        <f t="shared" si="5"/>
        <v>30021443.119999997</v>
      </c>
      <c r="L26" s="354">
        <f t="shared" si="5"/>
        <v>27029946.449999996</v>
      </c>
      <c r="M26" s="354">
        <f t="shared" si="5"/>
        <v>293630.29000000004</v>
      </c>
      <c r="N26" s="356">
        <f t="shared" si="5"/>
        <v>33748414.729999997</v>
      </c>
      <c r="O26" s="354">
        <f t="shared" si="5"/>
        <v>53387202.960000001</v>
      </c>
      <c r="P26" s="354">
        <f t="shared" si="5"/>
        <v>2279449.08</v>
      </c>
      <c r="Q26" s="90">
        <f t="shared" si="5"/>
        <v>5331746.870000001</v>
      </c>
      <c r="R26" s="357">
        <f t="shared" si="5"/>
        <v>92676232.099999994</v>
      </c>
      <c r="S26" s="354">
        <f t="shared" si="5"/>
        <v>2772747.8200000003</v>
      </c>
      <c r="T26" s="356">
        <f t="shared" si="5"/>
        <v>62495384.710000008</v>
      </c>
      <c r="U26" s="354">
        <f t="shared" si="5"/>
        <v>15686437.57</v>
      </c>
      <c r="V26" s="356">
        <f t="shared" si="5"/>
        <v>10725297.280000001</v>
      </c>
      <c r="W26" s="354">
        <f t="shared" si="5"/>
        <v>22339659.070000004</v>
      </c>
      <c r="X26" s="354">
        <f t="shared" si="5"/>
        <v>44260402.049999997</v>
      </c>
      <c r="Y26" s="354">
        <f t="shared" si="5"/>
        <v>16061578.77</v>
      </c>
      <c r="Z26" s="354">
        <f t="shared" si="5"/>
        <v>241480.26</v>
      </c>
      <c r="AA26" s="356">
        <f t="shared" si="5"/>
        <v>37530008.370000005</v>
      </c>
      <c r="AB26" s="354">
        <f t="shared" si="5"/>
        <v>2935544.2600000002</v>
      </c>
      <c r="AC26" s="358">
        <f t="shared" si="5"/>
        <v>9838247.8200000003</v>
      </c>
    </row>
    <row r="27" spans="1:29" s="295" customFormat="1" ht="12.75" customHeight="1" thickTop="1">
      <c r="A27" s="91"/>
      <c r="B27" s="91"/>
      <c r="C27" s="92"/>
      <c r="D27" s="93"/>
      <c r="E27" s="94"/>
      <c r="F27" s="94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142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</row>
    <row r="28" spans="1:29" s="295" customFormat="1" ht="18" customHeight="1">
      <c r="A28" s="91"/>
      <c r="B28" s="91"/>
      <c r="C28" s="221" t="s">
        <v>63</v>
      </c>
      <c r="D28" s="93"/>
      <c r="E28" s="94"/>
      <c r="F28" s="94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</row>
    <row r="29" spans="1:29" s="295" customFormat="1" ht="9.75" customHeight="1" thickBot="1">
      <c r="A29" s="91"/>
      <c r="B29" s="91"/>
      <c r="C29" s="221"/>
      <c r="D29" s="93"/>
      <c r="E29" s="94"/>
      <c r="F29" s="94"/>
      <c r="G29" s="93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</row>
    <row r="30" spans="1:29" s="300" customFormat="1" ht="18" customHeight="1">
      <c r="A30" s="286" t="s">
        <v>71</v>
      </c>
      <c r="B30" s="328">
        <v>377</v>
      </c>
      <c r="C30" s="208" t="s">
        <v>65</v>
      </c>
      <c r="D30" s="285">
        <f>SUM(E30:G30)</f>
        <v>81704386.230000004</v>
      </c>
      <c r="E30" s="209">
        <v>598062.14</v>
      </c>
      <c r="F30" s="210">
        <v>2313996.4</v>
      </c>
      <c r="G30" s="210">
        <f>SUM(H30:AC30)</f>
        <v>78792327.689999998</v>
      </c>
      <c r="H30" s="393">
        <v>7263645.7800000003</v>
      </c>
      <c r="I30" s="359"/>
      <c r="J30" s="396"/>
      <c r="K30" s="363">
        <v>43500</v>
      </c>
      <c r="L30" s="360">
        <v>8022231</v>
      </c>
      <c r="M30" s="360"/>
      <c r="N30" s="360"/>
      <c r="O30" s="360">
        <v>4358926</v>
      </c>
      <c r="P30" s="361"/>
      <c r="Q30" s="362">
        <v>6316</v>
      </c>
      <c r="R30" s="363">
        <v>161690</v>
      </c>
      <c r="S30" s="360">
        <v>62870.52</v>
      </c>
      <c r="T30" s="360">
        <v>432745</v>
      </c>
      <c r="U30" s="360">
        <f>4621135.91+324978.83</f>
        <v>4946114.74</v>
      </c>
      <c r="V30" s="360"/>
      <c r="W30" s="364">
        <v>5407281.2599999998</v>
      </c>
      <c r="X30" s="365">
        <v>34690776</v>
      </c>
      <c r="Y30" s="360">
        <v>12852633</v>
      </c>
      <c r="Z30" s="360">
        <v>270</v>
      </c>
      <c r="AA30" s="360">
        <v>486590.39</v>
      </c>
      <c r="AB30" s="360"/>
      <c r="AC30" s="366">
        <v>56738</v>
      </c>
    </row>
    <row r="31" spans="1:29" s="300" customFormat="1" ht="18" customHeight="1">
      <c r="A31" s="287" t="s">
        <v>69</v>
      </c>
      <c r="B31" s="206">
        <v>378</v>
      </c>
      <c r="C31" s="329" t="s">
        <v>58</v>
      </c>
      <c r="D31" s="54">
        <f>SUM(E31:G31)</f>
        <v>-1041535191.443</v>
      </c>
      <c r="E31" s="57">
        <v>-398067000</v>
      </c>
      <c r="F31" s="58">
        <v>0</v>
      </c>
      <c r="G31" s="58">
        <f>SUM(H31:AC31)</f>
        <v>-643468191.44299996</v>
      </c>
      <c r="H31" s="367">
        <v>-310359834.98000002</v>
      </c>
      <c r="I31" s="368">
        <v>762011</v>
      </c>
      <c r="J31" s="397">
        <v>16571</v>
      </c>
      <c r="K31" s="395"/>
      <c r="L31" s="369">
        <v>-178906.84299999999</v>
      </c>
      <c r="M31" s="369"/>
      <c r="N31" s="350">
        <v>-120931998.73</v>
      </c>
      <c r="O31" s="369">
        <v>413490</v>
      </c>
      <c r="P31" s="370"/>
      <c r="Q31" s="371">
        <v>-9950497</v>
      </c>
      <c r="R31" s="57">
        <v>-160706978.97</v>
      </c>
      <c r="S31" s="369">
        <v>458838.7</v>
      </c>
      <c r="T31" s="372">
        <v>-28479697</v>
      </c>
      <c r="U31" s="350">
        <f>-1894858.7-61168.22</f>
        <v>-1956026.92</v>
      </c>
      <c r="V31" s="350">
        <v>-12796013</v>
      </c>
      <c r="W31" s="373"/>
      <c r="X31" s="374"/>
      <c r="Y31" s="369">
        <v>136266.5</v>
      </c>
      <c r="Z31" s="369"/>
      <c r="AA31" s="369">
        <f>100567.82+4016.98</f>
        <v>104584.8</v>
      </c>
      <c r="AB31" s="369"/>
      <c r="AC31" s="375"/>
    </row>
    <row r="32" spans="1:29" s="143" customFormat="1" ht="19.5" thickBot="1">
      <c r="A32" s="288" t="s">
        <v>70</v>
      </c>
      <c r="B32" s="211">
        <v>241</v>
      </c>
      <c r="C32" s="298" t="s">
        <v>64</v>
      </c>
      <c r="D32" s="284">
        <f>SUM(E32:G32)</f>
        <v>788388035.34999979</v>
      </c>
      <c r="E32" s="212">
        <v>40200383.329999998</v>
      </c>
      <c r="F32" s="213">
        <v>477294.97</v>
      </c>
      <c r="G32" s="213">
        <f>SUM(H32:AC32)</f>
        <v>747710357.04999983</v>
      </c>
      <c r="H32" s="376">
        <v>131909610.84</v>
      </c>
      <c r="I32" s="377">
        <v>460208.78</v>
      </c>
      <c r="J32" s="398">
        <v>71560858.299999997</v>
      </c>
      <c r="K32" s="381">
        <v>10132649.199999999</v>
      </c>
      <c r="L32" s="378">
        <v>46824852.68</v>
      </c>
      <c r="M32" s="378">
        <v>3324851.79</v>
      </c>
      <c r="N32" s="378">
        <v>28681114.09</v>
      </c>
      <c r="O32" s="378">
        <v>61963962.689999998</v>
      </c>
      <c r="P32" s="379">
        <v>1805356.53</v>
      </c>
      <c r="Q32" s="380">
        <v>1898932.01</v>
      </c>
      <c r="R32" s="381">
        <v>130863611.06</v>
      </c>
      <c r="S32" s="378">
        <v>5192922.0999999996</v>
      </c>
      <c r="T32" s="382">
        <v>56973703.460000001</v>
      </c>
      <c r="U32" s="378">
        <v>19389349.16</v>
      </c>
      <c r="V32" s="378">
        <v>695846.62</v>
      </c>
      <c r="W32" s="383">
        <v>24790122.780000001</v>
      </c>
      <c r="X32" s="384">
        <v>36737843.409999996</v>
      </c>
      <c r="Y32" s="378">
        <v>17818267.940000001</v>
      </c>
      <c r="Z32" s="378">
        <v>1542715.8</v>
      </c>
      <c r="AA32" s="378">
        <v>59681656.119999997</v>
      </c>
      <c r="AB32" s="378">
        <v>21787559.899999999</v>
      </c>
      <c r="AC32" s="385">
        <v>13674361.789999999</v>
      </c>
    </row>
    <row r="33" spans="1:219" s="295" customFormat="1" ht="15" customHeight="1">
      <c r="A33" s="95" t="s">
        <v>56</v>
      </c>
      <c r="B33" s="95"/>
      <c r="C33" s="96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299"/>
      <c r="O33" s="299"/>
      <c r="P33" s="299"/>
      <c r="Q33" s="299"/>
      <c r="R33" s="299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6"/>
      <c r="EW33" s="96"/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6"/>
      <c r="GG33" s="96"/>
      <c r="GH33" s="96"/>
      <c r="GI33" s="96"/>
      <c r="GJ33" s="96"/>
      <c r="GK33" s="96"/>
      <c r="GL33" s="96"/>
      <c r="GM33" s="96"/>
      <c r="GN33" s="96"/>
      <c r="GO33" s="96"/>
      <c r="GP33" s="96"/>
      <c r="GQ33" s="96"/>
      <c r="GR33" s="96"/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6"/>
      <c r="HG33" s="96"/>
      <c r="HH33" s="96"/>
      <c r="HI33" s="96"/>
      <c r="HJ33" s="96"/>
      <c r="HK33" s="96"/>
    </row>
    <row r="34" spans="1:219" s="295" customFormat="1" ht="18">
      <c r="E34" s="98"/>
      <c r="F34" s="98"/>
      <c r="G34" s="98"/>
      <c r="H34" s="98"/>
      <c r="I34" s="98"/>
      <c r="J34" s="98"/>
      <c r="K34" s="98"/>
      <c r="L34" s="98"/>
      <c r="M34" s="300"/>
    </row>
    <row r="35" spans="1:219" ht="18">
      <c r="E35" s="98"/>
      <c r="F35" s="98"/>
      <c r="G35" s="100"/>
      <c r="H35" s="98"/>
      <c r="I35" s="98"/>
      <c r="J35" s="98"/>
      <c r="K35" s="98"/>
      <c r="L35" s="98"/>
      <c r="M35" s="99"/>
      <c r="W35" s="394"/>
      <c r="X35"/>
    </row>
    <row r="36" spans="1:219" ht="18">
      <c r="E36" s="98"/>
      <c r="F36" s="98"/>
      <c r="G36" s="98"/>
      <c r="H36" s="98"/>
      <c r="I36" s="98"/>
      <c r="J36" s="98"/>
      <c r="K36" s="98"/>
      <c r="L36" s="98"/>
      <c r="M36" s="99"/>
      <c r="AA36" s="8" t="s">
        <v>57</v>
      </c>
    </row>
    <row r="37" spans="1:219" ht="18">
      <c r="E37" s="101"/>
      <c r="F37" s="101"/>
      <c r="G37" s="101"/>
      <c r="H37" s="101"/>
      <c r="I37" s="101"/>
      <c r="J37" s="101"/>
      <c r="K37" s="101"/>
      <c r="L37" s="101"/>
    </row>
    <row r="38" spans="1:219" ht="18">
      <c r="E38" s="101"/>
      <c r="F38" s="101"/>
      <c r="G38" s="101"/>
      <c r="H38" s="101"/>
      <c r="I38" s="101"/>
      <c r="J38" s="101"/>
      <c r="K38" s="101"/>
      <c r="L38" s="101"/>
    </row>
    <row r="39" spans="1:219" ht="18">
      <c r="E39" s="101"/>
      <c r="F39" s="101"/>
      <c r="G39" s="101"/>
      <c r="H39" s="101"/>
      <c r="I39" s="101"/>
      <c r="J39" s="101"/>
      <c r="K39" s="101"/>
      <c r="L39" s="101"/>
    </row>
    <row r="40" spans="1:219" ht="18">
      <c r="E40" s="101"/>
      <c r="F40" s="101"/>
      <c r="G40" s="101"/>
      <c r="H40" s="101"/>
      <c r="I40" s="101"/>
      <c r="J40" s="101"/>
      <c r="K40" s="101"/>
      <c r="L40" s="101"/>
    </row>
    <row r="41" spans="1:219" ht="18">
      <c r="E41" s="101"/>
      <c r="F41" s="101"/>
      <c r="G41" s="101"/>
      <c r="H41" s="101"/>
      <c r="I41" s="101"/>
      <c r="J41" s="101"/>
      <c r="K41" s="101"/>
      <c r="L41" s="101"/>
    </row>
    <row r="42" spans="1:219" ht="18">
      <c r="E42" s="101"/>
      <c r="F42" s="101"/>
      <c r="G42" s="101"/>
      <c r="H42" s="101"/>
      <c r="I42" s="101"/>
      <c r="J42" s="101"/>
      <c r="K42" s="101"/>
      <c r="L42" s="101"/>
    </row>
    <row r="43" spans="1:219" ht="18">
      <c r="E43" s="101"/>
      <c r="F43" s="101"/>
      <c r="G43" s="101"/>
      <c r="H43" s="101"/>
      <c r="I43" s="101"/>
      <c r="J43" s="101"/>
      <c r="K43" s="101"/>
      <c r="L43" s="101"/>
    </row>
    <row r="44" spans="1:219" ht="18">
      <c r="E44" s="101"/>
      <c r="F44" s="101"/>
      <c r="G44" s="101"/>
      <c r="H44" s="101"/>
      <c r="I44" s="101"/>
      <c r="J44" s="101"/>
      <c r="K44" s="101"/>
      <c r="L44" s="101"/>
    </row>
    <row r="45" spans="1:219" ht="18">
      <c r="E45" s="101"/>
      <c r="F45" s="101"/>
      <c r="G45" s="101"/>
      <c r="H45" s="101"/>
      <c r="I45" s="101"/>
      <c r="J45" s="101"/>
      <c r="K45" s="101"/>
      <c r="L45" s="101"/>
    </row>
  </sheetData>
  <mergeCells count="1">
    <mergeCell ref="E1:F1"/>
  </mergeCells>
  <phoneticPr fontId="0" type="noConversion"/>
  <printOptions horizontalCentered="1"/>
  <pageMargins left="0.51181102362204722" right="0.51181102362204722" top="1.6535433070866143" bottom="0.9055118110236221" header="1.0236220472440944" footer="0.51181102362204722"/>
  <pageSetup paperSize="9" scale="68" fitToHeight="4" orientation="landscape" r:id="rId1"/>
  <headerFooter alignWithMargins="0">
    <oddHeader>&amp;C&amp;"Times New Roman CE,Tučné"&amp;20Přehled o vedlejší hospodářské činnosti statutárního města Brna za rok 2012 (v Kč)</oddHeader>
    <oddFooter>&amp;R&amp;P/&amp;N</oddFooter>
  </headerFooter>
  <colBreaks count="3" manualBreakCount="3">
    <brk id="9" max="1048575" man="1"/>
    <brk id="16" max="1048575" man="1"/>
    <brk id="23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8A99610-300E-4E62-B044-42665BC30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E41371-D2B6-46FD-82E5-1C31927F823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98DBDF4-1F82-4D68-AF04-6805B5C346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696589-CE32-412E-BD5F-1455EB79B3D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VHČ 2012 (v tis.Kč)</vt:lpstr>
      <vt:lpstr>VHČ 2012 (v Kč)</vt:lpstr>
      <vt:lpstr>'VHČ 2012 (v Kč)'!Názvy_tisku</vt:lpstr>
      <vt:lpstr>'VHČ 2012 (v tis.Kč)'!Názvy_tisku</vt:lpstr>
      <vt:lpstr>'VHČ 2012 (v Kč)'!Oblast_tisku</vt:lpstr>
      <vt:lpstr>'VHČ 2012 (v tis.Kč)'!Oblast_tisku</vt:lpstr>
    </vt:vector>
  </TitlesOfParts>
  <Company>MMB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Jiří Trnečka</cp:lastModifiedBy>
  <cp:lastPrinted>2013-04-11T08:27:52Z</cp:lastPrinted>
  <dcterms:created xsi:type="dcterms:W3CDTF">2011-02-10T08:15:55Z</dcterms:created>
  <dcterms:modified xsi:type="dcterms:W3CDTF">2013-05-16T10:51:34Z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K6F56YJ4D42X-540-159</vt:lpwstr>
  </property>
  <property fmtid="{D5CDD505-2E9C-101B-9397-08002B2CF9AE}" pid="3" name="_dlc_DocIdItemGuid">
    <vt:lpwstr>6bf409d4-8d11-455c-a2f3-2056c31b46c1</vt:lpwstr>
  </property>
  <property fmtid="{D5CDD505-2E9C-101B-9397-08002B2CF9AE}" pid="4" name="_dlc_DocIdUrl">
    <vt:lpwstr>http://project.brno.cz/ORF/RI/_layouts/DocIdRedir.aspx?ID=K6F56YJ4D42X-540-159, K6F56YJ4D42X-540-159</vt:lpwstr>
  </property>
  <property fmtid="{D5CDD505-2E9C-101B-9397-08002B2CF9AE}" pid="5" name="ContentTypeId">
    <vt:lpwstr>0x010100C27D4E3435A3B64688955AA93779053B</vt:lpwstr>
  </property>
  <property fmtid="{D5CDD505-2E9C-101B-9397-08002B2CF9AE}" pid="6" name="Plnění rozpočtu">
    <vt:lpwstr/>
  </property>
  <property fmtid="{D5CDD505-2E9C-101B-9397-08002B2CF9AE}" pid="7" name="Rok">
    <vt:lpwstr/>
  </property>
</Properties>
</file>