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555" windowWidth="7680" windowHeight="8340" tabRatio="860" activeTab="0"/>
  </bookViews>
  <sheets>
    <sheet name="Příjmy a Výdaje " sheetId="1" r:id="rId1"/>
    <sheet name="Příjmy " sheetId="2" r:id="rId2"/>
    <sheet name="Daňové příjmy" sheetId="3" r:id="rId3"/>
    <sheet name="Ost.daně=Místní popl." sheetId="4" r:id="rId4"/>
    <sheet name="Nedaňové příjmy" sheetId="5" r:id="rId5"/>
    <sheet name="Kapitálové příjmy" sheetId="6" r:id="rId6"/>
    <sheet name="Transfery neinvestiční 2.5" sheetId="7" r:id="rId7"/>
    <sheet name="Transfery nein.2.5a" sheetId="8" r:id="rId8"/>
    <sheet name="Transfery investiční" sheetId="9" r:id="rId9"/>
    <sheet name="Výdaje " sheetId="10" r:id="rId10"/>
    <sheet name="Provozní výdaje" sheetId="11" r:id="rId11"/>
    <sheet name="Kapitálové výdaje" sheetId="12" r:id="rId12"/>
    <sheet name="Financování" sheetId="13" r:id="rId13"/>
    <sheet name="List1" sheetId="14" r:id="rId14"/>
  </sheets>
  <definedNames>
    <definedName name="_xlnm.Print_Area" localSheetId="2">'Daňové příjmy'!$A$1:$Q$42</definedName>
    <definedName name="_xlnm.Print_Area" localSheetId="12">'Financování'!$A$1:$AC$45</definedName>
    <definedName name="_xlnm.Print_Area" localSheetId="5">'Kapitálové příjmy'!$A$1:$I$42</definedName>
    <definedName name="_xlnm.Print_Area" localSheetId="11">'Kapitálové výdaje'!$A$1:$S$44</definedName>
    <definedName name="_xlnm.Print_Area" localSheetId="4">'Nedaňové příjmy'!$A$1:$Y$44</definedName>
    <definedName name="_xlnm.Print_Area" localSheetId="3">'Ost.daně=Místní popl.'!$A$1:$Q$92</definedName>
    <definedName name="_xlnm.Print_Area" localSheetId="10">'Provozní výdaje'!$A$1:$AC$45</definedName>
    <definedName name="_xlnm.Print_Area" localSheetId="1">'Příjmy '!$A$1:$S$41</definedName>
    <definedName name="_xlnm.Print_Area" localSheetId="0">'Příjmy a Výdaje '!$A$1:$T$41</definedName>
    <definedName name="_xlnm.Print_Area" localSheetId="8">'Transfery investiční'!$A$1:$AB$43</definedName>
    <definedName name="_xlnm.Print_Area" localSheetId="7">'Transfery nein.2.5a'!$A$1:$AC$44</definedName>
    <definedName name="_xlnm.Print_Area" localSheetId="6">'Transfery neinvestiční 2.5'!$A$1:$U$43</definedName>
    <definedName name="_xlnm.Print_Area" localSheetId="9">'Výdaje '!$A$1:$K$42</definedName>
  </definedNames>
  <calcPr fullCalcOnLoad="1"/>
</workbook>
</file>

<file path=xl/comments10.xml><?xml version="1.0" encoding="utf-8"?>
<comments xmlns="http://schemas.openxmlformats.org/spreadsheetml/2006/main">
  <authors>
    <author>sebelomi</author>
  </authors>
  <commentList>
    <comment ref="C18" authorId="0">
      <text>
        <r>
          <rPr>
            <b/>
            <sz val="9"/>
            <rFont val="Tahoma"/>
            <family val="2"/>
          </rPr>
          <t>105.232.500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11.154.500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18.937.460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107.293.500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>56.356.500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7.491.460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rFont val="Tahoma"/>
            <family val="2"/>
          </rPr>
          <t>2.654.500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>-1
229.007.500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sebelomi</author>
  </authors>
  <commentList>
    <comment ref="W32" authorId="0">
      <text>
        <r>
          <rPr>
            <b/>
            <sz val="9"/>
            <rFont val="Tahoma"/>
            <family val="2"/>
          </rPr>
          <t>-1</t>
        </r>
        <r>
          <rPr>
            <sz val="9"/>
            <rFont val="Tahoma"/>
            <family val="2"/>
          </rPr>
          <t xml:space="preserve">
</t>
        </r>
      </text>
    </comment>
    <comment ref="P27" authorId="0">
      <text>
        <r>
          <rPr>
            <b/>
            <sz val="9"/>
            <rFont val="Tahoma"/>
            <family val="2"/>
          </rPr>
          <t>+1</t>
        </r>
      </text>
    </comment>
  </commentList>
</comments>
</file>

<file path=xl/comments13.xml><?xml version="1.0" encoding="utf-8"?>
<comments xmlns="http://schemas.openxmlformats.org/spreadsheetml/2006/main">
  <authors>
    <author>sebelomi</author>
  </authors>
  <commentList>
    <comment ref="D25" authorId="0">
      <text>
        <r>
          <rPr>
            <b/>
            <sz val="9"/>
            <rFont val="Tahoma"/>
            <family val="2"/>
          </rPr>
          <t>-12.013.567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MMB</author>
  </authors>
  <commentList>
    <comment ref="V18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203.536</t>
        </r>
      </text>
    </comment>
    <comment ref="V20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45.625</t>
        </r>
      </text>
    </comment>
    <comment ref="V21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411.431</t>
        </r>
      </text>
    </comment>
    <comment ref="V22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367.527</t>
        </r>
      </text>
    </comment>
    <comment ref="V24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-1
790.547</t>
        </r>
      </text>
    </comment>
    <comment ref="V38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108.518</t>
        </r>
      </text>
    </comment>
  </commentList>
</comments>
</file>

<file path=xl/comments4.xml><?xml version="1.0" encoding="utf-8"?>
<comments xmlns="http://schemas.openxmlformats.org/spreadsheetml/2006/main">
  <authors>
    <author>sebelomi</author>
  </authors>
  <commentList>
    <comment ref="P37" authorId="0">
      <text>
        <r>
          <rPr>
            <b/>
            <sz val="9"/>
            <rFont val="Tahoma"/>
            <family val="2"/>
          </rPr>
          <t>-1
512.584</t>
        </r>
        <r>
          <rPr>
            <sz val="9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9"/>
            <rFont val="Tahoma"/>
            <family val="2"/>
          </rPr>
          <t>-1
1.560</t>
        </r>
      </text>
    </comment>
    <comment ref="L36" authorId="0">
      <text>
        <r>
          <rPr>
            <b/>
            <sz val="9"/>
            <rFont val="Tahoma"/>
            <family val="2"/>
          </rPr>
          <t>-1</t>
        </r>
      </text>
    </comment>
  </commentList>
</comments>
</file>

<file path=xl/comments5.xml><?xml version="1.0" encoding="utf-8"?>
<comments xmlns="http://schemas.openxmlformats.org/spreadsheetml/2006/main">
  <authors>
    <author>sebelomi</author>
  </authors>
  <commentList>
    <comment ref="D29" authorId="0">
      <text>
        <r>
          <rPr>
            <b/>
            <sz val="9"/>
            <rFont val="Tahoma"/>
            <family val="2"/>
          </rPr>
          <t>-1
190.512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sebelomi</author>
  </authors>
  <commentList>
    <comment ref="C14" authorId="0">
      <text>
        <r>
          <rPr>
            <b/>
            <sz val="9"/>
            <rFont val="Tahoma"/>
            <family val="2"/>
          </rPr>
          <t>-1
,5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MMB</author>
    <author>sebelomi</author>
    <author>Jiří Trnečka</author>
  </authors>
  <commentList>
    <comment ref="J12" authorId="0">
      <text>
        <r>
          <rPr>
            <b/>
            <sz val="8"/>
            <rFont val="Tahoma"/>
            <family val="2"/>
          </rPr>
          <t>MMB:</t>
        </r>
        <r>
          <rPr>
            <sz val="8"/>
            <rFont val="Tahoma"/>
            <family val="2"/>
          </rPr>
          <t xml:space="preserve">
ZJ 024+028+od jiných MČ (z výd. jiných MČ p. 5321)</t>
        </r>
      </text>
    </comment>
    <comment ref="K15" authorId="1">
      <text>
        <r>
          <rPr>
            <b/>
            <sz val="9"/>
            <rFont val="Tahoma"/>
            <family val="2"/>
          </rPr>
          <t>41,5</t>
        </r>
        <r>
          <rPr>
            <sz val="9"/>
            <rFont val="Tahoma"/>
            <family val="2"/>
          </rPr>
          <t xml:space="preserve">
</t>
        </r>
      </text>
    </comment>
    <comment ref="T17" authorId="2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</t>
        </r>
      </text>
    </comment>
    <comment ref="G15" authorId="2">
      <text>
        <r>
          <rPr>
            <b/>
            <sz val="8"/>
            <rFont val="Tahoma"/>
            <family val="0"/>
          </rPr>
          <t>Jiří Trnečka: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Jiří Trnečka</author>
  </authors>
  <commentList>
    <comment ref="G32" authorId="0">
      <text>
        <r>
          <rPr>
            <b/>
            <sz val="8"/>
            <rFont val="Tahoma"/>
            <family val="2"/>
          </rPr>
          <t>Jiří Trnečka: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<sst xmlns="http://schemas.openxmlformats.org/spreadsheetml/2006/main" count="1065" uniqueCount="262">
  <si>
    <t>%</t>
  </si>
  <si>
    <t>v tis. Kč</t>
  </si>
  <si>
    <t>Skutečnost</t>
  </si>
  <si>
    <t>součet</t>
  </si>
  <si>
    <t xml:space="preserve"> </t>
  </si>
  <si>
    <t>obyvatel</t>
  </si>
  <si>
    <t xml:space="preserve">    příjmy</t>
  </si>
  <si>
    <t xml:space="preserve">     výdaje</t>
  </si>
  <si>
    <t>zůst.fin.prost.</t>
  </si>
  <si>
    <t xml:space="preserve">  str. 2</t>
  </si>
  <si>
    <t xml:space="preserve">  </t>
  </si>
  <si>
    <t>k UR</t>
  </si>
  <si>
    <t>SR</t>
  </si>
  <si>
    <t>UR</t>
  </si>
  <si>
    <t>Daňové příjmy</t>
  </si>
  <si>
    <t>P O Č E T</t>
  </si>
  <si>
    <t>Nedaňové příjmy</t>
  </si>
  <si>
    <t>P Ř Í J M Y</t>
  </si>
  <si>
    <t>Kapitálové příjmy</t>
  </si>
  <si>
    <t>V Ý D A J E</t>
  </si>
  <si>
    <t>P Ř Í J M Y    a     V Ý D A J E</t>
  </si>
  <si>
    <t>Účto</t>
  </si>
  <si>
    <t>P Ř Í J M Y    celkem</t>
  </si>
  <si>
    <t>V Ý D A J E    celkem</t>
  </si>
  <si>
    <t>S A L D O   příjmů  a výdajů</t>
  </si>
  <si>
    <t xml:space="preserve">  str. 1</t>
  </si>
  <si>
    <t>D A Ň O V É      P Ř Í J M Y</t>
  </si>
  <si>
    <t>str. 2.1</t>
  </si>
  <si>
    <t>Daň z příjmů právnických osob za obce</t>
  </si>
  <si>
    <t>Poplatky a odvody v oblasti životního  prostředí</t>
  </si>
  <si>
    <t>Ostatní odvody z vybraných služeb a činností</t>
  </si>
  <si>
    <t>Správní poplatky</t>
  </si>
  <si>
    <t>Rozpočet</t>
  </si>
  <si>
    <t>Skuteč.</t>
  </si>
  <si>
    <t>schválený</t>
  </si>
  <si>
    <t>upravený</t>
  </si>
  <si>
    <t>p. 1122</t>
  </si>
  <si>
    <t>p. 133x</t>
  </si>
  <si>
    <t>p. 135x</t>
  </si>
  <si>
    <t>p. 1361</t>
  </si>
  <si>
    <t xml:space="preserve">Celkem: </t>
  </si>
  <si>
    <t>OSTATNÍ  DANĚ  A  POPLATKY  z  vybraných  činností  a  služeb</t>
  </si>
  <si>
    <t xml:space="preserve">  Místní  poplatky</t>
  </si>
  <si>
    <t xml:space="preserve"> z toho  :</t>
  </si>
  <si>
    <t>c e l k e m</t>
  </si>
  <si>
    <t>ze  psů</t>
  </si>
  <si>
    <t>za lázeňský nebo rekreační pobyt</t>
  </si>
  <si>
    <t>za užívání veřejného prostranství</t>
  </si>
  <si>
    <t>p. 1341</t>
  </si>
  <si>
    <t>p. 1342</t>
  </si>
  <si>
    <t>p. 1343</t>
  </si>
  <si>
    <t xml:space="preserve">   </t>
  </si>
  <si>
    <t xml:space="preserve"> (pokračování)</t>
  </si>
  <si>
    <t>z ubytovací kapacity</t>
  </si>
  <si>
    <t>zrušené místní poplatky</t>
  </si>
  <si>
    <t>p. 1344</t>
  </si>
  <si>
    <t>p. 1345</t>
  </si>
  <si>
    <t>p. 1347</t>
  </si>
  <si>
    <t>p. 1349</t>
  </si>
  <si>
    <t>N E D A Ň O V É      P Ř Í J M Y</t>
  </si>
  <si>
    <t xml:space="preserve">      </t>
  </si>
  <si>
    <t>Příjmy z vlastní činnosti</t>
  </si>
  <si>
    <t>Příjmy  z  pronájmu  majetku</t>
  </si>
  <si>
    <t>Přijaté sankční platby</t>
  </si>
  <si>
    <t>schvál.</t>
  </si>
  <si>
    <t>uprav.</t>
  </si>
  <si>
    <t>p. 211x</t>
  </si>
  <si>
    <t>p. 212x</t>
  </si>
  <si>
    <t>p. 213x</t>
  </si>
  <si>
    <t>p. 2141</t>
  </si>
  <si>
    <t>p. 221x</t>
  </si>
  <si>
    <t>p.211x</t>
  </si>
  <si>
    <t>p.213x</t>
  </si>
  <si>
    <t>p.221x</t>
  </si>
  <si>
    <t>K A P I T Á L O V É      P Ř Í J M Y</t>
  </si>
  <si>
    <t>p. 311x</t>
  </si>
  <si>
    <t>p. 312x</t>
  </si>
  <si>
    <t xml:space="preserve"> z všeobecné pokladní správy  SR</t>
  </si>
  <si>
    <t xml:space="preserve">ze SR v rámci souhr. dotačního vztahu </t>
  </si>
  <si>
    <t>ze státních fondů</t>
  </si>
  <si>
    <t>p. 4111</t>
  </si>
  <si>
    <t>p. 4112</t>
  </si>
  <si>
    <t>p. 4113</t>
  </si>
  <si>
    <t>p. 4116</t>
  </si>
  <si>
    <t>z   t o h o :</t>
  </si>
  <si>
    <t>od města</t>
  </si>
  <si>
    <t>p. 4121</t>
  </si>
  <si>
    <t>v tis.Kč</t>
  </si>
  <si>
    <t>p. 4131</t>
  </si>
  <si>
    <t xml:space="preserve">Převody z vlastních fondů </t>
  </si>
  <si>
    <t>Převody z ostatních vlastních fondů</t>
  </si>
  <si>
    <t>hospodářské činnosti</t>
  </si>
  <si>
    <t>účto</t>
  </si>
  <si>
    <t>p. 4132</t>
  </si>
  <si>
    <t>p. 4213</t>
  </si>
  <si>
    <t>p. 4221</t>
  </si>
  <si>
    <t xml:space="preserve">         B Ě Ž N É   V Ý D A J E</t>
  </si>
  <si>
    <t xml:space="preserve">                  str. 3.1</t>
  </si>
  <si>
    <t>Úroky vlastní</t>
  </si>
  <si>
    <t>Neinv.transfery příspěv.a podob. org.</t>
  </si>
  <si>
    <t>Ostatní  běžné  výdaje</t>
  </si>
  <si>
    <t>p. 5141</t>
  </si>
  <si>
    <t>p. 5366</t>
  </si>
  <si>
    <t>p. 5321</t>
  </si>
  <si>
    <t>p. 533x</t>
  </si>
  <si>
    <t>zbýv. tř. 5</t>
  </si>
  <si>
    <t>tř.5</t>
  </si>
  <si>
    <t>p.5141</t>
  </si>
  <si>
    <t>p.5366</t>
  </si>
  <si>
    <t>p.5321</t>
  </si>
  <si>
    <t>p.533x</t>
  </si>
  <si>
    <t>zbýv.pol.tř.5</t>
  </si>
  <si>
    <t>s tab. Př. A výd.</t>
  </si>
  <si>
    <t>tř. 5</t>
  </si>
  <si>
    <t>K A P I T Á L O V É      V Ý D A J E</t>
  </si>
  <si>
    <t>str. 3.2</t>
  </si>
  <si>
    <t>K A P I T Á L O V É     V Ý D A J E</t>
  </si>
  <si>
    <t xml:space="preserve">žáků MŠ a ZŠ </t>
  </si>
  <si>
    <t>P ř í j m y   z   p r o d e j e    d l o u h o d o b é h o    m a j e t k u  (kromě drobného)</t>
  </si>
  <si>
    <t xml:space="preserve">   O D  K R A J E</t>
  </si>
  <si>
    <t>p. 4122</t>
  </si>
  <si>
    <t>p. 4222</t>
  </si>
  <si>
    <t>p. 4216</t>
  </si>
  <si>
    <t>Ostatní investiční přijaté</t>
  </si>
  <si>
    <t>p. 8123</t>
  </si>
  <si>
    <t xml:space="preserve">Změna stavu krátkodobých prostředků </t>
  </si>
  <si>
    <t>na bankovních účtech</t>
  </si>
  <si>
    <t xml:space="preserve">Dlouhodobě přijaté půjčené </t>
  </si>
  <si>
    <t>prostředky od města</t>
  </si>
  <si>
    <t>prostředky - úvěry</t>
  </si>
  <si>
    <t>Uhrazené splátky dlouhodobých</t>
  </si>
  <si>
    <t>přijatých prostředků od města</t>
  </si>
  <si>
    <t>přijatých prostředků - úvěry</t>
  </si>
  <si>
    <t>p. 8124</t>
  </si>
  <si>
    <t>p.214x</t>
  </si>
  <si>
    <t>F I N A N C O VÁ N Í</t>
  </si>
  <si>
    <t>od jiných MČ, od jiných obcí</t>
  </si>
  <si>
    <t>OD  MEZINÁRODNÍCH INSTITUCÍ</t>
  </si>
  <si>
    <t>p. 4152</t>
  </si>
  <si>
    <t>Přijaté transfery</t>
  </si>
  <si>
    <t>N   E  I  N  V  E  S  T  I  Č  N  Í     P  Ř  I   J  A  T  É     T  R  A  N  S  F  E  R  Y              O D   O B C Í</t>
  </si>
  <si>
    <t>transfery ze státního rozpočtu</t>
  </si>
  <si>
    <t>Investiční přijaté transfery od krajů</t>
  </si>
  <si>
    <t>Neinv. transfery obcím, MČ a MMB</t>
  </si>
  <si>
    <t>ostatní transfery ze SR</t>
  </si>
  <si>
    <t>skutečnost</t>
  </si>
  <si>
    <t>p. 2226</t>
  </si>
  <si>
    <t>kapitálové příjmy celkem</t>
  </si>
  <si>
    <t>Vlastní příjmy celkem</t>
  </si>
  <si>
    <t>1 + 2 + 3</t>
  </si>
  <si>
    <t xml:space="preserve">Investiční přijaté transfery </t>
  </si>
  <si>
    <t>Přijaté transfery celkem</t>
  </si>
  <si>
    <t>p. 5366 mezi krajem a obcemi</t>
  </si>
  <si>
    <t>kontrola</t>
  </si>
  <si>
    <t>financování celkem</t>
  </si>
  <si>
    <t>čerpání</t>
  </si>
  <si>
    <t>P R O V O Z N Í     V Ý D A J E</t>
  </si>
  <si>
    <t>P  R  O  V  O  Z  N  Í        V  Ý  D  A  J  E</t>
  </si>
  <si>
    <t>K  A  P  I  T  Á  L  O  V  É       V  Ý  D  A  J  E</t>
  </si>
  <si>
    <t xml:space="preserve">N     E     I     N     V     E     S     T     I     Č     N     Í                    P     Ř     I     J     A     T     É                    T     R    A    N    S    F    E    R    Y </t>
  </si>
  <si>
    <t>Investiční transfery od města</t>
  </si>
  <si>
    <t>p. 5367 s městem</t>
  </si>
  <si>
    <t>zbývající pol. třídy 5</t>
  </si>
  <si>
    <t>k 30.6.2008</t>
  </si>
  <si>
    <t>Výdaje z fin. vypořádání r.2007</t>
  </si>
  <si>
    <t>p. 4240</t>
  </si>
  <si>
    <t>ze státních finančních aktiv</t>
  </si>
  <si>
    <t>k 31.12.2008</t>
  </si>
  <si>
    <t>k 31.12.</t>
  </si>
  <si>
    <t>str. 2.2</t>
  </si>
  <si>
    <t xml:space="preserve"> T  R A N S F E R Y    -     neinvestiční     -     2. část</t>
  </si>
  <si>
    <t>Investiční transfery z rozpočtu města</t>
  </si>
  <si>
    <t xml:space="preserve">       Jiné nedaňové příjmy</t>
  </si>
  <si>
    <t xml:space="preserve">Aktivní krátkodobé operace </t>
  </si>
  <si>
    <t>řízení likvidity</t>
  </si>
  <si>
    <t xml:space="preserve">Aktivní dlouhodobé operace </t>
  </si>
  <si>
    <t>p. 8117, 8118</t>
  </si>
  <si>
    <t>p. 8127, 8128</t>
  </si>
  <si>
    <t>p. 4151</t>
  </si>
  <si>
    <t>v Kč</t>
  </si>
  <si>
    <t>zbývající pol. třídy 2</t>
  </si>
  <si>
    <t xml:space="preserve"> v  tom  :</t>
  </si>
  <si>
    <t xml:space="preserve"> v  tom (zdroj) :</t>
  </si>
  <si>
    <t>(s ORG, ÚZ, bez označení)</t>
  </si>
  <si>
    <t>rozpočtu státních fondů a Jihomoravského kraje</t>
  </si>
  <si>
    <t>Ostatní kapitálové výdaje</t>
  </si>
  <si>
    <t>a jiných MČ</t>
  </si>
  <si>
    <t>kontrola k 31.12.2009</t>
  </si>
  <si>
    <t>str. 2.5a</t>
  </si>
  <si>
    <t xml:space="preserve">str. 2.6 </t>
  </si>
  <si>
    <t>k 31.12.2010</t>
  </si>
  <si>
    <t>Brno-střed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</si>
  <si>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</si>
  <si>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</si>
  <si>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</si>
  <si>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</si>
  <si>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</si>
  <si>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</si>
  <si>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</si>
  <si>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</si>
  <si>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</si>
  <si>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</si>
  <si>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</si>
  <si>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Brno-sever</t>
  </si>
  <si>
    <t>Brno-Maloměřice a Obřany</t>
  </si>
  <si>
    <t>Brno-Židenice</t>
  </si>
  <si>
    <t>Brno-Černovice</t>
  </si>
  <si>
    <t>Brno-jih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</si>
  <si>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</si>
  <si>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</si>
  <si>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</si>
  <si>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</si>
  <si>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</si>
  <si>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</si>
  <si>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</si>
  <si>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</si>
  <si>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</si>
  <si>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</si>
  <si>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</si>
  <si>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</si>
  <si>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sap</t>
  </si>
  <si>
    <t>sap 4* po konsol.</t>
  </si>
  <si>
    <t>Skut.</t>
  </si>
  <si>
    <t>Nedaňové příjmy celkem</t>
  </si>
  <si>
    <t>SAP</t>
  </si>
  <si>
    <t>pokles o</t>
  </si>
  <si>
    <t>Výnosy z finančního majetku</t>
  </si>
  <si>
    <t>p. 8115, 8901</t>
  </si>
  <si>
    <t xml:space="preserve">Transfery poskytnuté ze státního rozpočtu, </t>
  </si>
  <si>
    <t>Městská část</t>
  </si>
  <si>
    <t>za provozovaný výherní hrací přístroj</t>
  </si>
  <si>
    <t>T R A N S F E R Y - investiční</t>
  </si>
  <si>
    <t>T R A N S F E R Y     -     neinvestiční  a převody z vlastních fondů</t>
  </si>
  <si>
    <t>p. 4232</t>
  </si>
  <si>
    <t>od mezinárodních organizací</t>
  </si>
  <si>
    <t>o</t>
  </si>
  <si>
    <t>PLNĚNÍ  ROZPOČTŮ  MĚSTSKÝCH   ČASTÍ  LEDEN  - PROSINEC 2012</t>
  </si>
  <si>
    <t>PLNĚNÍ  ROZPOČTŮ  MĚSTSKÝCH   ČASTÍ  LEDEN - PROSINEC 2012</t>
  </si>
  <si>
    <t>PLNĚNÍ  ROZPOČTŮ  MĚSTSKÝCH   ČÁSTÍ  LEDEN - PROSINEC 2012</t>
  </si>
  <si>
    <t>ČERPÁNÍ ROZPOČTŮ  MĚSTSKÝCH   ČASTÍ  LEDEN  - PROSINEC 2012</t>
  </si>
  <si>
    <t>ČERPÁNÍ  ROZPOČTŮ  MĚSTSKÝCH   ČASTÍ  LEDEN - PROSINEC 2012</t>
  </si>
  <si>
    <t>rok   2012</t>
  </si>
  <si>
    <t>Schválený rozpočet</t>
  </si>
  <si>
    <t>Skutečnost k 31.12.2012</t>
  </si>
  <si>
    <t>Upravený rozpočet</t>
  </si>
  <si>
    <t>Celkem  :</t>
  </si>
  <si>
    <t xml:space="preserve"> v tis. Kč</t>
  </si>
  <si>
    <t xml:space="preserve"> str. 2.5 </t>
  </si>
  <si>
    <t>str. 2.3</t>
  </si>
  <si>
    <t xml:space="preserve"> str. 2.4</t>
  </si>
  <si>
    <t xml:space="preserve">str. 3 </t>
  </si>
  <si>
    <t>str. 3.1</t>
  </si>
  <si>
    <t>str. 4</t>
  </si>
  <si>
    <t>ze vstupného</t>
  </si>
  <si>
    <t xml:space="preserve">Celkem   : </t>
  </si>
  <si>
    <t>vlastní 2012</t>
  </si>
  <si>
    <t>vlastní 2011</t>
  </si>
  <si>
    <t>Výdaje z fin. vypořádání r.2011</t>
  </si>
  <si>
    <t>(včetně FV 2011)</t>
  </si>
  <si>
    <t>Fin. prostředky městských částí na ZBÚ a ve fondech                (účet 231 + 236)</t>
  </si>
  <si>
    <t xml:space="preserve">       Finanční vypořádání r. 2011</t>
  </si>
  <si>
    <t>O s t a t n í   k a p i t á l o v é  p ř í j m y   ( dary, příspěvky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</si>
</sst>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2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0" fontId="32" fillId="24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3" fontId="49" fillId="0" borderId="10" xfId="0" applyNumberFormat="1" applyFont="1" applyBorder="1" applyAlignment="1">
      <alignment/>
    </xf>
    <xf numFmtId="3" fontId="49" fillId="0" borderId="10" xfId="90" applyNumberFormat="1" applyFont="1" applyFill="1" applyBorder="1">
      <alignment/>
      <protection/>
    </xf>
    <xf numFmtId="3" fontId="49" fillId="0" borderId="10" xfId="93" applyNumberFormat="1" applyFont="1" applyFill="1" applyBorder="1">
      <alignment/>
      <protection/>
    </xf>
    <xf numFmtId="3" fontId="49" fillId="0" borderId="10" xfId="97" applyNumberFormat="1" applyFont="1" applyFill="1" applyBorder="1">
      <alignment/>
      <protection/>
    </xf>
    <xf numFmtId="3" fontId="49" fillId="0" borderId="10" xfId="58" applyNumberFormat="1" applyFont="1" applyFill="1" applyBorder="1">
      <alignment/>
      <protection/>
    </xf>
    <xf numFmtId="3" fontId="49" fillId="0" borderId="10" xfId="59" applyNumberFormat="1" applyFont="1" applyFill="1" applyBorder="1">
      <alignment/>
      <protection/>
    </xf>
    <xf numFmtId="0" fontId="49" fillId="0" borderId="10" xfId="68" applyFont="1" applyFill="1" applyBorder="1">
      <alignment/>
      <protection/>
    </xf>
    <xf numFmtId="3" fontId="49" fillId="0" borderId="10" xfId="60" applyNumberFormat="1" applyFont="1" applyFill="1" applyBorder="1">
      <alignment/>
      <protection/>
    </xf>
    <xf numFmtId="3" fontId="49" fillId="0" borderId="10" xfId="83" applyNumberFormat="1" applyFont="1" applyFill="1" applyBorder="1">
      <alignment/>
      <protection/>
    </xf>
    <xf numFmtId="3" fontId="49" fillId="0" borderId="10" xfId="95" applyNumberFormat="1" applyFont="1" applyFill="1" applyBorder="1">
      <alignment/>
      <protection/>
    </xf>
    <xf numFmtId="3" fontId="49" fillId="0" borderId="10" xfId="94" applyNumberFormat="1" applyFont="1" applyFill="1" applyBorder="1">
      <alignment/>
      <protection/>
    </xf>
    <xf numFmtId="3" fontId="49" fillId="0" borderId="10" xfId="96" applyNumberFormat="1" applyFont="1" applyFill="1" applyBorder="1">
      <alignment/>
      <protection/>
    </xf>
    <xf numFmtId="3" fontId="49" fillId="0" borderId="10" xfId="74" applyNumberFormat="1" applyFont="1" applyFill="1" applyBorder="1">
      <alignment/>
      <protection/>
    </xf>
    <xf numFmtId="0" fontId="49" fillId="0" borderId="10" xfId="79" applyFont="1" applyFill="1" applyBorder="1">
      <alignment/>
      <protection/>
    </xf>
    <xf numFmtId="3" fontId="49" fillId="0" borderId="10" xfId="84" applyNumberFormat="1" applyFont="1" applyFill="1" applyBorder="1">
      <alignment/>
      <protection/>
    </xf>
    <xf numFmtId="3" fontId="49" fillId="0" borderId="10" xfId="62" applyNumberFormat="1" applyFont="1" applyFill="1" applyBorder="1">
      <alignment/>
      <protection/>
    </xf>
    <xf numFmtId="3" fontId="49" fillId="0" borderId="10" xfId="66" applyNumberFormat="1" applyFont="1" applyFill="1" applyBorder="1">
      <alignment/>
      <protection/>
    </xf>
    <xf numFmtId="3" fontId="49" fillId="0" borderId="10" xfId="77" applyNumberFormat="1" applyFont="1" applyFill="1" applyBorder="1">
      <alignment/>
      <protection/>
    </xf>
    <xf numFmtId="3" fontId="49" fillId="0" borderId="10" xfId="65" applyNumberFormat="1" applyFont="1" applyFill="1" applyBorder="1">
      <alignment/>
      <protection/>
    </xf>
    <xf numFmtId="3" fontId="49" fillId="0" borderId="10" xfId="61" applyNumberFormat="1" applyFont="1" applyFill="1" applyBorder="1">
      <alignment/>
      <protection/>
    </xf>
    <xf numFmtId="3" fontId="49" fillId="0" borderId="10" xfId="73" applyNumberFormat="1" applyFont="1" applyFill="1" applyBorder="1">
      <alignment/>
      <protection/>
    </xf>
    <xf numFmtId="3" fontId="49" fillId="0" borderId="10" xfId="78" applyNumberFormat="1" applyFont="1" applyFill="1" applyBorder="1">
      <alignment/>
      <protection/>
    </xf>
    <xf numFmtId="3" fontId="49" fillId="0" borderId="10" xfId="81" applyNumberFormat="1" applyFont="1" applyFill="1" applyBorder="1">
      <alignment/>
      <protection/>
    </xf>
    <xf numFmtId="3" fontId="49" fillId="0" borderId="10" xfId="72" applyNumberFormat="1" applyFont="1" applyFill="1" applyBorder="1">
      <alignment/>
      <protection/>
    </xf>
    <xf numFmtId="3" fontId="49" fillId="0" borderId="10" xfId="87" applyNumberFormat="1" applyFont="1" applyFill="1" applyBorder="1">
      <alignment/>
      <protection/>
    </xf>
    <xf numFmtId="3" fontId="49" fillId="0" borderId="10" xfId="70" applyNumberFormat="1" applyFont="1" applyFill="1" applyBorder="1">
      <alignment/>
      <protection/>
    </xf>
    <xf numFmtId="3" fontId="49" fillId="0" borderId="10" xfId="75" applyNumberFormat="1" applyFont="1" applyFill="1" applyBorder="1">
      <alignment/>
      <protection/>
    </xf>
    <xf numFmtId="3" fontId="49" fillId="0" borderId="10" xfId="64" applyNumberFormat="1" applyFont="1" applyFill="1" applyBorder="1">
      <alignment/>
      <protection/>
    </xf>
    <xf numFmtId="3" fontId="49" fillId="0" borderId="10" xfId="86" applyNumberFormat="1" applyFont="1" applyFill="1" applyBorder="1">
      <alignment/>
      <protection/>
    </xf>
    <xf numFmtId="3" fontId="49" fillId="0" borderId="10" xfId="76" applyNumberFormat="1" applyFont="1" applyFill="1" applyBorder="1">
      <alignment/>
      <protection/>
    </xf>
    <xf numFmtId="3" fontId="49" fillId="0" borderId="10" xfId="91" applyNumberFormat="1" applyFont="1" applyFill="1" applyBorder="1">
      <alignment/>
      <protection/>
    </xf>
    <xf numFmtId="3" fontId="49" fillId="0" borderId="10" xfId="85" applyNumberFormat="1" applyFont="1" applyFill="1" applyBorder="1">
      <alignment/>
      <protection/>
    </xf>
    <xf numFmtId="3" fontId="49" fillId="0" borderId="10" xfId="88" applyNumberFormat="1" applyFont="1" applyFill="1" applyBorder="1">
      <alignment/>
      <protection/>
    </xf>
    <xf numFmtId="3" fontId="49" fillId="0" borderId="10" xfId="82" applyNumberFormat="1" applyFont="1" applyFill="1" applyBorder="1">
      <alignment/>
      <protection/>
    </xf>
    <xf numFmtId="3" fontId="49" fillId="0" borderId="10" xfId="63" applyNumberFormat="1" applyFont="1" applyFill="1" applyBorder="1">
      <alignment/>
      <protection/>
    </xf>
    <xf numFmtId="3" fontId="49" fillId="0" borderId="10" xfId="80" applyNumberFormat="1" applyFont="1" applyFill="1" applyBorder="1">
      <alignment/>
      <protection/>
    </xf>
    <xf numFmtId="3" fontId="49" fillId="0" borderId="10" xfId="67" applyNumberFormat="1" applyFont="1" applyFill="1" applyBorder="1">
      <alignment/>
      <protection/>
    </xf>
    <xf numFmtId="3" fontId="49" fillId="0" borderId="10" xfId="89" applyNumberFormat="1" applyFont="1" applyFill="1" applyBorder="1">
      <alignment/>
      <protection/>
    </xf>
    <xf numFmtId="3" fontId="49" fillId="0" borderId="10" xfId="69" applyNumberFormat="1" applyFont="1" applyFill="1" applyBorder="1">
      <alignment/>
      <protection/>
    </xf>
    <xf numFmtId="0" fontId="25" fillId="0" borderId="0" xfId="0" applyFont="1" applyFill="1" applyAlignment="1">
      <alignment/>
    </xf>
    <xf numFmtId="0" fontId="25" fillId="4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4" borderId="0" xfId="0" applyFont="1" applyFill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50" fillId="0" borderId="0" xfId="92" applyNumberFormat="1" applyFont="1">
      <alignment/>
      <protection/>
    </xf>
    <xf numFmtId="3" fontId="25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100" applyNumberFormat="1" applyFont="1" applyFill="1" applyBorder="1">
      <alignment/>
      <protection/>
    </xf>
    <xf numFmtId="0" fontId="25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3" fontId="25" fillId="0" borderId="15" xfId="101" applyNumberFormat="1" applyFont="1" applyFill="1" applyBorder="1">
      <alignment/>
      <protection/>
    </xf>
    <xf numFmtId="3" fontId="25" fillId="0" borderId="14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164" fontId="25" fillId="0" borderId="23" xfId="0" applyNumberFormat="1" applyFont="1" applyFill="1" applyBorder="1" applyAlignment="1">
      <alignment/>
    </xf>
    <xf numFmtId="0" fontId="25" fillId="4" borderId="22" xfId="0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21" xfId="100" applyNumberFormat="1" applyFont="1" applyFill="1" applyBorder="1">
      <alignment/>
      <protection/>
    </xf>
    <xf numFmtId="3" fontId="25" fillId="0" borderId="23" xfId="0" applyNumberFormat="1" applyFont="1" applyFill="1" applyBorder="1" applyAlignment="1">
      <alignment/>
    </xf>
    <xf numFmtId="3" fontId="25" fillId="0" borderId="16" xfId="100" applyNumberFormat="1" applyFont="1" applyFill="1" applyBorder="1">
      <alignment/>
      <protection/>
    </xf>
    <xf numFmtId="0" fontId="27" fillId="0" borderId="0" xfId="0" applyFont="1" applyAlignment="1">
      <alignment/>
    </xf>
    <xf numFmtId="0" fontId="27" fillId="0" borderId="25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0" fontId="27" fillId="4" borderId="10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4" borderId="12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24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9" xfId="0" applyFont="1" applyBorder="1" applyAlignment="1">
      <alignment/>
    </xf>
    <xf numFmtId="3" fontId="27" fillId="0" borderId="30" xfId="0" applyNumberFormat="1" applyFont="1" applyFill="1" applyBorder="1" applyAlignment="1">
      <alignment/>
    </xf>
    <xf numFmtId="3" fontId="27" fillId="0" borderId="31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164" fontId="27" fillId="0" borderId="32" xfId="0" applyNumberFormat="1" applyFont="1" applyFill="1" applyBorder="1" applyAlignment="1">
      <alignment/>
    </xf>
    <xf numFmtId="0" fontId="27" fillId="4" borderId="31" xfId="0" applyFont="1" applyFill="1" applyBorder="1" applyAlignment="1">
      <alignment/>
    </xf>
    <xf numFmtId="3" fontId="27" fillId="0" borderId="29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3" fontId="25" fillId="4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164" fontId="27" fillId="0" borderId="37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5" fillId="4" borderId="0" xfId="0" applyFont="1" applyFill="1" applyAlignment="1">
      <alignment/>
    </xf>
    <xf numFmtId="3" fontId="25" fillId="0" borderId="10" xfId="68" applyNumberFormat="1" applyFont="1" applyFill="1" applyBorder="1" applyProtection="1">
      <alignment/>
      <protection/>
    </xf>
    <xf numFmtId="4" fontId="25" fillId="0" borderId="0" xfId="0" applyNumberFormat="1" applyFont="1" applyFill="1" applyAlignment="1">
      <alignment/>
    </xf>
    <xf numFmtId="4" fontId="25" fillId="4" borderId="0" xfId="0" applyNumberFormat="1" applyFont="1" applyFill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64" fontId="25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25" fillId="0" borderId="31" xfId="0" applyNumberFormat="1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3" fontId="25" fillId="0" borderId="11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164" fontId="25" fillId="0" borderId="0" xfId="0" applyNumberFormat="1" applyFont="1" applyFill="1" applyAlignment="1">
      <alignment/>
    </xf>
    <xf numFmtId="3" fontId="25" fillId="0" borderId="38" xfId="0" applyNumberFormat="1" applyFont="1" applyFill="1" applyBorder="1" applyAlignment="1">
      <alignment/>
    </xf>
    <xf numFmtId="3" fontId="25" fillId="0" borderId="21" xfId="0" applyNumberFormat="1" applyFont="1" applyBorder="1" applyAlignment="1">
      <alignment/>
    </xf>
    <xf numFmtId="164" fontId="25" fillId="0" borderId="23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164" fontId="25" fillId="0" borderId="17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0" fontId="25" fillId="0" borderId="22" xfId="0" applyFont="1" applyBorder="1" applyAlignment="1">
      <alignment/>
    </xf>
    <xf numFmtId="0" fontId="25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40" xfId="0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0" fontId="27" fillId="0" borderId="43" xfId="0" applyFont="1" applyBorder="1" applyAlignment="1">
      <alignment/>
    </xf>
    <xf numFmtId="0" fontId="25" fillId="0" borderId="37" xfId="0" applyFont="1" applyBorder="1" applyAlignment="1">
      <alignment/>
    </xf>
    <xf numFmtId="0" fontId="30" fillId="0" borderId="39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28" xfId="0" applyFont="1" applyFill="1" applyBorder="1" applyAlignment="1">
      <alignment horizontal="center"/>
    </xf>
    <xf numFmtId="164" fontId="27" fillId="0" borderId="37" xfId="0" applyNumberFormat="1" applyFont="1" applyBorder="1" applyAlignment="1">
      <alignment/>
    </xf>
    <xf numFmtId="3" fontId="27" fillId="0" borderId="36" xfId="0" applyNumberFormat="1" applyFont="1" applyFill="1" applyBorder="1" applyAlignment="1">
      <alignment/>
    </xf>
    <xf numFmtId="3" fontId="27" fillId="0" borderId="44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3" fontId="25" fillId="0" borderId="10" xfId="99" applyNumberFormat="1" applyFont="1" applyFill="1" applyBorder="1" applyAlignment="1">
      <alignment horizontal="right"/>
      <protection/>
    </xf>
    <xf numFmtId="164" fontId="25" fillId="4" borderId="0" xfId="0" applyNumberFormat="1" applyFont="1" applyFill="1" applyAlignment="1">
      <alignment/>
    </xf>
    <xf numFmtId="3" fontId="25" fillId="0" borderId="41" xfId="0" applyNumberFormat="1" applyFont="1" applyFill="1" applyBorder="1" applyAlignment="1">
      <alignment/>
    </xf>
    <xf numFmtId="3" fontId="25" fillId="0" borderId="42" xfId="0" applyNumberFormat="1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7" fillId="0" borderId="30" xfId="0" applyFont="1" applyBorder="1" applyAlignment="1">
      <alignment/>
    </xf>
    <xf numFmtId="0" fontId="30" fillId="0" borderId="45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36" xfId="0" applyFont="1" applyBorder="1" applyAlignment="1">
      <alignment horizontal="center"/>
    </xf>
    <xf numFmtId="3" fontId="25" fillId="0" borderId="54" xfId="0" applyNumberFormat="1" applyFont="1" applyFill="1" applyBorder="1" applyAlignment="1">
      <alignment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7" fillId="0" borderId="13" xfId="0" applyFont="1" applyBorder="1" applyAlignment="1">
      <alignment horizontal="center"/>
    </xf>
    <xf numFmtId="3" fontId="25" fillId="0" borderId="30" xfId="0" applyNumberFormat="1" applyFont="1" applyFill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42" xfId="0" applyFont="1" applyBorder="1" applyAlignment="1">
      <alignment/>
    </xf>
    <xf numFmtId="0" fontId="27" fillId="0" borderId="18" xfId="0" applyFont="1" applyBorder="1" applyAlignment="1">
      <alignment vertical="center"/>
    </xf>
    <xf numFmtId="0" fontId="27" fillId="0" borderId="59" xfId="0" applyFont="1" applyBorder="1" applyAlignment="1">
      <alignment/>
    </xf>
    <xf numFmtId="0" fontId="27" fillId="0" borderId="54" xfId="0" applyFont="1" applyBorder="1" applyAlignment="1">
      <alignment/>
    </xf>
    <xf numFmtId="4" fontId="27" fillId="0" borderId="0" xfId="0" applyNumberFormat="1" applyFont="1" applyAlignment="1">
      <alignment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22" xfId="71" applyNumberFormat="1" applyFont="1" applyFill="1" applyBorder="1">
      <alignment/>
      <protection/>
    </xf>
    <xf numFmtId="3" fontId="25" fillId="0" borderId="22" xfId="68" applyNumberFormat="1" applyFont="1" applyFill="1" applyBorder="1" applyProtection="1">
      <alignment/>
      <protection/>
    </xf>
    <xf numFmtId="3" fontId="25" fillId="0" borderId="12" xfId="68" applyNumberFormat="1" applyFont="1" applyFill="1" applyBorder="1" applyProtection="1">
      <alignment/>
      <protection/>
    </xf>
    <xf numFmtId="0" fontId="25" fillId="0" borderId="41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49" fillId="0" borderId="11" xfId="59" applyNumberFormat="1" applyFont="1" applyFill="1" applyBorder="1">
      <alignment/>
      <protection/>
    </xf>
    <xf numFmtId="3" fontId="49" fillId="0" borderId="11" xfId="60" applyNumberFormat="1" applyFont="1" applyFill="1" applyBorder="1">
      <alignment/>
      <protection/>
    </xf>
    <xf numFmtId="0" fontId="49" fillId="0" borderId="11" xfId="68" applyFont="1" applyFill="1" applyBorder="1">
      <alignment/>
      <protection/>
    </xf>
    <xf numFmtId="3" fontId="49" fillId="0" borderId="11" xfId="95" applyNumberFormat="1" applyFont="1" applyFill="1" applyBorder="1">
      <alignment/>
      <protection/>
    </xf>
    <xf numFmtId="0" fontId="49" fillId="0" borderId="11" xfId="79" applyFont="1" applyFill="1" applyBorder="1">
      <alignment/>
      <protection/>
    </xf>
    <xf numFmtId="3" fontId="49" fillId="0" borderId="11" xfId="90" applyNumberFormat="1" applyFont="1" applyFill="1" applyBorder="1">
      <alignment/>
      <protection/>
    </xf>
    <xf numFmtId="3" fontId="49" fillId="0" borderId="11" xfId="96" applyNumberFormat="1" applyFont="1" applyFill="1" applyBorder="1">
      <alignment/>
      <protection/>
    </xf>
    <xf numFmtId="3" fontId="49" fillId="0" borderId="11" xfId="58" applyNumberFormat="1" applyFont="1" applyFill="1" applyBorder="1">
      <alignment/>
      <protection/>
    </xf>
    <xf numFmtId="3" fontId="49" fillId="0" borderId="11" xfId="94" applyNumberFormat="1" applyFont="1" applyFill="1" applyBorder="1">
      <alignment/>
      <protection/>
    </xf>
    <xf numFmtId="3" fontId="49" fillId="0" borderId="11" xfId="97" applyNumberFormat="1" applyFont="1" applyFill="1" applyBorder="1">
      <alignment/>
      <protection/>
    </xf>
    <xf numFmtId="3" fontId="49" fillId="0" borderId="11" xfId="93" applyNumberFormat="1" applyFont="1" applyFill="1" applyBorder="1">
      <alignment/>
      <protection/>
    </xf>
    <xf numFmtId="3" fontId="49" fillId="0" borderId="21" xfId="71" applyNumberFormat="1" applyFont="1" applyFill="1" applyBorder="1">
      <alignment/>
      <protection/>
    </xf>
    <xf numFmtId="3" fontId="49" fillId="0" borderId="11" xfId="88" applyNumberFormat="1" applyFont="1" applyFill="1" applyBorder="1">
      <alignment/>
      <protection/>
    </xf>
    <xf numFmtId="3" fontId="49" fillId="0" borderId="11" xfId="91" applyNumberFormat="1" applyFont="1" applyFill="1" applyBorder="1">
      <alignment/>
      <protection/>
    </xf>
    <xf numFmtId="3" fontId="49" fillId="0" borderId="11" xfId="87" applyNumberFormat="1" applyFont="1" applyFill="1" applyBorder="1">
      <alignment/>
      <protection/>
    </xf>
    <xf numFmtId="3" fontId="49" fillId="0" borderId="11" xfId="89" applyNumberFormat="1" applyFont="1" applyFill="1" applyBorder="1">
      <alignment/>
      <protection/>
    </xf>
    <xf numFmtId="3" fontId="49" fillId="0" borderId="11" xfId="61" applyNumberFormat="1" applyFont="1" applyFill="1" applyBorder="1">
      <alignment/>
      <protection/>
    </xf>
    <xf numFmtId="3" fontId="49" fillId="0" borderId="11" xfId="72" applyNumberFormat="1" applyFont="1" applyFill="1" applyBorder="1">
      <alignment/>
      <protection/>
    </xf>
    <xf numFmtId="3" fontId="49" fillId="0" borderId="11" xfId="77" applyNumberFormat="1" applyFont="1" applyFill="1" applyBorder="1">
      <alignment/>
      <protection/>
    </xf>
    <xf numFmtId="3" fontId="49" fillId="0" borderId="11" xfId="86" applyNumberFormat="1" applyFont="1" applyFill="1" applyBorder="1">
      <alignment/>
      <protection/>
    </xf>
    <xf numFmtId="3" fontId="49" fillId="0" borderId="11" xfId="67" applyNumberFormat="1" applyFont="1" applyFill="1" applyBorder="1">
      <alignment/>
      <protection/>
    </xf>
    <xf numFmtId="3" fontId="49" fillId="0" borderId="11" xfId="62" applyNumberFormat="1" applyFont="1" applyFill="1" applyBorder="1">
      <alignment/>
      <protection/>
    </xf>
    <xf numFmtId="3" fontId="49" fillId="0" borderId="11" xfId="63" applyNumberFormat="1" applyFont="1" applyFill="1" applyBorder="1">
      <alignment/>
      <protection/>
    </xf>
    <xf numFmtId="3" fontId="49" fillId="0" borderId="11" xfId="73" applyNumberFormat="1" applyFont="1" applyFill="1" applyBorder="1">
      <alignment/>
      <protection/>
    </xf>
    <xf numFmtId="3" fontId="49" fillId="0" borderId="11" xfId="85" applyNumberFormat="1" applyFont="1" applyFill="1" applyBorder="1">
      <alignment/>
      <protection/>
    </xf>
    <xf numFmtId="3" fontId="49" fillId="0" borderId="11" xfId="74" applyNumberFormat="1" applyFont="1" applyFill="1" applyBorder="1">
      <alignment/>
      <protection/>
    </xf>
    <xf numFmtId="3" fontId="49" fillId="0" borderId="11" xfId="78" applyNumberFormat="1" applyFont="1" applyFill="1" applyBorder="1">
      <alignment/>
      <protection/>
    </xf>
    <xf numFmtId="3" fontId="49" fillId="0" borderId="11" xfId="82" applyNumberFormat="1" applyFont="1" applyFill="1" applyBorder="1">
      <alignment/>
      <protection/>
    </xf>
    <xf numFmtId="3" fontId="49" fillId="0" borderId="11" xfId="83" applyNumberFormat="1" applyFont="1" applyFill="1" applyBorder="1">
      <alignment/>
      <protection/>
    </xf>
    <xf numFmtId="3" fontId="49" fillId="0" borderId="11" xfId="76" applyNumberFormat="1" applyFont="1" applyFill="1" applyBorder="1">
      <alignment/>
      <protection/>
    </xf>
    <xf numFmtId="3" fontId="49" fillId="0" borderId="11" xfId="81" applyNumberFormat="1" applyFont="1" applyFill="1" applyBorder="1">
      <alignment/>
      <protection/>
    </xf>
    <xf numFmtId="3" fontId="49" fillId="0" borderId="11" xfId="84" applyNumberFormat="1" applyFont="1" applyFill="1" applyBorder="1">
      <alignment/>
      <protection/>
    </xf>
    <xf numFmtId="3" fontId="49" fillId="0" borderId="11" xfId="80" applyNumberFormat="1" applyFont="1" applyFill="1" applyBorder="1">
      <alignment/>
      <protection/>
    </xf>
    <xf numFmtId="3" fontId="49" fillId="0" borderId="11" xfId="75" applyNumberFormat="1" applyFont="1" applyFill="1" applyBorder="1">
      <alignment/>
      <protection/>
    </xf>
    <xf numFmtId="3" fontId="49" fillId="0" borderId="11" xfId="66" applyNumberFormat="1" applyFont="1" applyFill="1" applyBorder="1">
      <alignment/>
      <protection/>
    </xf>
    <xf numFmtId="3" fontId="49" fillId="0" borderId="11" xfId="64" applyNumberFormat="1" applyFont="1" applyFill="1" applyBorder="1">
      <alignment/>
      <protection/>
    </xf>
    <xf numFmtId="3" fontId="49" fillId="0" borderId="11" xfId="65" applyNumberFormat="1" applyFont="1" applyFill="1" applyBorder="1">
      <alignment/>
      <protection/>
    </xf>
    <xf numFmtId="3" fontId="49" fillId="0" borderId="11" xfId="70" applyNumberFormat="1" applyFont="1" applyFill="1" applyBorder="1">
      <alignment/>
      <protection/>
    </xf>
    <xf numFmtId="3" fontId="49" fillId="0" borderId="11" xfId="69" applyNumberFormat="1" applyFont="1" applyFill="1" applyBorder="1">
      <alignment/>
      <protection/>
    </xf>
    <xf numFmtId="0" fontId="25" fillId="0" borderId="4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3" fontId="25" fillId="0" borderId="10" xfId="98" applyNumberFormat="1" applyFont="1" applyFill="1" applyBorder="1">
      <alignment/>
      <protection/>
    </xf>
    <xf numFmtId="3" fontId="25" fillId="0" borderId="22" xfId="98" applyNumberFormat="1" applyFont="1" applyFill="1" applyBorder="1">
      <alignment/>
      <protection/>
    </xf>
    <xf numFmtId="3" fontId="25" fillId="0" borderId="12" xfId="98" applyNumberFormat="1" applyFont="1" applyFill="1" applyBorder="1">
      <alignment/>
      <protection/>
    </xf>
    <xf numFmtId="164" fontId="25" fillId="0" borderId="47" xfId="0" applyNumberFormat="1" applyFont="1" applyFill="1" applyBorder="1" applyAlignment="1">
      <alignment/>
    </xf>
    <xf numFmtId="164" fontId="25" fillId="0" borderId="48" xfId="0" applyNumberFormat="1" applyFont="1" applyFill="1" applyBorder="1" applyAlignment="1">
      <alignment/>
    </xf>
    <xf numFmtId="164" fontId="25" fillId="0" borderId="49" xfId="0" applyNumberFormat="1" applyFont="1" applyFill="1" applyBorder="1" applyAlignment="1">
      <alignment/>
    </xf>
    <xf numFmtId="164" fontId="25" fillId="0" borderId="59" xfId="0" applyNumberFormat="1" applyFont="1" applyFill="1" applyBorder="1" applyAlignment="1">
      <alignment/>
    </xf>
    <xf numFmtId="3" fontId="25" fillId="0" borderId="21" xfId="98" applyNumberFormat="1" applyFont="1" applyFill="1" applyBorder="1">
      <alignment/>
      <protection/>
    </xf>
    <xf numFmtId="164" fontId="25" fillId="0" borderId="60" xfId="0" applyNumberFormat="1" applyFont="1" applyFill="1" applyBorder="1" applyAlignment="1">
      <alignment/>
    </xf>
    <xf numFmtId="164" fontId="25" fillId="0" borderId="28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5" fillId="0" borderId="57" xfId="0" applyFont="1" applyFill="1" applyBorder="1" applyAlignment="1">
      <alignment/>
    </xf>
    <xf numFmtId="3" fontId="25" fillId="0" borderId="34" xfId="0" applyNumberFormat="1" applyFont="1" applyFill="1" applyBorder="1" applyAlignment="1">
      <alignment/>
    </xf>
    <xf numFmtId="3" fontId="27" fillId="0" borderId="59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27" fillId="0" borderId="54" xfId="0" applyNumberFormat="1" applyFont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54" xfId="0" applyFont="1" applyFill="1" applyBorder="1" applyAlignment="1">
      <alignment/>
    </xf>
    <xf numFmtId="0" fontId="27" fillId="0" borderId="59" xfId="0" applyFont="1" applyFill="1" applyBorder="1" applyAlignment="1">
      <alignment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7" fillId="0" borderId="4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7" fillId="0" borderId="70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30" fillId="0" borderId="71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4" fontId="25" fillId="0" borderId="0" xfId="0" applyNumberFormat="1" applyFont="1" applyFill="1" applyAlignment="1">
      <alignment horizontal="center"/>
    </xf>
  </cellXfs>
  <cellStyles count="14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6" xfId="64"/>
    <cellStyle name="normální 17" xfId="65"/>
    <cellStyle name="normální 18" xfId="66"/>
    <cellStyle name="normální 19" xfId="67"/>
    <cellStyle name="normální 2" xfId="68"/>
    <cellStyle name="normální 20" xfId="69"/>
    <cellStyle name="normální 21" xfId="70"/>
    <cellStyle name="normální 22" xfId="71"/>
    <cellStyle name="normální 23" xfId="72"/>
    <cellStyle name="normální 24" xfId="73"/>
    <cellStyle name="normální 25" xfId="74"/>
    <cellStyle name="normální 26" xfId="75"/>
    <cellStyle name="normální 27" xfId="76"/>
    <cellStyle name="normální 28" xfId="77"/>
    <cellStyle name="normální 29" xfId="78"/>
    <cellStyle name="normální 3" xfId="79"/>
    <cellStyle name="normální 30" xfId="80"/>
    <cellStyle name="normální 31" xfId="81"/>
    <cellStyle name="normální 32" xfId="82"/>
    <cellStyle name="normální 33" xfId="83"/>
    <cellStyle name="normální 34" xfId="84"/>
    <cellStyle name="normální 35" xfId="85"/>
    <cellStyle name="normální 36" xfId="86"/>
    <cellStyle name="normální 37" xfId="87"/>
    <cellStyle name="normální 38" xfId="88"/>
    <cellStyle name="normální 39" xfId="89"/>
    <cellStyle name="normální 4" xfId="90"/>
    <cellStyle name="normální 40" xfId="91"/>
    <cellStyle name="normální 41" xfId="92"/>
    <cellStyle name="normální 5" xfId="93"/>
    <cellStyle name="normální 6" xfId="94"/>
    <cellStyle name="normální 7" xfId="95"/>
    <cellStyle name="normální 8" xfId="96"/>
    <cellStyle name="normální 9" xfId="97"/>
    <cellStyle name="normální_2005Seznam kapitálových výdajů" xfId="98"/>
    <cellStyle name="normální_MČ-přehled SR,UR 2004" xfId="99"/>
    <cellStyle name="normální_n 2005 MČ I.etapa - Kriteria a jejich veličiny-upřesnění ZŠ,MŠ" xfId="100"/>
    <cellStyle name="normální_n2005-Kriteria,vč.porovnání 04-05" xfId="101"/>
    <cellStyle name="Poznámka" xfId="102"/>
    <cellStyle name="Poznámka 10" xfId="103"/>
    <cellStyle name="Poznámka 11" xfId="104"/>
    <cellStyle name="Poznámka 12" xfId="105"/>
    <cellStyle name="Poznámka 13" xfId="106"/>
    <cellStyle name="Poznámka 14" xfId="107"/>
    <cellStyle name="Poznámka 15" xfId="108"/>
    <cellStyle name="Poznámka 16" xfId="109"/>
    <cellStyle name="Poznámka 17" xfId="110"/>
    <cellStyle name="Poznámka 18" xfId="111"/>
    <cellStyle name="Poznámka 19" xfId="112"/>
    <cellStyle name="Poznámka 2" xfId="113"/>
    <cellStyle name="Poznámka 20" xfId="114"/>
    <cellStyle name="Poznámka 21" xfId="115"/>
    <cellStyle name="Poznámka 22" xfId="116"/>
    <cellStyle name="Poznámka 23" xfId="117"/>
    <cellStyle name="Poznámka 24" xfId="118"/>
    <cellStyle name="Poznámka 25" xfId="119"/>
    <cellStyle name="Poznámka 26" xfId="120"/>
    <cellStyle name="Poznámka 27" xfId="121"/>
    <cellStyle name="Poznámka 28" xfId="122"/>
    <cellStyle name="Poznámka 29" xfId="123"/>
    <cellStyle name="Poznámka 3" xfId="124"/>
    <cellStyle name="Poznámka 30" xfId="125"/>
    <cellStyle name="Poznámka 31" xfId="126"/>
    <cellStyle name="Poznámka 32" xfId="127"/>
    <cellStyle name="Poznámka 33" xfId="128"/>
    <cellStyle name="Poznámka 34" xfId="129"/>
    <cellStyle name="Poznámka 35" xfId="130"/>
    <cellStyle name="Poznámka 36" xfId="131"/>
    <cellStyle name="Poznámka 37" xfId="132"/>
    <cellStyle name="Poznámka 38" xfId="133"/>
    <cellStyle name="Poznámka 39" xfId="134"/>
    <cellStyle name="Poznámka 4" xfId="135"/>
    <cellStyle name="Poznámka 40" xfId="136"/>
    <cellStyle name="Poznámka 41" xfId="137"/>
    <cellStyle name="Poznámka 5" xfId="138"/>
    <cellStyle name="Poznámka 6" xfId="139"/>
    <cellStyle name="Poznámka 7" xfId="140"/>
    <cellStyle name="Poznámka 8" xfId="141"/>
    <cellStyle name="Poznámka 9" xfId="142"/>
    <cellStyle name="Percent" xfId="143"/>
    <cellStyle name="Propojená buňka" xfId="144"/>
    <cellStyle name="Správně" xfId="145"/>
    <cellStyle name="Text upozornění" xfId="146"/>
    <cellStyle name="Vstup" xfId="147"/>
    <cellStyle name="Výpočet" xfId="148"/>
    <cellStyle name="Výstup" xfId="149"/>
    <cellStyle name="Vysvětlující text" xfId="150"/>
    <cellStyle name="Zvýraznění 1" xfId="151"/>
    <cellStyle name="Zvýraznění 2" xfId="152"/>
    <cellStyle name="Zvýraznění 3" xfId="153"/>
    <cellStyle name="Zvýraznění 4" xfId="154"/>
    <cellStyle name="Zvýraznění 5" xfId="155"/>
    <cellStyle name="Zvýraznění 6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R53"/>
  <sheetViews>
    <sheetView showZeros="0" tabSelected="1" zoomScale="75" zoomScaleNormal="75" zoomScaleSheetLayoutView="75" zoomScalePageLayoutView="0" workbookViewId="0" topLeftCell="A1">
      <pane xSplit="1" ySplit="10" topLeftCell="B11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A1" sqref="A1"/>
    </sheetView>
  </sheetViews>
  <sheetFormatPr defaultColWidth="8.796875" defaultRowHeight="15"/>
  <cols>
    <col min="1" max="1" width="27.69921875" style="44" customWidth="1"/>
    <col min="2" max="4" width="10.296875" style="40" customWidth="1"/>
    <col min="5" max="5" width="13.8984375" style="40" hidden="1" customWidth="1"/>
    <col min="6" max="6" width="2.8984375" style="40" hidden="1" customWidth="1"/>
    <col min="7" max="7" width="7.59765625" style="40" customWidth="1"/>
    <col min="8" max="10" width="10.296875" style="40" customWidth="1"/>
    <col min="11" max="11" width="11.09765625" style="43" hidden="1" customWidth="1"/>
    <col min="12" max="12" width="6.19921875" style="43" hidden="1" customWidth="1"/>
    <col min="13" max="13" width="7.59765625" style="40" customWidth="1"/>
    <col min="14" max="16" width="10.296875" style="40" customWidth="1"/>
    <col min="17" max="17" width="7.59765625" style="40" customWidth="1"/>
    <col min="18" max="18" width="14" style="40" customWidth="1"/>
    <col min="19" max="20" width="12.3984375" style="40" customWidth="1"/>
    <col min="21" max="21" width="11.796875" style="44" customWidth="1"/>
    <col min="22" max="22" width="12.796875" style="44" customWidth="1"/>
    <col min="23" max="23" width="12.8984375" style="44" customWidth="1"/>
    <col min="24" max="24" width="14.69921875" style="44" customWidth="1"/>
    <col min="25" max="25" width="9.796875" style="44" customWidth="1"/>
    <col min="26" max="26" width="10.796875" style="44" customWidth="1"/>
    <col min="27" max="27" width="9.19921875" style="44" customWidth="1"/>
    <col min="28" max="28" width="5.796875" style="44" customWidth="1"/>
    <col min="29" max="32" width="9.796875" style="44" customWidth="1"/>
    <col min="33" max="33" width="10.796875" style="44" customWidth="1"/>
    <col min="34" max="36" width="9.796875" style="44" customWidth="1"/>
    <col min="37" max="37" width="10.796875" style="44" customWidth="1"/>
    <col min="38" max="39" width="9.796875" style="44" customWidth="1"/>
    <col min="40" max="40" width="10.796875" style="44" customWidth="1"/>
    <col min="41" max="16384" width="8.8984375" style="44" customWidth="1"/>
  </cols>
  <sheetData>
    <row r="1" ht="17.25" customHeight="1"/>
    <row r="2" spans="1:21" s="110" customFormat="1" ht="24" customHeight="1">
      <c r="A2" s="293" t="s">
        <v>236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109"/>
    </row>
    <row r="3" spans="2:20" s="110" customFormat="1" ht="15" customHeight="1"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12"/>
      <c r="M3" s="111"/>
      <c r="N3" s="111"/>
      <c r="O3" s="111"/>
      <c r="P3" s="111"/>
      <c r="Q3" s="111"/>
      <c r="R3" s="111"/>
      <c r="S3" s="111"/>
      <c r="T3" s="111"/>
    </row>
    <row r="4" spans="1:20" s="110" customFormat="1" ht="21" customHeight="1">
      <c r="A4" s="297" t="s">
        <v>20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ht="22.5" customHeight="1">
      <c r="T5" s="94" t="s">
        <v>25</v>
      </c>
    </row>
    <row r="6" ht="19.5" customHeight="1" thickBot="1">
      <c r="T6" s="94" t="s">
        <v>1</v>
      </c>
    </row>
    <row r="7" spans="1:20" s="82" customFormat="1" ht="31.5" customHeight="1">
      <c r="A7" s="294" t="s">
        <v>229</v>
      </c>
      <c r="B7" s="301" t="s">
        <v>22</v>
      </c>
      <c r="C7" s="302"/>
      <c r="D7" s="302"/>
      <c r="E7" s="302"/>
      <c r="F7" s="302"/>
      <c r="G7" s="303"/>
      <c r="H7" s="301" t="s">
        <v>23</v>
      </c>
      <c r="I7" s="302"/>
      <c r="J7" s="302"/>
      <c r="K7" s="302"/>
      <c r="L7" s="302"/>
      <c r="M7" s="303"/>
      <c r="N7" s="301" t="s">
        <v>24</v>
      </c>
      <c r="O7" s="302"/>
      <c r="P7" s="302"/>
      <c r="Q7" s="303"/>
      <c r="R7" s="298" t="s">
        <v>259</v>
      </c>
      <c r="S7" s="304" t="s">
        <v>241</v>
      </c>
      <c r="T7" s="305"/>
    </row>
    <row r="8" spans="1:20" s="82" customFormat="1" ht="31.5" customHeight="1">
      <c r="A8" s="295"/>
      <c r="B8" s="289" t="s">
        <v>242</v>
      </c>
      <c r="C8" s="291" t="s">
        <v>244</v>
      </c>
      <c r="D8" s="291" t="s">
        <v>243</v>
      </c>
      <c r="E8" s="83" t="s">
        <v>0</v>
      </c>
      <c r="F8" s="84"/>
      <c r="G8" s="85" t="s">
        <v>0</v>
      </c>
      <c r="H8" s="289" t="s">
        <v>242</v>
      </c>
      <c r="I8" s="291" t="s">
        <v>244</v>
      </c>
      <c r="J8" s="291" t="s">
        <v>243</v>
      </c>
      <c r="K8" s="83" t="s">
        <v>0</v>
      </c>
      <c r="L8" s="86"/>
      <c r="M8" s="85" t="s">
        <v>0</v>
      </c>
      <c r="N8" s="289" t="s">
        <v>242</v>
      </c>
      <c r="O8" s="291" t="s">
        <v>244</v>
      </c>
      <c r="P8" s="291" t="s">
        <v>243</v>
      </c>
      <c r="Q8" s="85" t="s">
        <v>0</v>
      </c>
      <c r="R8" s="299"/>
      <c r="S8" s="306" t="s">
        <v>15</v>
      </c>
      <c r="T8" s="307"/>
    </row>
    <row r="9" spans="1:44" s="82" customFormat="1" ht="31.5" customHeight="1" thickBot="1">
      <c r="A9" s="296"/>
      <c r="B9" s="290"/>
      <c r="C9" s="292"/>
      <c r="D9" s="292"/>
      <c r="E9" s="87" t="s">
        <v>11</v>
      </c>
      <c r="F9" s="88"/>
      <c r="G9" s="89" t="s">
        <v>11</v>
      </c>
      <c r="H9" s="290"/>
      <c r="I9" s="292"/>
      <c r="J9" s="292"/>
      <c r="K9" s="87" t="s">
        <v>11</v>
      </c>
      <c r="L9" s="90"/>
      <c r="M9" s="89" t="s">
        <v>11</v>
      </c>
      <c r="N9" s="290"/>
      <c r="O9" s="292"/>
      <c r="P9" s="292"/>
      <c r="Q9" s="89" t="s">
        <v>11</v>
      </c>
      <c r="R9" s="300"/>
      <c r="S9" s="91" t="s">
        <v>5</v>
      </c>
      <c r="T9" s="92" t="s">
        <v>117</v>
      </c>
      <c r="AP9" s="82" t="s">
        <v>6</v>
      </c>
      <c r="AQ9" s="82" t="s">
        <v>7</v>
      </c>
      <c r="AR9" s="82" t="s">
        <v>8</v>
      </c>
    </row>
    <row r="10" spans="1:20" ht="18" customHeight="1" thickBot="1">
      <c r="A10" s="72"/>
      <c r="B10" s="53"/>
      <c r="C10" s="54"/>
      <c r="D10" s="54"/>
      <c r="E10" s="54" t="s">
        <v>224</v>
      </c>
      <c r="F10" s="54"/>
      <c r="G10" s="55"/>
      <c r="H10" s="53"/>
      <c r="I10" s="54"/>
      <c r="J10" s="54"/>
      <c r="K10" s="64"/>
      <c r="L10" s="64"/>
      <c r="M10" s="55"/>
      <c r="N10" s="53"/>
      <c r="O10" s="54"/>
      <c r="P10" s="54"/>
      <c r="Q10" s="55"/>
      <c r="R10" s="65"/>
      <c r="S10" s="53"/>
      <c r="T10" s="55"/>
    </row>
    <row r="11" spans="1:42" ht="16.5" customHeight="1">
      <c r="A11" s="95" t="s">
        <v>191</v>
      </c>
      <c r="B11" s="73">
        <f>SUM('Příjmy '!B11+'Příjmy '!H11+'Příjmy '!L11+'Příjmy '!P11)</f>
        <v>345104</v>
      </c>
      <c r="C11" s="74">
        <f>SUM('Příjmy '!C11+'Příjmy '!I11+'Příjmy '!M11+'Příjmy '!Q11)</f>
        <v>495892</v>
      </c>
      <c r="D11" s="74">
        <f>SUM('Příjmy '!D11+'Příjmy '!J11+'Příjmy '!N11+'Příjmy '!R11)</f>
        <v>482910</v>
      </c>
      <c r="E11" s="75">
        <v>-456277613.24</v>
      </c>
      <c r="F11" s="75">
        <f>-E11/1000-D11</f>
        <v>-26632.386759999965</v>
      </c>
      <c r="G11" s="76">
        <f>SUM(D11/C11*100)</f>
        <v>97.382091261807</v>
      </c>
      <c r="H11" s="73">
        <f>SUM('Výdaje '!B12+'Výdaje '!G12)</f>
        <v>457624</v>
      </c>
      <c r="I11" s="74">
        <f>SUM('Výdaje '!C12+'Výdaje '!H12)</f>
        <v>581558</v>
      </c>
      <c r="J11" s="74">
        <f>SUM('Výdaje '!D12+'Výdaje '!I12)</f>
        <v>444141</v>
      </c>
      <c r="K11" s="77">
        <v>443942500</v>
      </c>
      <c r="L11" s="77">
        <f>K11/1000-J11</f>
        <v>-198.5</v>
      </c>
      <c r="M11" s="76">
        <f>SUM(J11/I11*100)</f>
        <v>76.37088648079813</v>
      </c>
      <c r="N11" s="73">
        <f aca="true" t="shared" si="0" ref="N11:N39">SUM(B11-H11)</f>
        <v>-112520</v>
      </c>
      <c r="O11" s="74">
        <f aca="true" t="shared" si="1" ref="O11:O39">SUM(C11-I11)</f>
        <v>-85666</v>
      </c>
      <c r="P11" s="74">
        <f aca="true" t="shared" si="2" ref="P11:P39">SUM(D11-J11)</f>
        <v>38769</v>
      </c>
      <c r="Q11" s="76"/>
      <c r="R11" s="78">
        <f>ROUND(X11/1000,0)</f>
        <v>230813</v>
      </c>
      <c r="S11" s="79">
        <v>65245</v>
      </c>
      <c r="T11" s="80">
        <v>6220</v>
      </c>
      <c r="V11" s="46">
        <v>45994944.73</v>
      </c>
      <c r="W11" s="46">
        <v>184818142.61</v>
      </c>
      <c r="X11" s="45">
        <f>V11+W11</f>
        <v>230813087.34</v>
      </c>
      <c r="AP11" s="44">
        <v>-1</v>
      </c>
    </row>
    <row r="12" spans="1:24" ht="16.5" customHeight="1">
      <c r="A12" s="96" t="s">
        <v>192</v>
      </c>
      <c r="B12" s="56">
        <f>SUM('Příjmy '!B12+'Příjmy '!H12+'Příjmy '!L12+'Příjmy '!P12)</f>
        <v>51722</v>
      </c>
      <c r="C12" s="48">
        <f>SUM('Příjmy '!C12+'Příjmy '!I12+'Příjmy '!M12+'Příjmy '!Q12)</f>
        <v>64893</v>
      </c>
      <c r="D12" s="48">
        <f>SUM('Příjmy '!D12+'Příjmy '!J12+'Příjmy '!N12+'Příjmy '!R12)</f>
        <v>64703</v>
      </c>
      <c r="E12" s="42">
        <v>-75121762.12</v>
      </c>
      <c r="F12" s="42">
        <f aca="true" t="shared" si="3" ref="F12:F39">-E12/1000-D12</f>
        <v>10418.76212</v>
      </c>
      <c r="G12" s="57">
        <f aca="true" t="shared" si="4" ref="G12:G39">SUM(D12/C12*100)</f>
        <v>99.70721033085232</v>
      </c>
      <c r="H12" s="56">
        <f>SUM('Výdaje '!B13+'Výdaje '!G13)</f>
        <v>61072</v>
      </c>
      <c r="I12" s="48">
        <f>SUM('Výdaje '!C13+'Výdaje '!H13)</f>
        <v>78217</v>
      </c>
      <c r="J12" s="48">
        <f>SUM('Výdaje '!D13+'Výdaje '!I13)</f>
        <v>61766</v>
      </c>
      <c r="K12" s="41">
        <v>63778450</v>
      </c>
      <c r="L12" s="41">
        <f aca="true" t="shared" si="5" ref="L12:L39">K12/1000-J12</f>
        <v>2012.449999999997</v>
      </c>
      <c r="M12" s="57">
        <f aca="true" t="shared" si="6" ref="M12:M39">SUM(J12/I12*100)</f>
        <v>78.96748788626513</v>
      </c>
      <c r="N12" s="56">
        <f t="shared" si="0"/>
        <v>-9350</v>
      </c>
      <c r="O12" s="48">
        <f t="shared" si="1"/>
        <v>-13324</v>
      </c>
      <c r="P12" s="48">
        <f t="shared" si="2"/>
        <v>2937</v>
      </c>
      <c r="Q12" s="57"/>
      <c r="R12" s="66">
        <f aca="true" t="shared" si="7" ref="R12:R39">ROUND(X12/1000,0)</f>
        <v>16069</v>
      </c>
      <c r="S12" s="49">
        <v>14225</v>
      </c>
      <c r="T12" s="68">
        <v>1462</v>
      </c>
      <c r="V12" s="46">
        <v>13657051.52</v>
      </c>
      <c r="W12" s="46">
        <v>2412329.72</v>
      </c>
      <c r="X12" s="45">
        <f aca="true" t="shared" si="8" ref="X12:X39">V12+W12</f>
        <v>16069381.24</v>
      </c>
    </row>
    <row r="13" spans="1:24" ht="16.5" customHeight="1">
      <c r="A13" s="96" t="s">
        <v>193</v>
      </c>
      <c r="B13" s="56">
        <f>SUM('Příjmy '!B13+'Příjmy '!H13+'Příjmy '!L13+'Příjmy '!P13)</f>
        <v>114687</v>
      </c>
      <c r="C13" s="48">
        <f>SUM('Příjmy '!C13+'Příjmy '!I13+'Příjmy '!M13+'Příjmy '!Q13)</f>
        <v>188633</v>
      </c>
      <c r="D13" s="48">
        <f>SUM('Příjmy '!D13+'Příjmy '!J13+'Příjmy '!N13+'Příjmy '!R13)</f>
        <v>187890</v>
      </c>
      <c r="E13" s="42">
        <v>-95749039.85</v>
      </c>
      <c r="F13" s="42">
        <f t="shared" si="3"/>
        <v>-92140.96015</v>
      </c>
      <c r="G13" s="57">
        <f t="shared" si="4"/>
        <v>99.60611345840866</v>
      </c>
      <c r="H13" s="56">
        <f>SUM('Výdaje '!B14+'Výdaje '!G14)</f>
        <v>129655</v>
      </c>
      <c r="I13" s="48">
        <f>SUM('Výdaje '!C14+'Výdaje '!H14)</f>
        <v>186939</v>
      </c>
      <c r="J13" s="48">
        <f>SUM('Výdaje '!D14+'Výdaje '!I14)</f>
        <v>72435</v>
      </c>
      <c r="K13" s="41">
        <v>68349807</v>
      </c>
      <c r="L13" s="41">
        <f t="shared" si="5"/>
        <v>-4085.1929999999993</v>
      </c>
      <c r="M13" s="57">
        <f t="shared" si="6"/>
        <v>38.7479338179834</v>
      </c>
      <c r="N13" s="56">
        <f t="shared" si="0"/>
        <v>-14968</v>
      </c>
      <c r="O13" s="48">
        <f t="shared" si="1"/>
        <v>1694</v>
      </c>
      <c r="P13" s="48">
        <f t="shared" si="2"/>
        <v>115455</v>
      </c>
      <c r="Q13" s="57">
        <f>SUM(P13/O13*100)</f>
        <v>6815.525383707202</v>
      </c>
      <c r="R13" s="66">
        <f t="shared" si="7"/>
        <v>179166</v>
      </c>
      <c r="S13" s="49">
        <v>13147</v>
      </c>
      <c r="T13" s="68">
        <v>1332</v>
      </c>
      <c r="V13" s="46">
        <v>59810092.69</v>
      </c>
      <c r="W13" s="46">
        <v>119356127.21</v>
      </c>
      <c r="X13" s="45">
        <f t="shared" si="8"/>
        <v>179166219.89999998</v>
      </c>
    </row>
    <row r="14" spans="1:42" ht="16.5" customHeight="1">
      <c r="A14" s="96" t="s">
        <v>194</v>
      </c>
      <c r="B14" s="56">
        <f>SUM('Příjmy '!B14+'Příjmy '!H14+'Příjmy '!L14+'Příjmy '!P14)</f>
        <v>55586</v>
      </c>
      <c r="C14" s="48">
        <f>SUM('Příjmy '!C14+'Příjmy '!I14+'Příjmy '!M14+'Příjmy '!Q14)</f>
        <v>89215</v>
      </c>
      <c r="D14" s="48">
        <f>SUM('Příjmy '!D14+'Příjmy '!J14+'Příjmy '!N14+'Příjmy '!R14)</f>
        <v>89747</v>
      </c>
      <c r="E14" s="42">
        <v>-72467755.94</v>
      </c>
      <c r="F14" s="42">
        <f t="shared" si="3"/>
        <v>-17279.244059999997</v>
      </c>
      <c r="G14" s="57">
        <f t="shared" si="4"/>
        <v>100.59631227932522</v>
      </c>
      <c r="H14" s="56">
        <f>SUM('Výdaje '!B15+'Výdaje '!G15)</f>
        <v>46593</v>
      </c>
      <c r="I14" s="48">
        <f>SUM('Výdaje '!C15+'Výdaje '!H15)</f>
        <v>63964</v>
      </c>
      <c r="J14" s="48">
        <f>SUM('Výdaje '!D15+'Výdaje '!I15)</f>
        <v>51561</v>
      </c>
      <c r="K14" s="41">
        <v>52677591</v>
      </c>
      <c r="L14" s="41">
        <f t="shared" si="5"/>
        <v>1116.5910000000003</v>
      </c>
      <c r="M14" s="57">
        <f t="shared" si="6"/>
        <v>80.60940529047589</v>
      </c>
      <c r="N14" s="56">
        <f t="shared" si="0"/>
        <v>8993</v>
      </c>
      <c r="O14" s="48">
        <f t="shared" si="1"/>
        <v>25251</v>
      </c>
      <c r="P14" s="48">
        <f t="shared" si="2"/>
        <v>38186</v>
      </c>
      <c r="Q14" s="57">
        <f>SUM(P14/O14*100)</f>
        <v>151.22569403191952</v>
      </c>
      <c r="R14" s="66">
        <f t="shared" si="7"/>
        <v>22245</v>
      </c>
      <c r="S14" s="49">
        <v>10941</v>
      </c>
      <c r="T14" s="68">
        <v>1007</v>
      </c>
      <c r="V14" s="46">
        <v>11822273.63</v>
      </c>
      <c r="W14" s="46">
        <v>10422773.95</v>
      </c>
      <c r="X14" s="45">
        <f t="shared" si="8"/>
        <v>22245047.58</v>
      </c>
      <c r="AP14" s="44">
        <v>-1</v>
      </c>
    </row>
    <row r="15" spans="1:44" ht="16.5" customHeight="1">
      <c r="A15" s="96" t="s">
        <v>195</v>
      </c>
      <c r="B15" s="56">
        <f>SUM('Příjmy '!B15+'Příjmy '!H15+'Příjmy '!L15+'Příjmy '!P15)</f>
        <v>54984</v>
      </c>
      <c r="C15" s="48">
        <f>SUM('Příjmy '!C15+'Příjmy '!I15+'Příjmy '!M15+'Příjmy '!Q15)</f>
        <v>73936</v>
      </c>
      <c r="D15" s="48">
        <f>SUM('Příjmy '!D15+'Příjmy '!J15+'Příjmy '!N15+'Příjmy '!R15)</f>
        <v>74105</v>
      </c>
      <c r="E15" s="42">
        <v>-64541218.44</v>
      </c>
      <c r="F15" s="42">
        <f t="shared" si="3"/>
        <v>-9563.781560000003</v>
      </c>
      <c r="G15" s="57">
        <f t="shared" si="4"/>
        <v>100.22857606578664</v>
      </c>
      <c r="H15" s="56">
        <f>SUM('Výdaje '!B16+'Výdaje '!G16)</f>
        <v>46555</v>
      </c>
      <c r="I15" s="48">
        <f>SUM('Výdaje '!C16+'Výdaje '!H16)</f>
        <v>63617</v>
      </c>
      <c r="J15" s="48">
        <f>SUM('Výdaje '!D16+'Výdaje '!I16)</f>
        <v>50772</v>
      </c>
      <c r="K15" s="41">
        <v>64296882</v>
      </c>
      <c r="L15" s="41">
        <f t="shared" si="5"/>
        <v>13524.881999999998</v>
      </c>
      <c r="M15" s="57">
        <f t="shared" si="6"/>
        <v>79.80885612336324</v>
      </c>
      <c r="N15" s="56">
        <f t="shared" si="0"/>
        <v>8429</v>
      </c>
      <c r="O15" s="48">
        <f t="shared" si="1"/>
        <v>10319</v>
      </c>
      <c r="P15" s="48">
        <f t="shared" si="2"/>
        <v>23333</v>
      </c>
      <c r="Q15" s="57">
        <f>SUM(P15/O15*100)</f>
        <v>226.11687178990212</v>
      </c>
      <c r="R15" s="66">
        <f>ROUND(X15/1000,0)+1</f>
        <v>41207</v>
      </c>
      <c r="S15" s="49">
        <v>12817</v>
      </c>
      <c r="T15" s="68">
        <v>1094</v>
      </c>
      <c r="V15" s="46">
        <v>38959393.92</v>
      </c>
      <c r="W15" s="46">
        <v>2247083.11</v>
      </c>
      <c r="X15" s="45">
        <f t="shared" si="8"/>
        <v>41206477.03</v>
      </c>
      <c r="AR15" s="44">
        <v>48</v>
      </c>
    </row>
    <row r="16" spans="1:42" ht="16.5" customHeight="1">
      <c r="A16" s="96" t="s">
        <v>196</v>
      </c>
      <c r="B16" s="56">
        <f>SUM('Příjmy '!B16+'Příjmy '!H16+'Příjmy '!L16+'Příjmy '!P16)</f>
        <v>13772</v>
      </c>
      <c r="C16" s="48">
        <f>SUM('Příjmy '!C16+'Příjmy '!I16+'Příjmy '!M16+'Příjmy '!Q16)</f>
        <v>15025</v>
      </c>
      <c r="D16" s="48">
        <f>SUM('Příjmy '!D16+'Příjmy '!J16+'Příjmy '!N16+'Příjmy '!R16)</f>
        <v>15061</v>
      </c>
      <c r="E16" s="42">
        <v>-15187021.85</v>
      </c>
      <c r="F16" s="42">
        <f t="shared" si="3"/>
        <v>126.02184999999918</v>
      </c>
      <c r="G16" s="57">
        <f t="shared" si="4"/>
        <v>100.23960066555739</v>
      </c>
      <c r="H16" s="56">
        <f>SUM('Výdaje '!B17+'Výdaje '!G17)</f>
        <v>14293</v>
      </c>
      <c r="I16" s="48">
        <f>SUM('Výdaje '!C17+'Výdaje '!H17)</f>
        <v>22298</v>
      </c>
      <c r="J16" s="48">
        <f>SUM('Výdaje '!D17+'Výdaje '!I17)</f>
        <v>18107</v>
      </c>
      <c r="K16" s="41">
        <v>13451176</v>
      </c>
      <c r="L16" s="41">
        <f t="shared" si="5"/>
        <v>-4655.8240000000005</v>
      </c>
      <c r="M16" s="57">
        <f t="shared" si="6"/>
        <v>81.20459234012019</v>
      </c>
      <c r="N16" s="56">
        <f t="shared" si="0"/>
        <v>-521</v>
      </c>
      <c r="O16" s="48">
        <f t="shared" si="1"/>
        <v>-7273</v>
      </c>
      <c r="P16" s="48">
        <f t="shared" si="2"/>
        <v>-3046</v>
      </c>
      <c r="Q16" s="57">
        <f>SUM(P16/O16*100)</f>
        <v>41.88092946514506</v>
      </c>
      <c r="R16" s="66">
        <f>ROUND(X16/1000,0)</f>
        <v>6745</v>
      </c>
      <c r="S16" s="49">
        <v>2450</v>
      </c>
      <c r="T16" s="68">
        <v>181</v>
      </c>
      <c r="V16" s="46">
        <v>4068036.27</v>
      </c>
      <c r="W16" s="46">
        <v>2677143.85</v>
      </c>
      <c r="X16" s="45">
        <f t="shared" si="8"/>
        <v>6745180.12</v>
      </c>
      <c r="AP16" s="44">
        <v>-1</v>
      </c>
    </row>
    <row r="17" spans="1:44" ht="16.5" customHeight="1">
      <c r="A17" s="96" t="s">
        <v>197</v>
      </c>
      <c r="B17" s="56">
        <f>SUM('Příjmy '!B17+'Příjmy '!H17+'Příjmy '!L17+'Příjmy '!P17)</f>
        <v>110729</v>
      </c>
      <c r="C17" s="48">
        <f>SUM('Příjmy '!C17+'Příjmy '!I17+'Příjmy '!M17+'Příjmy '!Q17)</f>
        <v>154428</v>
      </c>
      <c r="D17" s="48">
        <f>SUM('Příjmy '!D17+'Příjmy '!J17+'Příjmy '!N17+'Příjmy '!R17)</f>
        <v>153521</v>
      </c>
      <c r="E17" s="42">
        <v>-147596131.77</v>
      </c>
      <c r="F17" s="42">
        <f t="shared" si="3"/>
        <v>-5924.868229999993</v>
      </c>
      <c r="G17" s="57">
        <f t="shared" si="4"/>
        <v>99.41267127722952</v>
      </c>
      <c r="H17" s="56">
        <f>SUM('Výdaje '!B18+'Výdaje '!G18)</f>
        <v>108471</v>
      </c>
      <c r="I17" s="48">
        <f>SUM('Výdaje '!C18+'Výdaje '!H18)</f>
        <v>149219</v>
      </c>
      <c r="J17" s="48">
        <f>SUM('Výdaje '!D18+'Výdaje '!I18)</f>
        <v>136351</v>
      </c>
      <c r="K17" s="41">
        <v>145114585</v>
      </c>
      <c r="L17" s="41">
        <f t="shared" si="5"/>
        <v>8763.584999999992</v>
      </c>
      <c r="M17" s="57">
        <f t="shared" si="6"/>
        <v>91.37643329602798</v>
      </c>
      <c r="N17" s="56">
        <f t="shared" si="0"/>
        <v>2258</v>
      </c>
      <c r="O17" s="48">
        <f t="shared" si="1"/>
        <v>5209</v>
      </c>
      <c r="P17" s="48">
        <f t="shared" si="2"/>
        <v>17170</v>
      </c>
      <c r="Q17" s="57">
        <f>SUM(P17/O17*100)</f>
        <v>329.6218084085237</v>
      </c>
      <c r="R17" s="66">
        <f t="shared" si="7"/>
        <v>14002</v>
      </c>
      <c r="S17" s="49">
        <v>20609</v>
      </c>
      <c r="T17" s="68">
        <v>2076</v>
      </c>
      <c r="V17" s="46">
        <v>13711440.39</v>
      </c>
      <c r="W17" s="46">
        <v>290681.94</v>
      </c>
      <c r="X17" s="45">
        <f t="shared" si="8"/>
        <v>14002122.33</v>
      </c>
      <c r="AQ17" s="44">
        <v>59</v>
      </c>
      <c r="AR17" s="44">
        <v>-1</v>
      </c>
    </row>
    <row r="18" spans="1:43" ht="16.5" customHeight="1">
      <c r="A18" s="96" t="s">
        <v>198</v>
      </c>
      <c r="B18" s="56">
        <f>SUM('Příjmy '!B18+'Příjmy '!H18+'Příjmy '!L18+'Příjmy '!P18)</f>
        <v>144315</v>
      </c>
      <c r="C18" s="48">
        <f>SUM('Příjmy '!C18+'Příjmy '!I18+'Příjmy '!M18+'Příjmy '!Q18)</f>
        <v>204942</v>
      </c>
      <c r="D18" s="48">
        <f>SUM('Příjmy '!D18+'Příjmy '!J18+'Příjmy '!N18+'Příjmy '!R18)</f>
        <v>205620</v>
      </c>
      <c r="E18" s="42">
        <v>-188531295.12</v>
      </c>
      <c r="F18" s="42">
        <f t="shared" si="3"/>
        <v>-17088.704880000005</v>
      </c>
      <c r="G18" s="57">
        <f t="shared" si="4"/>
        <v>100.33082530667212</v>
      </c>
      <c r="H18" s="56">
        <f>SUM('Výdaje '!B19+'Výdaje '!G19)</f>
        <v>157875</v>
      </c>
      <c r="I18" s="48">
        <f>SUM('Výdaje '!C19+'Výdaje '!H19)</f>
        <v>279551</v>
      </c>
      <c r="J18" s="48">
        <f>SUM('Výdaje '!D19+'Výdaje '!I19)</f>
        <v>137865</v>
      </c>
      <c r="K18" s="41">
        <v>143053898</v>
      </c>
      <c r="L18" s="41">
        <f t="shared" si="5"/>
        <v>5188.8979999999865</v>
      </c>
      <c r="M18" s="57">
        <f t="shared" si="6"/>
        <v>49.31658266291303</v>
      </c>
      <c r="N18" s="56">
        <f t="shared" si="0"/>
        <v>-13560</v>
      </c>
      <c r="O18" s="48">
        <f t="shared" si="1"/>
        <v>-74609</v>
      </c>
      <c r="P18" s="48">
        <f t="shared" si="2"/>
        <v>67755</v>
      </c>
      <c r="Q18" s="57"/>
      <c r="R18" s="66">
        <f t="shared" si="7"/>
        <v>142685</v>
      </c>
      <c r="S18" s="49">
        <v>23828</v>
      </c>
      <c r="T18" s="68">
        <v>2142</v>
      </c>
      <c r="V18" s="46">
        <v>102422517.37</v>
      </c>
      <c r="W18" s="46">
        <v>40262614.77</v>
      </c>
      <c r="X18" s="45">
        <f t="shared" si="8"/>
        <v>142685132.14000002</v>
      </c>
      <c r="AP18" s="44">
        <v>54</v>
      </c>
      <c r="AQ18" s="44">
        <v>61</v>
      </c>
    </row>
    <row r="19" spans="1:24" ht="16.5" customHeight="1">
      <c r="A19" s="96" t="s">
        <v>199</v>
      </c>
      <c r="B19" s="56">
        <f>SUM('Příjmy '!B19+'Příjmy '!H19+'Příjmy '!L19+'Příjmy '!P19)</f>
        <v>8915</v>
      </c>
      <c r="C19" s="48">
        <f>SUM('Příjmy '!C19+'Příjmy '!I19+'Příjmy '!M19+'Příjmy '!Q19)</f>
        <v>9609</v>
      </c>
      <c r="D19" s="48">
        <f>SUM('Příjmy '!D19+'Příjmy '!J19+'Příjmy '!N19+'Příjmy '!R19)</f>
        <v>9491</v>
      </c>
      <c r="E19" s="42">
        <v>-10361187.96</v>
      </c>
      <c r="F19" s="42">
        <f t="shared" si="3"/>
        <v>870.1879600000011</v>
      </c>
      <c r="G19" s="57">
        <f t="shared" si="4"/>
        <v>98.77198459777293</v>
      </c>
      <c r="H19" s="56">
        <f>SUM('Výdaje '!B20+'Výdaje '!G20)</f>
        <v>8915</v>
      </c>
      <c r="I19" s="48">
        <f>SUM('Výdaje '!C20+'Výdaje '!H20)</f>
        <v>11154</v>
      </c>
      <c r="J19" s="48">
        <f>SUM('Výdaje '!D20+'Výdaje '!I20)</f>
        <v>8082</v>
      </c>
      <c r="K19" s="41">
        <v>9051242</v>
      </c>
      <c r="L19" s="41">
        <f t="shared" si="5"/>
        <v>969.2420000000002</v>
      </c>
      <c r="M19" s="57">
        <f t="shared" si="6"/>
        <v>72.45831091984938</v>
      </c>
      <c r="N19" s="56">
        <f t="shared" si="0"/>
        <v>0</v>
      </c>
      <c r="O19" s="48">
        <f t="shared" si="1"/>
        <v>-1545</v>
      </c>
      <c r="P19" s="48">
        <f t="shared" si="2"/>
        <v>1409</v>
      </c>
      <c r="Q19" s="57"/>
      <c r="R19" s="66">
        <f t="shared" si="7"/>
        <v>3805</v>
      </c>
      <c r="S19" s="49">
        <v>997</v>
      </c>
      <c r="T19" s="68">
        <v>53</v>
      </c>
      <c r="V19" s="46">
        <v>3029984</v>
      </c>
      <c r="W19" s="46">
        <v>775387.47</v>
      </c>
      <c r="X19" s="45">
        <f t="shared" si="8"/>
        <v>3805371.4699999997</v>
      </c>
    </row>
    <row r="20" spans="1:24" ht="16.5" customHeight="1">
      <c r="A20" s="96" t="s">
        <v>200</v>
      </c>
      <c r="B20" s="56">
        <f>SUM('Příjmy '!B20+'Příjmy '!H20+'Příjmy '!L20+'Příjmy '!P20)</f>
        <v>27535</v>
      </c>
      <c r="C20" s="48">
        <f>SUM('Příjmy '!C20+'Příjmy '!I20+'Příjmy '!M20+'Příjmy '!Q20)</f>
        <v>40364</v>
      </c>
      <c r="D20" s="48">
        <f>SUM('Příjmy '!D20+'Příjmy '!J20+'Příjmy '!N20+'Příjmy '!R20)</f>
        <v>41005</v>
      </c>
      <c r="E20" s="42">
        <v>-35461912.21</v>
      </c>
      <c r="F20" s="42">
        <f t="shared" si="3"/>
        <v>-5543.087789999998</v>
      </c>
      <c r="G20" s="57">
        <f t="shared" si="4"/>
        <v>101.5880487563175</v>
      </c>
      <c r="H20" s="56">
        <f>SUM('Výdaje '!B21+'Výdaje '!G21)</f>
        <v>28535</v>
      </c>
      <c r="I20" s="48">
        <f>SUM('Výdaje '!C21+'Výdaje '!H21)</f>
        <v>45406</v>
      </c>
      <c r="J20" s="48">
        <f>SUM('Výdaje '!D21+'Výdaje '!I21)</f>
        <v>40133</v>
      </c>
      <c r="K20" s="41">
        <v>42970742</v>
      </c>
      <c r="L20" s="41">
        <f t="shared" si="5"/>
        <v>2837.7419999999984</v>
      </c>
      <c r="M20" s="57">
        <f t="shared" si="6"/>
        <v>88.38699731313042</v>
      </c>
      <c r="N20" s="56">
        <f t="shared" si="0"/>
        <v>-1000</v>
      </c>
      <c r="O20" s="48">
        <f t="shared" si="1"/>
        <v>-5042</v>
      </c>
      <c r="P20" s="48">
        <f t="shared" si="2"/>
        <v>872</v>
      </c>
      <c r="Q20" s="57"/>
      <c r="R20" s="66">
        <f t="shared" si="7"/>
        <v>14816</v>
      </c>
      <c r="S20" s="49">
        <v>7254</v>
      </c>
      <c r="T20" s="68">
        <v>747</v>
      </c>
      <c r="V20" s="46">
        <v>11177850.4</v>
      </c>
      <c r="W20" s="46">
        <v>3637796.95</v>
      </c>
      <c r="X20" s="45">
        <f t="shared" si="8"/>
        <v>14815647.350000001</v>
      </c>
    </row>
    <row r="21" spans="1:43" ht="16.5" customHeight="1">
      <c r="A21" s="96" t="s">
        <v>201</v>
      </c>
      <c r="B21" s="56">
        <f>SUM('Příjmy '!B21+'Příjmy '!H21+'Příjmy '!L21+'Příjmy '!P21)</f>
        <v>19427</v>
      </c>
      <c r="C21" s="48">
        <f>SUM('Příjmy '!C21+'Příjmy '!I21+'Příjmy '!M21+'Příjmy '!Q21)</f>
        <v>26895</v>
      </c>
      <c r="D21" s="48">
        <f>SUM('Příjmy '!D21+'Příjmy '!J21+'Příjmy '!N21+'Příjmy '!R21)</f>
        <v>24503</v>
      </c>
      <c r="E21" s="42">
        <v>-24128204.19</v>
      </c>
      <c r="F21" s="42">
        <f t="shared" si="3"/>
        <v>-374.7958099999996</v>
      </c>
      <c r="G21" s="57">
        <f t="shared" si="4"/>
        <v>91.1061535601413</v>
      </c>
      <c r="H21" s="56">
        <f>SUM('Výdaje '!B22+'Výdaje '!G22)</f>
        <v>20627</v>
      </c>
      <c r="I21" s="48">
        <f>SUM('Výdaje '!C22+'Výdaje '!H22)</f>
        <v>28893</v>
      </c>
      <c r="J21" s="48">
        <f>SUM('Výdaje '!D22+'Výdaje '!I22)</f>
        <v>22491</v>
      </c>
      <c r="K21" s="41">
        <v>45386987</v>
      </c>
      <c r="L21" s="41">
        <f t="shared" si="5"/>
        <v>22895.987</v>
      </c>
      <c r="M21" s="57">
        <f t="shared" si="6"/>
        <v>77.84238396843526</v>
      </c>
      <c r="N21" s="56">
        <f t="shared" si="0"/>
        <v>-1200</v>
      </c>
      <c r="O21" s="48">
        <f t="shared" si="1"/>
        <v>-1998</v>
      </c>
      <c r="P21" s="48">
        <f t="shared" si="2"/>
        <v>2012</v>
      </c>
      <c r="Q21" s="57"/>
      <c r="R21" s="66">
        <f t="shared" si="7"/>
        <v>9955</v>
      </c>
      <c r="S21" s="49">
        <v>4015</v>
      </c>
      <c r="T21" s="68">
        <v>376</v>
      </c>
      <c r="V21" s="46">
        <v>3556482.12</v>
      </c>
      <c r="W21" s="46">
        <v>6398808.99</v>
      </c>
      <c r="X21" s="45">
        <f t="shared" si="8"/>
        <v>9955291.11</v>
      </c>
      <c r="AQ21" s="44">
        <v>34</v>
      </c>
    </row>
    <row r="22" spans="1:44" ht="16.5" customHeight="1">
      <c r="A22" s="96" t="s">
        <v>202</v>
      </c>
      <c r="B22" s="56">
        <f>SUM('Příjmy '!B22+'Příjmy '!H22+'Příjmy '!L22+'Příjmy '!P22)</f>
        <v>15846</v>
      </c>
      <c r="C22" s="48">
        <f>SUM('Příjmy '!C22+'Příjmy '!I22+'Příjmy '!M22+'Příjmy '!Q22)</f>
        <v>20067</v>
      </c>
      <c r="D22" s="48">
        <f>SUM('Příjmy '!D22+'Příjmy '!J22+'Příjmy '!N22+'Příjmy '!R22)</f>
        <v>19877</v>
      </c>
      <c r="E22" s="42">
        <v>-35603959.19</v>
      </c>
      <c r="F22" s="42">
        <f t="shared" si="3"/>
        <v>15726.959189999994</v>
      </c>
      <c r="G22" s="57">
        <f t="shared" si="4"/>
        <v>99.05317187422136</v>
      </c>
      <c r="H22" s="56">
        <f>SUM('Výdaje '!B23+'Výdaje '!G23)</f>
        <v>16346</v>
      </c>
      <c r="I22" s="48">
        <f>SUM('Výdaje '!C23+'Výdaje '!H23)</f>
        <v>25286</v>
      </c>
      <c r="J22" s="48">
        <f>SUM('Výdaje '!D23+'Výdaje '!I23)</f>
        <v>23228</v>
      </c>
      <c r="K22" s="41">
        <v>18922131</v>
      </c>
      <c r="L22" s="41">
        <f t="shared" si="5"/>
        <v>-4305.868999999999</v>
      </c>
      <c r="M22" s="57">
        <f t="shared" si="6"/>
        <v>91.86110891402357</v>
      </c>
      <c r="N22" s="56">
        <f t="shared" si="0"/>
        <v>-500</v>
      </c>
      <c r="O22" s="48">
        <f t="shared" si="1"/>
        <v>-5219</v>
      </c>
      <c r="P22" s="48">
        <f t="shared" si="2"/>
        <v>-3351</v>
      </c>
      <c r="Q22" s="57">
        <f aca="true" t="shared" si="9" ref="Q22:Q28">SUM(P22/O22*100)</f>
        <v>64.20770262502396</v>
      </c>
      <c r="R22" s="66">
        <f t="shared" si="7"/>
        <v>5341</v>
      </c>
      <c r="S22" s="49">
        <v>3535</v>
      </c>
      <c r="T22" s="68">
        <v>353</v>
      </c>
      <c r="V22" s="46">
        <v>2699681.89</v>
      </c>
      <c r="W22" s="46">
        <v>2641237.92</v>
      </c>
      <c r="X22" s="45">
        <f t="shared" si="8"/>
        <v>5340919.8100000005</v>
      </c>
      <c r="AP22" s="44">
        <v>-1</v>
      </c>
      <c r="AQ22" s="44">
        <v>-1</v>
      </c>
      <c r="AR22" s="44">
        <v>-1</v>
      </c>
    </row>
    <row r="23" spans="1:42" ht="16.5" customHeight="1">
      <c r="A23" s="96" t="s">
        <v>203</v>
      </c>
      <c r="B23" s="56">
        <f>SUM('Příjmy '!B23+'Příjmy '!H23+'Příjmy '!L23+'Příjmy '!P23)</f>
        <v>222923</v>
      </c>
      <c r="C23" s="48">
        <f>SUM('Příjmy '!C23+'Příjmy '!I23+'Příjmy '!M23+'Příjmy '!Q23)</f>
        <v>314338</v>
      </c>
      <c r="D23" s="48">
        <f>SUM('Příjmy '!D23+'Příjmy '!J23+'Příjmy '!N23+'Příjmy '!R23)</f>
        <v>314033</v>
      </c>
      <c r="E23" s="42">
        <v>-299138431.9</v>
      </c>
      <c r="F23" s="42">
        <f t="shared" si="3"/>
        <v>-14894.568100000033</v>
      </c>
      <c r="G23" s="57">
        <f t="shared" si="4"/>
        <v>99.90297068760378</v>
      </c>
      <c r="H23" s="56">
        <f>SUM('Výdaje '!B24+'Výdaje '!G24)</f>
        <v>233818</v>
      </c>
      <c r="I23" s="48">
        <f>SUM('Výdaje '!C24+'Výdaje '!H24)</f>
        <v>352412</v>
      </c>
      <c r="J23" s="48">
        <f>SUM('Výdaje '!D24+'Výdaje '!I24)</f>
        <v>244029</v>
      </c>
      <c r="K23" s="41">
        <v>236919985</v>
      </c>
      <c r="L23" s="41">
        <f t="shared" si="5"/>
        <v>-7109.015000000014</v>
      </c>
      <c r="M23" s="57">
        <f t="shared" si="6"/>
        <v>69.24537189426013</v>
      </c>
      <c r="N23" s="56">
        <f t="shared" si="0"/>
        <v>-10895</v>
      </c>
      <c r="O23" s="48">
        <f t="shared" si="1"/>
        <v>-38074</v>
      </c>
      <c r="P23" s="48">
        <f t="shared" si="2"/>
        <v>70004</v>
      </c>
      <c r="Q23" s="57"/>
      <c r="R23" s="66">
        <f t="shared" si="7"/>
        <v>164789</v>
      </c>
      <c r="S23" s="49">
        <v>46766</v>
      </c>
      <c r="T23" s="69">
        <v>4165</v>
      </c>
      <c r="V23" s="46">
        <v>116738034.69</v>
      </c>
      <c r="W23" s="46">
        <v>48051060.47</v>
      </c>
      <c r="X23" s="45">
        <f t="shared" si="8"/>
        <v>164789095.16</v>
      </c>
      <c r="AP23" s="44">
        <v>47</v>
      </c>
    </row>
    <row r="24" spans="1:42" ht="16.5" customHeight="1">
      <c r="A24" s="96" t="s">
        <v>204</v>
      </c>
      <c r="B24" s="56">
        <f>SUM('Příjmy '!B24+'Příjmy '!H24+'Příjmy '!L24+'Příjmy '!P24)</f>
        <v>24152</v>
      </c>
      <c r="C24" s="48">
        <f>SUM('Příjmy '!C24+'Příjmy '!I24+'Příjmy '!M24+'Příjmy '!Q24)</f>
        <v>29363</v>
      </c>
      <c r="D24" s="48">
        <f>SUM('Příjmy '!D24+'Příjmy '!J24+'Příjmy '!N24+'Příjmy '!R24)</f>
        <v>29344</v>
      </c>
      <c r="E24" s="42">
        <v>-28825494.05</v>
      </c>
      <c r="F24" s="42">
        <f t="shared" si="3"/>
        <v>-518.5059499999988</v>
      </c>
      <c r="G24" s="57">
        <f t="shared" si="4"/>
        <v>99.93529271532199</v>
      </c>
      <c r="H24" s="56">
        <f>SUM('Výdaje '!B25+'Výdaje '!G25)</f>
        <v>30544</v>
      </c>
      <c r="I24" s="48">
        <f>SUM('Výdaje '!C25+'Výdaje '!H25)</f>
        <v>34184</v>
      </c>
      <c r="J24" s="48">
        <f>SUM('Výdaje '!D25+'Výdaje '!I25)</f>
        <v>31719</v>
      </c>
      <c r="K24" s="41">
        <v>28183842</v>
      </c>
      <c r="L24" s="41">
        <f t="shared" si="5"/>
        <v>-3535.1579999999994</v>
      </c>
      <c r="M24" s="57">
        <f t="shared" si="6"/>
        <v>92.78902410484437</v>
      </c>
      <c r="N24" s="56">
        <f t="shared" si="0"/>
        <v>-6392</v>
      </c>
      <c r="O24" s="48">
        <f t="shared" si="1"/>
        <v>-4821</v>
      </c>
      <c r="P24" s="48">
        <f t="shared" si="2"/>
        <v>-2375</v>
      </c>
      <c r="Q24" s="57">
        <f t="shared" si="9"/>
        <v>49.263638249325865</v>
      </c>
      <c r="R24" s="66">
        <f>ROUND(X24/1000,0)+1</f>
        <v>11182</v>
      </c>
      <c r="S24" s="49">
        <v>5349</v>
      </c>
      <c r="T24" s="68">
        <v>476</v>
      </c>
      <c r="V24" s="46">
        <v>11162939.29</v>
      </c>
      <c r="W24" s="46">
        <v>18490.07</v>
      </c>
      <c r="X24" s="45">
        <f t="shared" si="8"/>
        <v>11181429.36</v>
      </c>
      <c r="AP24" s="44">
        <v>-1</v>
      </c>
    </row>
    <row r="25" spans="1:44" ht="16.5" customHeight="1">
      <c r="A25" s="96" t="s">
        <v>205</v>
      </c>
      <c r="B25" s="56">
        <f>SUM('Příjmy '!B25+'Příjmy '!H25+'Příjmy '!L25+'Příjmy '!P25)</f>
        <v>162720</v>
      </c>
      <c r="C25" s="48">
        <f>SUM('Příjmy '!C25+'Příjmy '!I25+'Příjmy '!M25+'Příjmy '!Q25)</f>
        <v>175414</v>
      </c>
      <c r="D25" s="48">
        <f>SUM('Příjmy '!D25+'Příjmy '!J25+'Příjmy '!N25+'Příjmy '!R25)</f>
        <v>175956</v>
      </c>
      <c r="E25" s="42">
        <v>-185020955.26</v>
      </c>
      <c r="F25" s="42">
        <f t="shared" si="3"/>
        <v>9064.955259999988</v>
      </c>
      <c r="G25" s="57">
        <f t="shared" si="4"/>
        <v>100.30898331946139</v>
      </c>
      <c r="H25" s="56">
        <f>SUM('Výdaje '!B26+'Výdaje '!G26)</f>
        <v>162773</v>
      </c>
      <c r="I25" s="48">
        <f>SUM('Výdaje '!C26+'Výdaje '!H26)</f>
        <v>198435</v>
      </c>
      <c r="J25" s="48">
        <f>SUM('Výdaje '!D26+'Výdaje '!I26)</f>
        <v>146849</v>
      </c>
      <c r="K25" s="41">
        <v>131496367</v>
      </c>
      <c r="L25" s="41">
        <f t="shared" si="5"/>
        <v>-15352.633000000002</v>
      </c>
      <c r="M25" s="57">
        <f t="shared" si="6"/>
        <v>74.00357799783305</v>
      </c>
      <c r="N25" s="56">
        <f t="shared" si="0"/>
        <v>-53</v>
      </c>
      <c r="O25" s="48">
        <f t="shared" si="1"/>
        <v>-23021</v>
      </c>
      <c r="P25" s="48">
        <f t="shared" si="2"/>
        <v>29107</v>
      </c>
      <c r="Q25" s="57"/>
      <c r="R25" s="66">
        <f t="shared" si="7"/>
        <v>52160</v>
      </c>
      <c r="S25" s="49">
        <v>21035</v>
      </c>
      <c r="T25" s="68">
        <v>2141</v>
      </c>
      <c r="V25" s="46">
        <v>52002249.86</v>
      </c>
      <c r="W25" s="46">
        <v>157786.18</v>
      </c>
      <c r="X25" s="45">
        <f t="shared" si="8"/>
        <v>52160036.04</v>
      </c>
      <c r="AR25" s="44">
        <v>-1</v>
      </c>
    </row>
    <row r="26" spans="1:24" ht="16.5" customHeight="1">
      <c r="A26" s="96" t="s">
        <v>206</v>
      </c>
      <c r="B26" s="56">
        <f>SUM('Příjmy '!B26+'Příjmy '!H26+'Příjmy '!L26+'Příjmy '!P26)</f>
        <v>52818</v>
      </c>
      <c r="C26" s="48">
        <f>SUM('Příjmy '!C26+'Příjmy '!I26+'Příjmy '!M26+'Příjmy '!Q26)</f>
        <v>69811</v>
      </c>
      <c r="D26" s="48">
        <f>SUM('Příjmy '!D26+'Příjmy '!J26+'Příjmy '!N26+'Příjmy '!R26)</f>
        <v>70561</v>
      </c>
      <c r="E26" s="42">
        <v>-74097822.75</v>
      </c>
      <c r="F26" s="42">
        <f t="shared" si="3"/>
        <v>3536.8227500000066</v>
      </c>
      <c r="G26" s="57">
        <f t="shared" si="4"/>
        <v>101.07432926043174</v>
      </c>
      <c r="H26" s="56">
        <f>SUM('Výdaje '!B27+'Výdaje '!G27)</f>
        <v>56031</v>
      </c>
      <c r="I26" s="48">
        <f>SUM('Výdaje '!C27+'Výdaje '!H27)</f>
        <v>74127</v>
      </c>
      <c r="J26" s="48">
        <f>SUM('Výdaje '!D27+'Výdaje '!I27)</f>
        <v>46187</v>
      </c>
      <c r="K26" s="41">
        <v>44168132</v>
      </c>
      <c r="L26" s="41">
        <f t="shared" si="5"/>
        <v>-2018.8680000000022</v>
      </c>
      <c r="M26" s="57">
        <f t="shared" si="6"/>
        <v>62.30793098331242</v>
      </c>
      <c r="N26" s="56">
        <f t="shared" si="0"/>
        <v>-3213</v>
      </c>
      <c r="O26" s="48">
        <f t="shared" si="1"/>
        <v>-4316</v>
      </c>
      <c r="P26" s="48">
        <f t="shared" si="2"/>
        <v>24374</v>
      </c>
      <c r="Q26" s="57"/>
      <c r="R26" s="66">
        <f t="shared" si="7"/>
        <v>44594</v>
      </c>
      <c r="S26" s="49">
        <v>7680</v>
      </c>
      <c r="T26" s="68">
        <v>806</v>
      </c>
      <c r="V26" s="46">
        <v>41253581.12</v>
      </c>
      <c r="W26" s="46">
        <v>3340139.22</v>
      </c>
      <c r="X26" s="45">
        <f t="shared" si="8"/>
        <v>44593720.339999996</v>
      </c>
    </row>
    <row r="27" spans="1:24" ht="16.5" customHeight="1">
      <c r="A27" s="96" t="s">
        <v>207</v>
      </c>
      <c r="B27" s="56">
        <f>SUM('Příjmy '!B27+'Příjmy '!H27+'Příjmy '!L27+'Příjmy '!P27)</f>
        <v>61272</v>
      </c>
      <c r="C27" s="48">
        <f>SUM('Příjmy '!C27+'Příjmy '!I27+'Příjmy '!M27+'Příjmy '!Q27)</f>
        <v>77989</v>
      </c>
      <c r="D27" s="48">
        <f>SUM('Příjmy '!D27+'Příjmy '!J27+'Příjmy '!N27+'Příjmy '!R27)</f>
        <v>78629</v>
      </c>
      <c r="E27" s="42">
        <v>-75300910.37</v>
      </c>
      <c r="F27" s="42">
        <f t="shared" si="3"/>
        <v>-3328.089630000002</v>
      </c>
      <c r="G27" s="57">
        <f t="shared" si="4"/>
        <v>100.82062855018015</v>
      </c>
      <c r="H27" s="56">
        <f>SUM('Výdaje '!B28+'Výdaje '!G28)</f>
        <v>57842</v>
      </c>
      <c r="I27" s="48">
        <f>SUM('Výdaje '!C28+'Výdaje '!H28)</f>
        <v>84257</v>
      </c>
      <c r="J27" s="48">
        <f>SUM('Výdaje '!D28+'Výdaje '!I28)</f>
        <v>63553</v>
      </c>
      <c r="K27" s="41">
        <v>87202201</v>
      </c>
      <c r="L27" s="41">
        <f t="shared" si="5"/>
        <v>23649.201</v>
      </c>
      <c r="M27" s="57">
        <f t="shared" si="6"/>
        <v>75.42756091482013</v>
      </c>
      <c r="N27" s="56">
        <f t="shared" si="0"/>
        <v>3430</v>
      </c>
      <c r="O27" s="48">
        <f t="shared" si="1"/>
        <v>-6268</v>
      </c>
      <c r="P27" s="48">
        <f t="shared" si="2"/>
        <v>15076</v>
      </c>
      <c r="Q27" s="57"/>
      <c r="R27" s="66">
        <f t="shared" si="7"/>
        <v>78762</v>
      </c>
      <c r="S27" s="49">
        <v>9287</v>
      </c>
      <c r="T27" s="68">
        <v>803</v>
      </c>
      <c r="V27" s="46">
        <v>78636557.7</v>
      </c>
      <c r="W27" s="46">
        <v>125102.2</v>
      </c>
      <c r="X27" s="45">
        <f t="shared" si="8"/>
        <v>78761659.9</v>
      </c>
    </row>
    <row r="28" spans="1:42" ht="16.5" customHeight="1">
      <c r="A28" s="96" t="s">
        <v>208</v>
      </c>
      <c r="B28" s="56">
        <f>SUM('Příjmy '!B28+'Příjmy '!H28+'Příjmy '!L28+'Příjmy '!P28)</f>
        <v>53878</v>
      </c>
      <c r="C28" s="48">
        <f>SUM('Příjmy '!C28+'Příjmy '!I28+'Příjmy '!M28+'Příjmy '!Q28)</f>
        <v>75967</v>
      </c>
      <c r="D28" s="48">
        <f>SUM('Příjmy '!D28+'Příjmy '!J28+'Příjmy '!N28+'Příjmy '!R28)</f>
        <v>76691</v>
      </c>
      <c r="E28" s="42">
        <v>-96447638.78</v>
      </c>
      <c r="F28" s="42">
        <f t="shared" si="3"/>
        <v>19756.63878000001</v>
      </c>
      <c r="G28" s="57">
        <f t="shared" si="4"/>
        <v>100.95304540129266</v>
      </c>
      <c r="H28" s="56">
        <f>SUM('Výdaje '!B29+'Výdaje '!G29)</f>
        <v>57008</v>
      </c>
      <c r="I28" s="48">
        <f>SUM('Výdaje '!C29+'Výdaje '!H29)</f>
        <v>51872</v>
      </c>
      <c r="J28" s="48">
        <f>SUM('Výdaje '!D29+'Výdaje '!I29)</f>
        <v>42509</v>
      </c>
      <c r="K28" s="41">
        <v>142711668</v>
      </c>
      <c r="L28" s="41">
        <f t="shared" si="5"/>
        <v>100202.668</v>
      </c>
      <c r="M28" s="57">
        <f t="shared" si="6"/>
        <v>81.94979950647749</v>
      </c>
      <c r="N28" s="56">
        <f t="shared" si="0"/>
        <v>-3130</v>
      </c>
      <c r="O28" s="48">
        <f t="shared" si="1"/>
        <v>24095</v>
      </c>
      <c r="P28" s="48">
        <f t="shared" si="2"/>
        <v>34182</v>
      </c>
      <c r="Q28" s="57">
        <f t="shared" si="9"/>
        <v>141.86345714878604</v>
      </c>
      <c r="R28" s="66">
        <f t="shared" si="7"/>
        <v>75557</v>
      </c>
      <c r="S28" s="49">
        <v>13423</v>
      </c>
      <c r="T28" s="68">
        <v>656</v>
      </c>
      <c r="V28" s="46">
        <v>22715545.43</v>
      </c>
      <c r="W28" s="46">
        <v>52841202.4</v>
      </c>
      <c r="X28" s="45">
        <f t="shared" si="8"/>
        <v>75556747.83</v>
      </c>
      <c r="AP28" s="44">
        <v>-1</v>
      </c>
    </row>
    <row r="29" spans="1:43" ht="16.5" customHeight="1">
      <c r="A29" s="96" t="s">
        <v>209</v>
      </c>
      <c r="B29" s="56">
        <f>SUM('Příjmy '!B29+'Příjmy '!H29+'Příjmy '!L29+'Příjmy '!P29)</f>
        <v>140261</v>
      </c>
      <c r="C29" s="48">
        <f>SUM('Příjmy '!C29+'Příjmy '!I29+'Příjmy '!M29+'Příjmy '!Q29)</f>
        <v>166271</v>
      </c>
      <c r="D29" s="48">
        <f>SUM('Příjmy '!D29+'Příjmy '!J29+'Příjmy '!N29+'Příjmy '!R29)</f>
        <v>168027</v>
      </c>
      <c r="E29" s="42">
        <v>-170478872.99</v>
      </c>
      <c r="F29" s="42">
        <f t="shared" si="3"/>
        <v>2451.8729900000035</v>
      </c>
      <c r="G29" s="57">
        <f t="shared" si="4"/>
        <v>101.05610719848922</v>
      </c>
      <c r="H29" s="56">
        <f>SUM('Výdaje '!B30+'Výdaje '!G30)</f>
        <v>147159</v>
      </c>
      <c r="I29" s="48">
        <f>SUM('Výdaje '!C30+'Výdaje '!H30)</f>
        <v>173602</v>
      </c>
      <c r="J29" s="48">
        <f>SUM('Výdaje '!D30+'Výdaje '!I30)</f>
        <v>119768</v>
      </c>
      <c r="K29" s="41">
        <v>131658877</v>
      </c>
      <c r="L29" s="41">
        <f t="shared" si="5"/>
        <v>11890.877000000008</v>
      </c>
      <c r="M29" s="57">
        <f t="shared" si="6"/>
        <v>68.98998859460144</v>
      </c>
      <c r="N29" s="56">
        <f t="shared" si="0"/>
        <v>-6898</v>
      </c>
      <c r="O29" s="48">
        <f t="shared" si="1"/>
        <v>-7331</v>
      </c>
      <c r="P29" s="48">
        <f t="shared" si="2"/>
        <v>48259</v>
      </c>
      <c r="Q29" s="57"/>
      <c r="R29" s="66">
        <f t="shared" si="7"/>
        <v>74045</v>
      </c>
      <c r="S29" s="49">
        <v>26661</v>
      </c>
      <c r="T29" s="68">
        <v>2723</v>
      </c>
      <c r="V29" s="46">
        <v>71287631.19</v>
      </c>
      <c r="W29" s="46">
        <v>2757356.47</v>
      </c>
      <c r="X29" s="45">
        <f t="shared" si="8"/>
        <v>74044987.66</v>
      </c>
      <c r="AQ29" s="44">
        <v>-1</v>
      </c>
    </row>
    <row r="30" spans="1:44" ht="16.5" customHeight="1">
      <c r="A30" s="96" t="s">
        <v>210</v>
      </c>
      <c r="B30" s="56">
        <f>SUM('Příjmy '!B30+'Příjmy '!H30+'Příjmy '!L30+'Příjmy '!P30)</f>
        <v>53493</v>
      </c>
      <c r="C30" s="48">
        <f>SUM('Příjmy '!C30+'Příjmy '!I30+'Příjmy '!M30+'Příjmy '!Q30)</f>
        <v>72870</v>
      </c>
      <c r="D30" s="48">
        <f>SUM('Příjmy '!D30+'Příjmy '!J30+'Příjmy '!N30+'Příjmy '!R30)</f>
        <v>75971</v>
      </c>
      <c r="E30" s="42">
        <v>-91004254.48</v>
      </c>
      <c r="F30" s="42">
        <f t="shared" si="3"/>
        <v>15033.254480000003</v>
      </c>
      <c r="G30" s="57">
        <f t="shared" si="4"/>
        <v>104.25552353506245</v>
      </c>
      <c r="H30" s="56">
        <f>SUM('Výdaje '!B31+'Výdaje '!G31)</f>
        <v>43676</v>
      </c>
      <c r="I30" s="48">
        <f>SUM('Výdaje '!C31+'Výdaje '!H31)</f>
        <v>65553</v>
      </c>
      <c r="J30" s="48">
        <f>SUM('Výdaje '!D31+'Výdaje '!I31)</f>
        <v>56339</v>
      </c>
      <c r="K30" s="41">
        <v>102251434</v>
      </c>
      <c r="L30" s="41">
        <f t="shared" si="5"/>
        <v>45912.433999999994</v>
      </c>
      <c r="M30" s="57">
        <f t="shared" si="6"/>
        <v>85.94419782466096</v>
      </c>
      <c r="N30" s="56">
        <f t="shared" si="0"/>
        <v>9817</v>
      </c>
      <c r="O30" s="48">
        <f t="shared" si="1"/>
        <v>7317</v>
      </c>
      <c r="P30" s="48">
        <f t="shared" si="2"/>
        <v>19632</v>
      </c>
      <c r="Q30" s="57">
        <f aca="true" t="shared" si="10" ref="Q30:Q38">SUM(P30/O30*100)</f>
        <v>268.30668306683066</v>
      </c>
      <c r="R30" s="66">
        <f t="shared" si="7"/>
        <v>30915</v>
      </c>
      <c r="S30" s="49">
        <v>9206</v>
      </c>
      <c r="T30" s="68">
        <v>1016</v>
      </c>
      <c r="V30" s="46">
        <v>30895833.06</v>
      </c>
      <c r="W30" s="46">
        <v>19192.89</v>
      </c>
      <c r="X30" s="45">
        <f t="shared" si="8"/>
        <v>30915025.95</v>
      </c>
      <c r="AQ30" s="44">
        <v>-1</v>
      </c>
      <c r="AR30" s="44">
        <v>-1</v>
      </c>
    </row>
    <row r="31" spans="1:43" ht="16.5" customHeight="1">
      <c r="A31" s="96" t="s">
        <v>211</v>
      </c>
      <c r="B31" s="56">
        <f>SUM('Příjmy '!B31+'Příjmy '!H31+'Příjmy '!L31+'Příjmy '!P31)</f>
        <v>30113</v>
      </c>
      <c r="C31" s="48">
        <f>SUM('Příjmy '!C31+'Příjmy '!I31+'Příjmy '!M31+'Příjmy '!Q31)</f>
        <v>35064</v>
      </c>
      <c r="D31" s="48">
        <f>SUM('Příjmy '!D31+'Příjmy '!J31+'Příjmy '!N31+'Příjmy '!R31)</f>
        <v>35013</v>
      </c>
      <c r="E31" s="42">
        <v>-40789267.23</v>
      </c>
      <c r="F31" s="42">
        <f t="shared" si="3"/>
        <v>5776.267229999998</v>
      </c>
      <c r="G31" s="57">
        <f t="shared" si="4"/>
        <v>99.85455167693361</v>
      </c>
      <c r="H31" s="56">
        <f>SUM('Výdaje '!B32+'Výdaje '!G32)</f>
        <v>30450</v>
      </c>
      <c r="I31" s="48">
        <f>SUM('Výdaje '!C32+'Výdaje '!H32)</f>
        <v>39545</v>
      </c>
      <c r="J31" s="48">
        <f>SUM('Výdaje '!D32+'Výdaje '!I32)</f>
        <v>33122</v>
      </c>
      <c r="K31" s="41">
        <v>29707148</v>
      </c>
      <c r="L31" s="41">
        <f t="shared" si="5"/>
        <v>-3414.851999999999</v>
      </c>
      <c r="M31" s="57">
        <f t="shared" si="6"/>
        <v>83.75774434188898</v>
      </c>
      <c r="N31" s="56">
        <f t="shared" si="0"/>
        <v>-337</v>
      </c>
      <c r="O31" s="48">
        <f t="shared" si="1"/>
        <v>-4481</v>
      </c>
      <c r="P31" s="48">
        <f t="shared" si="2"/>
        <v>1891</v>
      </c>
      <c r="Q31" s="57"/>
      <c r="R31" s="66">
        <f t="shared" si="7"/>
        <v>8523</v>
      </c>
      <c r="S31" s="49">
        <v>5537</v>
      </c>
      <c r="T31" s="68">
        <v>605</v>
      </c>
      <c r="V31" s="46">
        <v>7327473.01</v>
      </c>
      <c r="W31" s="46">
        <v>1195727.75</v>
      </c>
      <c r="X31" s="45">
        <f t="shared" si="8"/>
        <v>8523200.76</v>
      </c>
      <c r="AP31" s="44">
        <v>-1</v>
      </c>
      <c r="AQ31" s="44">
        <v>-1</v>
      </c>
    </row>
    <row r="32" spans="1:24" ht="16.5" customHeight="1">
      <c r="A32" s="96" t="s">
        <v>212</v>
      </c>
      <c r="B32" s="56">
        <f>SUM('Příjmy '!B32+'Příjmy '!H32+'Příjmy '!L32+'Příjmy '!P32)</f>
        <v>16549</v>
      </c>
      <c r="C32" s="48">
        <f>SUM('Příjmy '!C32+'Příjmy '!I32+'Příjmy '!M32+'Příjmy '!Q32)</f>
        <v>19366</v>
      </c>
      <c r="D32" s="48">
        <f>SUM('Příjmy '!D32+'Příjmy '!J32+'Příjmy '!N32+'Příjmy '!R32)</f>
        <v>19108</v>
      </c>
      <c r="E32" s="42">
        <v>-21108562.72</v>
      </c>
      <c r="F32" s="42">
        <f t="shared" si="3"/>
        <v>2000.562719999998</v>
      </c>
      <c r="G32" s="57">
        <f t="shared" si="4"/>
        <v>98.6677682536404</v>
      </c>
      <c r="H32" s="56">
        <f>SUM('Výdaje '!B33+'Výdaje '!G33)</f>
        <v>16549</v>
      </c>
      <c r="I32" s="48">
        <f>SUM('Výdaje '!C33+'Výdaje '!H33)</f>
        <v>19727</v>
      </c>
      <c r="J32" s="48">
        <f>SUM('Výdaje '!D33+'Výdaje '!I33)</f>
        <v>16282</v>
      </c>
      <c r="K32" s="41">
        <v>22223757</v>
      </c>
      <c r="L32" s="41">
        <f t="shared" si="5"/>
        <v>5941.757000000001</v>
      </c>
      <c r="M32" s="57">
        <f t="shared" si="6"/>
        <v>82.53662493029857</v>
      </c>
      <c r="N32" s="56">
        <f t="shared" si="0"/>
        <v>0</v>
      </c>
      <c r="O32" s="48">
        <f t="shared" si="1"/>
        <v>-361</v>
      </c>
      <c r="P32" s="48">
        <f t="shared" si="2"/>
        <v>2826</v>
      </c>
      <c r="Q32" s="57"/>
      <c r="R32" s="66">
        <f t="shared" si="7"/>
        <v>9240</v>
      </c>
      <c r="S32" s="49">
        <v>3505</v>
      </c>
      <c r="T32" s="68">
        <v>486</v>
      </c>
      <c r="V32" s="46">
        <v>1437044.34</v>
      </c>
      <c r="W32" s="46">
        <v>7802584.24</v>
      </c>
      <c r="X32" s="45">
        <f t="shared" si="8"/>
        <v>9239628.58</v>
      </c>
    </row>
    <row r="33" spans="1:40" ht="16.5" customHeight="1">
      <c r="A33" s="96" t="s">
        <v>213</v>
      </c>
      <c r="B33" s="56">
        <f>SUM('Příjmy '!B33+'Příjmy '!H33+'Příjmy '!L33+'Příjmy '!P33)</f>
        <v>158192</v>
      </c>
      <c r="C33" s="48">
        <f>SUM('Příjmy '!C33+'Příjmy '!I33+'Příjmy '!M33+'Příjmy '!Q33)</f>
        <v>215688</v>
      </c>
      <c r="D33" s="48">
        <f>SUM('Příjmy '!D33+'Příjmy '!J33+'Příjmy '!N33+'Příjmy '!R33)</f>
        <v>216155</v>
      </c>
      <c r="E33" s="42">
        <v>-253416304.28</v>
      </c>
      <c r="F33" s="42">
        <f t="shared" si="3"/>
        <v>37261.30428000001</v>
      </c>
      <c r="G33" s="57">
        <f t="shared" si="4"/>
        <v>100.2165164496866</v>
      </c>
      <c r="H33" s="56">
        <f>SUM('Výdaje '!B34+'Výdaje '!G34)</f>
        <v>258868</v>
      </c>
      <c r="I33" s="48">
        <f>SUM('Výdaje '!C34+'Výdaje '!H34)</f>
        <v>363157</v>
      </c>
      <c r="J33" s="48">
        <f>SUM('Výdaje '!D34+'Výdaje '!I34)</f>
        <v>190303</v>
      </c>
      <c r="K33" s="41">
        <v>236397849</v>
      </c>
      <c r="L33" s="41">
        <f t="shared" si="5"/>
        <v>46094.84899999999</v>
      </c>
      <c r="M33" s="57">
        <f t="shared" si="6"/>
        <v>52.40240446969218</v>
      </c>
      <c r="N33" s="56">
        <f t="shared" si="0"/>
        <v>-100676</v>
      </c>
      <c r="O33" s="48">
        <f t="shared" si="1"/>
        <v>-147469</v>
      </c>
      <c r="P33" s="48">
        <f t="shared" si="2"/>
        <v>25852</v>
      </c>
      <c r="Q33" s="57"/>
      <c r="R33" s="66">
        <f t="shared" si="7"/>
        <v>92874</v>
      </c>
      <c r="S33" s="49">
        <v>26775</v>
      </c>
      <c r="T33" s="68">
        <v>2566</v>
      </c>
      <c r="V33" s="46">
        <v>92622540.89</v>
      </c>
      <c r="W33" s="46">
        <v>251254.46</v>
      </c>
      <c r="X33" s="45">
        <f t="shared" si="8"/>
        <v>92873795.35</v>
      </c>
      <c r="AM33" s="44">
        <v>72</v>
      </c>
      <c r="AN33" s="44">
        <v>40</v>
      </c>
    </row>
    <row r="34" spans="1:40" ht="16.5" customHeight="1">
      <c r="A34" s="96" t="s">
        <v>214</v>
      </c>
      <c r="B34" s="56">
        <f>SUM('Příjmy '!B34+'Příjmy '!H34+'Příjmy '!L34+'Příjmy '!P34)</f>
        <v>20616</v>
      </c>
      <c r="C34" s="48">
        <f>SUM('Příjmy '!C34+'Příjmy '!I34+'Příjmy '!M34+'Příjmy '!Q34)</f>
        <v>23910</v>
      </c>
      <c r="D34" s="48">
        <f>SUM('Příjmy '!D34+'Příjmy '!J34+'Příjmy '!N34+'Příjmy '!R34)</f>
        <v>23231</v>
      </c>
      <c r="E34" s="42">
        <v>-22468068.24</v>
      </c>
      <c r="F34" s="42">
        <f t="shared" si="3"/>
        <v>-762.9317600000031</v>
      </c>
      <c r="G34" s="57">
        <f t="shared" si="4"/>
        <v>97.16018402342115</v>
      </c>
      <c r="H34" s="56">
        <f>SUM('Výdaje '!B35+'Výdaje '!G35)</f>
        <v>20981</v>
      </c>
      <c r="I34" s="48">
        <f>SUM('Výdaje '!C35+'Výdaje '!H35)</f>
        <v>27167</v>
      </c>
      <c r="J34" s="48">
        <f>SUM('Výdaje '!D35+'Výdaje '!I35)</f>
        <v>25068</v>
      </c>
      <c r="K34" s="41">
        <v>35817554</v>
      </c>
      <c r="L34" s="41">
        <f t="shared" si="5"/>
        <v>10749.553999999996</v>
      </c>
      <c r="M34" s="57">
        <f t="shared" si="6"/>
        <v>92.27371443295175</v>
      </c>
      <c r="N34" s="56">
        <f t="shared" si="0"/>
        <v>-365</v>
      </c>
      <c r="O34" s="48">
        <f t="shared" si="1"/>
        <v>-3257</v>
      </c>
      <c r="P34" s="48">
        <f t="shared" si="2"/>
        <v>-1837</v>
      </c>
      <c r="Q34" s="57">
        <f t="shared" si="10"/>
        <v>56.40159656125269</v>
      </c>
      <c r="R34" s="66">
        <f t="shared" si="7"/>
        <v>6193</v>
      </c>
      <c r="S34" s="49">
        <v>5525</v>
      </c>
      <c r="T34" s="68">
        <v>646</v>
      </c>
      <c r="V34" s="46">
        <v>866076.95</v>
      </c>
      <c r="W34" s="46">
        <v>5326896.23</v>
      </c>
      <c r="X34" s="45">
        <f t="shared" si="8"/>
        <v>6192973.180000001</v>
      </c>
      <c r="AN34" s="44">
        <v>35</v>
      </c>
    </row>
    <row r="35" spans="1:41" ht="16.5" customHeight="1">
      <c r="A35" s="96" t="s">
        <v>215</v>
      </c>
      <c r="B35" s="56">
        <f>SUM('Příjmy '!B35+'Příjmy '!H35+'Příjmy '!L35+'Příjmy '!P35)</f>
        <v>60335</v>
      </c>
      <c r="C35" s="48">
        <f>SUM('Příjmy '!C35+'Příjmy '!I35+'Příjmy '!M35+'Příjmy '!Q35)</f>
        <v>79151</v>
      </c>
      <c r="D35" s="48">
        <f>SUM('Příjmy '!D35+'Příjmy '!J35+'Příjmy '!N35+'Příjmy '!R35)</f>
        <v>79560</v>
      </c>
      <c r="E35" s="42">
        <v>-94287165.69</v>
      </c>
      <c r="F35" s="42">
        <f t="shared" si="3"/>
        <v>14727.165689999994</v>
      </c>
      <c r="G35" s="57">
        <f t="shared" si="4"/>
        <v>100.51673383785422</v>
      </c>
      <c r="H35" s="56">
        <f>SUM('Výdaje '!B36+'Výdaje '!G36)</f>
        <v>87908</v>
      </c>
      <c r="I35" s="48">
        <f>SUM('Výdaje '!C36+'Výdaje '!H36)</f>
        <v>96637</v>
      </c>
      <c r="J35" s="48">
        <f>SUM('Výdaje '!D36+'Výdaje '!I36)</f>
        <v>86232</v>
      </c>
      <c r="K35" s="41">
        <v>88121783</v>
      </c>
      <c r="L35" s="41">
        <f t="shared" si="5"/>
        <v>1889.7829999999958</v>
      </c>
      <c r="M35" s="57">
        <f t="shared" si="6"/>
        <v>89.23290251146041</v>
      </c>
      <c r="N35" s="56">
        <f t="shared" si="0"/>
        <v>-27573</v>
      </c>
      <c r="O35" s="48">
        <f t="shared" si="1"/>
        <v>-17486</v>
      </c>
      <c r="P35" s="48">
        <f t="shared" si="2"/>
        <v>-6672</v>
      </c>
      <c r="Q35" s="57">
        <f t="shared" si="10"/>
        <v>38.156239277135995</v>
      </c>
      <c r="R35" s="66">
        <f t="shared" si="7"/>
        <v>32900</v>
      </c>
      <c r="S35" s="49">
        <v>15086</v>
      </c>
      <c r="T35" s="68">
        <v>1354</v>
      </c>
      <c r="V35" s="46">
        <v>32297986.51</v>
      </c>
      <c r="W35" s="46">
        <v>602149.6</v>
      </c>
      <c r="X35" s="45">
        <f t="shared" si="8"/>
        <v>32900136.110000003</v>
      </c>
      <c r="AO35" s="44">
        <v>-1</v>
      </c>
    </row>
    <row r="36" spans="1:43" ht="16.5" customHeight="1">
      <c r="A36" s="96" t="s">
        <v>216</v>
      </c>
      <c r="B36" s="56">
        <f>SUM('Příjmy '!B36+'Příjmy '!H36+'Příjmy '!L36+'Příjmy '!P36)</f>
        <v>5009</v>
      </c>
      <c r="C36" s="48">
        <f>SUM('Příjmy '!C36+'Příjmy '!I36+'Příjmy '!M36+'Příjmy '!Q36)</f>
        <v>6383</v>
      </c>
      <c r="D36" s="48">
        <f>SUM('Příjmy '!D36+'Příjmy '!J36+'Příjmy '!N36+'Příjmy '!R36)</f>
        <v>6304</v>
      </c>
      <c r="E36" s="42">
        <v>-6125542.98</v>
      </c>
      <c r="F36" s="42">
        <f t="shared" si="3"/>
        <v>-178.45701999999983</v>
      </c>
      <c r="G36" s="57">
        <f t="shared" si="4"/>
        <v>98.76233745887514</v>
      </c>
      <c r="H36" s="56">
        <f>SUM('Výdaje '!B37+'Výdaje '!G37)</f>
        <v>5009</v>
      </c>
      <c r="I36" s="48">
        <f>SUM('Výdaje '!C37+'Výdaje '!H37)</f>
        <v>6965</v>
      </c>
      <c r="J36" s="48">
        <f>SUM('Výdaje '!D37+'Výdaje '!I37)</f>
        <v>5565</v>
      </c>
      <c r="K36" s="41">
        <v>5407182</v>
      </c>
      <c r="L36" s="41">
        <f t="shared" si="5"/>
        <v>-157.8180000000002</v>
      </c>
      <c r="M36" s="57">
        <f t="shared" si="6"/>
        <v>79.89949748743719</v>
      </c>
      <c r="N36" s="56">
        <f t="shared" si="0"/>
        <v>0</v>
      </c>
      <c r="O36" s="48">
        <f t="shared" si="1"/>
        <v>-582</v>
      </c>
      <c r="P36" s="48">
        <f t="shared" si="2"/>
        <v>739</v>
      </c>
      <c r="Q36" s="57"/>
      <c r="R36" s="66">
        <f t="shared" si="7"/>
        <v>3369</v>
      </c>
      <c r="S36" s="49">
        <v>1643</v>
      </c>
      <c r="T36" s="68">
        <v>75</v>
      </c>
      <c r="V36" s="46">
        <v>1620498.06</v>
      </c>
      <c r="W36" s="46">
        <v>1748784.52</v>
      </c>
      <c r="X36" s="45">
        <f t="shared" si="8"/>
        <v>3369282.58</v>
      </c>
      <c r="AP36" s="44">
        <v>38</v>
      </c>
      <c r="AQ36" s="44">
        <v>64</v>
      </c>
    </row>
    <row r="37" spans="1:24" ht="16.5" customHeight="1">
      <c r="A37" s="96" t="s">
        <v>217</v>
      </c>
      <c r="B37" s="56">
        <f>SUM('Příjmy '!B37+'Příjmy '!H37+'Příjmy '!L37+'Příjmy '!P37)</f>
        <v>6318</v>
      </c>
      <c r="C37" s="48">
        <f>SUM('Příjmy '!C37+'Příjmy '!I37+'Příjmy '!M37+'Příjmy '!Q37)</f>
        <v>6882</v>
      </c>
      <c r="D37" s="48">
        <f>SUM('Příjmy '!D37+'Příjmy '!J37+'Příjmy '!N37+'Příjmy '!R37)</f>
        <v>6824</v>
      </c>
      <c r="E37" s="42">
        <v>-7328021.33</v>
      </c>
      <c r="F37" s="42">
        <f t="shared" si="3"/>
        <v>504.0213300000005</v>
      </c>
      <c r="G37" s="57">
        <f t="shared" si="4"/>
        <v>99.15722173786689</v>
      </c>
      <c r="H37" s="56">
        <f>SUM('Výdaje '!B38+'Výdaje '!G38)</f>
        <v>6318</v>
      </c>
      <c r="I37" s="48">
        <f>SUM('Výdaje '!C38+'Výdaje '!H38)</f>
        <v>7888</v>
      </c>
      <c r="J37" s="48">
        <f>SUM('Výdaje '!D38+'Výdaje '!I38)</f>
        <v>7067</v>
      </c>
      <c r="K37" s="41">
        <v>5775621</v>
      </c>
      <c r="L37" s="41">
        <f t="shared" si="5"/>
        <v>-1291.379</v>
      </c>
      <c r="M37" s="57">
        <f t="shared" si="6"/>
        <v>89.59178498985801</v>
      </c>
      <c r="N37" s="56">
        <f t="shared" si="0"/>
        <v>0</v>
      </c>
      <c r="O37" s="48">
        <f t="shared" si="1"/>
        <v>-1006</v>
      </c>
      <c r="P37" s="48">
        <f t="shared" si="2"/>
        <v>-243</v>
      </c>
      <c r="Q37" s="57">
        <f t="shared" si="10"/>
        <v>24.15506958250497</v>
      </c>
      <c r="R37" s="66">
        <f t="shared" si="7"/>
        <v>1497</v>
      </c>
      <c r="S37" s="49">
        <v>1081</v>
      </c>
      <c r="T37" s="68">
        <v>211</v>
      </c>
      <c r="V37" s="46">
        <v>560926.85</v>
      </c>
      <c r="W37" s="46">
        <v>936205.11</v>
      </c>
      <c r="X37" s="45">
        <f t="shared" si="8"/>
        <v>1497131.96</v>
      </c>
    </row>
    <row r="38" spans="1:44" ht="16.5" customHeight="1">
      <c r="A38" s="96" t="s">
        <v>218</v>
      </c>
      <c r="B38" s="56">
        <f>SUM('Příjmy '!B38+'Příjmy '!H38+'Příjmy '!L38+'Příjmy '!P38)</f>
        <v>2857</v>
      </c>
      <c r="C38" s="48">
        <f>SUM('Příjmy '!C38+'Příjmy '!I38+'Příjmy '!M38+'Příjmy '!Q38)</f>
        <v>4067</v>
      </c>
      <c r="D38" s="48">
        <f>SUM('Příjmy '!D38+'Příjmy '!J38+'Příjmy '!N38+'Příjmy '!R38)</f>
        <v>4065</v>
      </c>
      <c r="E38" s="42">
        <v>-3977264.3</v>
      </c>
      <c r="F38" s="42">
        <f t="shared" si="3"/>
        <v>-87.73570000000018</v>
      </c>
      <c r="G38" s="57">
        <f t="shared" si="4"/>
        <v>99.95082370297517</v>
      </c>
      <c r="H38" s="56">
        <f>SUM('Výdaje '!B39+'Výdaje '!G39)</f>
        <v>2857</v>
      </c>
      <c r="I38" s="48">
        <f>SUM('Výdaje '!C39+'Výdaje '!H39)</f>
        <v>4064</v>
      </c>
      <c r="J38" s="48">
        <f>SUM('Výdaje '!D39+'Výdaje '!I39)</f>
        <v>3606</v>
      </c>
      <c r="K38" s="41">
        <v>3848411</v>
      </c>
      <c r="L38" s="41">
        <f t="shared" si="5"/>
        <v>242.41100000000006</v>
      </c>
      <c r="M38" s="57">
        <f t="shared" si="6"/>
        <v>88.73031496062993</v>
      </c>
      <c r="N38" s="56">
        <f t="shared" si="0"/>
        <v>0</v>
      </c>
      <c r="O38" s="48">
        <f t="shared" si="1"/>
        <v>3</v>
      </c>
      <c r="P38" s="48">
        <f t="shared" si="2"/>
        <v>459</v>
      </c>
      <c r="Q38" s="57">
        <f t="shared" si="10"/>
        <v>15300</v>
      </c>
      <c r="R38" s="66">
        <f t="shared" si="7"/>
        <v>1338</v>
      </c>
      <c r="S38" s="49">
        <v>569</v>
      </c>
      <c r="T38" s="68">
        <v>25</v>
      </c>
      <c r="V38" s="46">
        <v>932159.37</v>
      </c>
      <c r="W38" s="46">
        <v>406052.83</v>
      </c>
      <c r="X38" s="45">
        <f t="shared" si="8"/>
        <v>1338212.2</v>
      </c>
      <c r="AQ38" s="44">
        <v>57</v>
      </c>
      <c r="AR38" s="44">
        <v>56</v>
      </c>
    </row>
    <row r="39" spans="1:24" ht="16.5" customHeight="1" thickBot="1">
      <c r="A39" s="97" t="s">
        <v>219</v>
      </c>
      <c r="B39" s="61">
        <f>SUM('Příjmy '!B39+'Příjmy '!H39+'Příjmy '!L39+'Příjmy '!P39)</f>
        <v>2241</v>
      </c>
      <c r="C39" s="62">
        <f>SUM('Příjmy '!C39+'Příjmy '!I39+'Příjmy '!M39+'Příjmy '!Q39)</f>
        <v>2861</v>
      </c>
      <c r="D39" s="62">
        <f>SUM('Příjmy '!D39+'Příjmy '!J39+'Příjmy '!N39+'Příjmy '!R39)</f>
        <v>2861</v>
      </c>
      <c r="E39" s="51">
        <v>-2816940.83</v>
      </c>
      <c r="F39" s="51">
        <f t="shared" si="3"/>
        <v>-44.059169999999995</v>
      </c>
      <c r="G39" s="63">
        <f t="shared" si="4"/>
        <v>100</v>
      </c>
      <c r="H39" s="61">
        <f>SUM('Výdaje '!B40+'Výdaje '!G40)</f>
        <v>2241</v>
      </c>
      <c r="I39" s="62">
        <f>SUM('Výdaje '!C40+'Výdaje '!H40)</f>
        <v>3159</v>
      </c>
      <c r="J39" s="62">
        <f>SUM('Výdaje '!D40+'Výdaje '!I40)</f>
        <v>2215</v>
      </c>
      <c r="K39" s="52">
        <v>3197612</v>
      </c>
      <c r="L39" s="52">
        <f t="shared" si="5"/>
        <v>982.6120000000001</v>
      </c>
      <c r="M39" s="63">
        <f t="shared" si="6"/>
        <v>70.11712567268123</v>
      </c>
      <c r="N39" s="61">
        <f t="shared" si="0"/>
        <v>0</v>
      </c>
      <c r="O39" s="62">
        <f t="shared" si="1"/>
        <v>-298</v>
      </c>
      <c r="P39" s="62">
        <f t="shared" si="2"/>
        <v>646</v>
      </c>
      <c r="Q39" s="63"/>
      <c r="R39" s="67">
        <f t="shared" si="7"/>
        <v>2146</v>
      </c>
      <c r="S39" s="81">
        <v>774</v>
      </c>
      <c r="T39" s="71"/>
      <c r="V39" s="46">
        <v>2145569.76</v>
      </c>
      <c r="W39" s="46"/>
      <c r="X39" s="45">
        <f t="shared" si="8"/>
        <v>2145569.76</v>
      </c>
    </row>
    <row r="40" spans="1:20" ht="15" customHeight="1" thickBot="1">
      <c r="A40" s="98"/>
      <c r="B40" s="58"/>
      <c r="C40" s="59"/>
      <c r="D40" s="59"/>
      <c r="E40" s="54"/>
      <c r="F40" s="54"/>
      <c r="G40" s="60"/>
      <c r="H40" s="58"/>
      <c r="I40" s="59"/>
      <c r="J40" s="59"/>
      <c r="K40" s="64"/>
      <c r="L40" s="64"/>
      <c r="M40" s="60"/>
      <c r="N40" s="58"/>
      <c r="O40" s="59"/>
      <c r="P40" s="59"/>
      <c r="Q40" s="60"/>
      <c r="R40" s="65"/>
      <c r="S40" s="58"/>
      <c r="T40" s="70"/>
    </row>
    <row r="41" spans="1:24" ht="19.5" customHeight="1" thickBot="1">
      <c r="A41" s="99" t="s">
        <v>245</v>
      </c>
      <c r="B41" s="100">
        <f>SUM(B11:B39)</f>
        <v>2036369</v>
      </c>
      <c r="C41" s="101">
        <f>SUM(C11:C39)</f>
        <v>2759294</v>
      </c>
      <c r="D41" s="101">
        <f>SUM(D11:D39)</f>
        <v>2750766</v>
      </c>
      <c r="E41" s="102">
        <f>SUM(E11:E39)</f>
        <v>-2693658620.06</v>
      </c>
      <c r="F41" s="102"/>
      <c r="G41" s="103">
        <f>SUM(D41/C41*100)</f>
        <v>99.69093543493372</v>
      </c>
      <c r="H41" s="100">
        <f>SUM(H11:H39)</f>
        <v>2316593</v>
      </c>
      <c r="I41" s="101">
        <f>SUM(I11:I39)</f>
        <v>3138853</v>
      </c>
      <c r="J41" s="101">
        <f>SUM(J11:J39)</f>
        <v>2187345</v>
      </c>
      <c r="K41" s="104">
        <f>SUM(K11:K39)</f>
        <v>2446085414</v>
      </c>
      <c r="L41" s="104"/>
      <c r="M41" s="103">
        <f>SUM(J41/I41*100)</f>
        <v>69.68612419887137</v>
      </c>
      <c r="N41" s="100">
        <f>SUM(N11:N39)</f>
        <v>-280224</v>
      </c>
      <c r="O41" s="101">
        <f>SUM(O11:O39)</f>
        <v>-379559</v>
      </c>
      <c r="P41" s="101">
        <f>SUM(P11:P39)</f>
        <v>563421</v>
      </c>
      <c r="Q41" s="103"/>
      <c r="R41" s="105">
        <f>SUM(R11:R39)</f>
        <v>1376933</v>
      </c>
      <c r="S41" s="100">
        <f>SUM(S11:S40)</f>
        <v>378965</v>
      </c>
      <c r="T41" s="106">
        <f>SUM(T11:T39)</f>
        <v>35797</v>
      </c>
      <c r="V41" s="44">
        <f>SUM(V11:V40)</f>
        <v>875412397.01</v>
      </c>
      <c r="W41" s="44">
        <f>SUM(W11:W40)</f>
        <v>501520113.13000005</v>
      </c>
      <c r="X41" s="44">
        <f>SUM(X11:X40)</f>
        <v>1376932510.1399999</v>
      </c>
    </row>
    <row r="42" ht="15.75">
      <c r="X42" s="44">
        <f>V41+W41</f>
        <v>1376932510.14</v>
      </c>
    </row>
    <row r="45" spans="1:20" s="40" customFormat="1" ht="15.75">
      <c r="A45" s="40">
        <v>2011</v>
      </c>
      <c r="B45" s="47">
        <v>2023208</v>
      </c>
      <c r="C45" s="47">
        <v>2762834</v>
      </c>
      <c r="D45" s="47">
        <v>2759916</v>
      </c>
      <c r="E45" s="47"/>
      <c r="F45" s="47"/>
      <c r="G45" s="47"/>
      <c r="H45" s="47">
        <v>2149469</v>
      </c>
      <c r="I45" s="47">
        <v>3133955</v>
      </c>
      <c r="J45" s="47">
        <v>2411313</v>
      </c>
      <c r="K45" s="47"/>
      <c r="L45" s="47"/>
      <c r="M45" s="47"/>
      <c r="N45" s="47">
        <v>-126261</v>
      </c>
      <c r="O45" s="47">
        <v>-371121</v>
      </c>
      <c r="P45" s="47">
        <v>348603</v>
      </c>
      <c r="Q45" s="47"/>
      <c r="R45" s="47">
        <v>891619574</v>
      </c>
      <c r="S45" s="47">
        <v>371371</v>
      </c>
      <c r="T45" s="47">
        <v>35797</v>
      </c>
    </row>
    <row r="46" spans="2:20" ht="15.75" customHeight="1">
      <c r="B46" s="47"/>
      <c r="C46" s="47"/>
      <c r="D46" s="47"/>
      <c r="E46" s="47"/>
      <c r="F46" s="47"/>
      <c r="G46" s="47"/>
      <c r="H46" s="47"/>
      <c r="I46" s="47"/>
      <c r="J46" s="47"/>
      <c r="K46" s="107"/>
      <c r="L46" s="107"/>
      <c r="M46" s="47"/>
      <c r="N46" s="47"/>
      <c r="O46" s="47"/>
      <c r="P46" s="47"/>
      <c r="Q46" s="47"/>
      <c r="R46" s="47"/>
      <c r="S46" s="47"/>
      <c r="T46" s="47"/>
    </row>
    <row r="47" spans="1:20" ht="15.75">
      <c r="A47" s="40">
        <v>2012</v>
      </c>
      <c r="B47" s="47">
        <v>2036369</v>
      </c>
      <c r="C47" s="47">
        <v>2759294</v>
      </c>
      <c r="D47" s="47">
        <v>2750766</v>
      </c>
      <c r="E47" s="47"/>
      <c r="F47" s="47"/>
      <c r="G47" s="47"/>
      <c r="H47" s="47">
        <v>2316593</v>
      </c>
      <c r="I47" s="47">
        <v>3138853</v>
      </c>
      <c r="J47" s="47">
        <v>2187345</v>
      </c>
      <c r="K47" s="47"/>
      <c r="L47" s="47"/>
      <c r="M47" s="47"/>
      <c r="N47" s="47">
        <v>-280224</v>
      </c>
      <c r="O47" s="47">
        <v>-379559</v>
      </c>
      <c r="P47" s="47">
        <v>563421</v>
      </c>
      <c r="Q47" s="47"/>
      <c r="R47" s="47">
        <f>X41</f>
        <v>1376932510.1399999</v>
      </c>
      <c r="S47" s="47">
        <v>378965</v>
      </c>
      <c r="T47" s="47">
        <v>34745</v>
      </c>
    </row>
    <row r="48" spans="19:20" ht="15.75">
      <c r="S48" s="47"/>
      <c r="T48" s="47"/>
    </row>
    <row r="50" ht="15.75" customHeight="1">
      <c r="D50" s="47">
        <f>D45-D47</f>
        <v>9150</v>
      </c>
    </row>
    <row r="51" ht="15.75" customHeight="1">
      <c r="D51" s="40">
        <f>D50/D45*100</f>
        <v>0.33153182922958524</v>
      </c>
    </row>
    <row r="52" spans="4:18" ht="15.75" customHeight="1">
      <c r="D52" s="47">
        <f>D47-D45</f>
        <v>-9150</v>
      </c>
      <c r="J52" s="47">
        <f>J47-J45</f>
        <v>-223968</v>
      </c>
      <c r="P52" s="47">
        <f>P47-P45</f>
        <v>214818</v>
      </c>
      <c r="R52" s="47">
        <f>R47-R45</f>
        <v>485312936.13999987</v>
      </c>
    </row>
    <row r="53" ht="15.75" customHeight="1">
      <c r="J53" s="40">
        <f>J52/J45*100</f>
        <v>-9.288217663986384</v>
      </c>
    </row>
    <row r="54" ht="15.75" customHeight="1"/>
    <row r="55" ht="18" customHeight="1"/>
    <row r="56" ht="18" customHeight="1"/>
    <row r="57" ht="13.5" customHeight="1"/>
    <row r="59" ht="18" customHeight="1"/>
    <row r="60" ht="13.5" customHeight="1"/>
    <row r="61" ht="15.75" customHeight="1"/>
    <row r="63" ht="13.5" customHeight="1"/>
    <row r="64" ht="12" customHeight="1"/>
    <row r="65" ht="15.75" customHeight="1"/>
    <row r="66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18">
    <mergeCell ref="A2:T2"/>
    <mergeCell ref="B8:B9"/>
    <mergeCell ref="C8:C9"/>
    <mergeCell ref="D8:D9"/>
    <mergeCell ref="A7:A9"/>
    <mergeCell ref="A4:T4"/>
    <mergeCell ref="R7:R9"/>
    <mergeCell ref="B7:G7"/>
    <mergeCell ref="H7:M7"/>
    <mergeCell ref="N7:Q7"/>
    <mergeCell ref="S7:T7"/>
    <mergeCell ref="S8:T8"/>
    <mergeCell ref="N8:N9"/>
    <mergeCell ref="O8:O9"/>
    <mergeCell ref="P8:P9"/>
    <mergeCell ref="H8:H9"/>
    <mergeCell ref="I8:I9"/>
    <mergeCell ref="J8:J9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8"/>
  <sheetViews>
    <sheetView showZeros="0" view="pageBreakPreview" zoomScale="85" zoomScaleNormal="85" zoomScaleSheetLayoutView="85" zoomScalePageLayoutView="0" workbookViewId="0" topLeftCell="A1">
      <pane xSplit="1" ySplit="10" topLeftCell="F11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L20" sqref="L20"/>
    </sheetView>
  </sheetViews>
  <sheetFormatPr defaultColWidth="8.796875" defaultRowHeight="15"/>
  <cols>
    <col min="1" max="1" width="26.8984375" style="82" customWidth="1"/>
    <col min="2" max="4" width="20.796875" style="43" customWidth="1"/>
    <col min="5" max="5" width="13.3984375" style="43" hidden="1" customWidth="1"/>
    <col min="6" max="6" width="8.69921875" style="43" customWidth="1"/>
    <col min="7" max="9" width="20.796875" style="44" customWidth="1"/>
    <col min="10" max="10" width="1.69921875" style="44" hidden="1" customWidth="1"/>
    <col min="11" max="11" width="8.69921875" style="44" customWidth="1"/>
    <col min="12" max="12" width="5.69921875" style="44" customWidth="1"/>
    <col min="13" max="13" width="21.59765625" style="44" customWidth="1"/>
    <col min="14" max="16384" width="8.8984375" style="44" customWidth="1"/>
  </cols>
  <sheetData>
    <row r="1" s="40" customFormat="1" ht="17.25" customHeight="1">
      <c r="A1" s="93"/>
    </row>
    <row r="2" spans="1:11" s="133" customFormat="1" ht="24" customHeight="1">
      <c r="A2" s="310" t="s">
        <v>239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="111" customFormat="1" ht="15" customHeight="1"/>
    <row r="4" spans="1:11" s="111" customFormat="1" ht="21" customHeight="1">
      <c r="A4" s="310" t="s">
        <v>19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s="40" customFormat="1" ht="22.5" customHeight="1">
      <c r="A5" s="93"/>
      <c r="K5" s="94" t="s">
        <v>250</v>
      </c>
    </row>
    <row r="6" spans="1:11" s="40" customFormat="1" ht="22.5" customHeight="1" thickBot="1">
      <c r="A6" s="93"/>
      <c r="K6" s="94" t="s">
        <v>246</v>
      </c>
    </row>
    <row r="7" spans="1:11" s="93" customFormat="1" ht="23.25" customHeight="1" thickBot="1">
      <c r="A7" s="321" t="s">
        <v>229</v>
      </c>
      <c r="B7" s="376" t="s">
        <v>157</v>
      </c>
      <c r="C7" s="377"/>
      <c r="D7" s="377"/>
      <c r="E7" s="377"/>
      <c r="F7" s="378"/>
      <c r="G7" s="376" t="s">
        <v>158</v>
      </c>
      <c r="H7" s="377"/>
      <c r="I7" s="377"/>
      <c r="J7" s="377"/>
      <c r="K7" s="378"/>
    </row>
    <row r="8" spans="1:11" s="108" customFormat="1" ht="18" customHeight="1">
      <c r="A8" s="322"/>
      <c r="B8" s="328" t="s">
        <v>242</v>
      </c>
      <c r="C8" s="320" t="s">
        <v>244</v>
      </c>
      <c r="D8" s="320" t="s">
        <v>243</v>
      </c>
      <c r="E8" s="161"/>
      <c r="F8" s="161" t="s">
        <v>0</v>
      </c>
      <c r="G8" s="328" t="s">
        <v>242</v>
      </c>
      <c r="H8" s="320" t="s">
        <v>244</v>
      </c>
      <c r="I8" s="320" t="s">
        <v>243</v>
      </c>
      <c r="J8" s="161"/>
      <c r="K8" s="161" t="s">
        <v>0</v>
      </c>
    </row>
    <row r="9" spans="1:11" s="108" customFormat="1" ht="18" customHeight="1" thickBot="1">
      <c r="A9" s="323"/>
      <c r="B9" s="290"/>
      <c r="C9" s="292"/>
      <c r="D9" s="292"/>
      <c r="E9" s="89"/>
      <c r="F9" s="89" t="s">
        <v>11</v>
      </c>
      <c r="G9" s="290"/>
      <c r="H9" s="292"/>
      <c r="I9" s="292"/>
      <c r="J9" s="89"/>
      <c r="K9" s="89" t="s">
        <v>11</v>
      </c>
    </row>
    <row r="10" spans="1:11" s="108" customFormat="1" ht="18" customHeight="1">
      <c r="A10" s="118"/>
      <c r="B10" s="53"/>
      <c r="C10" s="54"/>
      <c r="D10" s="54"/>
      <c r="E10" s="54" t="s">
        <v>179</v>
      </c>
      <c r="F10" s="55"/>
      <c r="G10" s="53"/>
      <c r="H10" s="54"/>
      <c r="I10" s="54"/>
      <c r="J10" s="54" t="s">
        <v>179</v>
      </c>
      <c r="K10" s="55"/>
    </row>
    <row r="11" spans="1:11" s="108" customFormat="1" ht="15.75" customHeight="1" thickBot="1">
      <c r="A11" s="118"/>
      <c r="B11" s="53"/>
      <c r="C11" s="54"/>
      <c r="D11" s="54"/>
      <c r="E11" s="54"/>
      <c r="F11" s="55"/>
      <c r="G11" s="53"/>
      <c r="H11" s="54"/>
      <c r="I11" s="54"/>
      <c r="J11" s="54"/>
      <c r="K11" s="55"/>
    </row>
    <row r="12" spans="1:11" ht="15.75" customHeight="1">
      <c r="A12" s="95" t="s">
        <v>191</v>
      </c>
      <c r="B12" s="73">
        <v>291286</v>
      </c>
      <c r="C12" s="74">
        <v>342679</v>
      </c>
      <c r="D12" s="74">
        <f>ROUND(E12/1000,0)</f>
        <v>331787</v>
      </c>
      <c r="E12" s="74">
        <f>475941694-144154309</f>
        <v>331787385</v>
      </c>
      <c r="F12" s="76">
        <f>SUM(D12/C12*100)</f>
        <v>96.82151517892838</v>
      </c>
      <c r="G12" s="154">
        <v>166338</v>
      </c>
      <c r="H12" s="156">
        <f>238879</f>
        <v>238879</v>
      </c>
      <c r="I12" s="156">
        <v>112354</v>
      </c>
      <c r="J12" s="163">
        <v>84999226</v>
      </c>
      <c r="K12" s="155">
        <f>SUM(I12/H12*100)</f>
        <v>47.033853959535996</v>
      </c>
    </row>
    <row r="13" spans="1:11" ht="15.75" customHeight="1">
      <c r="A13" s="96" t="s">
        <v>192</v>
      </c>
      <c r="B13" s="56">
        <v>48762</v>
      </c>
      <c r="C13" s="48">
        <v>63567</v>
      </c>
      <c r="D13" s="48">
        <f aca="true" t="shared" si="0" ref="D13:D40">ROUND(E13/1000,0)</f>
        <v>47755</v>
      </c>
      <c r="E13" s="48">
        <f>106658865-58904298</f>
        <v>47754567</v>
      </c>
      <c r="F13" s="57">
        <f aca="true" t="shared" si="1" ref="F13:F40">SUM(D13/C13*100)</f>
        <v>75.12545817798544</v>
      </c>
      <c r="G13" s="215">
        <v>12310</v>
      </c>
      <c r="H13" s="1">
        <v>14650</v>
      </c>
      <c r="I13" s="1">
        <f>14010+1</f>
        <v>14011</v>
      </c>
      <c r="J13" s="50">
        <v>22668380</v>
      </c>
      <c r="K13" s="144">
        <f aca="true" t="shared" si="2" ref="K13:K40">SUM(I13/H13*100)</f>
        <v>95.6382252559727</v>
      </c>
    </row>
    <row r="14" spans="1:11" ht="15.75" customHeight="1">
      <c r="A14" s="96" t="s">
        <v>193</v>
      </c>
      <c r="B14" s="56">
        <v>62264</v>
      </c>
      <c r="C14" s="48">
        <v>65351</v>
      </c>
      <c r="D14" s="48">
        <f t="shared" si="0"/>
        <v>40937</v>
      </c>
      <c r="E14" s="48">
        <f>177772418-136835473</f>
        <v>40936945</v>
      </c>
      <c r="F14" s="57">
        <f t="shared" si="1"/>
        <v>62.641734632981894</v>
      </c>
      <c r="G14" s="215">
        <v>67391</v>
      </c>
      <c r="H14" s="1">
        <v>121588</v>
      </c>
      <c r="I14" s="1">
        <v>31498</v>
      </c>
      <c r="J14" s="50">
        <v>35300631</v>
      </c>
      <c r="K14" s="144">
        <f t="shared" si="2"/>
        <v>25.9055169918084</v>
      </c>
    </row>
    <row r="15" spans="1:11" s="108" customFormat="1" ht="15.75" customHeight="1">
      <c r="A15" s="120" t="s">
        <v>194</v>
      </c>
      <c r="B15" s="56">
        <v>38743</v>
      </c>
      <c r="C15" s="48">
        <v>43879</v>
      </c>
      <c r="D15" s="48">
        <f t="shared" si="0"/>
        <v>40114</v>
      </c>
      <c r="E15" s="48">
        <f>109715185-69601343</f>
        <v>40113842</v>
      </c>
      <c r="F15" s="57">
        <f t="shared" si="1"/>
        <v>91.41958567879851</v>
      </c>
      <c r="G15" s="216">
        <v>7850</v>
      </c>
      <c r="H15" s="217">
        <v>20085</v>
      </c>
      <c r="I15" s="217">
        <v>11447</v>
      </c>
      <c r="J15" s="42">
        <v>21767413</v>
      </c>
      <c r="K15" s="57">
        <f t="shared" si="2"/>
        <v>56.99278068210107</v>
      </c>
    </row>
    <row r="16" spans="1:11" s="108" customFormat="1" ht="15.75" customHeight="1">
      <c r="A16" s="120" t="s">
        <v>195</v>
      </c>
      <c r="B16" s="56">
        <v>43433</v>
      </c>
      <c r="C16" s="48">
        <v>52481</v>
      </c>
      <c r="D16" s="48">
        <f t="shared" si="0"/>
        <v>46745</v>
      </c>
      <c r="E16" s="48">
        <f>109555870-62811350</f>
        <v>46744520</v>
      </c>
      <c r="F16" s="57">
        <f t="shared" si="1"/>
        <v>89.07033021474439</v>
      </c>
      <c r="G16" s="216">
        <v>3122</v>
      </c>
      <c r="H16" s="217">
        <v>11136</v>
      </c>
      <c r="I16" s="217">
        <v>4027</v>
      </c>
      <c r="J16" s="42">
        <v>3129248</v>
      </c>
      <c r="K16" s="57">
        <f t="shared" si="2"/>
        <v>36.16199712643678</v>
      </c>
    </row>
    <row r="17" spans="1:11" s="108" customFormat="1" ht="15.75" customHeight="1">
      <c r="A17" s="120" t="s">
        <v>196</v>
      </c>
      <c r="B17" s="56">
        <v>13848</v>
      </c>
      <c r="C17" s="48">
        <v>15242</v>
      </c>
      <c r="D17" s="48">
        <f t="shared" si="0"/>
        <v>12959</v>
      </c>
      <c r="E17" s="48">
        <f>21175582-8216956</f>
        <v>12958626</v>
      </c>
      <c r="F17" s="57">
        <f t="shared" si="1"/>
        <v>85.0216507020076</v>
      </c>
      <c r="G17" s="56">
        <v>445</v>
      </c>
      <c r="H17" s="48">
        <v>7056</v>
      </c>
      <c r="I17" s="48">
        <v>5148</v>
      </c>
      <c r="J17" s="42">
        <v>1580350</v>
      </c>
      <c r="K17" s="57">
        <f t="shared" si="2"/>
        <v>72.95918367346938</v>
      </c>
    </row>
    <row r="18" spans="1:11" s="108" customFormat="1" ht="15.75" customHeight="1">
      <c r="A18" s="120" t="s">
        <v>197</v>
      </c>
      <c r="B18" s="56">
        <v>94521</v>
      </c>
      <c r="C18" s="48">
        <v>105233</v>
      </c>
      <c r="D18" s="48">
        <f t="shared" si="0"/>
        <v>93897</v>
      </c>
      <c r="E18" s="48">
        <f>264210172-170313357</f>
        <v>93896815</v>
      </c>
      <c r="F18" s="57">
        <f t="shared" si="1"/>
        <v>89.2277137399865</v>
      </c>
      <c r="G18" s="56">
        <v>13950</v>
      </c>
      <c r="H18" s="48">
        <v>43986</v>
      </c>
      <c r="I18" s="48">
        <v>42454</v>
      </c>
      <c r="J18" s="42">
        <v>31384283</v>
      </c>
      <c r="K18" s="57">
        <f t="shared" si="2"/>
        <v>96.51707361433182</v>
      </c>
    </row>
    <row r="19" spans="1:11" s="108" customFormat="1" ht="15.75" customHeight="1">
      <c r="A19" s="120" t="s">
        <v>198</v>
      </c>
      <c r="B19" s="56">
        <v>107606</v>
      </c>
      <c r="C19" s="48">
        <v>153897</v>
      </c>
      <c r="D19" s="48">
        <f t="shared" si="0"/>
        <v>98669</v>
      </c>
      <c r="E19" s="48">
        <f>404726319-306057324</f>
        <v>98668995</v>
      </c>
      <c r="F19" s="57">
        <f t="shared" si="1"/>
        <v>64.11366043522617</v>
      </c>
      <c r="G19" s="56">
        <v>50269</v>
      </c>
      <c r="H19" s="48">
        <v>125654</v>
      </c>
      <c r="I19" s="48">
        <v>39196</v>
      </c>
      <c r="J19" s="42">
        <v>63470382</v>
      </c>
      <c r="K19" s="57">
        <f t="shared" si="2"/>
        <v>31.19359511038248</v>
      </c>
    </row>
    <row r="20" spans="1:11" s="108" customFormat="1" ht="15.75" customHeight="1">
      <c r="A20" s="120" t="s">
        <v>199</v>
      </c>
      <c r="B20" s="56">
        <v>7690</v>
      </c>
      <c r="C20" s="48">
        <v>8014</v>
      </c>
      <c r="D20" s="48">
        <f t="shared" si="0"/>
        <v>6985</v>
      </c>
      <c r="E20" s="48">
        <f>15544227-8559669</f>
        <v>6984558</v>
      </c>
      <c r="F20" s="57">
        <f t="shared" si="1"/>
        <v>87.15997005240828</v>
      </c>
      <c r="G20" s="216">
        <v>1225</v>
      </c>
      <c r="H20" s="217">
        <v>3140</v>
      </c>
      <c r="I20" s="217">
        <v>1097</v>
      </c>
      <c r="J20" s="42">
        <v>3111369</v>
      </c>
      <c r="K20" s="57">
        <f t="shared" si="2"/>
        <v>34.93630573248407</v>
      </c>
    </row>
    <row r="21" spans="1:11" s="108" customFormat="1" ht="15.75" customHeight="1">
      <c r="A21" s="120" t="s">
        <v>200</v>
      </c>
      <c r="B21" s="56">
        <v>26035</v>
      </c>
      <c r="C21" s="48">
        <v>29955</v>
      </c>
      <c r="D21" s="48">
        <f t="shared" si="0"/>
        <v>26639</v>
      </c>
      <c r="E21" s="48">
        <f>66353686-39714296</f>
        <v>26639390</v>
      </c>
      <c r="F21" s="57">
        <f t="shared" si="1"/>
        <v>88.93006175930563</v>
      </c>
      <c r="G21" s="56">
        <v>2500</v>
      </c>
      <c r="H21" s="48">
        <v>15451</v>
      </c>
      <c r="I21" s="48">
        <v>13494</v>
      </c>
      <c r="J21" s="42">
        <v>11000893</v>
      </c>
      <c r="K21" s="57">
        <f t="shared" si="2"/>
        <v>87.3341531292473</v>
      </c>
    </row>
    <row r="22" spans="1:11" s="108" customFormat="1" ht="15.75" customHeight="1">
      <c r="A22" s="120" t="s">
        <v>201</v>
      </c>
      <c r="B22" s="56">
        <v>15377</v>
      </c>
      <c r="C22" s="48">
        <v>18092</v>
      </c>
      <c r="D22" s="48">
        <f t="shared" si="0"/>
        <v>14793</v>
      </c>
      <c r="E22" s="48">
        <f>18833491-4040692</f>
        <v>14792799</v>
      </c>
      <c r="F22" s="57">
        <f t="shared" si="1"/>
        <v>81.76542118063233</v>
      </c>
      <c r="G22" s="56">
        <v>5250</v>
      </c>
      <c r="H22" s="48">
        <v>10801</v>
      </c>
      <c r="I22" s="48">
        <v>7698</v>
      </c>
      <c r="J22" s="42">
        <v>14586593</v>
      </c>
      <c r="K22" s="57">
        <f t="shared" si="2"/>
        <v>71.27117859457458</v>
      </c>
    </row>
    <row r="23" spans="1:11" s="108" customFormat="1" ht="15.75" customHeight="1">
      <c r="A23" s="120" t="s">
        <v>202</v>
      </c>
      <c r="B23" s="56">
        <v>16076</v>
      </c>
      <c r="C23" s="48">
        <v>18937</v>
      </c>
      <c r="D23" s="48">
        <f t="shared" si="0"/>
        <v>17721</v>
      </c>
      <c r="E23" s="48">
        <f>44242407-26521236</f>
        <v>17721171</v>
      </c>
      <c r="F23" s="57">
        <f t="shared" si="1"/>
        <v>93.57870834873529</v>
      </c>
      <c r="G23" s="56">
        <v>270</v>
      </c>
      <c r="H23" s="48">
        <v>6349</v>
      </c>
      <c r="I23" s="48">
        <v>5507</v>
      </c>
      <c r="J23" s="42">
        <v>840968</v>
      </c>
      <c r="K23" s="57">
        <f t="shared" si="2"/>
        <v>86.73806898724209</v>
      </c>
    </row>
    <row r="24" spans="1:11" s="108" customFormat="1" ht="15.75" customHeight="1">
      <c r="A24" s="120" t="s">
        <v>203</v>
      </c>
      <c r="B24" s="56">
        <v>191409</v>
      </c>
      <c r="C24" s="48">
        <v>229007</v>
      </c>
      <c r="D24" s="48">
        <f t="shared" si="0"/>
        <v>197813</v>
      </c>
      <c r="E24" s="48">
        <f>466360049-268546723</f>
        <v>197813326</v>
      </c>
      <c r="F24" s="57">
        <f t="shared" si="1"/>
        <v>86.37858231407773</v>
      </c>
      <c r="G24" s="56">
        <v>42409</v>
      </c>
      <c r="H24" s="48">
        <v>123405</v>
      </c>
      <c r="I24" s="48">
        <v>46216</v>
      </c>
      <c r="J24" s="42">
        <v>83501195</v>
      </c>
      <c r="K24" s="57">
        <f t="shared" si="2"/>
        <v>37.45067055629836</v>
      </c>
    </row>
    <row r="25" spans="1:11" s="108" customFormat="1" ht="15.75" customHeight="1">
      <c r="A25" s="120" t="s">
        <v>204</v>
      </c>
      <c r="B25" s="56">
        <v>24402</v>
      </c>
      <c r="C25" s="48">
        <v>26166</v>
      </c>
      <c r="D25" s="48">
        <f t="shared" si="0"/>
        <v>23964</v>
      </c>
      <c r="E25" s="48">
        <f>31008836-7044616</f>
        <v>23964220</v>
      </c>
      <c r="F25" s="57">
        <f t="shared" si="1"/>
        <v>91.58449896812658</v>
      </c>
      <c r="G25" s="216">
        <v>6142</v>
      </c>
      <c r="H25" s="217">
        <v>8018</v>
      </c>
      <c r="I25" s="217">
        <v>7755</v>
      </c>
      <c r="J25" s="42">
        <v>8073674</v>
      </c>
      <c r="K25" s="57">
        <f t="shared" si="2"/>
        <v>96.71988026939387</v>
      </c>
    </row>
    <row r="26" spans="1:11" s="108" customFormat="1" ht="15.75" customHeight="1">
      <c r="A26" s="120" t="s">
        <v>205</v>
      </c>
      <c r="B26" s="56">
        <v>106738</v>
      </c>
      <c r="C26" s="48">
        <v>131913</v>
      </c>
      <c r="D26" s="48">
        <f t="shared" si="0"/>
        <v>116248</v>
      </c>
      <c r="E26" s="48">
        <f>273486182-157238310</f>
        <v>116247872</v>
      </c>
      <c r="F26" s="57">
        <f t="shared" si="1"/>
        <v>88.12474888752435</v>
      </c>
      <c r="G26" s="56">
        <v>56035</v>
      </c>
      <c r="H26" s="48">
        <v>66522</v>
      </c>
      <c r="I26" s="48">
        <v>30601</v>
      </c>
      <c r="J26" s="42">
        <v>30824897</v>
      </c>
      <c r="K26" s="57">
        <f t="shared" si="2"/>
        <v>46.00132287062927</v>
      </c>
    </row>
    <row r="27" spans="1:11" s="108" customFormat="1" ht="15.75" customHeight="1">
      <c r="A27" s="120" t="s">
        <v>206</v>
      </c>
      <c r="B27" s="56">
        <v>35345</v>
      </c>
      <c r="C27" s="48">
        <v>39036</v>
      </c>
      <c r="D27" s="48">
        <f t="shared" si="0"/>
        <v>32937</v>
      </c>
      <c r="E27" s="48">
        <f>64438298-31501400</f>
        <v>32936898</v>
      </c>
      <c r="F27" s="57">
        <f t="shared" si="1"/>
        <v>84.37596065170612</v>
      </c>
      <c r="G27" s="56">
        <v>20686</v>
      </c>
      <c r="H27" s="48">
        <v>35091</v>
      </c>
      <c r="I27" s="48">
        <v>13250</v>
      </c>
      <c r="J27" s="42">
        <v>11258217</v>
      </c>
      <c r="K27" s="57">
        <f t="shared" si="2"/>
        <v>37.75896953634835</v>
      </c>
    </row>
    <row r="28" spans="1:11" s="108" customFormat="1" ht="15.75" customHeight="1">
      <c r="A28" s="120" t="s">
        <v>207</v>
      </c>
      <c r="B28" s="56">
        <v>48072</v>
      </c>
      <c r="C28" s="48">
        <v>56205</v>
      </c>
      <c r="D28" s="48">
        <f t="shared" si="0"/>
        <v>50187</v>
      </c>
      <c r="E28" s="48">
        <f>141737682-91550689</f>
        <v>50186993</v>
      </c>
      <c r="F28" s="57">
        <f t="shared" si="1"/>
        <v>89.29276754737123</v>
      </c>
      <c r="G28" s="216">
        <v>9770</v>
      </c>
      <c r="H28" s="217">
        <v>28052</v>
      </c>
      <c r="I28" s="217">
        <v>13366</v>
      </c>
      <c r="J28" s="42">
        <v>20733092</v>
      </c>
      <c r="K28" s="57">
        <f t="shared" si="2"/>
        <v>47.64722657921004</v>
      </c>
    </row>
    <row r="29" spans="1:11" s="108" customFormat="1" ht="15.75" customHeight="1">
      <c r="A29" s="120" t="s">
        <v>208</v>
      </c>
      <c r="B29" s="56">
        <v>44193</v>
      </c>
      <c r="C29" s="48">
        <v>47900</v>
      </c>
      <c r="D29" s="48">
        <f t="shared" si="0"/>
        <v>41466</v>
      </c>
      <c r="E29" s="48">
        <f>129572566-88106846</f>
        <v>41465720</v>
      </c>
      <c r="F29" s="57">
        <f t="shared" si="1"/>
        <v>86.5678496868476</v>
      </c>
      <c r="G29" s="216">
        <v>12815</v>
      </c>
      <c r="H29" s="217">
        <v>3972</v>
      </c>
      <c r="I29" s="217">
        <v>1043</v>
      </c>
      <c r="J29" s="42">
        <v>76520945</v>
      </c>
      <c r="K29" s="57">
        <f t="shared" si="2"/>
        <v>26.25881168177241</v>
      </c>
    </row>
    <row r="30" spans="1:11" s="108" customFormat="1" ht="15.75" customHeight="1">
      <c r="A30" s="120" t="s">
        <v>209</v>
      </c>
      <c r="B30" s="56">
        <v>98055</v>
      </c>
      <c r="C30" s="48">
        <v>107294</v>
      </c>
      <c r="D30" s="48">
        <f t="shared" si="0"/>
        <v>95346</v>
      </c>
      <c r="E30" s="48">
        <f>249794340-154447975</f>
        <v>95346365</v>
      </c>
      <c r="F30" s="57">
        <f t="shared" si="1"/>
        <v>88.86424217570415</v>
      </c>
      <c r="G30" s="56">
        <v>49104</v>
      </c>
      <c r="H30" s="48">
        <v>66308</v>
      </c>
      <c r="I30" s="48">
        <v>24422</v>
      </c>
      <c r="J30" s="42">
        <v>45494346</v>
      </c>
      <c r="K30" s="57">
        <f t="shared" si="2"/>
        <v>36.831151595584245</v>
      </c>
    </row>
    <row r="31" spans="1:11" s="108" customFormat="1" ht="15.75" customHeight="1">
      <c r="A31" s="120" t="s">
        <v>210</v>
      </c>
      <c r="B31" s="56">
        <v>42676</v>
      </c>
      <c r="C31" s="48">
        <v>52298</v>
      </c>
      <c r="D31" s="48">
        <f t="shared" si="0"/>
        <v>45783</v>
      </c>
      <c r="E31" s="48">
        <f>116658490-70875230</f>
        <v>45783260</v>
      </c>
      <c r="F31" s="57">
        <f t="shared" si="1"/>
        <v>87.54254464797889</v>
      </c>
      <c r="G31" s="56">
        <v>1000</v>
      </c>
      <c r="H31" s="48">
        <v>13255</v>
      </c>
      <c r="I31" s="48">
        <v>10556</v>
      </c>
      <c r="J31" s="42">
        <v>67168931</v>
      </c>
      <c r="K31" s="57">
        <f t="shared" si="2"/>
        <v>79.63787250094305</v>
      </c>
    </row>
    <row r="32" spans="1:11" s="108" customFormat="1" ht="15.75" customHeight="1">
      <c r="A32" s="120" t="s">
        <v>211</v>
      </c>
      <c r="B32" s="56">
        <v>27515</v>
      </c>
      <c r="C32" s="48">
        <v>29602</v>
      </c>
      <c r="D32" s="48">
        <f t="shared" si="0"/>
        <v>25173</v>
      </c>
      <c r="E32" s="48">
        <f>66904090-41731582</f>
        <v>25172508</v>
      </c>
      <c r="F32" s="57">
        <f t="shared" si="1"/>
        <v>85.03817309641241</v>
      </c>
      <c r="G32" s="216">
        <v>2935</v>
      </c>
      <c r="H32" s="217">
        <v>9943</v>
      </c>
      <c r="I32" s="217">
        <v>7949</v>
      </c>
      <c r="J32" s="42">
        <v>10520083</v>
      </c>
      <c r="K32" s="57">
        <f t="shared" si="2"/>
        <v>79.94569043548225</v>
      </c>
    </row>
    <row r="33" spans="1:11" s="108" customFormat="1" ht="15.75" customHeight="1">
      <c r="A33" s="120" t="s">
        <v>212</v>
      </c>
      <c r="B33" s="56">
        <v>16449</v>
      </c>
      <c r="C33" s="48">
        <v>18479</v>
      </c>
      <c r="D33" s="48">
        <f t="shared" si="0"/>
        <v>15665</v>
      </c>
      <c r="E33" s="48">
        <f>35936615-20271248</f>
        <v>15665367</v>
      </c>
      <c r="F33" s="57">
        <f t="shared" si="1"/>
        <v>84.77190324151739</v>
      </c>
      <c r="G33" s="56">
        <v>100</v>
      </c>
      <c r="H33" s="48">
        <v>1248</v>
      </c>
      <c r="I33" s="48">
        <v>617</v>
      </c>
      <c r="J33" s="42">
        <v>7029197</v>
      </c>
      <c r="K33" s="57">
        <f t="shared" si="2"/>
        <v>49.43910256410257</v>
      </c>
    </row>
    <row r="34" spans="1:11" s="108" customFormat="1" ht="15.75" customHeight="1">
      <c r="A34" s="120" t="s">
        <v>213</v>
      </c>
      <c r="B34" s="56">
        <v>150387</v>
      </c>
      <c r="C34" s="48">
        <v>172939</v>
      </c>
      <c r="D34" s="48">
        <f t="shared" si="0"/>
        <v>141334</v>
      </c>
      <c r="E34" s="48">
        <f>394512047-253177881</f>
        <v>141334166</v>
      </c>
      <c r="F34" s="57">
        <f t="shared" si="1"/>
        <v>81.72477000560892</v>
      </c>
      <c r="G34" s="56">
        <v>108481</v>
      </c>
      <c r="H34" s="48">
        <v>190218</v>
      </c>
      <c r="I34" s="48">
        <v>48969</v>
      </c>
      <c r="J34" s="42">
        <v>59263995</v>
      </c>
      <c r="K34" s="57">
        <f t="shared" si="2"/>
        <v>25.74362047755733</v>
      </c>
    </row>
    <row r="35" spans="1:11" s="108" customFormat="1" ht="15.75" customHeight="1">
      <c r="A35" s="120" t="s">
        <v>214</v>
      </c>
      <c r="B35" s="56">
        <v>20930</v>
      </c>
      <c r="C35" s="48">
        <v>26461</v>
      </c>
      <c r="D35" s="48">
        <f t="shared" si="0"/>
        <v>24371</v>
      </c>
      <c r="E35" s="48">
        <f>65536403-41165041</f>
        <v>24371362</v>
      </c>
      <c r="F35" s="57">
        <f t="shared" si="1"/>
        <v>92.10158346245417</v>
      </c>
      <c r="G35" s="56">
        <v>51</v>
      </c>
      <c r="H35" s="48">
        <v>706</v>
      </c>
      <c r="I35" s="48">
        <v>697</v>
      </c>
      <c r="J35" s="42">
        <v>8877430</v>
      </c>
      <c r="K35" s="57">
        <f t="shared" si="2"/>
        <v>98.72521246458923</v>
      </c>
    </row>
    <row r="36" spans="1:11" s="108" customFormat="1" ht="15.75" customHeight="1">
      <c r="A36" s="120" t="s">
        <v>215</v>
      </c>
      <c r="B36" s="56">
        <v>55198</v>
      </c>
      <c r="C36" s="48">
        <v>56357</v>
      </c>
      <c r="D36" s="48">
        <f t="shared" si="0"/>
        <v>53807</v>
      </c>
      <c r="E36" s="48">
        <f>99982090-46175242</f>
        <v>53806848</v>
      </c>
      <c r="F36" s="57">
        <f t="shared" si="1"/>
        <v>95.47527370158099</v>
      </c>
      <c r="G36" s="56">
        <v>32710</v>
      </c>
      <c r="H36" s="48">
        <v>40280</v>
      </c>
      <c r="I36" s="48">
        <v>32425</v>
      </c>
      <c r="J36" s="42">
        <v>28638379</v>
      </c>
      <c r="K36" s="57">
        <f t="shared" si="2"/>
        <v>80.49900695134062</v>
      </c>
    </row>
    <row r="37" spans="1:11" s="108" customFormat="1" ht="15.75" customHeight="1">
      <c r="A37" s="120" t="s">
        <v>216</v>
      </c>
      <c r="B37" s="56">
        <v>5009</v>
      </c>
      <c r="C37" s="48">
        <v>6585</v>
      </c>
      <c r="D37" s="48">
        <f t="shared" si="0"/>
        <v>5189</v>
      </c>
      <c r="E37" s="48">
        <f>11698278-6508974</f>
        <v>5189304</v>
      </c>
      <c r="F37" s="57">
        <f t="shared" si="1"/>
        <v>78.80030372057706</v>
      </c>
      <c r="G37" s="56">
        <v>0</v>
      </c>
      <c r="H37" s="48">
        <v>380</v>
      </c>
      <c r="I37" s="48">
        <v>376</v>
      </c>
      <c r="J37" s="42">
        <v>2665892</v>
      </c>
      <c r="K37" s="57">
        <f t="shared" si="2"/>
        <v>98.94736842105263</v>
      </c>
    </row>
    <row r="38" spans="1:11" s="108" customFormat="1" ht="15.75" customHeight="1">
      <c r="A38" s="120" t="s">
        <v>217</v>
      </c>
      <c r="B38" s="56">
        <v>6318</v>
      </c>
      <c r="C38" s="48">
        <v>7491</v>
      </c>
      <c r="D38" s="48">
        <f t="shared" si="0"/>
        <v>6772</v>
      </c>
      <c r="E38" s="48">
        <f>17154274-10382016</f>
        <v>6772258</v>
      </c>
      <c r="F38" s="57">
        <f t="shared" si="1"/>
        <v>90.40181551194767</v>
      </c>
      <c r="G38" s="56">
        <v>0</v>
      </c>
      <c r="H38" s="48">
        <v>397</v>
      </c>
      <c r="I38" s="48">
        <v>295</v>
      </c>
      <c r="J38" s="42">
        <v>4841469</v>
      </c>
      <c r="K38" s="57">
        <f t="shared" si="2"/>
        <v>74.3073047858942</v>
      </c>
    </row>
    <row r="39" spans="1:11" s="108" customFormat="1" ht="15.75" customHeight="1">
      <c r="A39" s="120" t="s">
        <v>218</v>
      </c>
      <c r="B39" s="56">
        <v>2816</v>
      </c>
      <c r="C39" s="48">
        <v>3655</v>
      </c>
      <c r="D39" s="48">
        <f t="shared" si="0"/>
        <v>3238</v>
      </c>
      <c r="E39" s="48">
        <f>7140139-3902071</f>
        <v>3238068</v>
      </c>
      <c r="F39" s="57">
        <f t="shared" si="1"/>
        <v>88.59097127222982</v>
      </c>
      <c r="G39" s="56">
        <v>41</v>
      </c>
      <c r="H39" s="48">
        <v>409</v>
      </c>
      <c r="I39" s="48">
        <v>368</v>
      </c>
      <c r="J39" s="42">
        <v>2456520</v>
      </c>
      <c r="K39" s="57">
        <f t="shared" si="2"/>
        <v>89.97555012224939</v>
      </c>
    </row>
    <row r="40" spans="1:11" s="108" customFormat="1" ht="15.75" customHeight="1" thickBot="1">
      <c r="A40" s="121" t="s">
        <v>219</v>
      </c>
      <c r="B40" s="61">
        <v>2241</v>
      </c>
      <c r="C40" s="62">
        <v>2655</v>
      </c>
      <c r="D40" s="62">
        <f t="shared" si="0"/>
        <v>2211</v>
      </c>
      <c r="E40" s="62">
        <f>4311058-2100000</f>
        <v>2211058</v>
      </c>
      <c r="F40" s="63">
        <f t="shared" si="1"/>
        <v>83.2768361581921</v>
      </c>
      <c r="G40" s="61">
        <v>0</v>
      </c>
      <c r="H40" s="62">
        <v>504</v>
      </c>
      <c r="I40" s="62">
        <v>4</v>
      </c>
      <c r="J40" s="51">
        <v>56468</v>
      </c>
      <c r="K40" s="63">
        <f t="shared" si="2"/>
        <v>0.7936507936507936</v>
      </c>
    </row>
    <row r="41" spans="1:11" s="108" customFormat="1" ht="15" customHeight="1" thickBot="1">
      <c r="A41" s="118"/>
      <c r="B41" s="58"/>
      <c r="C41" s="59"/>
      <c r="D41" s="59"/>
      <c r="E41" s="54"/>
      <c r="F41" s="60"/>
      <c r="G41" s="58"/>
      <c r="H41" s="59"/>
      <c r="I41" s="59"/>
      <c r="J41" s="54"/>
      <c r="K41" s="60"/>
    </row>
    <row r="42" spans="1:11" s="108" customFormat="1" ht="18" customHeight="1" thickBot="1">
      <c r="A42" s="122" t="s">
        <v>254</v>
      </c>
      <c r="B42" s="100">
        <f>SUM(B12:B40)</f>
        <v>1643394</v>
      </c>
      <c r="C42" s="101">
        <f>SUM(C12:C40)</f>
        <v>1931370</v>
      </c>
      <c r="D42" s="101">
        <f>SUM(D12:D41)</f>
        <v>1660505</v>
      </c>
      <c r="E42" s="101">
        <f>SUM(E12:E41)</f>
        <v>1660505206</v>
      </c>
      <c r="F42" s="103">
        <f>SUM(D42/C42*100)</f>
        <v>85.97549925700409</v>
      </c>
      <c r="G42" s="100">
        <f>SUM(G12:G40)</f>
        <v>673199</v>
      </c>
      <c r="H42" s="101">
        <f>SUM(H12:H40)</f>
        <v>1207483</v>
      </c>
      <c r="I42" s="101">
        <f>SUM(I12:I40)</f>
        <v>526840</v>
      </c>
      <c r="J42" s="102">
        <f>SUM(J12:J40)</f>
        <v>761764466</v>
      </c>
      <c r="K42" s="103">
        <f>SUM(I42/H42*100)</f>
        <v>43.63125609221827</v>
      </c>
    </row>
    <row r="43" spans="3:11" ht="15.75">
      <c r="C43" s="40"/>
      <c r="D43" s="40"/>
      <c r="F43" s="179"/>
      <c r="K43" s="137"/>
    </row>
    <row r="44" spans="1:10" s="45" customFormat="1" ht="15.75">
      <c r="A44" s="214">
        <v>2012</v>
      </c>
      <c r="B44" s="107">
        <v>1643394</v>
      </c>
      <c r="C44" s="47">
        <v>1931370</v>
      </c>
      <c r="D44" s="47">
        <v>1660505</v>
      </c>
      <c r="E44" s="107">
        <f>3990961366-2330456157</f>
        <v>1660505209</v>
      </c>
      <c r="F44" s="107"/>
      <c r="G44" s="125">
        <v>673199</v>
      </c>
      <c r="H44" s="125">
        <v>1207483</v>
      </c>
      <c r="I44" s="125">
        <v>526840</v>
      </c>
      <c r="J44" s="45">
        <v>761764</v>
      </c>
    </row>
    <row r="45" spans="1:9" ht="15.75">
      <c r="A45" s="82">
        <v>2011</v>
      </c>
      <c r="B45" s="107">
        <v>1654975</v>
      </c>
      <c r="C45" s="107">
        <v>2092507</v>
      </c>
      <c r="D45" s="107">
        <v>1770751</v>
      </c>
      <c r="E45" s="107"/>
      <c r="F45" s="107"/>
      <c r="G45" s="107">
        <v>494494</v>
      </c>
      <c r="H45" s="107">
        <v>1041448</v>
      </c>
      <c r="I45" s="107">
        <v>640562</v>
      </c>
    </row>
    <row r="46" spans="2:5" ht="15.75">
      <c r="B46" s="130">
        <f>B44-B42</f>
        <v>0</v>
      </c>
      <c r="C46" s="130">
        <f>C44-C42</f>
        <v>0</v>
      </c>
      <c r="D46" s="130">
        <f>D44-D42</f>
        <v>0</v>
      </c>
      <c r="E46" s="130">
        <f>E44/1000-E42</f>
        <v>-1658844700.791</v>
      </c>
    </row>
    <row r="47" spans="4:9" ht="15.75">
      <c r="D47" s="43">
        <f>D44/'Příjmy a Výdaje '!J41*100</f>
        <v>75.91417906183067</v>
      </c>
      <c r="I47" s="44">
        <f>I44/'Příjmy a Výdaje '!J41*100</f>
        <v>24.085820938169334</v>
      </c>
    </row>
    <row r="48" ht="15.75" customHeight="1"/>
    <row r="49" spans="4:9" ht="15.75">
      <c r="D49" s="107">
        <f>D44-D45</f>
        <v>-110246</v>
      </c>
      <c r="I49" s="107">
        <f>I44-I45</f>
        <v>-113722</v>
      </c>
    </row>
    <row r="50" spans="4:9" ht="15.75">
      <c r="D50" s="43">
        <f>D49/D45*100</f>
        <v>-6.225945940451255</v>
      </c>
      <c r="I50" s="127">
        <f>I49/I45*100</f>
        <v>-17.753472731757427</v>
      </c>
    </row>
    <row r="52" ht="15.75" customHeight="1"/>
    <row r="53" spans="4:9" ht="15.75" customHeight="1">
      <c r="D53" s="107">
        <f>C42-D42</f>
        <v>270865</v>
      </c>
      <c r="I53" s="125">
        <f>H42-I42</f>
        <v>680643</v>
      </c>
    </row>
    <row r="54" ht="15.75" customHeight="1"/>
    <row r="55" ht="15.75" customHeight="1">
      <c r="D55" s="43">
        <f>496903/D42*100</f>
        <v>29.924812030075188</v>
      </c>
    </row>
    <row r="56" ht="15.75" customHeight="1">
      <c r="D56" s="43">
        <f>358101/D42*100</f>
        <v>21.56578872090117</v>
      </c>
    </row>
    <row r="57" ht="18" customHeight="1">
      <c r="D57" s="43">
        <f>394205/D42*100</f>
        <v>23.740067027801786</v>
      </c>
    </row>
    <row r="58" ht="18" customHeight="1">
      <c r="D58" s="43">
        <f>110865/D42*100</f>
        <v>6.676583328565708</v>
      </c>
    </row>
    <row r="59" ht="13.5" customHeight="1"/>
    <row r="61" ht="18" customHeight="1"/>
    <row r="62" ht="13.5" customHeight="1"/>
    <row r="63" ht="15.75" customHeight="1"/>
    <row r="65" ht="13.5" customHeight="1"/>
    <row r="66" ht="12" customHeight="1"/>
    <row r="67" ht="15.75" customHeight="1"/>
    <row r="68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11">
    <mergeCell ref="A2:K2"/>
    <mergeCell ref="A4:K4"/>
    <mergeCell ref="A7:A9"/>
    <mergeCell ref="B7:F7"/>
    <mergeCell ref="G7:K7"/>
    <mergeCell ref="B8:B9"/>
    <mergeCell ref="C8:C9"/>
    <mergeCell ref="D8:D9"/>
    <mergeCell ref="G8:G9"/>
    <mergeCell ref="H8:H9"/>
    <mergeCell ref="I8:I9"/>
  </mergeCells>
  <printOptions horizontalCentered="1" verticalCentered="1"/>
  <pageMargins left="0.3937007874015748" right="0.3937007874015748" top="0.5905511811023623" bottom="0.6692913385826772" header="0.5118110236220472" footer="0.5118110236220472"/>
  <pageSetup fitToHeight="1" fitToWidth="1" horizontalDpi="600" verticalDpi="600" orientation="landscape" paperSize="9" scale="6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G49"/>
  <sheetViews>
    <sheetView showZeros="0" view="pageBreakPreview" zoomScale="70" zoomScaleNormal="70" zoomScaleSheetLayoutView="70" zoomScalePageLayoutView="0" workbookViewId="0" topLeftCell="A1">
      <pane xSplit="1" ySplit="14" topLeftCell="E15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Y18" sqref="Y18"/>
    </sheetView>
  </sheetViews>
  <sheetFormatPr defaultColWidth="8.796875" defaultRowHeight="15"/>
  <cols>
    <col min="1" max="1" width="27.19921875" style="93" customWidth="1"/>
    <col min="2" max="3" width="10.19921875" style="40" customWidth="1"/>
    <col min="4" max="4" width="9.296875" style="40" customWidth="1"/>
    <col min="5" max="5" width="5.796875" style="40" customWidth="1"/>
    <col min="6" max="7" width="10.09765625" style="40" customWidth="1"/>
    <col min="8" max="8" width="9.296875" style="40" customWidth="1"/>
    <col min="9" max="9" width="5.796875" style="40" customWidth="1"/>
    <col min="10" max="11" width="10.19921875" style="40" customWidth="1"/>
    <col min="12" max="12" width="9.296875" style="40" customWidth="1"/>
    <col min="13" max="13" width="6.3984375" style="40" customWidth="1"/>
    <col min="14" max="15" width="10.09765625" style="40" customWidth="1"/>
    <col min="16" max="16" width="9.296875" style="40" customWidth="1"/>
    <col min="17" max="17" width="5.796875" style="40" customWidth="1"/>
    <col min="18" max="19" width="6.796875" style="40" hidden="1" customWidth="1"/>
    <col min="20" max="20" width="10.69921875" style="40" hidden="1" customWidth="1"/>
    <col min="21" max="21" width="5.796875" style="40" hidden="1" customWidth="1"/>
    <col min="22" max="23" width="9.8984375" style="40" customWidth="1"/>
    <col min="24" max="24" width="9.296875" style="40" customWidth="1"/>
    <col min="25" max="25" width="5.796875" style="40" customWidth="1"/>
    <col min="26" max="27" width="10.19921875" style="40" customWidth="1"/>
    <col min="28" max="28" width="9.296875" style="40" customWidth="1"/>
    <col min="29" max="29" width="5.796875" style="40" customWidth="1"/>
    <col min="30" max="33" width="9.19921875" style="40" customWidth="1"/>
    <col min="34" max="35" width="9.796875" style="40" customWidth="1"/>
    <col min="36" max="39" width="10.796875" style="40" customWidth="1"/>
    <col min="40" max="40" width="7.796875" style="40" customWidth="1"/>
    <col min="41" max="44" width="6.796875" style="40" customWidth="1"/>
    <col min="45" max="47" width="7.796875" style="40" customWidth="1"/>
    <col min="48" max="48" width="5.796875" style="40" customWidth="1"/>
    <col min="49" max="49" width="7.796875" style="40" customWidth="1"/>
    <col min="50" max="50" width="6.796875" style="40" customWidth="1"/>
    <col min="51" max="51" width="7.796875" style="40" customWidth="1"/>
    <col min="52" max="52" width="5.796875" style="40" customWidth="1"/>
    <col min="53" max="55" width="7.796875" style="40" customWidth="1"/>
    <col min="56" max="56" width="8.296875" style="40" customWidth="1"/>
    <col min="57" max="59" width="9.796875" style="40" customWidth="1"/>
    <col min="60" max="60" width="8.09765625" style="40" customWidth="1"/>
    <col min="61" max="16384" width="8.8984375" style="40" customWidth="1"/>
  </cols>
  <sheetData>
    <row r="1" s="108" customFormat="1" ht="17.25" customHeight="1">
      <c r="A1" s="93"/>
    </row>
    <row r="2" spans="1:29" s="111" customFormat="1" ht="24" customHeight="1">
      <c r="A2" s="310" t="s">
        <v>240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</row>
    <row r="3" s="111" customFormat="1" ht="15" customHeight="1"/>
    <row r="4" spans="1:45" s="111" customFormat="1" ht="21" customHeight="1">
      <c r="A4" s="310" t="s">
        <v>156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S4" s="111" t="s">
        <v>96</v>
      </c>
    </row>
    <row r="5" spans="1:59" s="108" customFormat="1" ht="22.5" customHeight="1">
      <c r="A5" s="93"/>
      <c r="AC5" s="94"/>
      <c r="BG5" s="108" t="s">
        <v>97</v>
      </c>
    </row>
    <row r="6" spans="1:29" s="108" customFormat="1" ht="22.5" customHeight="1" thickBot="1">
      <c r="A6" s="93"/>
      <c r="AC6" s="94" t="s">
        <v>251</v>
      </c>
    </row>
    <row r="7" spans="1:29" s="108" customFormat="1" ht="16.5" customHeight="1" thickBot="1">
      <c r="A7" s="321" t="s">
        <v>229</v>
      </c>
      <c r="B7" s="304" t="s">
        <v>156</v>
      </c>
      <c r="C7" s="332"/>
      <c r="D7" s="332"/>
      <c r="E7" s="305"/>
      <c r="F7" s="108" t="s">
        <v>181</v>
      </c>
      <c r="AC7" s="94" t="s">
        <v>1</v>
      </c>
    </row>
    <row r="8" spans="1:29" s="108" customFormat="1" ht="16.5" customHeight="1" thickBot="1">
      <c r="A8" s="322"/>
      <c r="B8" s="379" t="s">
        <v>44</v>
      </c>
      <c r="C8" s="380"/>
      <c r="D8" s="380"/>
      <c r="E8" s="381"/>
      <c r="F8" s="376" t="s">
        <v>98</v>
      </c>
      <c r="G8" s="377"/>
      <c r="H8" s="377"/>
      <c r="I8" s="378"/>
      <c r="J8" s="376" t="s">
        <v>143</v>
      </c>
      <c r="K8" s="377"/>
      <c r="L8" s="377"/>
      <c r="M8" s="378"/>
      <c r="N8" s="376" t="s">
        <v>99</v>
      </c>
      <c r="O8" s="377"/>
      <c r="P8" s="377"/>
      <c r="Q8" s="378"/>
      <c r="R8" s="268" t="s">
        <v>164</v>
      </c>
      <c r="S8" s="268"/>
      <c r="T8" s="268"/>
      <c r="U8" s="268"/>
      <c r="V8" s="376" t="s">
        <v>257</v>
      </c>
      <c r="W8" s="377"/>
      <c r="X8" s="377"/>
      <c r="Y8" s="378"/>
      <c r="Z8" s="376" t="s">
        <v>100</v>
      </c>
      <c r="AA8" s="377"/>
      <c r="AB8" s="377"/>
      <c r="AC8" s="378"/>
    </row>
    <row r="9" spans="1:29" s="108" customFormat="1" ht="18.75" customHeight="1">
      <c r="A9" s="322"/>
      <c r="B9" s="333" t="s">
        <v>242</v>
      </c>
      <c r="C9" s="335" t="s">
        <v>244</v>
      </c>
      <c r="D9" s="335" t="s">
        <v>243</v>
      </c>
      <c r="E9" s="171" t="s">
        <v>0</v>
      </c>
      <c r="F9" s="333" t="s">
        <v>242</v>
      </c>
      <c r="G9" s="335" t="s">
        <v>244</v>
      </c>
      <c r="H9" s="335" t="s">
        <v>243</v>
      </c>
      <c r="I9" s="171" t="s">
        <v>0</v>
      </c>
      <c r="J9" s="333" t="s">
        <v>242</v>
      </c>
      <c r="K9" s="335" t="s">
        <v>244</v>
      </c>
      <c r="L9" s="335" t="s">
        <v>243</v>
      </c>
      <c r="M9" s="171" t="s">
        <v>0</v>
      </c>
      <c r="N9" s="333" t="s">
        <v>242</v>
      </c>
      <c r="O9" s="335" t="s">
        <v>244</v>
      </c>
      <c r="P9" s="335" t="s">
        <v>243</v>
      </c>
      <c r="Q9" s="171" t="s">
        <v>0</v>
      </c>
      <c r="R9" s="54" t="s">
        <v>32</v>
      </c>
      <c r="S9" s="54"/>
      <c r="T9" s="54" t="s">
        <v>2</v>
      </c>
      <c r="U9" s="54" t="s">
        <v>0</v>
      </c>
      <c r="V9" s="333" t="s">
        <v>242</v>
      </c>
      <c r="W9" s="335" t="s">
        <v>244</v>
      </c>
      <c r="X9" s="335" t="s">
        <v>243</v>
      </c>
      <c r="Y9" s="171" t="s">
        <v>0</v>
      </c>
      <c r="Z9" s="333" t="s">
        <v>242</v>
      </c>
      <c r="AA9" s="335" t="s">
        <v>244</v>
      </c>
      <c r="AB9" s="335" t="s">
        <v>243</v>
      </c>
      <c r="AC9" s="171" t="s">
        <v>0</v>
      </c>
    </row>
    <row r="10" spans="1:29" s="108" customFormat="1" ht="18.75" customHeight="1" thickBot="1">
      <c r="A10" s="323"/>
      <c r="B10" s="334"/>
      <c r="C10" s="336"/>
      <c r="D10" s="336"/>
      <c r="E10" s="173" t="s">
        <v>11</v>
      </c>
      <c r="F10" s="334"/>
      <c r="G10" s="336"/>
      <c r="H10" s="336"/>
      <c r="I10" s="173" t="s">
        <v>11</v>
      </c>
      <c r="J10" s="334"/>
      <c r="K10" s="336"/>
      <c r="L10" s="336"/>
      <c r="M10" s="173" t="s">
        <v>11</v>
      </c>
      <c r="N10" s="334"/>
      <c r="O10" s="336"/>
      <c r="P10" s="336"/>
      <c r="Q10" s="173" t="s">
        <v>11</v>
      </c>
      <c r="R10" s="54" t="s">
        <v>64</v>
      </c>
      <c r="S10" s="54" t="s">
        <v>65</v>
      </c>
      <c r="T10" s="54" t="s">
        <v>163</v>
      </c>
      <c r="U10" s="54" t="s">
        <v>11</v>
      </c>
      <c r="V10" s="334"/>
      <c r="W10" s="336"/>
      <c r="X10" s="336"/>
      <c r="Y10" s="173" t="s">
        <v>11</v>
      </c>
      <c r="Z10" s="334"/>
      <c r="AA10" s="336"/>
      <c r="AB10" s="336"/>
      <c r="AC10" s="173" t="s">
        <v>11</v>
      </c>
    </row>
    <row r="11" spans="1:34" s="108" customFormat="1" ht="16.5" customHeight="1" hidden="1" thickTop="1">
      <c r="A11" s="118"/>
      <c r="B11" s="53"/>
      <c r="C11" s="54"/>
      <c r="D11" s="54"/>
      <c r="E11" s="55"/>
      <c r="F11" s="53"/>
      <c r="G11" s="54" t="s">
        <v>101</v>
      </c>
      <c r="H11" s="54"/>
      <c r="I11" s="55"/>
      <c r="J11" s="53"/>
      <c r="K11" s="54" t="s">
        <v>103</v>
      </c>
      <c r="L11" s="54"/>
      <c r="M11" s="55"/>
      <c r="N11" s="53"/>
      <c r="O11" s="54" t="s">
        <v>104</v>
      </c>
      <c r="P11" s="54"/>
      <c r="Q11" s="55"/>
      <c r="R11" s="54"/>
      <c r="S11" s="54" t="s">
        <v>102</v>
      </c>
      <c r="T11" s="54"/>
      <c r="U11" s="54"/>
      <c r="V11" s="53"/>
      <c r="W11" s="54" t="s">
        <v>102</v>
      </c>
      <c r="X11" s="54"/>
      <c r="Y11" s="55"/>
      <c r="Z11" s="53"/>
      <c r="AA11" s="54" t="s">
        <v>105</v>
      </c>
      <c r="AB11" s="54"/>
      <c r="AC11" s="55"/>
      <c r="AE11" s="108" t="s">
        <v>13</v>
      </c>
      <c r="AH11" s="108" t="s">
        <v>21</v>
      </c>
    </row>
    <row r="12" spans="1:34" s="108" customFormat="1" ht="16.5" customHeight="1" hidden="1" thickTop="1">
      <c r="A12" s="118"/>
      <c r="B12" s="53"/>
      <c r="C12" s="54" t="s">
        <v>106</v>
      </c>
      <c r="D12" s="54"/>
      <c r="E12" s="55"/>
      <c r="F12" s="53"/>
      <c r="G12" s="54" t="s">
        <v>107</v>
      </c>
      <c r="H12" s="54"/>
      <c r="I12" s="55"/>
      <c r="J12" s="53"/>
      <c r="K12" s="54" t="s">
        <v>109</v>
      </c>
      <c r="L12" s="54"/>
      <c r="M12" s="55"/>
      <c r="N12" s="53"/>
      <c r="O12" s="54" t="s">
        <v>110</v>
      </c>
      <c r="P12" s="54"/>
      <c r="Q12" s="55"/>
      <c r="R12" s="54"/>
      <c r="S12" s="54" t="s">
        <v>108</v>
      </c>
      <c r="T12" s="54"/>
      <c r="U12" s="54"/>
      <c r="V12" s="53"/>
      <c r="W12" s="54" t="s">
        <v>108</v>
      </c>
      <c r="X12" s="54"/>
      <c r="Y12" s="55"/>
      <c r="Z12" s="53"/>
      <c r="AA12" s="54" t="s">
        <v>111</v>
      </c>
      <c r="AB12" s="54"/>
      <c r="AC12" s="55"/>
      <c r="AE12" s="108" t="s">
        <v>3</v>
      </c>
      <c r="AH12" s="108" t="s">
        <v>112</v>
      </c>
    </row>
    <row r="13" spans="1:29" s="108" customFormat="1" ht="18.75" customHeight="1">
      <c r="A13" s="118"/>
      <c r="B13" s="339" t="s">
        <v>113</v>
      </c>
      <c r="C13" s="340"/>
      <c r="D13" s="340"/>
      <c r="E13" s="341"/>
      <c r="F13" s="339" t="s">
        <v>101</v>
      </c>
      <c r="G13" s="340"/>
      <c r="H13" s="340"/>
      <c r="I13" s="341"/>
      <c r="J13" s="339" t="s">
        <v>103</v>
      </c>
      <c r="K13" s="340"/>
      <c r="L13" s="340"/>
      <c r="M13" s="341"/>
      <c r="N13" s="339" t="s">
        <v>104</v>
      </c>
      <c r="O13" s="340"/>
      <c r="P13" s="340"/>
      <c r="Q13" s="341"/>
      <c r="R13" s="372" t="s">
        <v>152</v>
      </c>
      <c r="S13" s="372"/>
      <c r="T13" s="372"/>
      <c r="U13" s="372"/>
      <c r="V13" s="339" t="s">
        <v>161</v>
      </c>
      <c r="W13" s="340"/>
      <c r="X13" s="340"/>
      <c r="Y13" s="341"/>
      <c r="Z13" s="339" t="s">
        <v>162</v>
      </c>
      <c r="AA13" s="340"/>
      <c r="AB13" s="340"/>
      <c r="AC13" s="341"/>
    </row>
    <row r="14" spans="1:29" s="108" customFormat="1" ht="18" customHeight="1" thickBot="1">
      <c r="A14" s="118"/>
      <c r="B14" s="53"/>
      <c r="C14" s="54"/>
      <c r="D14" s="54"/>
      <c r="E14" s="55"/>
      <c r="F14" s="53"/>
      <c r="G14" s="54"/>
      <c r="H14" s="54"/>
      <c r="I14" s="55"/>
      <c r="J14" s="53"/>
      <c r="K14" s="54"/>
      <c r="L14" s="54"/>
      <c r="M14" s="55"/>
      <c r="N14" s="53"/>
      <c r="O14" s="54"/>
      <c r="P14" s="54"/>
      <c r="Q14" s="55"/>
      <c r="R14" s="54"/>
      <c r="S14" s="54"/>
      <c r="T14" s="54"/>
      <c r="U14" s="54"/>
      <c r="V14" s="53"/>
      <c r="W14" s="54"/>
      <c r="X14" s="54"/>
      <c r="Y14" s="55"/>
      <c r="Z14" s="53"/>
      <c r="AA14" s="54"/>
      <c r="AB14" s="54"/>
      <c r="AC14" s="55"/>
    </row>
    <row r="15" spans="1:29" s="108" customFormat="1" ht="16.5" customHeight="1">
      <c r="A15" s="119" t="s">
        <v>191</v>
      </c>
      <c r="B15" s="73">
        <f>'Výdaje '!B12</f>
        <v>291286</v>
      </c>
      <c r="C15" s="74">
        <f>'Výdaje '!C12</f>
        <v>342679</v>
      </c>
      <c r="D15" s="74">
        <f>'Výdaje '!D12</f>
        <v>331787</v>
      </c>
      <c r="E15" s="76">
        <f>D15/C15*100</f>
        <v>96.82151517892838</v>
      </c>
      <c r="F15" s="224"/>
      <c r="G15" s="75"/>
      <c r="H15" s="75"/>
      <c r="I15" s="76"/>
      <c r="J15" s="224"/>
      <c r="K15" s="75"/>
      <c r="L15" s="75"/>
      <c r="M15" s="76"/>
      <c r="N15" s="237">
        <v>71500</v>
      </c>
      <c r="O15" s="218">
        <v>79628.85</v>
      </c>
      <c r="P15" s="218">
        <v>79627</v>
      </c>
      <c r="Q15" s="76">
        <f aca="true" t="shared" si="0" ref="Q15:Q42">P15/O15*100</f>
        <v>99.99767672143952</v>
      </c>
      <c r="R15" s="221"/>
      <c r="S15" s="75"/>
      <c r="T15" s="75"/>
      <c r="U15" s="265"/>
      <c r="V15" s="224"/>
      <c r="W15" s="219">
        <v>2894</v>
      </c>
      <c r="X15" s="219">
        <f>W15</f>
        <v>2894</v>
      </c>
      <c r="Y15" s="76">
        <f aca="true" t="shared" si="1" ref="Y15:Y23">X15/W15*100</f>
        <v>100</v>
      </c>
      <c r="Z15" s="73">
        <f aca="true" t="shared" si="2" ref="Z15:Z43">SUM(B15-F15-R15-V15-J15-N15)</f>
        <v>219786</v>
      </c>
      <c r="AA15" s="74">
        <f aca="true" t="shared" si="3" ref="AA15:AA43">SUM(C15-G15-S15-W15-K15-O15)</f>
        <v>260156.15</v>
      </c>
      <c r="AB15" s="74">
        <f aca="true" t="shared" si="4" ref="AB15:AB43">SUM(D15-H15-T15-X15-L15-P15)</f>
        <v>249266</v>
      </c>
      <c r="AC15" s="76">
        <f aca="true" t="shared" si="5" ref="AC15:AC43">AB15/AA15*100</f>
        <v>95.81399478736137</v>
      </c>
    </row>
    <row r="16" spans="1:29" ht="16.5" customHeight="1">
      <c r="A16" s="120" t="s">
        <v>192</v>
      </c>
      <c r="B16" s="56">
        <f>'Výdaje '!B13</f>
        <v>48762</v>
      </c>
      <c r="C16" s="48">
        <f>'Výdaje '!C13</f>
        <v>63567</v>
      </c>
      <c r="D16" s="48">
        <f>'Výdaje '!D13</f>
        <v>47755</v>
      </c>
      <c r="E16" s="57">
        <f aca="true" t="shared" si="6" ref="E16:E43">D16/C16*100</f>
        <v>75.12545817798544</v>
      </c>
      <c r="F16" s="177"/>
      <c r="G16" s="42"/>
      <c r="H16" s="42"/>
      <c r="I16" s="57"/>
      <c r="J16" s="177"/>
      <c r="K16" s="42"/>
      <c r="L16" s="42"/>
      <c r="M16" s="57"/>
      <c r="N16" s="238">
        <v>12285</v>
      </c>
      <c r="O16" s="33">
        <v>12535</v>
      </c>
      <c r="P16" s="33">
        <v>12535</v>
      </c>
      <c r="Q16" s="57">
        <f t="shared" si="0"/>
        <v>100</v>
      </c>
      <c r="R16" s="222"/>
      <c r="S16" s="42"/>
      <c r="T16" s="42"/>
      <c r="U16" s="266"/>
      <c r="V16" s="177"/>
      <c r="W16" s="128">
        <v>82</v>
      </c>
      <c r="X16" s="128">
        <f aca="true" t="shared" si="7" ref="X16:X43">W16</f>
        <v>82</v>
      </c>
      <c r="Y16" s="57">
        <f t="shared" si="1"/>
        <v>100</v>
      </c>
      <c r="Z16" s="56">
        <f t="shared" si="2"/>
        <v>36477</v>
      </c>
      <c r="AA16" s="48">
        <f t="shared" si="3"/>
        <v>50950</v>
      </c>
      <c r="AB16" s="48">
        <f t="shared" si="4"/>
        <v>35138</v>
      </c>
      <c r="AC16" s="57">
        <f t="shared" si="5"/>
        <v>68.96565260058881</v>
      </c>
    </row>
    <row r="17" spans="1:29" ht="16.5" customHeight="1">
      <c r="A17" s="120" t="s">
        <v>193</v>
      </c>
      <c r="B17" s="56">
        <f>'Výdaje '!B14</f>
        <v>62264</v>
      </c>
      <c r="C17" s="48">
        <f>'Výdaje '!C14</f>
        <v>65351</v>
      </c>
      <c r="D17" s="48">
        <f>'Výdaje '!D14</f>
        <v>40937</v>
      </c>
      <c r="E17" s="57">
        <f t="shared" si="6"/>
        <v>62.641734632981894</v>
      </c>
      <c r="F17" s="177"/>
      <c r="G17" s="42"/>
      <c r="H17" s="42"/>
      <c r="I17" s="57"/>
      <c r="J17" s="177"/>
      <c r="K17" s="42"/>
      <c r="L17" s="42"/>
      <c r="M17" s="57"/>
      <c r="N17" s="239">
        <v>10614</v>
      </c>
      <c r="O17" s="31">
        <v>11999</v>
      </c>
      <c r="P17" s="31">
        <v>11958</v>
      </c>
      <c r="Q17" s="57">
        <f t="shared" si="0"/>
        <v>99.65830485873823</v>
      </c>
      <c r="R17" s="222"/>
      <c r="S17" s="42">
        <v>0</v>
      </c>
      <c r="T17" s="42"/>
      <c r="U17" s="266"/>
      <c r="V17" s="177"/>
      <c r="W17" s="128">
        <v>314</v>
      </c>
      <c r="X17" s="128">
        <f t="shared" si="7"/>
        <v>314</v>
      </c>
      <c r="Y17" s="57">
        <f t="shared" si="1"/>
        <v>100</v>
      </c>
      <c r="Z17" s="56">
        <f t="shared" si="2"/>
        <v>51650</v>
      </c>
      <c r="AA17" s="48">
        <f t="shared" si="3"/>
        <v>53038</v>
      </c>
      <c r="AB17" s="48">
        <f t="shared" si="4"/>
        <v>28665</v>
      </c>
      <c r="AC17" s="57">
        <f t="shared" si="5"/>
        <v>54.04615558656059</v>
      </c>
    </row>
    <row r="18" spans="1:29" ht="16.5" customHeight="1">
      <c r="A18" s="120" t="s">
        <v>194</v>
      </c>
      <c r="B18" s="56">
        <f>'Výdaje '!B15</f>
        <v>38743</v>
      </c>
      <c r="C18" s="48">
        <f>'Výdaje '!C15</f>
        <v>43879</v>
      </c>
      <c r="D18" s="48">
        <f>'Výdaje '!D15</f>
        <v>40114</v>
      </c>
      <c r="E18" s="57">
        <f t="shared" si="6"/>
        <v>91.41958567879851</v>
      </c>
      <c r="F18" s="226">
        <v>6254</v>
      </c>
      <c r="G18" s="6">
        <v>5997</v>
      </c>
      <c r="H18" s="6">
        <v>6011</v>
      </c>
      <c r="I18" s="57">
        <f>H18/G18*100</f>
        <v>100.23345005836251</v>
      </c>
      <c r="J18" s="177"/>
      <c r="K18" s="42"/>
      <c r="L18" s="42"/>
      <c r="M18" s="57"/>
      <c r="N18" s="240">
        <v>9506</v>
      </c>
      <c r="O18" s="25">
        <v>12813</v>
      </c>
      <c r="P18" s="25">
        <v>12811</v>
      </c>
      <c r="Q18" s="57">
        <f t="shared" si="0"/>
        <v>99.98439085303988</v>
      </c>
      <c r="R18" s="222"/>
      <c r="S18" s="42"/>
      <c r="T18" s="42"/>
      <c r="U18" s="266"/>
      <c r="V18" s="177"/>
      <c r="W18" s="128">
        <v>349</v>
      </c>
      <c r="X18" s="128">
        <f t="shared" si="7"/>
        <v>349</v>
      </c>
      <c r="Y18" s="57">
        <f t="shared" si="1"/>
        <v>100</v>
      </c>
      <c r="Z18" s="56">
        <f t="shared" si="2"/>
        <v>22983</v>
      </c>
      <c r="AA18" s="48">
        <f t="shared" si="3"/>
        <v>24720</v>
      </c>
      <c r="AB18" s="48">
        <f t="shared" si="4"/>
        <v>20943</v>
      </c>
      <c r="AC18" s="57">
        <f t="shared" si="5"/>
        <v>84.72087378640776</v>
      </c>
    </row>
    <row r="19" spans="1:29" ht="16.5" customHeight="1">
      <c r="A19" s="120" t="s">
        <v>195</v>
      </c>
      <c r="B19" s="56">
        <f>'Výdaje '!B16</f>
        <v>43433</v>
      </c>
      <c r="C19" s="48">
        <f>'Výdaje '!C16</f>
        <v>52481</v>
      </c>
      <c r="D19" s="48">
        <f>'Výdaje '!D16</f>
        <v>46745</v>
      </c>
      <c r="E19" s="57">
        <f t="shared" si="6"/>
        <v>89.07033021474439</v>
      </c>
      <c r="F19" s="227">
        <v>1471</v>
      </c>
      <c r="G19" s="8">
        <v>1471</v>
      </c>
      <c r="H19" s="8">
        <v>728</v>
      </c>
      <c r="I19" s="57">
        <f>H19/G19*100</f>
        <v>49.4901427600272</v>
      </c>
      <c r="J19" s="177"/>
      <c r="K19" s="42"/>
      <c r="L19" s="42"/>
      <c r="M19" s="57"/>
      <c r="N19" s="241">
        <v>9527</v>
      </c>
      <c r="O19" s="38">
        <v>9548</v>
      </c>
      <c r="P19" s="38">
        <v>9548</v>
      </c>
      <c r="Q19" s="57">
        <f t="shared" si="0"/>
        <v>100</v>
      </c>
      <c r="R19" s="222"/>
      <c r="S19" s="42"/>
      <c r="T19" s="42"/>
      <c r="U19" s="266"/>
      <c r="V19" s="177"/>
      <c r="W19" s="128">
        <v>54</v>
      </c>
      <c r="X19" s="128">
        <f t="shared" si="7"/>
        <v>54</v>
      </c>
      <c r="Y19" s="57">
        <f t="shared" si="1"/>
        <v>100</v>
      </c>
      <c r="Z19" s="56">
        <f t="shared" si="2"/>
        <v>32435</v>
      </c>
      <c r="AA19" s="48">
        <f t="shared" si="3"/>
        <v>41408</v>
      </c>
      <c r="AB19" s="48">
        <f t="shared" si="4"/>
        <v>36415</v>
      </c>
      <c r="AC19" s="57">
        <f t="shared" si="5"/>
        <v>87.94194358578052</v>
      </c>
    </row>
    <row r="20" spans="1:29" ht="16.5" customHeight="1">
      <c r="A20" s="120" t="s">
        <v>196</v>
      </c>
      <c r="B20" s="56">
        <f>'Výdaje '!B17</f>
        <v>13848</v>
      </c>
      <c r="C20" s="48">
        <f>'Výdaje '!C17</f>
        <v>15242</v>
      </c>
      <c r="D20" s="48">
        <f>'Výdaje '!D17</f>
        <v>12959</v>
      </c>
      <c r="E20" s="57">
        <f t="shared" si="6"/>
        <v>85.0216507020076</v>
      </c>
      <c r="F20" s="177"/>
      <c r="G20" s="42"/>
      <c r="H20" s="42"/>
      <c r="I20" s="57"/>
      <c r="J20" s="177"/>
      <c r="K20" s="42">
        <v>90</v>
      </c>
      <c r="L20" s="42"/>
      <c r="M20" s="57">
        <f>L20/K20*100</f>
        <v>0</v>
      </c>
      <c r="N20" s="242">
        <v>2253</v>
      </c>
      <c r="O20" s="20">
        <v>2613</v>
      </c>
      <c r="P20" s="20">
        <v>2603</v>
      </c>
      <c r="Q20" s="57">
        <f t="shared" si="0"/>
        <v>99.61729812476081</v>
      </c>
      <c r="R20" s="222"/>
      <c r="S20" s="42"/>
      <c r="T20" s="42"/>
      <c r="U20" s="266"/>
      <c r="V20" s="177"/>
      <c r="W20" s="128">
        <v>33</v>
      </c>
      <c r="X20" s="128">
        <f t="shared" si="7"/>
        <v>33</v>
      </c>
      <c r="Y20" s="57">
        <f t="shared" si="1"/>
        <v>100</v>
      </c>
      <c r="Z20" s="56">
        <f t="shared" si="2"/>
        <v>11595</v>
      </c>
      <c r="AA20" s="48">
        <f t="shared" si="3"/>
        <v>12506</v>
      </c>
      <c r="AB20" s="48">
        <f t="shared" si="4"/>
        <v>10323</v>
      </c>
      <c r="AC20" s="57">
        <f t="shared" si="5"/>
        <v>82.54437869822485</v>
      </c>
    </row>
    <row r="21" spans="1:29" ht="16.5" customHeight="1">
      <c r="A21" s="120" t="s">
        <v>197</v>
      </c>
      <c r="B21" s="56">
        <f>'Výdaje '!B18</f>
        <v>94521</v>
      </c>
      <c r="C21" s="48">
        <f>'Výdaje '!C18</f>
        <v>105233</v>
      </c>
      <c r="D21" s="48">
        <f>'Výdaje '!D18</f>
        <v>93897</v>
      </c>
      <c r="E21" s="57">
        <f t="shared" si="6"/>
        <v>89.2277137399865</v>
      </c>
      <c r="F21" s="228">
        <v>419</v>
      </c>
      <c r="G21" s="7">
        <v>419</v>
      </c>
      <c r="H21" s="7">
        <v>419</v>
      </c>
      <c r="I21" s="57">
        <f>H21/G21*100</f>
        <v>100</v>
      </c>
      <c r="J21" s="177"/>
      <c r="K21" s="42"/>
      <c r="L21" s="42"/>
      <c r="M21" s="57"/>
      <c r="N21" s="243">
        <v>17460</v>
      </c>
      <c r="O21" s="24">
        <v>17460</v>
      </c>
      <c r="P21" s="24">
        <v>17460</v>
      </c>
      <c r="Q21" s="57">
        <f t="shared" si="0"/>
        <v>100</v>
      </c>
      <c r="R21" s="222"/>
      <c r="S21" s="42"/>
      <c r="T21" s="42"/>
      <c r="U21" s="266"/>
      <c r="V21" s="177"/>
      <c r="W21" s="128">
        <v>114</v>
      </c>
      <c r="X21" s="128">
        <f t="shared" si="7"/>
        <v>114</v>
      </c>
      <c r="Y21" s="57">
        <f t="shared" si="1"/>
        <v>100</v>
      </c>
      <c r="Z21" s="56">
        <f t="shared" si="2"/>
        <v>76642</v>
      </c>
      <c r="AA21" s="48">
        <f t="shared" si="3"/>
        <v>87240</v>
      </c>
      <c r="AB21" s="48">
        <f t="shared" si="4"/>
        <v>75904</v>
      </c>
      <c r="AC21" s="57">
        <f t="shared" si="5"/>
        <v>87.00596056854654</v>
      </c>
    </row>
    <row r="22" spans="1:29" ht="16.5" customHeight="1">
      <c r="A22" s="120" t="s">
        <v>198</v>
      </c>
      <c r="B22" s="56">
        <f>'Výdaje '!B19</f>
        <v>107606</v>
      </c>
      <c r="C22" s="48">
        <f>'Výdaje '!C19</f>
        <v>153897</v>
      </c>
      <c r="D22" s="48">
        <f>'Výdaje '!D19</f>
        <v>98669</v>
      </c>
      <c r="E22" s="57">
        <f t="shared" si="6"/>
        <v>64.11366043522617</v>
      </c>
      <c r="F22" s="229">
        <v>2000</v>
      </c>
      <c r="G22" s="10">
        <v>2000.12</v>
      </c>
      <c r="H22" s="10">
        <v>1140</v>
      </c>
      <c r="I22" s="57">
        <f>H22/G22*100</f>
        <v>56.9965802051877</v>
      </c>
      <c r="J22" s="177"/>
      <c r="K22" s="42"/>
      <c r="L22" s="42"/>
      <c r="M22" s="57"/>
      <c r="N22" s="244">
        <v>16169</v>
      </c>
      <c r="O22" s="18">
        <v>16617</v>
      </c>
      <c r="P22" s="18">
        <v>16599</v>
      </c>
      <c r="Q22" s="57">
        <f t="shared" si="0"/>
        <v>99.89167719805019</v>
      </c>
      <c r="R22" s="222"/>
      <c r="S22" s="42"/>
      <c r="T22" s="42"/>
      <c r="U22" s="266"/>
      <c r="V22" s="177"/>
      <c r="W22" s="128">
        <v>301</v>
      </c>
      <c r="X22" s="128">
        <f t="shared" si="7"/>
        <v>301</v>
      </c>
      <c r="Y22" s="57">
        <f t="shared" si="1"/>
        <v>100</v>
      </c>
      <c r="Z22" s="56">
        <f t="shared" si="2"/>
        <v>89437</v>
      </c>
      <c r="AA22" s="48">
        <f t="shared" si="3"/>
        <v>134978.88</v>
      </c>
      <c r="AB22" s="48">
        <f t="shared" si="4"/>
        <v>80629</v>
      </c>
      <c r="AC22" s="57">
        <f t="shared" si="5"/>
        <v>59.73453032059533</v>
      </c>
    </row>
    <row r="23" spans="1:29" ht="16.5" customHeight="1">
      <c r="A23" s="120" t="s">
        <v>199</v>
      </c>
      <c r="B23" s="56">
        <f>'Výdaje '!B20</f>
        <v>7690</v>
      </c>
      <c r="C23" s="48">
        <f>'Výdaje '!C20</f>
        <v>8014</v>
      </c>
      <c r="D23" s="48">
        <f>'Výdaje '!D20</f>
        <v>6985</v>
      </c>
      <c r="E23" s="57">
        <f t="shared" si="6"/>
        <v>87.15997005240828</v>
      </c>
      <c r="F23" s="177"/>
      <c r="G23" s="42"/>
      <c r="H23" s="42"/>
      <c r="I23" s="57"/>
      <c r="J23" s="177"/>
      <c r="K23" s="42"/>
      <c r="L23" s="42"/>
      <c r="M23" s="57"/>
      <c r="N23" s="245">
        <v>500</v>
      </c>
      <c r="O23" s="29">
        <v>540</v>
      </c>
      <c r="P23" s="29">
        <v>540</v>
      </c>
      <c r="Q23" s="57">
        <f t="shared" si="0"/>
        <v>100</v>
      </c>
      <c r="R23" s="222"/>
      <c r="S23" s="42">
        <v>0</v>
      </c>
      <c r="T23" s="42"/>
      <c r="U23" s="266"/>
      <c r="V23" s="177"/>
      <c r="W23" s="128">
        <v>28</v>
      </c>
      <c r="X23" s="128">
        <f t="shared" si="7"/>
        <v>28</v>
      </c>
      <c r="Y23" s="57">
        <f t="shared" si="1"/>
        <v>100</v>
      </c>
      <c r="Z23" s="56">
        <f t="shared" si="2"/>
        <v>7190</v>
      </c>
      <c r="AA23" s="48">
        <f t="shared" si="3"/>
        <v>7446</v>
      </c>
      <c r="AB23" s="48">
        <f t="shared" si="4"/>
        <v>6417</v>
      </c>
      <c r="AC23" s="57">
        <f t="shared" si="5"/>
        <v>86.18049959709911</v>
      </c>
    </row>
    <row r="24" spans="1:29" ht="16.5" customHeight="1">
      <c r="A24" s="120" t="s">
        <v>200</v>
      </c>
      <c r="B24" s="56">
        <f>'Výdaje '!B21</f>
        <v>26035</v>
      </c>
      <c r="C24" s="48">
        <f>'Výdaje '!C21</f>
        <v>29955</v>
      </c>
      <c r="D24" s="48">
        <f>'Výdaje '!D21</f>
        <v>26639</v>
      </c>
      <c r="E24" s="57">
        <f t="shared" si="6"/>
        <v>88.93006175930563</v>
      </c>
      <c r="F24" s="177"/>
      <c r="G24" s="42"/>
      <c r="H24" s="42"/>
      <c r="I24" s="57"/>
      <c r="J24" s="177"/>
      <c r="K24" s="42"/>
      <c r="L24" s="42"/>
      <c r="M24" s="57"/>
      <c r="N24" s="246">
        <v>5199</v>
      </c>
      <c r="O24" s="37">
        <v>5538</v>
      </c>
      <c r="P24" s="37">
        <v>5569</v>
      </c>
      <c r="Q24" s="57">
        <f t="shared" si="0"/>
        <v>100.55976886962803</v>
      </c>
      <c r="R24" s="222"/>
      <c r="S24" s="42"/>
      <c r="T24" s="42"/>
      <c r="U24" s="266"/>
      <c r="V24" s="177"/>
      <c r="W24" s="128">
        <v>401</v>
      </c>
      <c r="X24" s="128">
        <f t="shared" si="7"/>
        <v>401</v>
      </c>
      <c r="Y24" s="57">
        <f>X24/W24*100</f>
        <v>100</v>
      </c>
      <c r="Z24" s="56">
        <f t="shared" si="2"/>
        <v>20836</v>
      </c>
      <c r="AA24" s="48">
        <f t="shared" si="3"/>
        <v>24016</v>
      </c>
      <c r="AB24" s="48">
        <f t="shared" si="4"/>
        <v>20669</v>
      </c>
      <c r="AC24" s="57">
        <f t="shared" si="5"/>
        <v>86.06345769487008</v>
      </c>
    </row>
    <row r="25" spans="1:29" ht="16.5" customHeight="1">
      <c r="A25" s="120" t="s">
        <v>201</v>
      </c>
      <c r="B25" s="56">
        <f>'Výdaje '!B22</f>
        <v>15377</v>
      </c>
      <c r="C25" s="48">
        <f>'Výdaje '!C22</f>
        <v>18092</v>
      </c>
      <c r="D25" s="48">
        <f>'Výdaje '!D22</f>
        <v>14793</v>
      </c>
      <c r="E25" s="57">
        <f t="shared" si="6"/>
        <v>81.76542118063233</v>
      </c>
      <c r="F25" s="177"/>
      <c r="G25" s="42"/>
      <c r="H25" s="42"/>
      <c r="I25" s="57"/>
      <c r="J25" s="177"/>
      <c r="K25" s="42"/>
      <c r="L25" s="42"/>
      <c r="M25" s="57"/>
      <c r="N25" s="247">
        <v>3298</v>
      </c>
      <c r="O25" s="16">
        <v>3762</v>
      </c>
      <c r="P25" s="16">
        <v>3610</v>
      </c>
      <c r="Q25" s="57">
        <f t="shared" si="0"/>
        <v>95.95959595959596</v>
      </c>
      <c r="R25" s="222"/>
      <c r="S25" s="42"/>
      <c r="T25" s="42"/>
      <c r="U25" s="266"/>
      <c r="V25" s="177"/>
      <c r="W25" s="128">
        <v>271</v>
      </c>
      <c r="X25" s="128">
        <f t="shared" si="7"/>
        <v>271</v>
      </c>
      <c r="Y25" s="57">
        <f>X25/W25*100</f>
        <v>100</v>
      </c>
      <c r="Z25" s="56">
        <f t="shared" si="2"/>
        <v>12079</v>
      </c>
      <c r="AA25" s="48">
        <f t="shared" si="3"/>
        <v>14059</v>
      </c>
      <c r="AB25" s="48">
        <f t="shared" si="4"/>
        <v>10912</v>
      </c>
      <c r="AC25" s="57">
        <f t="shared" si="5"/>
        <v>77.61576214524504</v>
      </c>
    </row>
    <row r="26" spans="1:29" ht="16.5" customHeight="1">
      <c r="A26" s="120" t="s">
        <v>202</v>
      </c>
      <c r="B26" s="56">
        <f>'Výdaje '!B23</f>
        <v>16076</v>
      </c>
      <c r="C26" s="48">
        <f>'Výdaje '!C23</f>
        <v>18937</v>
      </c>
      <c r="D26" s="48">
        <f>'Výdaje '!D23</f>
        <v>17721</v>
      </c>
      <c r="E26" s="57">
        <f t="shared" si="6"/>
        <v>93.57870834873529</v>
      </c>
      <c r="F26" s="177"/>
      <c r="G26" s="42"/>
      <c r="H26" s="42"/>
      <c r="I26" s="57"/>
      <c r="J26" s="177"/>
      <c r="K26" s="42"/>
      <c r="L26" s="42"/>
      <c r="M26" s="57"/>
      <c r="N26" s="248">
        <v>3119</v>
      </c>
      <c r="O26" s="35">
        <v>3239</v>
      </c>
      <c r="P26" s="35">
        <v>3239</v>
      </c>
      <c r="Q26" s="57">
        <f t="shared" si="0"/>
        <v>100</v>
      </c>
      <c r="R26" s="222"/>
      <c r="S26" s="42">
        <v>0</v>
      </c>
      <c r="T26" s="42"/>
      <c r="U26" s="266"/>
      <c r="V26" s="177"/>
      <c r="W26" s="128">
        <v>481</v>
      </c>
      <c r="X26" s="128">
        <f t="shared" si="7"/>
        <v>481</v>
      </c>
      <c r="Y26" s="57">
        <f>X26/W26*100</f>
        <v>100</v>
      </c>
      <c r="Z26" s="56">
        <f t="shared" si="2"/>
        <v>12957</v>
      </c>
      <c r="AA26" s="48">
        <f t="shared" si="3"/>
        <v>15217</v>
      </c>
      <c r="AB26" s="48">
        <f t="shared" si="4"/>
        <v>14001</v>
      </c>
      <c r="AC26" s="57">
        <f t="shared" si="5"/>
        <v>92.00893737267529</v>
      </c>
    </row>
    <row r="27" spans="1:29" ht="16.5" customHeight="1">
      <c r="A27" s="120" t="s">
        <v>203</v>
      </c>
      <c r="B27" s="56">
        <f>'Výdaje '!B24</f>
        <v>191409</v>
      </c>
      <c r="C27" s="48">
        <f>'Výdaje '!C24</f>
        <v>229007</v>
      </c>
      <c r="D27" s="48">
        <f>'Výdaje '!D24</f>
        <v>197813</v>
      </c>
      <c r="E27" s="57">
        <f t="shared" si="6"/>
        <v>86.37858231407773</v>
      </c>
      <c r="F27" s="230">
        <v>29</v>
      </c>
      <c r="G27" s="14">
        <v>29</v>
      </c>
      <c r="H27" s="14">
        <v>29</v>
      </c>
      <c r="I27" s="57">
        <f>H27/G27*100</f>
        <v>100</v>
      </c>
      <c r="J27" s="177"/>
      <c r="K27" s="42">
        <v>248</v>
      </c>
      <c r="L27" s="42">
        <v>247</v>
      </c>
      <c r="M27" s="57">
        <f>L27/K27*100</f>
        <v>99.59677419354838</v>
      </c>
      <c r="N27" s="249">
        <v>50753</v>
      </c>
      <c r="O27" s="21">
        <v>55329.95</v>
      </c>
      <c r="P27" s="21">
        <f>55329+1</f>
        <v>55330</v>
      </c>
      <c r="Q27" s="57">
        <f t="shared" si="0"/>
        <v>100.00009036697124</v>
      </c>
      <c r="R27" s="222"/>
      <c r="S27" s="42">
        <v>0</v>
      </c>
      <c r="T27" s="42"/>
      <c r="U27" s="266"/>
      <c r="V27" s="177"/>
      <c r="W27" s="128">
        <v>8345</v>
      </c>
      <c r="X27" s="128">
        <f t="shared" si="7"/>
        <v>8345</v>
      </c>
      <c r="Y27" s="57">
        <f>X27/W27*100</f>
        <v>100</v>
      </c>
      <c r="Z27" s="56">
        <f t="shared" si="2"/>
        <v>140627</v>
      </c>
      <c r="AA27" s="48">
        <f t="shared" si="3"/>
        <v>165055.05</v>
      </c>
      <c r="AB27" s="48">
        <f t="shared" si="4"/>
        <v>133862</v>
      </c>
      <c r="AC27" s="57">
        <f t="shared" si="5"/>
        <v>81.10142646347386</v>
      </c>
    </row>
    <row r="28" spans="1:29" ht="16.5" customHeight="1">
      <c r="A28" s="120" t="s">
        <v>204</v>
      </c>
      <c r="B28" s="56">
        <f>'Výdaje '!B25</f>
        <v>24402</v>
      </c>
      <c r="C28" s="48">
        <f>'Výdaje '!C25</f>
        <v>26166</v>
      </c>
      <c r="D28" s="48">
        <f>'Výdaje '!D25</f>
        <v>23964</v>
      </c>
      <c r="E28" s="57">
        <f t="shared" si="6"/>
        <v>91.58449896812658</v>
      </c>
      <c r="F28" s="177"/>
      <c r="G28" s="42"/>
      <c r="H28" s="42"/>
      <c r="I28" s="57"/>
      <c r="J28" s="177">
        <v>200</v>
      </c>
      <c r="K28" s="42">
        <v>200</v>
      </c>
      <c r="L28" s="42">
        <v>200</v>
      </c>
      <c r="M28" s="57">
        <f>L28/K28*100</f>
        <v>100</v>
      </c>
      <c r="N28" s="250">
        <v>4120</v>
      </c>
      <c r="O28" s="32">
        <v>5019</v>
      </c>
      <c r="P28" s="32">
        <v>5013</v>
      </c>
      <c r="Q28" s="57">
        <f t="shared" si="0"/>
        <v>99.88045427375971</v>
      </c>
      <c r="R28" s="222"/>
      <c r="S28" s="42"/>
      <c r="T28" s="42"/>
      <c r="U28" s="266"/>
      <c r="V28" s="177"/>
      <c r="W28" s="128">
        <v>223</v>
      </c>
      <c r="X28" s="128">
        <f t="shared" si="7"/>
        <v>223</v>
      </c>
      <c r="Y28" s="57">
        <f aca="true" t="shared" si="8" ref="Y28:Y36">X28/W28*100</f>
        <v>100</v>
      </c>
      <c r="Z28" s="56">
        <f t="shared" si="2"/>
        <v>20082</v>
      </c>
      <c r="AA28" s="48">
        <f t="shared" si="3"/>
        <v>20724</v>
      </c>
      <c r="AB28" s="48">
        <f t="shared" si="4"/>
        <v>18528</v>
      </c>
      <c r="AC28" s="57">
        <f t="shared" si="5"/>
        <v>89.40359004053272</v>
      </c>
    </row>
    <row r="29" spans="1:29" ht="16.5" customHeight="1">
      <c r="A29" s="120" t="s">
        <v>205</v>
      </c>
      <c r="B29" s="56">
        <f>'Výdaje '!B26</f>
        <v>106738</v>
      </c>
      <c r="C29" s="48">
        <f>'Výdaje '!C26</f>
        <v>131913</v>
      </c>
      <c r="D29" s="48">
        <f>'Výdaje '!D26</f>
        <v>116248</v>
      </c>
      <c r="E29" s="57">
        <f t="shared" si="6"/>
        <v>88.12474888752435</v>
      </c>
      <c r="F29" s="231">
        <v>2333</v>
      </c>
      <c r="G29" s="2">
        <v>1570</v>
      </c>
      <c r="H29" s="2">
        <v>951</v>
      </c>
      <c r="I29" s="57">
        <f aca="true" t="shared" si="9" ref="I29:I34">H29/G29*100</f>
        <v>60.57324840764331</v>
      </c>
      <c r="J29" s="177"/>
      <c r="K29" s="42"/>
      <c r="L29" s="42"/>
      <c r="M29" s="57"/>
      <c r="N29" s="251">
        <v>22367</v>
      </c>
      <c r="O29" s="13">
        <v>23728</v>
      </c>
      <c r="P29" s="13">
        <v>23621</v>
      </c>
      <c r="Q29" s="57">
        <f t="shared" si="0"/>
        <v>99.54905596763317</v>
      </c>
      <c r="R29" s="222"/>
      <c r="S29" s="42"/>
      <c r="T29" s="42"/>
      <c r="U29" s="266"/>
      <c r="V29" s="177"/>
      <c r="W29" s="128">
        <v>665</v>
      </c>
      <c r="X29" s="128">
        <f t="shared" si="7"/>
        <v>665</v>
      </c>
      <c r="Y29" s="57">
        <f t="shared" si="8"/>
        <v>100</v>
      </c>
      <c r="Z29" s="56">
        <f t="shared" si="2"/>
        <v>82038</v>
      </c>
      <c r="AA29" s="48">
        <f t="shared" si="3"/>
        <v>105950</v>
      </c>
      <c r="AB29" s="48">
        <f t="shared" si="4"/>
        <v>91011</v>
      </c>
      <c r="AC29" s="57">
        <f t="shared" si="5"/>
        <v>85.89995280792827</v>
      </c>
    </row>
    <row r="30" spans="1:29" ht="16.5" customHeight="1">
      <c r="A30" s="120" t="s">
        <v>206</v>
      </c>
      <c r="B30" s="56">
        <f>'Výdaje '!B27</f>
        <v>35345</v>
      </c>
      <c r="C30" s="48">
        <f>'Výdaje '!C27</f>
        <v>39036</v>
      </c>
      <c r="D30" s="48">
        <f>'Výdaje '!D27</f>
        <v>32937</v>
      </c>
      <c r="E30" s="57">
        <f t="shared" si="6"/>
        <v>84.37596065170612</v>
      </c>
      <c r="F30" s="232">
        <v>811</v>
      </c>
      <c r="G30" s="12">
        <v>811</v>
      </c>
      <c r="H30" s="12">
        <v>264</v>
      </c>
      <c r="I30" s="57">
        <f t="shared" si="9"/>
        <v>32.552404438964246</v>
      </c>
      <c r="J30" s="177"/>
      <c r="K30" s="42"/>
      <c r="L30" s="42"/>
      <c r="M30" s="57"/>
      <c r="N30" s="252">
        <v>9205</v>
      </c>
      <c r="O30" s="22">
        <v>9205</v>
      </c>
      <c r="P30" s="22">
        <v>9205</v>
      </c>
      <c r="Q30" s="57">
        <f t="shared" si="0"/>
        <v>100</v>
      </c>
      <c r="R30" s="222"/>
      <c r="S30" s="42"/>
      <c r="T30" s="42"/>
      <c r="U30" s="266"/>
      <c r="V30" s="177"/>
      <c r="W30" s="128">
        <v>1149</v>
      </c>
      <c r="X30" s="128">
        <f t="shared" si="7"/>
        <v>1149</v>
      </c>
      <c r="Y30" s="57">
        <f t="shared" si="8"/>
        <v>100</v>
      </c>
      <c r="Z30" s="56">
        <f t="shared" si="2"/>
        <v>25329</v>
      </c>
      <c r="AA30" s="48">
        <f t="shared" si="3"/>
        <v>27871</v>
      </c>
      <c r="AB30" s="48">
        <f t="shared" si="4"/>
        <v>22319</v>
      </c>
      <c r="AC30" s="57">
        <f t="shared" si="5"/>
        <v>80.07965268558716</v>
      </c>
    </row>
    <row r="31" spans="1:29" ht="16.5" customHeight="1">
      <c r="A31" s="120" t="s">
        <v>207</v>
      </c>
      <c r="B31" s="56">
        <f>'Výdaje '!B28</f>
        <v>48072</v>
      </c>
      <c r="C31" s="48">
        <f>'Výdaje '!C28</f>
        <v>56205</v>
      </c>
      <c r="D31" s="48">
        <f>'Výdaje '!D28</f>
        <v>50187</v>
      </c>
      <c r="E31" s="57">
        <f t="shared" si="6"/>
        <v>89.29276754737123</v>
      </c>
      <c r="F31" s="177"/>
      <c r="G31" s="42"/>
      <c r="H31" s="42"/>
      <c r="I31" s="57"/>
      <c r="J31" s="177"/>
      <c r="K31" s="42"/>
      <c r="L31" s="42"/>
      <c r="M31" s="57"/>
      <c r="N31" s="253">
        <v>8104</v>
      </c>
      <c r="O31" s="34">
        <v>11289</v>
      </c>
      <c r="P31" s="34">
        <v>11089</v>
      </c>
      <c r="Q31" s="57">
        <f t="shared" si="0"/>
        <v>98.22836389405616</v>
      </c>
      <c r="R31" s="222"/>
      <c r="S31" s="42"/>
      <c r="T31" s="42"/>
      <c r="U31" s="266"/>
      <c r="V31" s="177"/>
      <c r="W31" s="128">
        <v>77</v>
      </c>
      <c r="X31" s="128">
        <f t="shared" si="7"/>
        <v>77</v>
      </c>
      <c r="Y31" s="57">
        <f t="shared" si="8"/>
        <v>100</v>
      </c>
      <c r="Z31" s="56">
        <f t="shared" si="2"/>
        <v>39968</v>
      </c>
      <c r="AA31" s="48">
        <f t="shared" si="3"/>
        <v>44839</v>
      </c>
      <c r="AB31" s="48">
        <f t="shared" si="4"/>
        <v>39021</v>
      </c>
      <c r="AC31" s="57">
        <f t="shared" si="5"/>
        <v>87.02468832935614</v>
      </c>
    </row>
    <row r="32" spans="1:29" ht="16.5" customHeight="1">
      <c r="A32" s="120" t="s">
        <v>208</v>
      </c>
      <c r="B32" s="56">
        <f>'Výdaje '!B29</f>
        <v>44193</v>
      </c>
      <c r="C32" s="48">
        <f>'Výdaje '!C29</f>
        <v>47900</v>
      </c>
      <c r="D32" s="48">
        <f>'Výdaje '!D29</f>
        <v>41466</v>
      </c>
      <c r="E32" s="57">
        <f t="shared" si="6"/>
        <v>86.5678496868476</v>
      </c>
      <c r="F32" s="233">
        <v>3740</v>
      </c>
      <c r="G32" s="5">
        <v>3740</v>
      </c>
      <c r="H32" s="5">
        <v>2682</v>
      </c>
      <c r="I32" s="57">
        <f t="shared" si="9"/>
        <v>71.71122994652407</v>
      </c>
      <c r="J32" s="177"/>
      <c r="K32" s="42"/>
      <c r="L32" s="42"/>
      <c r="M32" s="57"/>
      <c r="N32" s="254">
        <v>9130</v>
      </c>
      <c r="O32" s="9">
        <v>9210</v>
      </c>
      <c r="P32" s="9">
        <v>9204</v>
      </c>
      <c r="Q32" s="57">
        <f t="shared" si="0"/>
        <v>99.93485342019544</v>
      </c>
      <c r="R32" s="222"/>
      <c r="S32" s="42"/>
      <c r="T32" s="42"/>
      <c r="U32" s="266"/>
      <c r="V32" s="177"/>
      <c r="W32" s="128">
        <v>288</v>
      </c>
      <c r="X32" s="128">
        <f t="shared" si="7"/>
        <v>288</v>
      </c>
      <c r="Y32" s="57">
        <f t="shared" si="8"/>
        <v>100</v>
      </c>
      <c r="Z32" s="56">
        <f t="shared" si="2"/>
        <v>31323</v>
      </c>
      <c r="AA32" s="48">
        <f t="shared" si="3"/>
        <v>34662</v>
      </c>
      <c r="AB32" s="48">
        <f t="shared" si="4"/>
        <v>29292</v>
      </c>
      <c r="AC32" s="57">
        <f t="shared" si="5"/>
        <v>84.50752985978882</v>
      </c>
    </row>
    <row r="33" spans="1:29" ht="16.5" customHeight="1">
      <c r="A33" s="120" t="s">
        <v>209</v>
      </c>
      <c r="B33" s="56">
        <f>'Výdaje '!B30</f>
        <v>98055</v>
      </c>
      <c r="C33" s="48">
        <f>'Výdaje '!C30</f>
        <v>107294</v>
      </c>
      <c r="D33" s="48">
        <f>'Výdaje '!D30</f>
        <v>95346</v>
      </c>
      <c r="E33" s="57">
        <f t="shared" si="6"/>
        <v>88.86424217570415</v>
      </c>
      <c r="F33" s="234">
        <v>1230</v>
      </c>
      <c r="G33" s="11">
        <v>1230</v>
      </c>
      <c r="H33" s="11">
        <v>1229</v>
      </c>
      <c r="I33" s="57">
        <f t="shared" si="9"/>
        <v>99.91869918699187</v>
      </c>
      <c r="J33" s="177"/>
      <c r="K33" s="42"/>
      <c r="L33" s="42"/>
      <c r="M33" s="57"/>
      <c r="N33" s="255">
        <v>38728</v>
      </c>
      <c r="O33" s="30">
        <v>41006</v>
      </c>
      <c r="P33" s="30">
        <v>40860</v>
      </c>
      <c r="Q33" s="57">
        <f t="shared" si="0"/>
        <v>99.64395454323758</v>
      </c>
      <c r="R33" s="222"/>
      <c r="S33" s="42"/>
      <c r="T33" s="42"/>
      <c r="U33" s="266"/>
      <c r="V33" s="177"/>
      <c r="W33" s="128">
        <v>1419</v>
      </c>
      <c r="X33" s="128">
        <f t="shared" si="7"/>
        <v>1419</v>
      </c>
      <c r="Y33" s="57">
        <f t="shared" si="8"/>
        <v>100</v>
      </c>
      <c r="Z33" s="56">
        <f t="shared" si="2"/>
        <v>58097</v>
      </c>
      <c r="AA33" s="48">
        <f t="shared" si="3"/>
        <v>63639</v>
      </c>
      <c r="AB33" s="48">
        <f t="shared" si="4"/>
        <v>51838</v>
      </c>
      <c r="AC33" s="57">
        <f t="shared" si="5"/>
        <v>81.45633966592813</v>
      </c>
    </row>
    <row r="34" spans="1:29" ht="16.5" customHeight="1">
      <c r="A34" s="120" t="s">
        <v>210</v>
      </c>
      <c r="B34" s="56">
        <f>'Výdaje '!B31</f>
        <v>42676</v>
      </c>
      <c r="C34" s="48">
        <f>'Výdaje '!C31</f>
        <v>52298</v>
      </c>
      <c r="D34" s="48">
        <f>'Výdaje '!D31</f>
        <v>45783</v>
      </c>
      <c r="E34" s="57">
        <f t="shared" si="6"/>
        <v>87.54254464797889</v>
      </c>
      <c r="F34" s="235">
        <v>6779</v>
      </c>
      <c r="G34" s="4">
        <v>6775</v>
      </c>
      <c r="H34" s="4">
        <v>6776</v>
      </c>
      <c r="I34" s="57">
        <f t="shared" si="9"/>
        <v>100.01476014760146</v>
      </c>
      <c r="J34" s="177"/>
      <c r="K34" s="42"/>
      <c r="L34" s="42"/>
      <c r="M34" s="57"/>
      <c r="N34" s="256">
        <v>14616</v>
      </c>
      <c r="O34" s="23">
        <v>15625</v>
      </c>
      <c r="P34" s="23">
        <v>15618</v>
      </c>
      <c r="Q34" s="57">
        <f t="shared" si="0"/>
        <v>99.9552</v>
      </c>
      <c r="R34" s="222"/>
      <c r="S34" s="42"/>
      <c r="T34" s="42"/>
      <c r="U34" s="266"/>
      <c r="V34" s="177"/>
      <c r="W34" s="128">
        <v>381</v>
      </c>
      <c r="X34" s="128">
        <f t="shared" si="7"/>
        <v>381</v>
      </c>
      <c r="Y34" s="57">
        <f t="shared" si="8"/>
        <v>100</v>
      </c>
      <c r="Z34" s="56">
        <f t="shared" si="2"/>
        <v>21281</v>
      </c>
      <c r="AA34" s="48">
        <f t="shared" si="3"/>
        <v>29517</v>
      </c>
      <c r="AB34" s="48">
        <f t="shared" si="4"/>
        <v>23008</v>
      </c>
      <c r="AC34" s="57">
        <f t="shared" si="5"/>
        <v>77.9483009790968</v>
      </c>
    </row>
    <row r="35" spans="1:29" ht="16.5" customHeight="1">
      <c r="A35" s="120" t="s">
        <v>211</v>
      </c>
      <c r="B35" s="56">
        <f>'Výdaje '!B32</f>
        <v>27515</v>
      </c>
      <c r="C35" s="48">
        <f>'Výdaje '!C32</f>
        <v>29602</v>
      </c>
      <c r="D35" s="48">
        <f>'Výdaje '!D32</f>
        <v>25173</v>
      </c>
      <c r="E35" s="57">
        <f t="shared" si="6"/>
        <v>85.03817309641241</v>
      </c>
      <c r="F35" s="177"/>
      <c r="G35" s="42"/>
      <c r="H35" s="42"/>
      <c r="I35" s="57"/>
      <c r="J35" s="177"/>
      <c r="K35" s="42"/>
      <c r="L35" s="42"/>
      <c r="M35" s="57"/>
      <c r="N35" s="257">
        <v>5720</v>
      </c>
      <c r="O35" s="15">
        <v>5916</v>
      </c>
      <c r="P35" s="15">
        <v>5915</v>
      </c>
      <c r="Q35" s="57">
        <f t="shared" si="0"/>
        <v>99.98309668695065</v>
      </c>
      <c r="R35" s="222"/>
      <c r="S35" s="42"/>
      <c r="T35" s="42"/>
      <c r="U35" s="266"/>
      <c r="V35" s="177"/>
      <c r="W35" s="128">
        <v>169</v>
      </c>
      <c r="X35" s="128">
        <f t="shared" si="7"/>
        <v>169</v>
      </c>
      <c r="Y35" s="57">
        <f t="shared" si="8"/>
        <v>100</v>
      </c>
      <c r="Z35" s="56">
        <f t="shared" si="2"/>
        <v>21795</v>
      </c>
      <c r="AA35" s="48">
        <f t="shared" si="3"/>
        <v>23517</v>
      </c>
      <c r="AB35" s="48">
        <f>SUM(D35-H35-T35-X35-L35-P35)</f>
        <v>19089</v>
      </c>
      <c r="AC35" s="57">
        <f t="shared" si="5"/>
        <v>81.17106773823191</v>
      </c>
    </row>
    <row r="36" spans="1:29" ht="16.5" customHeight="1">
      <c r="A36" s="120" t="s">
        <v>212</v>
      </c>
      <c r="B36" s="56">
        <f>'Výdaje '!B33</f>
        <v>16449</v>
      </c>
      <c r="C36" s="48">
        <f>'Výdaje '!C33</f>
        <v>18479</v>
      </c>
      <c r="D36" s="48">
        <f>'Výdaje '!D33</f>
        <v>15665</v>
      </c>
      <c r="E36" s="57">
        <f t="shared" si="6"/>
        <v>84.77190324151739</v>
      </c>
      <c r="F36" s="177"/>
      <c r="G36" s="42"/>
      <c r="H36" s="42"/>
      <c r="I36" s="57"/>
      <c r="J36" s="177"/>
      <c r="K36" s="42"/>
      <c r="L36" s="42"/>
      <c r="M36" s="57"/>
      <c r="N36" s="258">
        <v>2903</v>
      </c>
      <c r="O36" s="36">
        <v>3085</v>
      </c>
      <c r="P36" s="36">
        <v>3082</v>
      </c>
      <c r="Q36" s="57">
        <f t="shared" si="0"/>
        <v>99.90275526742302</v>
      </c>
      <c r="R36" s="222"/>
      <c r="S36" s="42">
        <v>0</v>
      </c>
      <c r="T36" s="42"/>
      <c r="U36" s="266"/>
      <c r="V36" s="177"/>
      <c r="W36" s="128">
        <v>208</v>
      </c>
      <c r="X36" s="128">
        <f t="shared" si="7"/>
        <v>208</v>
      </c>
      <c r="Y36" s="57">
        <f t="shared" si="8"/>
        <v>100</v>
      </c>
      <c r="Z36" s="56">
        <f t="shared" si="2"/>
        <v>13546</v>
      </c>
      <c r="AA36" s="48">
        <f t="shared" si="3"/>
        <v>15186</v>
      </c>
      <c r="AB36" s="48">
        <f t="shared" si="4"/>
        <v>12375</v>
      </c>
      <c r="AC36" s="57">
        <f t="shared" si="5"/>
        <v>81.48952983010668</v>
      </c>
    </row>
    <row r="37" spans="1:29" ht="16.5" customHeight="1">
      <c r="A37" s="120" t="s">
        <v>213</v>
      </c>
      <c r="B37" s="56">
        <f>'Výdaje '!B34</f>
        <v>150387</v>
      </c>
      <c r="C37" s="48">
        <f>'Výdaje '!C34</f>
        <v>172939</v>
      </c>
      <c r="D37" s="48">
        <f>'Výdaje '!D34</f>
        <v>141334</v>
      </c>
      <c r="E37" s="57">
        <f t="shared" si="6"/>
        <v>81.72477000560892</v>
      </c>
      <c r="F37" s="236">
        <v>47</v>
      </c>
      <c r="G37" s="3">
        <v>833.64</v>
      </c>
      <c r="H37" s="3">
        <v>47</v>
      </c>
      <c r="I37" s="57">
        <f>H37/G37*100</f>
        <v>5.637925243510388</v>
      </c>
      <c r="J37" s="177"/>
      <c r="K37" s="42"/>
      <c r="L37" s="42"/>
      <c r="M37" s="57"/>
      <c r="N37" s="259">
        <v>24500</v>
      </c>
      <c r="O37" s="27">
        <v>27314</v>
      </c>
      <c r="P37" s="27">
        <v>27316</v>
      </c>
      <c r="Q37" s="57">
        <f t="shared" si="0"/>
        <v>100.00732225232483</v>
      </c>
      <c r="R37" s="222"/>
      <c r="S37" s="42"/>
      <c r="T37" s="42"/>
      <c r="U37" s="266"/>
      <c r="V37" s="177"/>
      <c r="W37" s="128">
        <v>819</v>
      </c>
      <c r="X37" s="128">
        <f t="shared" si="7"/>
        <v>819</v>
      </c>
      <c r="Y37" s="57">
        <f aca="true" t="shared" si="10" ref="Y37:Y43">X37/W37*100</f>
        <v>100</v>
      </c>
      <c r="Z37" s="56">
        <f t="shared" si="2"/>
        <v>125840</v>
      </c>
      <c r="AA37" s="48">
        <f t="shared" si="3"/>
        <v>143972.36</v>
      </c>
      <c r="AB37" s="48">
        <f t="shared" si="4"/>
        <v>113152</v>
      </c>
      <c r="AC37" s="57">
        <f t="shared" si="5"/>
        <v>78.59286324124992</v>
      </c>
    </row>
    <row r="38" spans="1:29" ht="16.5" customHeight="1">
      <c r="A38" s="120" t="s">
        <v>214</v>
      </c>
      <c r="B38" s="56">
        <f>'Výdaje '!B35</f>
        <v>20930</v>
      </c>
      <c r="C38" s="48">
        <f>'Výdaje '!C35</f>
        <v>26461</v>
      </c>
      <c r="D38" s="48">
        <f>'Výdaje '!D35</f>
        <v>24371</v>
      </c>
      <c r="E38" s="57">
        <f t="shared" si="6"/>
        <v>92.10158346245417</v>
      </c>
      <c r="F38" s="177"/>
      <c r="G38" s="42"/>
      <c r="H38" s="42"/>
      <c r="I38" s="57"/>
      <c r="J38" s="177">
        <v>30</v>
      </c>
      <c r="K38" s="42">
        <v>30</v>
      </c>
      <c r="L38" s="42">
        <v>30</v>
      </c>
      <c r="M38" s="57">
        <f>L38/K38*100</f>
        <v>100</v>
      </c>
      <c r="N38" s="260">
        <v>4898</v>
      </c>
      <c r="O38" s="17">
        <v>5296</v>
      </c>
      <c r="P38" s="17">
        <v>5396</v>
      </c>
      <c r="Q38" s="57">
        <f t="shared" si="0"/>
        <v>101.88821752265862</v>
      </c>
      <c r="R38" s="222"/>
      <c r="S38" s="42"/>
      <c r="T38" s="42"/>
      <c r="U38" s="266"/>
      <c r="V38" s="177"/>
      <c r="W38" s="128">
        <v>94</v>
      </c>
      <c r="X38" s="128">
        <f t="shared" si="7"/>
        <v>94</v>
      </c>
      <c r="Y38" s="57">
        <f t="shared" si="10"/>
        <v>100</v>
      </c>
      <c r="Z38" s="56">
        <f t="shared" si="2"/>
        <v>16002</v>
      </c>
      <c r="AA38" s="48">
        <f t="shared" si="3"/>
        <v>21041</v>
      </c>
      <c r="AB38" s="48">
        <f t="shared" si="4"/>
        <v>18851</v>
      </c>
      <c r="AC38" s="57">
        <f t="shared" si="5"/>
        <v>89.59174944156646</v>
      </c>
    </row>
    <row r="39" spans="1:29" ht="16.5" customHeight="1">
      <c r="A39" s="120" t="s">
        <v>215</v>
      </c>
      <c r="B39" s="56">
        <f>'Výdaje '!B36</f>
        <v>55198</v>
      </c>
      <c r="C39" s="48">
        <f>'Výdaje '!C36</f>
        <v>56357</v>
      </c>
      <c r="D39" s="48">
        <f>'Výdaje '!D36</f>
        <v>53807</v>
      </c>
      <c r="E39" s="57">
        <f t="shared" si="6"/>
        <v>95.47527370158099</v>
      </c>
      <c r="F39" s="177"/>
      <c r="G39" s="42"/>
      <c r="H39" s="42"/>
      <c r="I39" s="57"/>
      <c r="J39" s="177"/>
      <c r="K39" s="42"/>
      <c r="L39" s="42"/>
      <c r="M39" s="57"/>
      <c r="N39" s="261">
        <v>11149</v>
      </c>
      <c r="O39" s="28">
        <v>11317</v>
      </c>
      <c r="P39" s="28">
        <v>11317</v>
      </c>
      <c r="Q39" s="57">
        <f t="shared" si="0"/>
        <v>100</v>
      </c>
      <c r="R39" s="222"/>
      <c r="S39" s="42"/>
      <c r="T39" s="42"/>
      <c r="U39" s="266"/>
      <c r="V39" s="177"/>
      <c r="W39" s="128">
        <v>138</v>
      </c>
      <c r="X39" s="128">
        <f t="shared" si="7"/>
        <v>138</v>
      </c>
      <c r="Y39" s="57">
        <f t="shared" si="10"/>
        <v>100</v>
      </c>
      <c r="Z39" s="56">
        <f t="shared" si="2"/>
        <v>44049</v>
      </c>
      <c r="AA39" s="48">
        <f t="shared" si="3"/>
        <v>44902</v>
      </c>
      <c r="AB39" s="48">
        <f t="shared" si="4"/>
        <v>42352</v>
      </c>
      <c r="AC39" s="57">
        <f t="shared" si="5"/>
        <v>94.32096565854528</v>
      </c>
    </row>
    <row r="40" spans="1:29" ht="16.5" customHeight="1">
      <c r="A40" s="120" t="s">
        <v>216</v>
      </c>
      <c r="B40" s="56">
        <f>'Výdaje '!B37</f>
        <v>5009</v>
      </c>
      <c r="C40" s="48">
        <f>'Výdaje '!C37</f>
        <v>6585</v>
      </c>
      <c r="D40" s="48">
        <f>'Výdaje '!D37</f>
        <v>5189</v>
      </c>
      <c r="E40" s="57">
        <f t="shared" si="6"/>
        <v>78.80030372057706</v>
      </c>
      <c r="F40" s="177"/>
      <c r="G40" s="42"/>
      <c r="H40" s="42"/>
      <c r="I40" s="57"/>
      <c r="J40" s="177">
        <v>70</v>
      </c>
      <c r="K40" s="42">
        <v>70</v>
      </c>
      <c r="L40" s="42">
        <v>70</v>
      </c>
      <c r="M40" s="57">
        <f>L40/K40*100</f>
        <v>100</v>
      </c>
      <c r="N40" s="262">
        <v>452</v>
      </c>
      <c r="O40" s="19">
        <v>722</v>
      </c>
      <c r="P40" s="19">
        <v>722</v>
      </c>
      <c r="Q40" s="57">
        <f t="shared" si="0"/>
        <v>100</v>
      </c>
      <c r="R40" s="222"/>
      <c r="S40" s="42">
        <v>0</v>
      </c>
      <c r="T40" s="42"/>
      <c r="U40" s="266"/>
      <c r="V40" s="177"/>
      <c r="W40" s="128">
        <v>3</v>
      </c>
      <c r="X40" s="128">
        <f t="shared" si="7"/>
        <v>3</v>
      </c>
      <c r="Y40" s="57">
        <f t="shared" si="10"/>
        <v>100</v>
      </c>
      <c r="Z40" s="56">
        <f t="shared" si="2"/>
        <v>4487</v>
      </c>
      <c r="AA40" s="48">
        <f t="shared" si="3"/>
        <v>5790</v>
      </c>
      <c r="AB40" s="48">
        <f t="shared" si="4"/>
        <v>4394</v>
      </c>
      <c r="AC40" s="57">
        <f t="shared" si="5"/>
        <v>75.88946459412782</v>
      </c>
    </row>
    <row r="41" spans="1:29" ht="15" customHeight="1">
      <c r="A41" s="120" t="s">
        <v>217</v>
      </c>
      <c r="B41" s="56">
        <f>'Výdaje '!B38</f>
        <v>6318</v>
      </c>
      <c r="C41" s="48">
        <f>'Výdaje '!C38</f>
        <v>7491</v>
      </c>
      <c r="D41" s="48">
        <f>'Výdaje '!D38</f>
        <v>6772</v>
      </c>
      <c r="E41" s="57">
        <f t="shared" si="6"/>
        <v>90.40181551194767</v>
      </c>
      <c r="F41" s="177"/>
      <c r="G41" s="42"/>
      <c r="H41" s="42"/>
      <c r="I41" s="57"/>
      <c r="J41" s="177"/>
      <c r="K41" s="42">
        <v>72</v>
      </c>
      <c r="L41" s="42">
        <v>72</v>
      </c>
      <c r="M41" s="57">
        <f>L41/K41*100</f>
        <v>100</v>
      </c>
      <c r="N41" s="263">
        <v>1500</v>
      </c>
      <c r="O41" s="26">
        <v>1725</v>
      </c>
      <c r="P41" s="26">
        <v>1725</v>
      </c>
      <c r="Q41" s="57">
        <f t="shared" si="0"/>
        <v>100</v>
      </c>
      <c r="R41" s="222"/>
      <c r="S41" s="42">
        <v>0</v>
      </c>
      <c r="T41" s="42"/>
      <c r="U41" s="266"/>
      <c r="V41" s="177"/>
      <c r="W41" s="128">
        <v>10</v>
      </c>
      <c r="X41" s="128">
        <f t="shared" si="7"/>
        <v>10</v>
      </c>
      <c r="Y41" s="57">
        <f t="shared" si="10"/>
        <v>100</v>
      </c>
      <c r="Z41" s="56">
        <f t="shared" si="2"/>
        <v>4818</v>
      </c>
      <c r="AA41" s="48">
        <f t="shared" si="3"/>
        <v>5684</v>
      </c>
      <c r="AB41" s="48">
        <f t="shared" si="4"/>
        <v>4965</v>
      </c>
      <c r="AC41" s="57">
        <f t="shared" si="5"/>
        <v>87.35045742434905</v>
      </c>
    </row>
    <row r="42" spans="1:29" ht="15" customHeight="1">
      <c r="A42" s="120" t="s">
        <v>218</v>
      </c>
      <c r="B42" s="56">
        <f>'Výdaje '!B39</f>
        <v>2816</v>
      </c>
      <c r="C42" s="48">
        <f>'Výdaje '!C39</f>
        <v>3655</v>
      </c>
      <c r="D42" s="48">
        <f>'Výdaje '!D39</f>
        <v>3238</v>
      </c>
      <c r="E42" s="57">
        <f t="shared" si="6"/>
        <v>88.59097127222982</v>
      </c>
      <c r="F42" s="177"/>
      <c r="G42" s="42"/>
      <c r="H42" s="42"/>
      <c r="I42" s="57"/>
      <c r="J42" s="177">
        <v>70</v>
      </c>
      <c r="K42" s="42">
        <v>70</v>
      </c>
      <c r="L42" s="42">
        <v>70</v>
      </c>
      <c r="M42" s="57">
        <f>L42/K42*100</f>
        <v>100</v>
      </c>
      <c r="N42" s="264">
        <v>7</v>
      </c>
      <c r="O42" s="39">
        <v>146</v>
      </c>
      <c r="P42" s="39">
        <v>146</v>
      </c>
      <c r="Q42" s="57">
        <f t="shared" si="0"/>
        <v>100</v>
      </c>
      <c r="R42" s="222"/>
      <c r="S42" s="42">
        <v>0</v>
      </c>
      <c r="T42" s="42"/>
      <c r="U42" s="266"/>
      <c r="V42" s="177"/>
      <c r="W42" s="128">
        <v>6</v>
      </c>
      <c r="X42" s="128">
        <f t="shared" si="7"/>
        <v>6</v>
      </c>
      <c r="Y42" s="57">
        <f t="shared" si="10"/>
        <v>100</v>
      </c>
      <c r="Z42" s="56">
        <f t="shared" si="2"/>
        <v>2739</v>
      </c>
      <c r="AA42" s="48">
        <f t="shared" si="3"/>
        <v>3433</v>
      </c>
      <c r="AB42" s="48">
        <f t="shared" si="4"/>
        <v>3016</v>
      </c>
      <c r="AC42" s="57">
        <f t="shared" si="5"/>
        <v>87.85318963006117</v>
      </c>
    </row>
    <row r="43" spans="1:29" ht="15" customHeight="1" thickBot="1">
      <c r="A43" s="121" t="s">
        <v>219</v>
      </c>
      <c r="B43" s="61">
        <f>'Výdaje '!B40</f>
        <v>2241</v>
      </c>
      <c r="C43" s="62">
        <f>'Výdaje '!C40</f>
        <v>2655</v>
      </c>
      <c r="D43" s="62">
        <f>'Výdaje '!D40</f>
        <v>2211</v>
      </c>
      <c r="E43" s="63">
        <f t="shared" si="6"/>
        <v>83.2768361581921</v>
      </c>
      <c r="F43" s="225"/>
      <c r="G43" s="51"/>
      <c r="H43" s="51"/>
      <c r="I43" s="63"/>
      <c r="J43" s="225">
        <v>15</v>
      </c>
      <c r="K43" s="51">
        <v>65</v>
      </c>
      <c r="L43" s="51">
        <v>65</v>
      </c>
      <c r="M43" s="63">
        <f>L43/K43*100</f>
        <v>100</v>
      </c>
      <c r="N43" s="225"/>
      <c r="O43" s="51"/>
      <c r="P43" s="51"/>
      <c r="Q43" s="63"/>
      <c r="R43" s="223"/>
      <c r="S43" s="51">
        <v>0</v>
      </c>
      <c r="T43" s="51"/>
      <c r="U43" s="267"/>
      <c r="V43" s="225"/>
      <c r="W43" s="220">
        <v>8</v>
      </c>
      <c r="X43" s="220">
        <f t="shared" si="7"/>
        <v>8</v>
      </c>
      <c r="Y43" s="63">
        <f t="shared" si="10"/>
        <v>100</v>
      </c>
      <c r="Z43" s="61">
        <f t="shared" si="2"/>
        <v>2226</v>
      </c>
      <c r="AA43" s="62">
        <f t="shared" si="3"/>
        <v>2582</v>
      </c>
      <c r="AB43" s="62">
        <f t="shared" si="4"/>
        <v>2138</v>
      </c>
      <c r="AC43" s="63">
        <f t="shared" si="5"/>
        <v>82.80402788536018</v>
      </c>
    </row>
    <row r="44" spans="1:29" ht="16.5" customHeight="1" thickBot="1">
      <c r="A44" s="118"/>
      <c r="B44" s="58"/>
      <c r="C44" s="59"/>
      <c r="D44" s="59"/>
      <c r="E44" s="60"/>
      <c r="F44" s="53"/>
      <c r="G44" s="54"/>
      <c r="H44" s="54"/>
      <c r="I44" s="60"/>
      <c r="J44" s="53"/>
      <c r="K44" s="54"/>
      <c r="L44" s="54"/>
      <c r="M44" s="60"/>
      <c r="N44" s="53"/>
      <c r="O44" s="54"/>
      <c r="P44" s="54"/>
      <c r="Q44" s="60"/>
      <c r="R44" s="54"/>
      <c r="S44" s="54"/>
      <c r="T44" s="54"/>
      <c r="U44" s="54"/>
      <c r="V44" s="53"/>
      <c r="W44" s="54"/>
      <c r="X44" s="54"/>
      <c r="Y44" s="60"/>
      <c r="Z44" s="58"/>
      <c r="AA44" s="59"/>
      <c r="AB44" s="59"/>
      <c r="AC44" s="60"/>
    </row>
    <row r="45" spans="1:29" ht="18" customHeight="1" thickBot="1">
      <c r="A45" s="122" t="s">
        <v>245</v>
      </c>
      <c r="B45" s="100">
        <f>SUM(B15:B43)</f>
        <v>1643394</v>
      </c>
      <c r="C45" s="101">
        <f>SUM(C15:C43)</f>
        <v>1931370</v>
      </c>
      <c r="D45" s="101">
        <f>SUM(D15:D43)</f>
        <v>1660505</v>
      </c>
      <c r="E45" s="103">
        <f>D45/C45*100</f>
        <v>85.97549925700409</v>
      </c>
      <c r="F45" s="100">
        <f>SUM(F15:F43)</f>
        <v>25113</v>
      </c>
      <c r="G45" s="101">
        <f>SUM(G15:G43)</f>
        <v>24875.76</v>
      </c>
      <c r="H45" s="101">
        <f>SUM(H15:H43)</f>
        <v>20276</v>
      </c>
      <c r="I45" s="103">
        <f>H45/G45*100</f>
        <v>81.50906746165745</v>
      </c>
      <c r="J45" s="286">
        <f>SUM(J15:J43)</f>
        <v>385</v>
      </c>
      <c r="K45" s="102">
        <f>SUM(K15:K43)</f>
        <v>845</v>
      </c>
      <c r="L45" s="102">
        <f>SUM(L15:L43)</f>
        <v>754</v>
      </c>
      <c r="M45" s="103">
        <f>L45/K45*100</f>
        <v>89.23076923076924</v>
      </c>
      <c r="N45" s="100">
        <f>SUM(N15:N43)</f>
        <v>369582</v>
      </c>
      <c r="O45" s="101">
        <f>SUM(O15:O43)</f>
        <v>402225.8</v>
      </c>
      <c r="P45" s="101">
        <f>SUM(P15:P43)</f>
        <v>401658</v>
      </c>
      <c r="Q45" s="103">
        <f>P45/O45*100</f>
        <v>99.85883550980569</v>
      </c>
      <c r="R45" s="287"/>
      <c r="S45" s="102">
        <f>SUM(S15:S44)</f>
        <v>0</v>
      </c>
      <c r="T45" s="102">
        <f>SUM(T15:T43)</f>
        <v>0</v>
      </c>
      <c r="U45" s="288"/>
      <c r="V45" s="286"/>
      <c r="W45" s="101">
        <f>SUM(W15:W44)</f>
        <v>19324</v>
      </c>
      <c r="X45" s="101">
        <f>SUM(X15:X43)</f>
        <v>19324</v>
      </c>
      <c r="Y45" s="103">
        <f>X45/W45*100</f>
        <v>100</v>
      </c>
      <c r="Z45" s="100">
        <f>SUM(Z15:Z43)</f>
        <v>1248314</v>
      </c>
      <c r="AA45" s="101">
        <f>SUM(AA15:AA43)</f>
        <v>1484099.44</v>
      </c>
      <c r="AB45" s="101">
        <f>SUM(AB15:AB43)</f>
        <v>1218493</v>
      </c>
      <c r="AC45" s="103">
        <f>AB45/AA45*100</f>
        <v>82.10319114465807</v>
      </c>
    </row>
    <row r="46" ht="16.5" customHeight="1"/>
    <row r="47" spans="1:24" ht="15.75">
      <c r="A47" s="93">
        <v>2012</v>
      </c>
      <c r="B47" s="40">
        <v>1643394</v>
      </c>
      <c r="C47" s="40">
        <v>1931370</v>
      </c>
      <c r="D47" s="40">
        <v>1660505</v>
      </c>
      <c r="F47" s="40">
        <v>25113</v>
      </c>
      <c r="G47" s="40">
        <v>21876</v>
      </c>
      <c r="H47" s="40">
        <v>20276</v>
      </c>
      <c r="J47" s="40">
        <v>385</v>
      </c>
      <c r="K47" s="40">
        <v>845</v>
      </c>
      <c r="L47" s="40">
        <f>492+247+15</f>
        <v>754</v>
      </c>
      <c r="N47" s="40">
        <v>369582</v>
      </c>
      <c r="O47" s="40">
        <f>394657+7569</f>
        <v>402226</v>
      </c>
      <c r="P47" s="40">
        <f>394205+7453</f>
        <v>401658</v>
      </c>
      <c r="W47" s="40">
        <v>19324</v>
      </c>
      <c r="X47" s="40">
        <v>19324</v>
      </c>
    </row>
    <row r="49" spans="1:28" ht="15.75">
      <c r="A49" s="93">
        <v>2011</v>
      </c>
      <c r="B49" s="40">
        <v>1654975</v>
      </c>
      <c r="C49" s="40">
        <v>2092507</v>
      </c>
      <c r="D49" s="40">
        <v>1770751</v>
      </c>
      <c r="F49" s="40">
        <v>25702</v>
      </c>
      <c r="G49" s="40">
        <v>27137</v>
      </c>
      <c r="H49" s="40">
        <v>22387</v>
      </c>
      <c r="J49" s="40">
        <v>400</v>
      </c>
      <c r="K49" s="40">
        <v>518</v>
      </c>
      <c r="L49" s="40">
        <v>518</v>
      </c>
      <c r="N49" s="40">
        <v>356652</v>
      </c>
      <c r="O49" s="40">
        <v>402428</v>
      </c>
      <c r="P49" s="40">
        <v>400595</v>
      </c>
      <c r="W49" s="40">
        <v>13111</v>
      </c>
      <c r="X49" s="40">
        <v>13111</v>
      </c>
      <c r="Z49" s="40">
        <v>1272221</v>
      </c>
      <c r="AA49" s="40">
        <v>1649313</v>
      </c>
      <c r="AB49" s="40">
        <v>1334140</v>
      </c>
    </row>
    <row r="61" ht="15.75" customHeight="1"/>
    <row r="62" ht="15.7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2" customHeight="1"/>
    <row r="96" ht="12" customHeight="1"/>
    <row r="97" ht="15.75" customHeight="1"/>
  </sheetData>
  <sheetProtection/>
  <mergeCells count="35">
    <mergeCell ref="A2:AC2"/>
    <mergeCell ref="R13:U13"/>
    <mergeCell ref="F13:I13"/>
    <mergeCell ref="J13:M13"/>
    <mergeCell ref="N13:Q13"/>
    <mergeCell ref="V13:Y13"/>
    <mergeCell ref="Z13:AC13"/>
    <mergeCell ref="A4:AC4"/>
    <mergeCell ref="A7:A10"/>
    <mergeCell ref="B7:E7"/>
    <mergeCell ref="B8:E8"/>
    <mergeCell ref="B9:B10"/>
    <mergeCell ref="C9:C10"/>
    <mergeCell ref="D9:D10"/>
    <mergeCell ref="F9:F10"/>
    <mergeCell ref="G9:G10"/>
    <mergeCell ref="AA9:AA10"/>
    <mergeCell ref="AB9:AB10"/>
    <mergeCell ref="Z8:AC8"/>
    <mergeCell ref="V8:Y8"/>
    <mergeCell ref="O9:O10"/>
    <mergeCell ref="P9:P10"/>
    <mergeCell ref="V9:V10"/>
    <mergeCell ref="W9:W10"/>
    <mergeCell ref="X9:X10"/>
    <mergeCell ref="N8:Q8"/>
    <mergeCell ref="J8:M8"/>
    <mergeCell ref="F8:I8"/>
    <mergeCell ref="B13:E13"/>
    <mergeCell ref="Z9:Z10"/>
    <mergeCell ref="H9:H10"/>
    <mergeCell ref="J9:J10"/>
    <mergeCell ref="K9:K10"/>
    <mergeCell ref="L9:L10"/>
    <mergeCell ref="N9:N10"/>
  </mergeCells>
  <printOptions horizontalCentered="1" verticalCentered="1"/>
  <pageMargins left="0.5118110236220472" right="0.3937007874015748" top="0.7480314960629921" bottom="0.7480314960629921" header="0.5118110236220472" footer="0.5118110236220472"/>
  <pageSetup fitToHeight="1" fitToWidth="1" horizontalDpi="180" verticalDpi="180" orientation="landscape" paperSize="9" scale="4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50"/>
  <sheetViews>
    <sheetView showZeros="0" zoomScaleSheetLayoutView="85" zoomScalePageLayoutView="0" workbookViewId="0" topLeftCell="A1">
      <pane xSplit="1" ySplit="12" topLeftCell="K13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N16" sqref="N16"/>
    </sheetView>
  </sheetViews>
  <sheetFormatPr defaultColWidth="9.796875" defaultRowHeight="15"/>
  <cols>
    <col min="1" max="1" width="30.296875" style="93" customWidth="1"/>
    <col min="2" max="3" width="10.796875" style="40" customWidth="1"/>
    <col min="4" max="4" width="9.8984375" style="40" customWidth="1"/>
    <col min="5" max="5" width="7.3984375" style="40" customWidth="1"/>
    <col min="6" max="7" width="11.59765625" style="40" customWidth="1"/>
    <col min="8" max="8" width="11.59765625" style="40" hidden="1" customWidth="1"/>
    <col min="9" max="9" width="9.59765625" style="40" customWidth="1"/>
    <col min="10" max="10" width="10.796875" style="40" hidden="1" customWidth="1"/>
    <col min="11" max="11" width="7.3984375" style="40" customWidth="1"/>
    <col min="12" max="12" width="11.3984375" style="40" customWidth="1"/>
    <col min="13" max="13" width="10.8984375" style="40" customWidth="1"/>
    <col min="14" max="14" width="9.59765625" style="40" customWidth="1"/>
    <col min="15" max="15" width="8" style="40" customWidth="1"/>
    <col min="16" max="17" width="10.796875" style="136" customWidth="1"/>
    <col min="18" max="18" width="9.8984375" style="136" customWidth="1"/>
    <col min="19" max="19" width="7.19921875" style="136" customWidth="1"/>
    <col min="20" max="20" width="5.3984375" style="40" customWidth="1"/>
    <col min="21" max="21" width="11.19921875" style="40" customWidth="1"/>
    <col min="22" max="27" width="7.796875" style="40" customWidth="1"/>
    <col min="28" max="16384" width="9.796875" style="40" customWidth="1"/>
  </cols>
  <sheetData>
    <row r="1" ht="17.25" customHeight="1"/>
    <row r="2" spans="1:19" ht="24" customHeight="1">
      <c r="A2" s="310" t="s">
        <v>240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19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21" customHeight="1">
      <c r="A4" s="310" t="s">
        <v>114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ht="22.5" customHeight="1">
      <c r="S5" s="94"/>
    </row>
    <row r="6" ht="22.5" customHeight="1" thickBot="1">
      <c r="S6" s="94" t="s">
        <v>115</v>
      </c>
    </row>
    <row r="7" spans="1:19" ht="18" customHeight="1" thickBot="1">
      <c r="A7" s="321" t="s">
        <v>229</v>
      </c>
      <c r="B7" s="330" t="s">
        <v>116</v>
      </c>
      <c r="C7" s="330"/>
      <c r="D7" s="330"/>
      <c r="E7" s="331"/>
      <c r="F7" s="40" t="s">
        <v>182</v>
      </c>
      <c r="S7" s="94" t="s">
        <v>1</v>
      </c>
    </row>
    <row r="8" spans="1:19" s="93" customFormat="1" ht="18" customHeight="1">
      <c r="A8" s="322"/>
      <c r="B8" s="382"/>
      <c r="C8" s="382"/>
      <c r="D8" s="382"/>
      <c r="E8" s="382"/>
      <c r="F8" s="304" t="s">
        <v>171</v>
      </c>
      <c r="G8" s="332"/>
      <c r="H8" s="332"/>
      <c r="I8" s="332"/>
      <c r="J8" s="332"/>
      <c r="K8" s="305"/>
      <c r="L8" s="304" t="s">
        <v>228</v>
      </c>
      <c r="M8" s="332"/>
      <c r="N8" s="332"/>
      <c r="O8" s="305"/>
      <c r="P8" s="332" t="s">
        <v>185</v>
      </c>
      <c r="Q8" s="332"/>
      <c r="R8" s="332"/>
      <c r="S8" s="305"/>
    </row>
    <row r="9" spans="1:19" s="93" customFormat="1" ht="18" customHeight="1" thickBot="1">
      <c r="A9" s="322"/>
      <c r="B9" s="325" t="s">
        <v>44</v>
      </c>
      <c r="C9" s="325"/>
      <c r="D9" s="325"/>
      <c r="E9" s="325"/>
      <c r="F9" s="379" t="s">
        <v>183</v>
      </c>
      <c r="G9" s="380"/>
      <c r="H9" s="380"/>
      <c r="I9" s="380"/>
      <c r="J9" s="380"/>
      <c r="K9" s="381"/>
      <c r="L9" s="379" t="s">
        <v>184</v>
      </c>
      <c r="M9" s="380"/>
      <c r="N9" s="380"/>
      <c r="O9" s="381"/>
      <c r="P9" s="279"/>
      <c r="Q9" s="279"/>
      <c r="R9" s="279"/>
      <c r="S9" s="280"/>
    </row>
    <row r="10" spans="1:19" ht="18" customHeight="1">
      <c r="A10" s="322"/>
      <c r="B10" s="374" t="s">
        <v>242</v>
      </c>
      <c r="C10" s="335" t="s">
        <v>244</v>
      </c>
      <c r="D10" s="335" t="s">
        <v>243</v>
      </c>
      <c r="E10" s="185" t="s">
        <v>0</v>
      </c>
      <c r="F10" s="333" t="s">
        <v>242</v>
      </c>
      <c r="G10" s="335" t="s">
        <v>244</v>
      </c>
      <c r="I10" s="335" t="s">
        <v>243</v>
      </c>
      <c r="J10" s="54"/>
      <c r="K10" s="171" t="s">
        <v>0</v>
      </c>
      <c r="L10" s="333" t="s">
        <v>242</v>
      </c>
      <c r="M10" s="335" t="s">
        <v>244</v>
      </c>
      <c r="N10" s="335" t="s">
        <v>243</v>
      </c>
      <c r="O10" s="171" t="s">
        <v>0</v>
      </c>
      <c r="P10" s="374" t="s">
        <v>242</v>
      </c>
      <c r="Q10" s="335" t="s">
        <v>244</v>
      </c>
      <c r="R10" s="335" t="s">
        <v>243</v>
      </c>
      <c r="S10" s="171" t="s">
        <v>0</v>
      </c>
    </row>
    <row r="11" spans="1:19" ht="15" customHeight="1" thickBot="1">
      <c r="A11" s="323"/>
      <c r="B11" s="375"/>
      <c r="C11" s="336"/>
      <c r="D11" s="336"/>
      <c r="E11" s="186" t="s">
        <v>11</v>
      </c>
      <c r="F11" s="334"/>
      <c r="G11" s="336"/>
      <c r="I11" s="336"/>
      <c r="J11" s="54"/>
      <c r="K11" s="173" t="s">
        <v>11</v>
      </c>
      <c r="L11" s="334"/>
      <c r="M11" s="336"/>
      <c r="N11" s="336"/>
      <c r="O11" s="173" t="s">
        <v>11</v>
      </c>
      <c r="P11" s="375"/>
      <c r="Q11" s="336"/>
      <c r="R11" s="336"/>
      <c r="S11" s="173" t="s">
        <v>11</v>
      </c>
    </row>
    <row r="12" spans="1:19" ht="17.25" customHeight="1">
      <c r="A12" s="118"/>
      <c r="F12" s="339" t="s">
        <v>258</v>
      </c>
      <c r="G12" s="340"/>
      <c r="H12" s="340"/>
      <c r="I12" s="340"/>
      <c r="J12" s="340"/>
      <c r="K12" s="341"/>
      <c r="L12" s="53"/>
      <c r="M12" s="54"/>
      <c r="N12" s="54"/>
      <c r="O12" s="55"/>
      <c r="P12" s="372"/>
      <c r="Q12" s="372"/>
      <c r="R12" s="372"/>
      <c r="S12" s="373"/>
    </row>
    <row r="13" spans="1:19" ht="15" customHeight="1" thickBot="1">
      <c r="A13" s="118"/>
      <c r="F13" s="53"/>
      <c r="G13" s="54"/>
      <c r="H13" s="54"/>
      <c r="I13" s="54"/>
      <c r="J13" s="54"/>
      <c r="K13" s="55"/>
      <c r="L13" s="53"/>
      <c r="M13" s="54"/>
      <c r="N13" s="54"/>
      <c r="O13" s="55"/>
      <c r="P13" s="198"/>
      <c r="Q13" s="198"/>
      <c r="R13" s="281"/>
      <c r="S13" s="203"/>
    </row>
    <row r="14" spans="1:22" ht="16.5" customHeight="1">
      <c r="A14" s="119" t="s">
        <v>191</v>
      </c>
      <c r="B14" s="180">
        <f>'Výdaje '!G12</f>
        <v>166338</v>
      </c>
      <c r="C14" s="74">
        <f>'Výdaje '!H12</f>
        <v>238879</v>
      </c>
      <c r="D14" s="74">
        <f>'Výdaje '!I12</f>
        <v>112354</v>
      </c>
      <c r="E14" s="272">
        <f aca="true" t="shared" si="0" ref="E14:E42">D14/C14*100</f>
        <v>47.033853959535996</v>
      </c>
      <c r="F14" s="276">
        <v>0</v>
      </c>
      <c r="G14" s="270">
        <v>58443</v>
      </c>
      <c r="H14" s="270">
        <v>7684149.6</v>
      </c>
      <c r="I14" s="270">
        <f>ROUND(H14/1000,0)</f>
        <v>7684</v>
      </c>
      <c r="J14" s="75">
        <f aca="true" t="shared" si="1" ref="J14:J42">G14-H14</f>
        <v>-7625706.6</v>
      </c>
      <c r="K14" s="76">
        <f>I14/G14*100</f>
        <v>13.147853464058997</v>
      </c>
      <c r="L14" s="73"/>
      <c r="M14" s="74"/>
      <c r="N14" s="74"/>
      <c r="O14" s="76"/>
      <c r="P14" s="180">
        <f aca="true" t="shared" si="2" ref="P14:P41">B14-F14-L14</f>
        <v>166338</v>
      </c>
      <c r="Q14" s="74">
        <f aca="true" t="shared" si="3" ref="Q14:Q41">C14-G14-M14</f>
        <v>180436</v>
      </c>
      <c r="R14" s="282">
        <f>D14-I14-N14</f>
        <v>104670</v>
      </c>
      <c r="S14" s="76">
        <f aca="true" t="shared" si="4" ref="S14:S41">R14/Q14*100</f>
        <v>58.009488128754796</v>
      </c>
      <c r="U14" s="40">
        <v>38139926.38</v>
      </c>
      <c r="V14" s="40">
        <f>U14/1000-R14</f>
        <v>-66530.07362</v>
      </c>
    </row>
    <row r="15" spans="1:22" ht="16.5" customHeight="1">
      <c r="A15" s="120" t="s">
        <v>192</v>
      </c>
      <c r="B15" s="153">
        <f>'Výdaje '!G13</f>
        <v>12310</v>
      </c>
      <c r="C15" s="48">
        <f>'Výdaje '!H13</f>
        <v>14650</v>
      </c>
      <c r="D15" s="48">
        <f>'Výdaje '!I13</f>
        <v>14011</v>
      </c>
      <c r="E15" s="273">
        <f t="shared" si="0"/>
        <v>95.6382252559727</v>
      </c>
      <c r="F15" s="56"/>
      <c r="G15" s="269">
        <v>3367</v>
      </c>
      <c r="H15" s="269">
        <v>3366529.88</v>
      </c>
      <c r="I15" s="269">
        <f>ROUND(H15/1000,0)-1</f>
        <v>3366</v>
      </c>
      <c r="J15" s="42">
        <f t="shared" si="1"/>
        <v>-3363162.88</v>
      </c>
      <c r="K15" s="57">
        <f aca="true" t="shared" si="5" ref="K15:K39">I15/G15*100</f>
        <v>99.97029997029998</v>
      </c>
      <c r="L15" s="56"/>
      <c r="M15" s="269">
        <v>4000</v>
      </c>
      <c r="N15" s="269">
        <v>4000</v>
      </c>
      <c r="O15" s="57">
        <f>N15/M15*100</f>
        <v>100</v>
      </c>
      <c r="P15" s="153">
        <f t="shared" si="2"/>
        <v>12310</v>
      </c>
      <c r="Q15" s="48">
        <f t="shared" si="3"/>
        <v>7283</v>
      </c>
      <c r="R15" s="48">
        <f>D15-I15-N15</f>
        <v>6645</v>
      </c>
      <c r="S15" s="57">
        <f t="shared" si="4"/>
        <v>91.23987367842922</v>
      </c>
      <c r="U15" s="40">
        <v>17153693.4</v>
      </c>
      <c r="V15" s="40">
        <f aca="true" t="shared" si="6" ref="V15:V43">U15/1000-R15</f>
        <v>10508.6934</v>
      </c>
    </row>
    <row r="16" spans="1:22" ht="16.5" customHeight="1">
      <c r="A16" s="120" t="s">
        <v>193</v>
      </c>
      <c r="B16" s="153">
        <f>'Výdaje '!G14</f>
        <v>67391</v>
      </c>
      <c r="C16" s="48">
        <f>'Výdaje '!H14</f>
        <v>121588</v>
      </c>
      <c r="D16" s="48">
        <f>'Výdaje '!I14</f>
        <v>31498</v>
      </c>
      <c r="E16" s="273">
        <f t="shared" si="0"/>
        <v>25.9055169918084</v>
      </c>
      <c r="F16" s="56"/>
      <c r="G16" s="48">
        <v>38360</v>
      </c>
      <c r="H16" s="48">
        <v>5792832</v>
      </c>
      <c r="I16" s="269">
        <f aca="true" t="shared" si="7" ref="I16:I23">ROUND(H16/1000,0)</f>
        <v>5793</v>
      </c>
      <c r="J16" s="42">
        <f t="shared" si="1"/>
        <v>-5754472</v>
      </c>
      <c r="K16" s="57">
        <f t="shared" si="5"/>
        <v>15.101668404588112</v>
      </c>
      <c r="L16" s="56"/>
      <c r="M16" s="48">
        <v>350</v>
      </c>
      <c r="N16" s="48">
        <v>350</v>
      </c>
      <c r="O16" s="57">
        <f>N16/M16*100</f>
        <v>100</v>
      </c>
      <c r="P16" s="153">
        <f t="shared" si="2"/>
        <v>67391</v>
      </c>
      <c r="Q16" s="48">
        <f t="shared" si="3"/>
        <v>82878</v>
      </c>
      <c r="R16" s="48">
        <f>D16-I16-N16</f>
        <v>25355</v>
      </c>
      <c r="S16" s="57">
        <f>R16/Q16*100</f>
        <v>30.59316103187818</v>
      </c>
      <c r="U16" s="40">
        <v>18728547.27</v>
      </c>
      <c r="V16" s="40">
        <f t="shared" si="6"/>
        <v>-6626.452730000001</v>
      </c>
    </row>
    <row r="17" spans="1:22" ht="16.5" customHeight="1">
      <c r="A17" s="120" t="s">
        <v>194</v>
      </c>
      <c r="B17" s="153">
        <f>'Výdaje '!G15</f>
        <v>7850</v>
      </c>
      <c r="C17" s="48">
        <f>'Výdaje '!H15</f>
        <v>20085</v>
      </c>
      <c r="D17" s="48">
        <f>'Výdaje '!I15</f>
        <v>11447</v>
      </c>
      <c r="E17" s="273">
        <f t="shared" si="0"/>
        <v>56.99278068210107</v>
      </c>
      <c r="F17" s="56"/>
      <c r="G17" s="48">
        <v>2480</v>
      </c>
      <c r="H17" s="48">
        <v>2455663.8</v>
      </c>
      <c r="I17" s="269">
        <f t="shared" si="7"/>
        <v>2456</v>
      </c>
      <c r="J17" s="42">
        <f t="shared" si="1"/>
        <v>-2453183.8</v>
      </c>
      <c r="K17" s="57">
        <f t="shared" si="5"/>
        <v>99.03225806451613</v>
      </c>
      <c r="L17" s="56"/>
      <c r="M17" s="48"/>
      <c r="N17" s="48"/>
      <c r="O17" s="57"/>
      <c r="P17" s="153">
        <f t="shared" si="2"/>
        <v>7850</v>
      </c>
      <c r="Q17" s="48">
        <f t="shared" si="3"/>
        <v>17605</v>
      </c>
      <c r="R17" s="48">
        <f aca="true" t="shared" si="8" ref="R17:R41">D17-I17-N17</f>
        <v>8991</v>
      </c>
      <c r="S17" s="57">
        <f t="shared" si="4"/>
        <v>51.070718545867656</v>
      </c>
      <c r="U17" s="40">
        <v>78097121.37</v>
      </c>
      <c r="V17" s="40">
        <f t="shared" si="6"/>
        <v>69106.12137000001</v>
      </c>
    </row>
    <row r="18" spans="1:22" ht="16.5" customHeight="1">
      <c r="A18" s="120" t="s">
        <v>195</v>
      </c>
      <c r="B18" s="153">
        <f>'Výdaje '!G16</f>
        <v>3122</v>
      </c>
      <c r="C18" s="48">
        <f>'Výdaje '!H16</f>
        <v>11136</v>
      </c>
      <c r="D18" s="48">
        <f>'Výdaje '!I16</f>
        <v>4027</v>
      </c>
      <c r="E18" s="273">
        <f t="shared" si="0"/>
        <v>36.16199712643678</v>
      </c>
      <c r="F18" s="56"/>
      <c r="G18" s="48">
        <v>100</v>
      </c>
      <c r="H18" s="48">
        <v>100000</v>
      </c>
      <c r="I18" s="269">
        <f t="shared" si="7"/>
        <v>100</v>
      </c>
      <c r="J18" s="42">
        <f t="shared" si="1"/>
        <v>-99900</v>
      </c>
      <c r="K18" s="57">
        <f t="shared" si="5"/>
        <v>100</v>
      </c>
      <c r="L18" s="56"/>
      <c r="M18" s="48"/>
      <c r="N18" s="48"/>
      <c r="O18" s="57"/>
      <c r="P18" s="153">
        <f t="shared" si="2"/>
        <v>3122</v>
      </c>
      <c r="Q18" s="48">
        <f t="shared" si="3"/>
        <v>11036</v>
      </c>
      <c r="R18" s="48">
        <f t="shared" si="8"/>
        <v>3927</v>
      </c>
      <c r="S18" s="57">
        <f t="shared" si="4"/>
        <v>35.583544762595146</v>
      </c>
      <c r="U18" s="40">
        <v>3262926.6</v>
      </c>
      <c r="V18" s="40">
        <f t="shared" si="6"/>
        <v>-664.0733999999998</v>
      </c>
    </row>
    <row r="19" spans="1:22" ht="16.5" customHeight="1">
      <c r="A19" s="120" t="s">
        <v>196</v>
      </c>
      <c r="B19" s="153">
        <f>'Výdaje '!G17</f>
        <v>445</v>
      </c>
      <c r="C19" s="48">
        <f>'Výdaje '!H17</f>
        <v>7056</v>
      </c>
      <c r="D19" s="48">
        <f>'Výdaje '!I17</f>
        <v>5148</v>
      </c>
      <c r="E19" s="273">
        <f t="shared" si="0"/>
        <v>72.95918367346938</v>
      </c>
      <c r="F19" s="56"/>
      <c r="G19" s="48"/>
      <c r="H19" s="48"/>
      <c r="I19" s="269">
        <f t="shared" si="7"/>
        <v>0</v>
      </c>
      <c r="J19" s="42">
        <f t="shared" si="1"/>
        <v>0</v>
      </c>
      <c r="K19" s="57"/>
      <c r="L19" s="56"/>
      <c r="M19" s="48"/>
      <c r="N19" s="48"/>
      <c r="O19" s="57"/>
      <c r="P19" s="153">
        <f t="shared" si="2"/>
        <v>445</v>
      </c>
      <c r="Q19" s="48">
        <f t="shared" si="3"/>
        <v>7056</v>
      </c>
      <c r="R19" s="48">
        <f t="shared" si="8"/>
        <v>5148</v>
      </c>
      <c r="S19" s="57">
        <f t="shared" si="4"/>
        <v>72.95918367346938</v>
      </c>
      <c r="U19" s="40">
        <v>695282</v>
      </c>
      <c r="V19" s="40">
        <f t="shared" si="6"/>
        <v>-4452.718</v>
      </c>
    </row>
    <row r="20" spans="1:22" ht="16.5" customHeight="1">
      <c r="A20" s="120" t="s">
        <v>197</v>
      </c>
      <c r="B20" s="153">
        <f>'Výdaje '!G18</f>
        <v>13950</v>
      </c>
      <c r="C20" s="48">
        <f>'Výdaje '!H18</f>
        <v>43986</v>
      </c>
      <c r="D20" s="48">
        <f>'Výdaje '!I18</f>
        <v>42454</v>
      </c>
      <c r="E20" s="273">
        <f t="shared" si="0"/>
        <v>96.51707361433182</v>
      </c>
      <c r="F20" s="56"/>
      <c r="G20" s="48"/>
      <c r="H20" s="48"/>
      <c r="I20" s="269">
        <f t="shared" si="7"/>
        <v>0</v>
      </c>
      <c r="J20" s="42">
        <f t="shared" si="1"/>
        <v>0</v>
      </c>
      <c r="K20" s="57"/>
      <c r="L20" s="56"/>
      <c r="M20" s="48">
        <v>250</v>
      </c>
      <c r="N20" s="48">
        <v>250</v>
      </c>
      <c r="O20" s="57">
        <f>N20/M20*100</f>
        <v>100</v>
      </c>
      <c r="P20" s="153">
        <f t="shared" si="2"/>
        <v>13950</v>
      </c>
      <c r="Q20" s="48">
        <f t="shared" si="3"/>
        <v>43736</v>
      </c>
      <c r="R20" s="48">
        <f t="shared" si="8"/>
        <v>42204</v>
      </c>
      <c r="S20" s="57">
        <f t="shared" si="4"/>
        <v>96.49716480702396</v>
      </c>
      <c r="U20" s="40">
        <v>3508496.2</v>
      </c>
      <c r="V20" s="40">
        <f t="shared" si="6"/>
        <v>-38695.5038</v>
      </c>
    </row>
    <row r="21" spans="1:22" ht="16.5" customHeight="1">
      <c r="A21" s="120" t="s">
        <v>198</v>
      </c>
      <c r="B21" s="153">
        <f>'Výdaje '!G19</f>
        <v>50269</v>
      </c>
      <c r="C21" s="48">
        <f>'Výdaje '!H19</f>
        <v>125654</v>
      </c>
      <c r="D21" s="48">
        <f>'Výdaje '!I19</f>
        <v>39196</v>
      </c>
      <c r="E21" s="273">
        <f t="shared" si="0"/>
        <v>31.19359511038248</v>
      </c>
      <c r="F21" s="56"/>
      <c r="G21" s="48">
        <v>21350</v>
      </c>
      <c r="H21" s="48">
        <v>17430000</v>
      </c>
      <c r="I21" s="269">
        <f t="shared" si="7"/>
        <v>17430</v>
      </c>
      <c r="J21" s="42">
        <f t="shared" si="1"/>
        <v>-17408650</v>
      </c>
      <c r="K21" s="57">
        <f t="shared" si="5"/>
        <v>81.63934426229508</v>
      </c>
      <c r="L21" s="56"/>
      <c r="M21" s="48">
        <v>3313</v>
      </c>
      <c r="N21" s="48">
        <v>3113</v>
      </c>
      <c r="O21" s="57">
        <f>N21/M21*100</f>
        <v>93.96317536975552</v>
      </c>
      <c r="P21" s="153">
        <f t="shared" si="2"/>
        <v>50269</v>
      </c>
      <c r="Q21" s="48">
        <f t="shared" si="3"/>
        <v>100991</v>
      </c>
      <c r="R21" s="48">
        <f t="shared" si="8"/>
        <v>18653</v>
      </c>
      <c r="S21" s="57">
        <f t="shared" si="4"/>
        <v>18.469962669940887</v>
      </c>
      <c r="U21" s="40">
        <v>61071384.9</v>
      </c>
      <c r="V21" s="40">
        <f t="shared" si="6"/>
        <v>42418.3849</v>
      </c>
    </row>
    <row r="22" spans="1:22" ht="16.5" customHeight="1">
      <c r="A22" s="120" t="s">
        <v>199</v>
      </c>
      <c r="B22" s="153">
        <f>'Výdaje '!G20</f>
        <v>1225</v>
      </c>
      <c r="C22" s="48">
        <f>'Výdaje '!H20</f>
        <v>3140</v>
      </c>
      <c r="D22" s="48">
        <f>'Výdaje '!I20</f>
        <v>1097</v>
      </c>
      <c r="E22" s="273">
        <f t="shared" si="0"/>
        <v>34.93630573248407</v>
      </c>
      <c r="F22" s="56"/>
      <c r="G22" s="48"/>
      <c r="H22" s="48"/>
      <c r="I22" s="269">
        <f t="shared" si="7"/>
        <v>0</v>
      </c>
      <c r="J22" s="42">
        <f t="shared" si="1"/>
        <v>0</v>
      </c>
      <c r="K22" s="57"/>
      <c r="L22" s="56"/>
      <c r="M22" s="48"/>
      <c r="N22" s="48"/>
      <c r="O22" s="57"/>
      <c r="P22" s="153">
        <f t="shared" si="2"/>
        <v>1225</v>
      </c>
      <c r="Q22" s="48">
        <f t="shared" si="3"/>
        <v>3140</v>
      </c>
      <c r="R22" s="48">
        <f t="shared" si="8"/>
        <v>1097</v>
      </c>
      <c r="S22" s="57">
        <f t="shared" si="4"/>
        <v>34.93630573248407</v>
      </c>
      <c r="U22" s="40">
        <v>4484702.3</v>
      </c>
      <c r="V22" s="40">
        <f t="shared" si="6"/>
        <v>3387.7023</v>
      </c>
    </row>
    <row r="23" spans="1:22" ht="16.5" customHeight="1">
      <c r="A23" s="120" t="s">
        <v>200</v>
      </c>
      <c r="B23" s="153">
        <f>'Výdaje '!G21</f>
        <v>2500</v>
      </c>
      <c r="C23" s="48">
        <f>'Výdaje '!H21</f>
        <v>15451</v>
      </c>
      <c r="D23" s="48">
        <f>'Výdaje '!I21</f>
        <v>13494</v>
      </c>
      <c r="E23" s="273">
        <f t="shared" si="0"/>
        <v>87.3341531292473</v>
      </c>
      <c r="F23" s="56"/>
      <c r="G23" s="48">
        <v>12000</v>
      </c>
      <c r="H23" s="48">
        <v>12000000</v>
      </c>
      <c r="I23" s="269">
        <f t="shared" si="7"/>
        <v>12000</v>
      </c>
      <c r="J23" s="42">
        <f t="shared" si="1"/>
        <v>-11988000</v>
      </c>
      <c r="K23" s="277">
        <f t="shared" si="5"/>
        <v>100</v>
      </c>
      <c r="L23" s="56"/>
      <c r="M23" s="48"/>
      <c r="N23" s="48"/>
      <c r="O23" s="57"/>
      <c r="P23" s="153">
        <f t="shared" si="2"/>
        <v>2500</v>
      </c>
      <c r="Q23" s="48">
        <f t="shared" si="3"/>
        <v>3451</v>
      </c>
      <c r="R23" s="48">
        <f t="shared" si="8"/>
        <v>1494</v>
      </c>
      <c r="S23" s="57">
        <f t="shared" si="4"/>
        <v>43.29179947841205</v>
      </c>
      <c r="U23" s="40">
        <v>1405062</v>
      </c>
      <c r="V23" s="40">
        <f t="shared" si="6"/>
        <v>-88.9380000000001</v>
      </c>
    </row>
    <row r="24" spans="1:22" ht="16.5" customHeight="1">
      <c r="A24" s="120" t="s">
        <v>201</v>
      </c>
      <c r="B24" s="153">
        <f>'Výdaje '!G22</f>
        <v>5250</v>
      </c>
      <c r="C24" s="48">
        <f>'Výdaje '!H22</f>
        <v>10801</v>
      </c>
      <c r="D24" s="48">
        <f>'Výdaje '!I22</f>
        <v>7698</v>
      </c>
      <c r="E24" s="273">
        <f t="shared" si="0"/>
        <v>71.27117859457458</v>
      </c>
      <c r="F24" s="56"/>
      <c r="G24" s="48">
        <v>5744</v>
      </c>
      <c r="H24" s="48">
        <v>5057521</v>
      </c>
      <c r="I24" s="269">
        <f>ROUND(H24/1000,0)-1</f>
        <v>5057</v>
      </c>
      <c r="J24" s="42">
        <f t="shared" si="1"/>
        <v>-5051777</v>
      </c>
      <c r="K24" s="277">
        <f t="shared" si="5"/>
        <v>88.03969359331477</v>
      </c>
      <c r="L24" s="56"/>
      <c r="M24" s="48"/>
      <c r="N24" s="48"/>
      <c r="O24" s="57"/>
      <c r="P24" s="153">
        <f t="shared" si="2"/>
        <v>5250</v>
      </c>
      <c r="Q24" s="48">
        <f t="shared" si="3"/>
        <v>5057</v>
      </c>
      <c r="R24" s="48">
        <f t="shared" si="8"/>
        <v>2641</v>
      </c>
      <c r="S24" s="57">
        <f t="shared" si="4"/>
        <v>52.22463911409927</v>
      </c>
      <c r="U24" s="40">
        <v>3605999</v>
      </c>
      <c r="V24" s="40">
        <f t="shared" si="6"/>
        <v>964.9989999999998</v>
      </c>
    </row>
    <row r="25" spans="1:22" ht="16.5" customHeight="1">
      <c r="A25" s="120" t="s">
        <v>202</v>
      </c>
      <c r="B25" s="153">
        <f>'Výdaje '!G23</f>
        <v>270</v>
      </c>
      <c r="C25" s="48">
        <f>'Výdaje '!H23</f>
        <v>6349</v>
      </c>
      <c r="D25" s="48">
        <f>'Výdaje '!I23</f>
        <v>5507</v>
      </c>
      <c r="E25" s="273">
        <f t="shared" si="0"/>
        <v>86.73806898724209</v>
      </c>
      <c r="F25" s="56"/>
      <c r="G25" s="48">
        <v>4639</v>
      </c>
      <c r="H25" s="48">
        <v>4390952</v>
      </c>
      <c r="I25" s="269">
        <f aca="true" t="shared" si="9" ref="I25:I42">ROUND(H25/1000,0)</f>
        <v>4391</v>
      </c>
      <c r="J25" s="42">
        <f t="shared" si="1"/>
        <v>-4386313</v>
      </c>
      <c r="K25" s="277">
        <f t="shared" si="5"/>
        <v>94.65402026298771</v>
      </c>
      <c r="L25" s="56"/>
      <c r="M25" s="48"/>
      <c r="N25" s="48"/>
      <c r="O25" s="57"/>
      <c r="P25" s="153">
        <f t="shared" si="2"/>
        <v>270</v>
      </c>
      <c r="Q25" s="48">
        <f t="shared" si="3"/>
        <v>1710</v>
      </c>
      <c r="R25" s="48">
        <f t="shared" si="8"/>
        <v>1116</v>
      </c>
      <c r="S25" s="57">
        <f t="shared" si="4"/>
        <v>65.26315789473685</v>
      </c>
      <c r="U25" s="40">
        <v>1108541</v>
      </c>
      <c r="V25" s="40">
        <f t="shared" si="6"/>
        <v>-7.45900000000006</v>
      </c>
    </row>
    <row r="26" spans="1:22" ht="16.5" customHeight="1">
      <c r="A26" s="120" t="s">
        <v>203</v>
      </c>
      <c r="B26" s="153">
        <f>'Výdaje '!G24</f>
        <v>42409</v>
      </c>
      <c r="C26" s="48">
        <f>'Výdaje '!H24</f>
        <v>123405</v>
      </c>
      <c r="D26" s="48">
        <f>'Výdaje '!I24</f>
        <v>46216</v>
      </c>
      <c r="E26" s="273">
        <f t="shared" si="0"/>
        <v>37.45067055629836</v>
      </c>
      <c r="F26" s="56"/>
      <c r="G26" s="48">
        <v>11640</v>
      </c>
      <c r="H26" s="48">
        <v>4620000</v>
      </c>
      <c r="I26" s="269">
        <f t="shared" si="9"/>
        <v>4620</v>
      </c>
      <c r="J26" s="42">
        <f t="shared" si="1"/>
        <v>-4608360</v>
      </c>
      <c r="K26" s="277">
        <f t="shared" si="5"/>
        <v>39.69072164948454</v>
      </c>
      <c r="L26" s="56"/>
      <c r="M26" s="48">
        <v>100</v>
      </c>
      <c r="N26" s="48">
        <v>92</v>
      </c>
      <c r="O26" s="57">
        <f>N26/M26*100</f>
        <v>92</v>
      </c>
      <c r="P26" s="153">
        <f t="shared" si="2"/>
        <v>42409</v>
      </c>
      <c r="Q26" s="48">
        <f t="shared" si="3"/>
        <v>111665</v>
      </c>
      <c r="R26" s="48">
        <f t="shared" si="8"/>
        <v>41504</v>
      </c>
      <c r="S26" s="57">
        <f t="shared" si="4"/>
        <v>37.1683159450141</v>
      </c>
      <c r="U26" s="40">
        <v>43017780.36</v>
      </c>
      <c r="V26" s="40">
        <f t="shared" si="6"/>
        <v>1513.780359999997</v>
      </c>
    </row>
    <row r="27" spans="1:22" ht="16.5" customHeight="1">
      <c r="A27" s="120" t="s">
        <v>204</v>
      </c>
      <c r="B27" s="153">
        <f>'Výdaje '!G25</f>
        <v>6142</v>
      </c>
      <c r="C27" s="48">
        <f>'Výdaje '!H25</f>
        <v>8018</v>
      </c>
      <c r="D27" s="48">
        <f>'Výdaje '!I25</f>
        <v>7755</v>
      </c>
      <c r="E27" s="273">
        <f t="shared" si="0"/>
        <v>96.71988026939387</v>
      </c>
      <c r="F27" s="56"/>
      <c r="G27" s="48">
        <v>3186</v>
      </c>
      <c r="H27" s="48">
        <v>3185705</v>
      </c>
      <c r="I27" s="269">
        <f t="shared" si="9"/>
        <v>3186</v>
      </c>
      <c r="J27" s="42">
        <f t="shared" si="1"/>
        <v>-3182519</v>
      </c>
      <c r="K27" s="277">
        <f t="shared" si="5"/>
        <v>100</v>
      </c>
      <c r="L27" s="56"/>
      <c r="M27" s="48"/>
      <c r="N27" s="48"/>
      <c r="O27" s="57"/>
      <c r="P27" s="153">
        <f t="shared" si="2"/>
        <v>6142</v>
      </c>
      <c r="Q27" s="48">
        <f t="shared" si="3"/>
        <v>4832</v>
      </c>
      <c r="R27" s="48">
        <f t="shared" si="8"/>
        <v>4569</v>
      </c>
      <c r="S27" s="57">
        <f t="shared" si="4"/>
        <v>94.55711920529801</v>
      </c>
      <c r="U27" s="40">
        <v>9369465.9</v>
      </c>
      <c r="V27" s="40">
        <f t="shared" si="6"/>
        <v>4800.465900000001</v>
      </c>
    </row>
    <row r="28" spans="1:22" ht="16.5" customHeight="1">
      <c r="A28" s="120" t="s">
        <v>205</v>
      </c>
      <c r="B28" s="153">
        <f>'Výdaje '!G26</f>
        <v>56035</v>
      </c>
      <c r="C28" s="48">
        <f>'Výdaje '!H26</f>
        <v>66522</v>
      </c>
      <c r="D28" s="48">
        <f>'Výdaje '!I26</f>
        <v>30601</v>
      </c>
      <c r="E28" s="273">
        <f t="shared" si="0"/>
        <v>46.00132287062927</v>
      </c>
      <c r="F28" s="56"/>
      <c r="G28" s="48">
        <v>3698</v>
      </c>
      <c r="H28" s="48">
        <v>3698000</v>
      </c>
      <c r="I28" s="269">
        <f t="shared" si="9"/>
        <v>3698</v>
      </c>
      <c r="J28" s="42">
        <f t="shared" si="1"/>
        <v>-3694302</v>
      </c>
      <c r="K28" s="277">
        <f t="shared" si="5"/>
        <v>100</v>
      </c>
      <c r="L28" s="56"/>
      <c r="M28" s="48">
        <v>200</v>
      </c>
      <c r="N28" s="48">
        <v>200</v>
      </c>
      <c r="O28" s="57">
        <f>N28/M28*100</f>
        <v>100</v>
      </c>
      <c r="P28" s="153">
        <f t="shared" si="2"/>
        <v>56035</v>
      </c>
      <c r="Q28" s="48">
        <f t="shared" si="3"/>
        <v>62624</v>
      </c>
      <c r="R28" s="48">
        <f t="shared" si="8"/>
        <v>26703</v>
      </c>
      <c r="S28" s="57">
        <f t="shared" si="4"/>
        <v>42.640201839550336</v>
      </c>
      <c r="U28" s="40">
        <v>36281168.6</v>
      </c>
      <c r="V28" s="40">
        <f t="shared" si="6"/>
        <v>9578.168600000005</v>
      </c>
    </row>
    <row r="29" spans="1:22" ht="16.5" customHeight="1">
      <c r="A29" s="120" t="s">
        <v>206</v>
      </c>
      <c r="B29" s="153">
        <f>'Výdaje '!G27</f>
        <v>20686</v>
      </c>
      <c r="C29" s="48">
        <f>'Výdaje '!H27</f>
        <v>35091</v>
      </c>
      <c r="D29" s="48">
        <f>'Výdaje '!I27</f>
        <v>13250</v>
      </c>
      <c r="E29" s="273">
        <f t="shared" si="0"/>
        <v>37.75896953634835</v>
      </c>
      <c r="F29" s="56"/>
      <c r="G29" s="48">
        <v>4700</v>
      </c>
      <c r="H29" s="48">
        <v>4700000</v>
      </c>
      <c r="I29" s="269">
        <f t="shared" si="9"/>
        <v>4700</v>
      </c>
      <c r="J29" s="42">
        <f t="shared" si="1"/>
        <v>-4695300</v>
      </c>
      <c r="K29" s="277">
        <f t="shared" si="5"/>
        <v>100</v>
      </c>
      <c r="L29" s="56"/>
      <c r="M29" s="48"/>
      <c r="N29" s="48"/>
      <c r="O29" s="57"/>
      <c r="P29" s="153">
        <f t="shared" si="2"/>
        <v>20686</v>
      </c>
      <c r="Q29" s="48">
        <f t="shared" si="3"/>
        <v>30391</v>
      </c>
      <c r="R29" s="48">
        <f t="shared" si="8"/>
        <v>8550</v>
      </c>
      <c r="S29" s="57">
        <f t="shared" si="4"/>
        <v>28.133328946069557</v>
      </c>
      <c r="U29" s="40">
        <v>25088573.020000003</v>
      </c>
      <c r="V29" s="40">
        <f t="shared" si="6"/>
        <v>16538.573020000003</v>
      </c>
    </row>
    <row r="30" spans="1:22" ht="16.5" customHeight="1">
      <c r="A30" s="120" t="s">
        <v>207</v>
      </c>
      <c r="B30" s="153">
        <f>'Výdaje '!G28</f>
        <v>9770</v>
      </c>
      <c r="C30" s="48">
        <f>'Výdaje '!H28</f>
        <v>28052</v>
      </c>
      <c r="D30" s="48">
        <f>'Výdaje '!I28</f>
        <v>13366</v>
      </c>
      <c r="E30" s="273">
        <f t="shared" si="0"/>
        <v>47.64722657921004</v>
      </c>
      <c r="F30" s="56"/>
      <c r="G30" s="48">
        <v>13274</v>
      </c>
      <c r="H30" s="48">
        <v>11343595</v>
      </c>
      <c r="I30" s="269">
        <f t="shared" si="9"/>
        <v>11344</v>
      </c>
      <c r="J30" s="42">
        <f t="shared" si="1"/>
        <v>-11330321</v>
      </c>
      <c r="K30" s="277">
        <f t="shared" si="5"/>
        <v>85.46029832755762</v>
      </c>
      <c r="L30" s="56"/>
      <c r="M30" s="48"/>
      <c r="N30" s="48"/>
      <c r="O30" s="57"/>
      <c r="P30" s="153">
        <f t="shared" si="2"/>
        <v>9770</v>
      </c>
      <c r="Q30" s="48">
        <f t="shared" si="3"/>
        <v>14778</v>
      </c>
      <c r="R30" s="48">
        <f t="shared" si="8"/>
        <v>2022</v>
      </c>
      <c r="S30" s="57">
        <f t="shared" si="4"/>
        <v>13.68250101502233</v>
      </c>
      <c r="U30" s="40">
        <v>3112519.8</v>
      </c>
      <c r="V30" s="40">
        <f t="shared" si="6"/>
        <v>1090.5198</v>
      </c>
    </row>
    <row r="31" spans="1:22" ht="16.5" customHeight="1">
      <c r="A31" s="120" t="s">
        <v>208</v>
      </c>
      <c r="B31" s="153">
        <f>'Výdaje '!G29</f>
        <v>12815</v>
      </c>
      <c r="C31" s="48">
        <f>'Výdaje '!H29</f>
        <v>3972</v>
      </c>
      <c r="D31" s="48">
        <f>'Výdaje '!I29</f>
        <v>1043</v>
      </c>
      <c r="E31" s="273">
        <f t="shared" si="0"/>
        <v>26.25881168177241</v>
      </c>
      <c r="F31" s="56"/>
      <c r="G31" s="48"/>
      <c r="H31" s="48"/>
      <c r="I31" s="269">
        <f t="shared" si="9"/>
        <v>0</v>
      </c>
      <c r="J31" s="42">
        <f t="shared" si="1"/>
        <v>0</v>
      </c>
      <c r="K31" s="277"/>
      <c r="L31" s="56"/>
      <c r="M31" s="48"/>
      <c r="N31" s="48"/>
      <c r="O31" s="57"/>
      <c r="P31" s="153">
        <f t="shared" si="2"/>
        <v>12815</v>
      </c>
      <c r="Q31" s="48">
        <f t="shared" si="3"/>
        <v>3972</v>
      </c>
      <c r="R31" s="48">
        <f t="shared" si="8"/>
        <v>1043</v>
      </c>
      <c r="S31" s="57">
        <f t="shared" si="4"/>
        <v>26.25881168177241</v>
      </c>
      <c r="U31" s="40">
        <v>46417757.02</v>
      </c>
      <c r="V31" s="40">
        <f t="shared" si="6"/>
        <v>45374.757020000005</v>
      </c>
    </row>
    <row r="32" spans="1:22" ht="16.5" customHeight="1">
      <c r="A32" s="120" t="s">
        <v>209</v>
      </c>
      <c r="B32" s="153">
        <f>'Výdaje '!G30</f>
        <v>49104</v>
      </c>
      <c r="C32" s="48">
        <f>'Výdaje '!H30</f>
        <v>66308</v>
      </c>
      <c r="D32" s="48">
        <f>'Výdaje '!I30</f>
        <v>24422</v>
      </c>
      <c r="E32" s="273">
        <f t="shared" si="0"/>
        <v>36.831151595584245</v>
      </c>
      <c r="F32" s="56"/>
      <c r="G32" s="48">
        <v>1745</v>
      </c>
      <c r="H32" s="48">
        <v>1745082</v>
      </c>
      <c r="I32" s="269">
        <f t="shared" si="9"/>
        <v>1745</v>
      </c>
      <c r="J32" s="42">
        <f t="shared" si="1"/>
        <v>-1743337</v>
      </c>
      <c r="K32" s="277">
        <f t="shared" si="5"/>
        <v>100</v>
      </c>
      <c r="L32" s="56"/>
      <c r="M32" s="48"/>
      <c r="N32" s="48"/>
      <c r="O32" s="57"/>
      <c r="P32" s="153">
        <f t="shared" si="2"/>
        <v>49104</v>
      </c>
      <c r="Q32" s="48">
        <f t="shared" si="3"/>
        <v>64563</v>
      </c>
      <c r="R32" s="48">
        <f t="shared" si="8"/>
        <v>22677</v>
      </c>
      <c r="S32" s="57">
        <f t="shared" si="4"/>
        <v>35.12383253566284</v>
      </c>
      <c r="U32" s="40">
        <v>50156597</v>
      </c>
      <c r="V32" s="40">
        <f t="shared" si="6"/>
        <v>27479.597</v>
      </c>
    </row>
    <row r="33" spans="1:22" ht="16.5" customHeight="1">
      <c r="A33" s="120" t="s">
        <v>210</v>
      </c>
      <c r="B33" s="153">
        <f>'Výdaje '!G31</f>
        <v>1000</v>
      </c>
      <c r="C33" s="48">
        <f>'Výdaje '!H31</f>
        <v>13255</v>
      </c>
      <c r="D33" s="48">
        <f>'Výdaje '!I31</f>
        <v>10556</v>
      </c>
      <c r="E33" s="273">
        <f t="shared" si="0"/>
        <v>79.63787250094305</v>
      </c>
      <c r="F33" s="56"/>
      <c r="G33" s="48">
        <v>8965</v>
      </c>
      <c r="H33" s="48">
        <v>8964588</v>
      </c>
      <c r="I33" s="269">
        <f t="shared" si="9"/>
        <v>8965</v>
      </c>
      <c r="J33" s="42">
        <f t="shared" si="1"/>
        <v>-8955623</v>
      </c>
      <c r="K33" s="277">
        <f t="shared" si="5"/>
        <v>100</v>
      </c>
      <c r="L33" s="56"/>
      <c r="M33" s="48"/>
      <c r="N33" s="48"/>
      <c r="O33" s="57"/>
      <c r="P33" s="153">
        <f t="shared" si="2"/>
        <v>1000</v>
      </c>
      <c r="Q33" s="48">
        <f t="shared" si="3"/>
        <v>4290</v>
      </c>
      <c r="R33" s="48">
        <f t="shared" si="8"/>
        <v>1591</v>
      </c>
      <c r="S33" s="57">
        <f t="shared" si="4"/>
        <v>37.086247086247084</v>
      </c>
      <c r="U33" s="40">
        <v>11732496.58</v>
      </c>
      <c r="V33" s="40">
        <f t="shared" si="6"/>
        <v>10141.49658</v>
      </c>
    </row>
    <row r="34" spans="1:22" ht="16.5" customHeight="1">
      <c r="A34" s="120" t="s">
        <v>211</v>
      </c>
      <c r="B34" s="153">
        <f>'Výdaje '!G32</f>
        <v>2935</v>
      </c>
      <c r="C34" s="48">
        <f>'Výdaje '!H32</f>
        <v>9943</v>
      </c>
      <c r="D34" s="48">
        <f>'Výdaje '!I32</f>
        <v>7949</v>
      </c>
      <c r="E34" s="273">
        <f t="shared" si="0"/>
        <v>79.94569043548225</v>
      </c>
      <c r="F34" s="56"/>
      <c r="G34" s="48">
        <v>2570</v>
      </c>
      <c r="H34" s="48">
        <v>2570000</v>
      </c>
      <c r="I34" s="269">
        <f t="shared" si="9"/>
        <v>2570</v>
      </c>
      <c r="J34" s="42">
        <f t="shared" si="1"/>
        <v>-2567430</v>
      </c>
      <c r="K34" s="277">
        <f t="shared" si="5"/>
        <v>100</v>
      </c>
      <c r="L34" s="56">
        <v>299</v>
      </c>
      <c r="M34" s="48">
        <v>299</v>
      </c>
      <c r="N34" s="48">
        <v>284</v>
      </c>
      <c r="O34" s="57">
        <f>N34/M34*100</f>
        <v>94.98327759197325</v>
      </c>
      <c r="P34" s="153">
        <f t="shared" si="2"/>
        <v>2636</v>
      </c>
      <c r="Q34" s="48">
        <f t="shared" si="3"/>
        <v>7074</v>
      </c>
      <c r="R34" s="48">
        <f t="shared" si="8"/>
        <v>5095</v>
      </c>
      <c r="S34" s="57">
        <f t="shared" si="4"/>
        <v>72.0243143907266</v>
      </c>
      <c r="U34" s="40">
        <v>6261323</v>
      </c>
      <c r="V34" s="40">
        <f t="shared" si="6"/>
        <v>1166.3230000000003</v>
      </c>
    </row>
    <row r="35" spans="1:22" ht="16.5" customHeight="1">
      <c r="A35" s="120" t="s">
        <v>212</v>
      </c>
      <c r="B35" s="153">
        <f>'Výdaje '!G33</f>
        <v>100</v>
      </c>
      <c r="C35" s="48">
        <f>'Výdaje '!H33</f>
        <v>1248</v>
      </c>
      <c r="D35" s="48">
        <f>'Výdaje '!I33</f>
        <v>617</v>
      </c>
      <c r="E35" s="273">
        <f t="shared" si="0"/>
        <v>49.43910256410257</v>
      </c>
      <c r="F35" s="56"/>
      <c r="G35" s="48">
        <v>120</v>
      </c>
      <c r="H35" s="48">
        <v>120000</v>
      </c>
      <c r="I35" s="269">
        <f t="shared" si="9"/>
        <v>120</v>
      </c>
      <c r="J35" s="42">
        <f t="shared" si="1"/>
        <v>-119880</v>
      </c>
      <c r="K35" s="277">
        <f t="shared" si="5"/>
        <v>100</v>
      </c>
      <c r="L35" s="56"/>
      <c r="M35" s="48">
        <v>300</v>
      </c>
      <c r="N35" s="48">
        <v>0</v>
      </c>
      <c r="O35" s="57">
        <f>N35/M35*100</f>
        <v>0</v>
      </c>
      <c r="P35" s="153">
        <f t="shared" si="2"/>
        <v>100</v>
      </c>
      <c r="Q35" s="48">
        <f t="shared" si="3"/>
        <v>828</v>
      </c>
      <c r="R35" s="48">
        <f t="shared" si="8"/>
        <v>497</v>
      </c>
      <c r="S35" s="57">
        <f t="shared" si="4"/>
        <v>60.02415458937198</v>
      </c>
      <c r="U35" s="40">
        <v>1011495</v>
      </c>
      <c r="V35" s="40">
        <f t="shared" si="6"/>
        <v>514.495</v>
      </c>
    </row>
    <row r="36" spans="1:22" ht="16.5" customHeight="1">
      <c r="A36" s="120" t="s">
        <v>213</v>
      </c>
      <c r="B36" s="153">
        <f>'Výdaje '!G34</f>
        <v>108481</v>
      </c>
      <c r="C36" s="48">
        <f>'Výdaje '!H34</f>
        <v>190218</v>
      </c>
      <c r="D36" s="48">
        <f>'Výdaje '!I34</f>
        <v>48969</v>
      </c>
      <c r="E36" s="273">
        <f t="shared" si="0"/>
        <v>25.74362047755733</v>
      </c>
      <c r="F36" s="56"/>
      <c r="G36" s="48">
        <v>600</v>
      </c>
      <c r="H36" s="48">
        <v>600000</v>
      </c>
      <c r="I36" s="269">
        <f t="shared" si="9"/>
        <v>600</v>
      </c>
      <c r="J36" s="42">
        <f t="shared" si="1"/>
        <v>-599400</v>
      </c>
      <c r="K36" s="277">
        <f t="shared" si="5"/>
        <v>100</v>
      </c>
      <c r="L36" s="56"/>
      <c r="M36" s="48"/>
      <c r="N36" s="48"/>
      <c r="O36" s="57"/>
      <c r="P36" s="153">
        <f t="shared" si="2"/>
        <v>108481</v>
      </c>
      <c r="Q36" s="48">
        <f t="shared" si="3"/>
        <v>189618</v>
      </c>
      <c r="R36" s="48">
        <f t="shared" si="8"/>
        <v>48369</v>
      </c>
      <c r="S36" s="57">
        <f t="shared" si="4"/>
        <v>25.508654241685917</v>
      </c>
      <c r="U36" s="40">
        <v>33001486.21</v>
      </c>
      <c r="V36" s="40">
        <f t="shared" si="6"/>
        <v>-15367.513789999997</v>
      </c>
    </row>
    <row r="37" spans="1:22" ht="16.5" customHeight="1">
      <c r="A37" s="120" t="s">
        <v>214</v>
      </c>
      <c r="B37" s="153">
        <f>'Výdaje '!G35</f>
        <v>51</v>
      </c>
      <c r="C37" s="48">
        <f>'Výdaje '!H35</f>
        <v>706</v>
      </c>
      <c r="D37" s="48">
        <f>'Výdaje '!I35</f>
        <v>697</v>
      </c>
      <c r="E37" s="273">
        <f t="shared" si="0"/>
        <v>98.72521246458923</v>
      </c>
      <c r="F37" s="56"/>
      <c r="G37" s="48"/>
      <c r="H37" s="48"/>
      <c r="I37" s="269">
        <f t="shared" si="9"/>
        <v>0</v>
      </c>
      <c r="J37" s="42">
        <f t="shared" si="1"/>
        <v>0</v>
      </c>
      <c r="K37" s="277"/>
      <c r="L37" s="56"/>
      <c r="M37" s="48"/>
      <c r="N37" s="48"/>
      <c r="O37" s="57"/>
      <c r="P37" s="153">
        <f t="shared" si="2"/>
        <v>51</v>
      </c>
      <c r="Q37" s="48">
        <f t="shared" si="3"/>
        <v>706</v>
      </c>
      <c r="R37" s="48">
        <f t="shared" si="8"/>
        <v>697</v>
      </c>
      <c r="S37" s="57">
        <f t="shared" si="4"/>
        <v>98.72521246458923</v>
      </c>
      <c r="U37" s="40">
        <v>769704.6</v>
      </c>
      <c r="V37" s="40">
        <f t="shared" si="6"/>
        <v>72.70460000000003</v>
      </c>
    </row>
    <row r="38" spans="1:22" ht="16.5" customHeight="1">
      <c r="A38" s="120" t="s">
        <v>215</v>
      </c>
      <c r="B38" s="153">
        <f>'Výdaje '!G36</f>
        <v>32710</v>
      </c>
      <c r="C38" s="48">
        <f>'Výdaje '!H36</f>
        <v>40280</v>
      </c>
      <c r="D38" s="48">
        <f>'Výdaje '!I36</f>
        <v>32425</v>
      </c>
      <c r="E38" s="273">
        <f>D38/C38*100</f>
        <v>80.49900695134062</v>
      </c>
      <c r="F38" s="56"/>
      <c r="G38" s="48">
        <v>9150</v>
      </c>
      <c r="H38" s="48">
        <v>9150000</v>
      </c>
      <c r="I38" s="269">
        <f t="shared" si="9"/>
        <v>9150</v>
      </c>
      <c r="J38" s="42">
        <f t="shared" si="1"/>
        <v>-9140850</v>
      </c>
      <c r="K38" s="277">
        <f t="shared" si="5"/>
        <v>100</v>
      </c>
      <c r="L38" s="56"/>
      <c r="M38" s="48">
        <v>3540</v>
      </c>
      <c r="N38" s="48">
        <v>3540</v>
      </c>
      <c r="O38" s="57">
        <f>N38/M38*100</f>
        <v>100</v>
      </c>
      <c r="P38" s="153">
        <f t="shared" si="2"/>
        <v>32710</v>
      </c>
      <c r="Q38" s="48">
        <f t="shared" si="3"/>
        <v>27590</v>
      </c>
      <c r="R38" s="48">
        <f t="shared" si="8"/>
        <v>19735</v>
      </c>
      <c r="S38" s="57">
        <f t="shared" si="4"/>
        <v>71.52953968829287</v>
      </c>
      <c r="U38" s="40">
        <v>7380325.49</v>
      </c>
      <c r="V38" s="40">
        <f t="shared" si="6"/>
        <v>-12354.67451</v>
      </c>
    </row>
    <row r="39" spans="1:22" ht="16.5" customHeight="1">
      <c r="A39" s="120" t="s">
        <v>216</v>
      </c>
      <c r="B39" s="153">
        <f>'Výdaje '!G37</f>
        <v>0</v>
      </c>
      <c r="C39" s="48">
        <f>'Výdaje '!H37</f>
        <v>380</v>
      </c>
      <c r="D39" s="48">
        <f>'Výdaje '!I37</f>
        <v>376</v>
      </c>
      <c r="E39" s="273">
        <f t="shared" si="0"/>
        <v>98.94736842105263</v>
      </c>
      <c r="F39" s="56"/>
      <c r="G39" s="48">
        <v>350</v>
      </c>
      <c r="H39" s="48">
        <v>350000</v>
      </c>
      <c r="I39" s="269">
        <f t="shared" si="9"/>
        <v>350</v>
      </c>
      <c r="J39" s="42">
        <f t="shared" si="1"/>
        <v>-349650</v>
      </c>
      <c r="K39" s="277">
        <f t="shared" si="5"/>
        <v>100</v>
      </c>
      <c r="L39" s="56"/>
      <c r="M39" s="48"/>
      <c r="N39" s="48"/>
      <c r="O39" s="57"/>
      <c r="P39" s="153">
        <f t="shared" si="2"/>
        <v>0</v>
      </c>
      <c r="Q39" s="48">
        <f t="shared" si="3"/>
        <v>30</v>
      </c>
      <c r="R39" s="48">
        <f t="shared" si="8"/>
        <v>26</v>
      </c>
      <c r="S39" s="57">
        <f t="shared" si="4"/>
        <v>86.66666666666667</v>
      </c>
      <c r="U39" s="40">
        <v>100000</v>
      </c>
      <c r="V39" s="40">
        <f t="shared" si="6"/>
        <v>74</v>
      </c>
    </row>
    <row r="40" spans="1:22" ht="16.5" customHeight="1">
      <c r="A40" s="120" t="s">
        <v>217</v>
      </c>
      <c r="B40" s="153">
        <f>'Výdaje '!G38</f>
        <v>0</v>
      </c>
      <c r="C40" s="48">
        <f>'Výdaje '!H38</f>
        <v>397</v>
      </c>
      <c r="D40" s="48">
        <f>'Výdaje '!I38</f>
        <v>295</v>
      </c>
      <c r="E40" s="273">
        <f t="shared" si="0"/>
        <v>74.3073047858942</v>
      </c>
      <c r="F40" s="56"/>
      <c r="G40" s="48"/>
      <c r="H40" s="48"/>
      <c r="I40" s="269">
        <f t="shared" si="9"/>
        <v>0</v>
      </c>
      <c r="J40" s="42">
        <f t="shared" si="1"/>
        <v>0</v>
      </c>
      <c r="K40" s="57"/>
      <c r="L40" s="56"/>
      <c r="M40" s="48"/>
      <c r="N40" s="48"/>
      <c r="O40" s="57"/>
      <c r="P40" s="153">
        <f t="shared" si="2"/>
        <v>0</v>
      </c>
      <c r="Q40" s="48">
        <f t="shared" si="3"/>
        <v>397</v>
      </c>
      <c r="R40" s="48">
        <f t="shared" si="8"/>
        <v>295</v>
      </c>
      <c r="S40" s="57">
        <f t="shared" si="4"/>
        <v>74.3073047858942</v>
      </c>
      <c r="U40" s="40">
        <v>1192801.8</v>
      </c>
      <c r="V40" s="40">
        <f t="shared" si="6"/>
        <v>897.8018</v>
      </c>
    </row>
    <row r="41" spans="1:22" ht="15" customHeight="1">
      <c r="A41" s="120" t="s">
        <v>218</v>
      </c>
      <c r="B41" s="153">
        <f>'Výdaje '!G39</f>
        <v>41</v>
      </c>
      <c r="C41" s="48">
        <f>'Výdaje '!H39</f>
        <v>409</v>
      </c>
      <c r="D41" s="48">
        <f>'Výdaje '!I39</f>
        <v>368</v>
      </c>
      <c r="E41" s="273">
        <f>D41/C41*100</f>
        <v>89.97555012224939</v>
      </c>
      <c r="F41" s="56"/>
      <c r="G41" s="48"/>
      <c r="H41" s="48"/>
      <c r="I41" s="269">
        <f t="shared" si="9"/>
        <v>0</v>
      </c>
      <c r="J41" s="42">
        <f t="shared" si="1"/>
        <v>0</v>
      </c>
      <c r="K41" s="277"/>
      <c r="L41" s="56"/>
      <c r="M41" s="48"/>
      <c r="N41" s="48"/>
      <c r="O41" s="57"/>
      <c r="P41" s="153">
        <f t="shared" si="2"/>
        <v>41</v>
      </c>
      <c r="Q41" s="48">
        <f t="shared" si="3"/>
        <v>409</v>
      </c>
      <c r="R41" s="48">
        <f t="shared" si="8"/>
        <v>368</v>
      </c>
      <c r="S41" s="57">
        <f t="shared" si="4"/>
        <v>89.97555012224939</v>
      </c>
      <c r="U41" s="40">
        <v>225373</v>
      </c>
      <c r="V41" s="40">
        <f t="shared" si="6"/>
        <v>-142.627</v>
      </c>
    </row>
    <row r="42" spans="1:22" ht="15" customHeight="1" thickBot="1">
      <c r="A42" s="121" t="s">
        <v>219</v>
      </c>
      <c r="B42" s="181">
        <f>'Výdaje '!G40</f>
        <v>0</v>
      </c>
      <c r="C42" s="62">
        <f>'Výdaje '!H40</f>
        <v>504</v>
      </c>
      <c r="D42" s="62">
        <f>'Výdaje '!I40</f>
        <v>4</v>
      </c>
      <c r="E42" s="274">
        <f t="shared" si="0"/>
        <v>0.7936507936507936</v>
      </c>
      <c r="F42" s="61"/>
      <c r="G42" s="62"/>
      <c r="H42" s="62"/>
      <c r="I42" s="271">
        <f t="shared" si="9"/>
        <v>0</v>
      </c>
      <c r="J42" s="51">
        <f t="shared" si="1"/>
        <v>0</v>
      </c>
      <c r="K42" s="278"/>
      <c r="L42" s="61"/>
      <c r="M42" s="62">
        <v>350</v>
      </c>
      <c r="N42" s="62"/>
      <c r="O42" s="63">
        <f>N42/M42*100</f>
        <v>0</v>
      </c>
      <c r="P42" s="181">
        <f>B42-F42-L42</f>
        <v>0</v>
      </c>
      <c r="Q42" s="62"/>
      <c r="R42" s="62"/>
      <c r="S42" s="63"/>
      <c r="U42" s="40">
        <v>0</v>
      </c>
      <c r="V42" s="40">
        <f t="shared" si="6"/>
        <v>0</v>
      </c>
    </row>
    <row r="43" spans="1:22" ht="15" customHeight="1" thickBot="1">
      <c r="A43" s="118"/>
      <c r="B43" s="47"/>
      <c r="C43" s="47"/>
      <c r="D43" s="47"/>
      <c r="E43" s="152"/>
      <c r="F43" s="58"/>
      <c r="G43" s="59"/>
      <c r="H43" s="59"/>
      <c r="I43" s="59"/>
      <c r="J43" s="54"/>
      <c r="K43" s="60"/>
      <c r="L43" s="58"/>
      <c r="M43" s="59"/>
      <c r="N43" s="59"/>
      <c r="O43" s="60"/>
      <c r="P43" s="59"/>
      <c r="Q43" s="59"/>
      <c r="R43" s="59"/>
      <c r="S43" s="60"/>
      <c r="V43" s="40">
        <f t="shared" si="6"/>
        <v>0</v>
      </c>
    </row>
    <row r="44" spans="1:21" ht="18" customHeight="1" thickBot="1">
      <c r="A44" s="122" t="s">
        <v>245</v>
      </c>
      <c r="B44" s="200">
        <f>SUM(B14:B42)</f>
        <v>673199</v>
      </c>
      <c r="C44" s="140">
        <f>SUM(C14:C42)</f>
        <v>1207483</v>
      </c>
      <c r="D44" s="140">
        <f>SUM(D14:D42)</f>
        <v>526840</v>
      </c>
      <c r="E44" s="275">
        <f>D44/C44*100</f>
        <v>43.63125609221827</v>
      </c>
      <c r="F44" s="205">
        <f>SUM(F14:F42)</f>
        <v>0</v>
      </c>
      <c r="G44" s="101">
        <f>SUM(G14:G42)</f>
        <v>206481</v>
      </c>
      <c r="H44" s="101">
        <f>SUM(H14:H42)</f>
        <v>109324618.28</v>
      </c>
      <c r="I44" s="101">
        <f>SUM(I14:I42)</f>
        <v>109325</v>
      </c>
      <c r="J44" s="102"/>
      <c r="K44" s="103">
        <f>I44/G44*100</f>
        <v>52.94676023459785</v>
      </c>
      <c r="L44" s="100">
        <f>SUM(L14:L42)</f>
        <v>299</v>
      </c>
      <c r="M44" s="101">
        <f>SUM(M14:M42)</f>
        <v>12702</v>
      </c>
      <c r="N44" s="101">
        <f>SUM(N14:N42)</f>
        <v>11829</v>
      </c>
      <c r="O44" s="103">
        <f>N44/M44*100</f>
        <v>93.12706660368445</v>
      </c>
      <c r="P44" s="284">
        <f>SUM(P14:P42)</f>
        <v>672900</v>
      </c>
      <c r="Q44" s="101">
        <f>SUM(Q14:Q42)</f>
        <v>988146</v>
      </c>
      <c r="R44" s="101">
        <f>SUM(R14:R42)</f>
        <v>405682</v>
      </c>
      <c r="S44" s="103">
        <f>R44/Q44*100</f>
        <v>41.05486436214891</v>
      </c>
      <c r="U44" s="40">
        <f>SUM(U14:U43)</f>
        <v>506380549.8</v>
      </c>
    </row>
    <row r="46" spans="2:14" ht="15.75">
      <c r="B46" s="40">
        <v>494494</v>
      </c>
      <c r="C46" s="40">
        <v>1041448</v>
      </c>
      <c r="D46" s="40">
        <v>640562</v>
      </c>
      <c r="G46" s="40">
        <v>206481</v>
      </c>
      <c r="H46" s="40">
        <v>109324618.27999999</v>
      </c>
      <c r="I46" s="40">
        <v>109325</v>
      </c>
      <c r="L46" s="40">
        <v>299</v>
      </c>
      <c r="M46" s="40">
        <v>12702</v>
      </c>
      <c r="N46" s="40">
        <v>11829</v>
      </c>
    </row>
    <row r="48" spans="2:14" ht="15.75">
      <c r="B48" s="40">
        <v>494494</v>
      </c>
      <c r="C48" s="40">
        <v>1041448</v>
      </c>
      <c r="D48" s="40">
        <v>640562</v>
      </c>
      <c r="G48" s="40">
        <v>239757</v>
      </c>
      <c r="H48" s="40">
        <v>168318</v>
      </c>
      <c r="I48" s="40">
        <v>168318</v>
      </c>
      <c r="M48" s="40">
        <v>5029</v>
      </c>
      <c r="N48" s="40">
        <v>4515</v>
      </c>
    </row>
    <row r="50" spans="9:18" ht="15.75">
      <c r="I50" s="40">
        <f>I44/D44*100</f>
        <v>20.751081922405284</v>
      </c>
      <c r="N50" s="40">
        <f>N44/D44*100</f>
        <v>2.245273707387442</v>
      </c>
      <c r="R50" s="136">
        <f>R44/D44*100</f>
        <v>77.00288512641409</v>
      </c>
    </row>
  </sheetData>
  <sheetProtection/>
  <mergeCells count="24">
    <mergeCell ref="P12:S12"/>
    <mergeCell ref="F12:K12"/>
    <mergeCell ref="A2:S2"/>
    <mergeCell ref="A4:S4"/>
    <mergeCell ref="B9:E9"/>
    <mergeCell ref="P8:S8"/>
    <mergeCell ref="F9:K9"/>
    <mergeCell ref="F8:K8"/>
    <mergeCell ref="L8:O8"/>
    <mergeCell ref="L9:O9"/>
    <mergeCell ref="A7:A11"/>
    <mergeCell ref="B7:E8"/>
    <mergeCell ref="B10:B11"/>
    <mergeCell ref="C10:C11"/>
    <mergeCell ref="D10:D11"/>
    <mergeCell ref="F10:F11"/>
    <mergeCell ref="P10:P11"/>
    <mergeCell ref="Q10:Q11"/>
    <mergeCell ref="R10:R11"/>
    <mergeCell ref="G10:G11"/>
    <mergeCell ref="I10:I11"/>
    <mergeCell ref="L10:L11"/>
    <mergeCell ref="M10:M11"/>
    <mergeCell ref="N10:N11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H69"/>
  <sheetViews>
    <sheetView showZeros="0" view="pageBreakPreview" zoomScale="85" zoomScaleNormal="75" zoomScaleSheetLayoutView="85" zoomScalePageLayoutView="0" workbookViewId="0" topLeftCell="A2">
      <pane xSplit="1" ySplit="12" topLeftCell="B14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A7" sqref="A7"/>
    </sheetView>
  </sheetViews>
  <sheetFormatPr defaultColWidth="9.796875" defaultRowHeight="15"/>
  <cols>
    <col min="1" max="1" width="29" style="93" customWidth="1"/>
    <col min="2" max="3" width="9.19921875" style="108" customWidth="1"/>
    <col min="4" max="4" width="9.3984375" style="108" customWidth="1"/>
    <col min="5" max="5" width="7.69921875" style="108" customWidth="1"/>
    <col min="6" max="7" width="9.19921875" style="108" customWidth="1"/>
    <col min="8" max="8" width="9.3984375" style="108" customWidth="1"/>
    <col min="9" max="9" width="6.8984375" style="108" customWidth="1"/>
    <col min="10" max="11" width="9.09765625" style="108" customWidth="1"/>
    <col min="12" max="12" width="9.3984375" style="108" customWidth="1"/>
    <col min="13" max="13" width="6.796875" style="108" customWidth="1"/>
    <col min="14" max="15" width="9.19921875" style="108" customWidth="1"/>
    <col min="16" max="16" width="9.3984375" style="108" customWidth="1"/>
    <col min="17" max="17" width="6.796875" style="108" customWidth="1"/>
    <col min="18" max="19" width="9.19921875" style="108" customWidth="1"/>
    <col min="20" max="20" width="9.3984375" style="108" customWidth="1"/>
    <col min="21" max="21" width="6.8984375" style="108" customWidth="1"/>
    <col min="22" max="23" width="9.19921875" style="108" customWidth="1"/>
    <col min="24" max="24" width="9.3984375" style="108" customWidth="1"/>
    <col min="25" max="25" width="6.796875" style="108" customWidth="1"/>
    <col min="26" max="28" width="10.8984375" style="108" hidden="1" customWidth="1"/>
    <col min="29" max="29" width="6.8984375" style="108" hidden="1" customWidth="1"/>
    <col min="30" max="30" width="7.796875" style="108" customWidth="1"/>
    <col min="31" max="33" width="9.09765625" style="108" customWidth="1"/>
    <col min="34" max="34" width="0.3046875" style="108" customWidth="1"/>
    <col min="35" max="35" width="2.296875" style="108" customWidth="1"/>
    <col min="36" max="36" width="10.3984375" style="108" customWidth="1"/>
    <col min="37" max="59" width="7.796875" style="108" customWidth="1"/>
    <col min="60" max="16384" width="9.796875" style="108" customWidth="1"/>
  </cols>
  <sheetData>
    <row r="1" ht="17.25" customHeight="1"/>
    <row r="2" spans="1:29" s="134" customFormat="1" ht="24" customHeight="1">
      <c r="A2" s="327" t="s">
        <v>236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s="134" customFormat="1" ht="1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</row>
    <row r="4" spans="1:29" s="134" customFormat="1" ht="21" customHeight="1">
      <c r="A4" s="327" t="s">
        <v>135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</row>
    <row r="5" ht="22.5" customHeight="1">
      <c r="K5" s="108" t="s">
        <v>60</v>
      </c>
    </row>
    <row r="6" spans="25:29" ht="22.5" customHeight="1">
      <c r="Y6" s="94" t="s">
        <v>252</v>
      </c>
      <c r="AC6" s="94"/>
    </row>
    <row r="7" spans="25:29" ht="16.5" customHeight="1" thickBot="1">
      <c r="Y7" s="94" t="s">
        <v>1</v>
      </c>
      <c r="AC7" s="94"/>
    </row>
    <row r="8" spans="1:29" s="93" customFormat="1" ht="18" customHeight="1">
      <c r="A8" s="321" t="s">
        <v>229</v>
      </c>
      <c r="B8" s="304" t="s">
        <v>125</v>
      </c>
      <c r="C8" s="332"/>
      <c r="D8" s="332"/>
      <c r="E8" s="305"/>
      <c r="F8" s="304" t="s">
        <v>127</v>
      </c>
      <c r="G8" s="332"/>
      <c r="H8" s="332"/>
      <c r="I8" s="305"/>
      <c r="J8" s="304" t="s">
        <v>127</v>
      </c>
      <c r="K8" s="332"/>
      <c r="L8" s="332"/>
      <c r="M8" s="305"/>
      <c r="N8" s="304" t="s">
        <v>130</v>
      </c>
      <c r="O8" s="332"/>
      <c r="P8" s="332"/>
      <c r="Q8" s="305"/>
      <c r="R8" s="304" t="s">
        <v>130</v>
      </c>
      <c r="S8" s="332"/>
      <c r="T8" s="332"/>
      <c r="U8" s="305"/>
      <c r="V8" s="304" t="s">
        <v>173</v>
      </c>
      <c r="W8" s="332"/>
      <c r="X8" s="332"/>
      <c r="Y8" s="305"/>
      <c r="Z8" s="304" t="s">
        <v>175</v>
      </c>
      <c r="AA8" s="332"/>
      <c r="AB8" s="332"/>
      <c r="AC8" s="305"/>
    </row>
    <row r="9" spans="1:33" s="93" customFormat="1" ht="18" customHeight="1" thickBot="1">
      <c r="A9" s="322"/>
      <c r="B9" s="324" t="s">
        <v>126</v>
      </c>
      <c r="C9" s="325"/>
      <c r="D9" s="325"/>
      <c r="E9" s="326"/>
      <c r="F9" s="324" t="s">
        <v>128</v>
      </c>
      <c r="G9" s="325"/>
      <c r="H9" s="325"/>
      <c r="I9" s="326"/>
      <c r="J9" s="324" t="s">
        <v>129</v>
      </c>
      <c r="K9" s="325"/>
      <c r="L9" s="325"/>
      <c r="M9" s="326"/>
      <c r="N9" s="324" t="s">
        <v>131</v>
      </c>
      <c r="O9" s="325"/>
      <c r="P9" s="325"/>
      <c r="Q9" s="326"/>
      <c r="R9" s="324" t="s">
        <v>132</v>
      </c>
      <c r="S9" s="325"/>
      <c r="T9" s="325"/>
      <c r="U9" s="326"/>
      <c r="V9" s="324" t="s">
        <v>174</v>
      </c>
      <c r="W9" s="325"/>
      <c r="X9" s="325"/>
      <c r="Y9" s="326"/>
      <c r="Z9" s="324" t="s">
        <v>174</v>
      </c>
      <c r="AA9" s="325"/>
      <c r="AB9" s="325"/>
      <c r="AC9" s="326"/>
      <c r="AE9" s="385" t="s">
        <v>153</v>
      </c>
      <c r="AF9" s="385"/>
      <c r="AG9" s="385"/>
    </row>
    <row r="10" spans="1:33" s="183" customFormat="1" ht="18.75" customHeight="1">
      <c r="A10" s="322"/>
      <c r="B10" s="384" t="s">
        <v>242</v>
      </c>
      <c r="C10" s="383" t="s">
        <v>244</v>
      </c>
      <c r="D10" s="383" t="s">
        <v>243</v>
      </c>
      <c r="E10" s="182" t="s">
        <v>0</v>
      </c>
      <c r="F10" s="384" t="s">
        <v>242</v>
      </c>
      <c r="G10" s="383" t="s">
        <v>244</v>
      </c>
      <c r="H10" s="383" t="s">
        <v>243</v>
      </c>
      <c r="I10" s="182" t="s">
        <v>0</v>
      </c>
      <c r="J10" s="384" t="s">
        <v>242</v>
      </c>
      <c r="K10" s="383" t="s">
        <v>244</v>
      </c>
      <c r="L10" s="383" t="s">
        <v>243</v>
      </c>
      <c r="M10" s="182" t="s">
        <v>0</v>
      </c>
      <c r="N10" s="384" t="s">
        <v>242</v>
      </c>
      <c r="O10" s="383" t="s">
        <v>244</v>
      </c>
      <c r="P10" s="383" t="s">
        <v>243</v>
      </c>
      <c r="Q10" s="182" t="s">
        <v>0</v>
      </c>
      <c r="R10" s="384" t="s">
        <v>242</v>
      </c>
      <c r="S10" s="383" t="s">
        <v>244</v>
      </c>
      <c r="T10" s="383" t="s">
        <v>243</v>
      </c>
      <c r="U10" s="182" t="s">
        <v>0</v>
      </c>
      <c r="V10" s="384" t="s">
        <v>242</v>
      </c>
      <c r="W10" s="383" t="s">
        <v>244</v>
      </c>
      <c r="X10" s="383" t="s">
        <v>243</v>
      </c>
      <c r="Y10" s="182" t="s">
        <v>0</v>
      </c>
      <c r="Z10" s="384" t="s">
        <v>242</v>
      </c>
      <c r="AA10" s="383" t="s">
        <v>244</v>
      </c>
      <c r="AB10" s="383" t="s">
        <v>243</v>
      </c>
      <c r="AC10" s="182" t="s">
        <v>0</v>
      </c>
      <c r="AE10" s="386" t="s">
        <v>154</v>
      </c>
      <c r="AF10" s="386"/>
      <c r="AG10" s="386"/>
    </row>
    <row r="11" spans="1:33" s="183" customFormat="1" ht="18.75" customHeight="1" thickBot="1">
      <c r="A11" s="323"/>
      <c r="B11" s="334"/>
      <c r="C11" s="336"/>
      <c r="D11" s="336"/>
      <c r="E11" s="173" t="s">
        <v>11</v>
      </c>
      <c r="F11" s="334"/>
      <c r="G11" s="336"/>
      <c r="H11" s="336"/>
      <c r="I11" s="173" t="s">
        <v>11</v>
      </c>
      <c r="J11" s="334"/>
      <c r="K11" s="336"/>
      <c r="L11" s="336"/>
      <c r="M11" s="173" t="s">
        <v>11</v>
      </c>
      <c r="N11" s="334"/>
      <c r="O11" s="336"/>
      <c r="P11" s="336"/>
      <c r="Q11" s="173" t="s">
        <v>11</v>
      </c>
      <c r="R11" s="334"/>
      <c r="S11" s="336"/>
      <c r="T11" s="336"/>
      <c r="U11" s="173" t="s">
        <v>11</v>
      </c>
      <c r="V11" s="334"/>
      <c r="W11" s="336"/>
      <c r="X11" s="336"/>
      <c r="Y11" s="173" t="s">
        <v>11</v>
      </c>
      <c r="Z11" s="334"/>
      <c r="AA11" s="336"/>
      <c r="AB11" s="336"/>
      <c r="AC11" s="173" t="s">
        <v>11</v>
      </c>
      <c r="AE11" s="183" t="s">
        <v>12</v>
      </c>
      <c r="AF11" s="183" t="s">
        <v>13</v>
      </c>
      <c r="AG11" s="183" t="s">
        <v>155</v>
      </c>
    </row>
    <row r="12" spans="1:29" ht="15.75" customHeight="1" hidden="1" thickBot="1" thickTop="1">
      <c r="A12" s="118"/>
      <c r="B12" s="53"/>
      <c r="C12" s="54" t="s">
        <v>66</v>
      </c>
      <c r="D12" s="54"/>
      <c r="E12" s="55"/>
      <c r="F12" s="53"/>
      <c r="G12" s="54" t="s">
        <v>67</v>
      </c>
      <c r="H12" s="54"/>
      <c r="I12" s="55"/>
      <c r="J12" s="53"/>
      <c r="K12" s="54" t="s">
        <v>68</v>
      </c>
      <c r="L12" s="54"/>
      <c r="M12" s="55"/>
      <c r="N12" s="53"/>
      <c r="O12" s="54" t="s">
        <v>69</v>
      </c>
      <c r="P12" s="54"/>
      <c r="Q12" s="55"/>
      <c r="R12" s="53"/>
      <c r="S12" s="54" t="s">
        <v>70</v>
      </c>
      <c r="T12" s="54"/>
      <c r="U12" s="55"/>
      <c r="V12" s="53" t="s">
        <v>32</v>
      </c>
      <c r="W12" s="54"/>
      <c r="X12" s="54" t="s">
        <v>33</v>
      </c>
      <c r="Y12" s="55" t="s">
        <v>0</v>
      </c>
      <c r="Z12" s="53" t="s">
        <v>32</v>
      </c>
      <c r="AA12" s="54"/>
      <c r="AB12" s="54" t="s">
        <v>33</v>
      </c>
      <c r="AC12" s="55" t="s">
        <v>0</v>
      </c>
    </row>
    <row r="13" spans="1:29" ht="15.75" customHeight="1">
      <c r="A13" s="118"/>
      <c r="B13" s="339" t="s">
        <v>227</v>
      </c>
      <c r="C13" s="340"/>
      <c r="D13" s="340"/>
      <c r="E13" s="341"/>
      <c r="F13" s="339" t="s">
        <v>124</v>
      </c>
      <c r="G13" s="340"/>
      <c r="H13" s="340"/>
      <c r="I13" s="341"/>
      <c r="J13" s="339" t="s">
        <v>124</v>
      </c>
      <c r="K13" s="340"/>
      <c r="L13" s="340"/>
      <c r="M13" s="341"/>
      <c r="N13" s="339" t="s">
        <v>133</v>
      </c>
      <c r="O13" s="340"/>
      <c r="P13" s="340"/>
      <c r="Q13" s="341"/>
      <c r="R13" s="339" t="s">
        <v>133</v>
      </c>
      <c r="S13" s="340"/>
      <c r="T13" s="340"/>
      <c r="U13" s="341"/>
      <c r="V13" s="339" t="s">
        <v>176</v>
      </c>
      <c r="W13" s="340"/>
      <c r="X13" s="340"/>
      <c r="Y13" s="341"/>
      <c r="Z13" s="339" t="s">
        <v>177</v>
      </c>
      <c r="AA13" s="340"/>
      <c r="AB13" s="340"/>
      <c r="AC13" s="341"/>
    </row>
    <row r="14" spans="1:29" ht="16.5" customHeight="1" thickBot="1">
      <c r="A14" s="118"/>
      <c r="B14" s="53"/>
      <c r="C14" s="54"/>
      <c r="D14" s="54"/>
      <c r="E14" s="55"/>
      <c r="F14" s="53"/>
      <c r="G14" s="54"/>
      <c r="H14" s="54"/>
      <c r="I14" s="55"/>
      <c r="J14" s="53"/>
      <c r="K14" s="54"/>
      <c r="L14" s="54"/>
      <c r="M14" s="55"/>
      <c r="N14" s="53"/>
      <c r="O14" s="54"/>
      <c r="P14" s="54"/>
      <c r="Q14" s="55"/>
      <c r="R14" s="53"/>
      <c r="S14" s="54"/>
      <c r="T14" s="54"/>
      <c r="U14" s="55"/>
      <c r="V14" s="53"/>
      <c r="W14" s="54"/>
      <c r="X14" s="54"/>
      <c r="Y14" s="55"/>
      <c r="Z14" s="53"/>
      <c r="AA14" s="54"/>
      <c r="AB14" s="54"/>
      <c r="AC14" s="55"/>
    </row>
    <row r="15" spans="1:33" ht="16.5" customHeight="1">
      <c r="A15" s="119" t="s">
        <v>191</v>
      </c>
      <c r="B15" s="73">
        <v>113552</v>
      </c>
      <c r="C15" s="74">
        <v>86698</v>
      </c>
      <c r="D15" s="74">
        <f>-37764+28</f>
        <v>-37736</v>
      </c>
      <c r="E15" s="76"/>
      <c r="F15" s="73"/>
      <c r="G15" s="74"/>
      <c r="H15" s="74"/>
      <c r="I15" s="76"/>
      <c r="J15" s="73"/>
      <c r="K15" s="74"/>
      <c r="L15" s="74"/>
      <c r="M15" s="76"/>
      <c r="N15" s="73">
        <v>-1032</v>
      </c>
      <c r="O15" s="74">
        <v>-1032</v>
      </c>
      <c r="P15" s="74">
        <v>-1032</v>
      </c>
      <c r="Q15" s="76">
        <f>P15/O15*100</f>
        <v>100</v>
      </c>
      <c r="R15" s="73"/>
      <c r="S15" s="74"/>
      <c r="T15" s="74"/>
      <c r="U15" s="76"/>
      <c r="V15" s="73"/>
      <c r="W15" s="74"/>
      <c r="X15" s="74"/>
      <c r="Y15" s="76"/>
      <c r="Z15" s="73"/>
      <c r="AA15" s="74"/>
      <c r="AB15" s="74"/>
      <c r="AC15" s="76"/>
      <c r="AE15" s="108">
        <f>B15+F15+J15+N15+R15+Z15+V15</f>
        <v>112520</v>
      </c>
      <c r="AF15" s="108">
        <f aca="true" t="shared" si="0" ref="AF15:AG30">C15+G15+K15+O15+S15+AA15+W15</f>
        <v>85666</v>
      </c>
      <c r="AG15" s="108">
        <f t="shared" si="0"/>
        <v>-38768</v>
      </c>
    </row>
    <row r="16" spans="1:33" ht="16.5" customHeight="1">
      <c r="A16" s="120" t="s">
        <v>192</v>
      </c>
      <c r="B16" s="56">
        <v>9350</v>
      </c>
      <c r="C16" s="48">
        <v>13323</v>
      </c>
      <c r="D16" s="48">
        <f>-2953+15</f>
        <v>-2938</v>
      </c>
      <c r="E16" s="57"/>
      <c r="F16" s="56"/>
      <c r="G16" s="48"/>
      <c r="H16" s="48"/>
      <c r="I16" s="57"/>
      <c r="J16" s="56"/>
      <c r="K16" s="48"/>
      <c r="L16" s="48"/>
      <c r="M16" s="57"/>
      <c r="N16" s="56"/>
      <c r="O16" s="48"/>
      <c r="P16" s="48"/>
      <c r="Q16" s="57"/>
      <c r="R16" s="56"/>
      <c r="S16" s="48"/>
      <c r="T16" s="48"/>
      <c r="U16" s="57"/>
      <c r="V16" s="56"/>
      <c r="W16" s="48"/>
      <c r="X16" s="48"/>
      <c r="Y16" s="57"/>
      <c r="Z16" s="56"/>
      <c r="AA16" s="48"/>
      <c r="AB16" s="48"/>
      <c r="AC16" s="57"/>
      <c r="AE16" s="108">
        <f aca="true" t="shared" si="1" ref="AE16:AG44">B16+F16+J16+N16+R16+Z16+V16</f>
        <v>9350</v>
      </c>
      <c r="AF16" s="108">
        <f t="shared" si="0"/>
        <v>13323</v>
      </c>
      <c r="AG16" s="108">
        <f t="shared" si="0"/>
        <v>-2938</v>
      </c>
    </row>
    <row r="17" spans="1:33" ht="16.5" customHeight="1">
      <c r="A17" s="120" t="s">
        <v>193</v>
      </c>
      <c r="B17" s="56">
        <v>15185</v>
      </c>
      <c r="C17" s="48">
        <v>-1477</v>
      </c>
      <c r="D17" s="48">
        <f>-115281+44</f>
        <v>-115237</v>
      </c>
      <c r="E17" s="57">
        <f>D17/C17*100</f>
        <v>7802.09884901828</v>
      </c>
      <c r="F17" s="56"/>
      <c r="G17" s="48"/>
      <c r="H17" s="48"/>
      <c r="I17" s="57"/>
      <c r="J17" s="56"/>
      <c r="K17" s="48"/>
      <c r="L17" s="48"/>
      <c r="M17" s="57"/>
      <c r="N17" s="56">
        <v>-217</v>
      </c>
      <c r="O17" s="48">
        <v>-217</v>
      </c>
      <c r="P17" s="48">
        <v>-217</v>
      </c>
      <c r="Q17" s="57">
        <f>P17/O17*100</f>
        <v>100</v>
      </c>
      <c r="R17" s="56"/>
      <c r="S17" s="48"/>
      <c r="T17" s="48"/>
      <c r="U17" s="57"/>
      <c r="V17" s="56"/>
      <c r="W17" s="48"/>
      <c r="X17" s="48"/>
      <c r="Y17" s="57"/>
      <c r="Z17" s="56"/>
      <c r="AA17" s="48"/>
      <c r="AB17" s="48"/>
      <c r="AC17" s="57"/>
      <c r="AE17" s="108">
        <f t="shared" si="1"/>
        <v>14968</v>
      </c>
      <c r="AF17" s="108">
        <f t="shared" si="0"/>
        <v>-1694</v>
      </c>
      <c r="AG17" s="108">
        <f t="shared" si="0"/>
        <v>-115454</v>
      </c>
    </row>
    <row r="18" spans="1:33" ht="16.5" customHeight="1">
      <c r="A18" s="120" t="s">
        <v>194</v>
      </c>
      <c r="B18" s="56">
        <v>1619</v>
      </c>
      <c r="C18" s="48">
        <v>-16657</v>
      </c>
      <c r="D18" s="48">
        <f>-29259+91</f>
        <v>-29168</v>
      </c>
      <c r="E18" s="57">
        <f>D18/C18*100</f>
        <v>175.10956354685717</v>
      </c>
      <c r="F18" s="56"/>
      <c r="G18" s="48"/>
      <c r="H18" s="48"/>
      <c r="I18" s="57"/>
      <c r="J18" s="56"/>
      <c r="K18" s="178">
        <v>2815</v>
      </c>
      <c r="L18" s="48">
        <v>2373</v>
      </c>
      <c r="M18" s="57">
        <f>L18/K18*100</f>
        <v>84.29840142095915</v>
      </c>
      <c r="N18" s="56">
        <v>-1338</v>
      </c>
      <c r="O18" s="48">
        <v>-1338</v>
      </c>
      <c r="P18" s="48">
        <v>-1338</v>
      </c>
      <c r="Q18" s="57">
        <f>P18/O18*100</f>
        <v>100</v>
      </c>
      <c r="R18" s="56">
        <v>-9274</v>
      </c>
      <c r="S18" s="48">
        <v>-10071</v>
      </c>
      <c r="T18" s="48">
        <v>-10055</v>
      </c>
      <c r="U18" s="57">
        <f>T18/S18*100</f>
        <v>99.84112799126204</v>
      </c>
      <c r="V18" s="56"/>
      <c r="W18" s="48"/>
      <c r="X18" s="48"/>
      <c r="Y18" s="57"/>
      <c r="Z18" s="56"/>
      <c r="AA18" s="48"/>
      <c r="AB18" s="48"/>
      <c r="AC18" s="57"/>
      <c r="AE18" s="108">
        <f t="shared" si="1"/>
        <v>-8993</v>
      </c>
      <c r="AF18" s="108">
        <f t="shared" si="0"/>
        <v>-25251</v>
      </c>
      <c r="AG18" s="108">
        <f t="shared" si="0"/>
        <v>-38188</v>
      </c>
    </row>
    <row r="19" spans="1:33" ht="16.5" customHeight="1">
      <c r="A19" s="120" t="s">
        <v>195</v>
      </c>
      <c r="B19" s="56">
        <v>1471</v>
      </c>
      <c r="C19" s="48">
        <v>-419</v>
      </c>
      <c r="D19" s="48">
        <f>-13790+342</f>
        <v>-13448</v>
      </c>
      <c r="E19" s="57">
        <f>D19/C19*100</f>
        <v>3209.546539379475</v>
      </c>
      <c r="F19" s="56"/>
      <c r="G19" s="48"/>
      <c r="H19" s="48"/>
      <c r="I19" s="57"/>
      <c r="J19" s="56"/>
      <c r="K19" s="48"/>
      <c r="L19" s="48"/>
      <c r="M19" s="57"/>
      <c r="N19" s="56"/>
      <c r="O19" s="48"/>
      <c r="P19" s="48"/>
      <c r="Q19" s="57"/>
      <c r="R19" s="56">
        <v>-9900</v>
      </c>
      <c r="S19" s="48">
        <v>-9900</v>
      </c>
      <c r="T19" s="48">
        <v>-9885</v>
      </c>
      <c r="U19" s="57">
        <f>T19/S19*100</f>
        <v>99.84848484848486</v>
      </c>
      <c r="V19" s="56"/>
      <c r="W19" s="48"/>
      <c r="X19" s="48"/>
      <c r="Y19" s="57"/>
      <c r="Z19" s="56"/>
      <c r="AA19" s="48"/>
      <c r="AB19" s="48"/>
      <c r="AC19" s="57"/>
      <c r="AE19" s="108">
        <f t="shared" si="1"/>
        <v>-8429</v>
      </c>
      <c r="AF19" s="108">
        <f t="shared" si="0"/>
        <v>-10319</v>
      </c>
      <c r="AG19" s="108">
        <f t="shared" si="0"/>
        <v>-23333</v>
      </c>
    </row>
    <row r="20" spans="1:33" ht="16.5" customHeight="1">
      <c r="A20" s="120" t="s">
        <v>196</v>
      </c>
      <c r="B20" s="56">
        <v>521</v>
      </c>
      <c r="C20" s="48">
        <v>7273</v>
      </c>
      <c r="D20" s="48">
        <f>3032+14</f>
        <v>3046</v>
      </c>
      <c r="E20" s="57">
        <f>D20/C20*100</f>
        <v>41.88092946514506</v>
      </c>
      <c r="F20" s="56"/>
      <c r="G20" s="48"/>
      <c r="H20" s="48"/>
      <c r="I20" s="57"/>
      <c r="J20" s="56"/>
      <c r="K20" s="48"/>
      <c r="L20" s="48"/>
      <c r="M20" s="57"/>
      <c r="N20" s="56"/>
      <c r="O20" s="48"/>
      <c r="P20" s="48"/>
      <c r="Q20" s="57"/>
      <c r="R20" s="56"/>
      <c r="S20" s="48"/>
      <c r="T20" s="48"/>
      <c r="U20" s="57"/>
      <c r="V20" s="56"/>
      <c r="W20" s="48"/>
      <c r="X20" s="48"/>
      <c r="Y20" s="57"/>
      <c r="Z20" s="56"/>
      <c r="AA20" s="48"/>
      <c r="AB20" s="48"/>
      <c r="AC20" s="57"/>
      <c r="AE20" s="108">
        <f t="shared" si="1"/>
        <v>521</v>
      </c>
      <c r="AF20" s="108">
        <f t="shared" si="0"/>
        <v>7273</v>
      </c>
      <c r="AG20" s="108">
        <f t="shared" si="0"/>
        <v>3046</v>
      </c>
    </row>
    <row r="21" spans="1:33" ht="16.5" customHeight="1">
      <c r="A21" s="120" t="s">
        <v>197</v>
      </c>
      <c r="B21" s="56">
        <v>1000</v>
      </c>
      <c r="C21" s="48">
        <v>-1952</v>
      </c>
      <c r="D21" s="48">
        <f>-13960+47</f>
        <v>-13913</v>
      </c>
      <c r="E21" s="57">
        <f>D21/C21*100</f>
        <v>712.7561475409836</v>
      </c>
      <c r="F21" s="56"/>
      <c r="G21" s="48"/>
      <c r="H21" s="48"/>
      <c r="I21" s="57"/>
      <c r="J21" s="56"/>
      <c r="K21" s="48"/>
      <c r="L21" s="48"/>
      <c r="M21" s="57"/>
      <c r="N21" s="56">
        <v>-1104</v>
      </c>
      <c r="O21" s="48">
        <v>-1104</v>
      </c>
      <c r="P21" s="48">
        <v>-1104</v>
      </c>
      <c r="Q21" s="57">
        <f>P21/O21*100</f>
        <v>100</v>
      </c>
      <c r="R21" s="56">
        <v>-2154</v>
      </c>
      <c r="S21" s="48">
        <v>-2154</v>
      </c>
      <c r="T21" s="48">
        <v>-2154</v>
      </c>
      <c r="U21" s="57">
        <f>T21/S21*100</f>
        <v>100</v>
      </c>
      <c r="V21" s="56"/>
      <c r="W21" s="48"/>
      <c r="X21" s="48"/>
      <c r="Y21" s="57"/>
      <c r="Z21" s="56"/>
      <c r="AA21" s="48"/>
      <c r="AB21" s="48"/>
      <c r="AC21" s="57"/>
      <c r="AE21" s="108">
        <f t="shared" si="1"/>
        <v>-2258</v>
      </c>
      <c r="AF21" s="108">
        <f t="shared" si="0"/>
        <v>-5210</v>
      </c>
      <c r="AG21" s="108">
        <f t="shared" si="0"/>
        <v>-17171</v>
      </c>
    </row>
    <row r="22" spans="1:33" ht="16.5" customHeight="1">
      <c r="A22" s="120" t="s">
        <v>198</v>
      </c>
      <c r="B22" s="56">
        <v>17400</v>
      </c>
      <c r="C22" s="48">
        <v>75448</v>
      </c>
      <c r="D22" s="48">
        <f>-64138+224</f>
        <v>-63914</v>
      </c>
      <c r="E22" s="57"/>
      <c r="F22" s="56"/>
      <c r="G22" s="48"/>
      <c r="H22" s="48"/>
      <c r="I22" s="57"/>
      <c r="J22" s="56"/>
      <c r="K22" s="48"/>
      <c r="L22" s="48"/>
      <c r="M22" s="57"/>
      <c r="N22" s="56"/>
      <c r="O22" s="48"/>
      <c r="P22" s="48"/>
      <c r="Q22" s="57"/>
      <c r="R22" s="56">
        <v>-3840</v>
      </c>
      <c r="S22" s="48">
        <v>-3840</v>
      </c>
      <c r="T22" s="48">
        <v>-3840</v>
      </c>
      <c r="U22" s="57">
        <f>T22/S22*100</f>
        <v>100</v>
      </c>
      <c r="V22" s="56"/>
      <c r="W22" s="48"/>
      <c r="X22" s="48"/>
      <c r="Y22" s="57"/>
      <c r="Z22" s="56"/>
      <c r="AA22" s="48"/>
      <c r="AB22" s="48"/>
      <c r="AC22" s="57"/>
      <c r="AE22" s="108">
        <f t="shared" si="1"/>
        <v>13560</v>
      </c>
      <c r="AF22" s="108">
        <f t="shared" si="0"/>
        <v>71608</v>
      </c>
      <c r="AG22" s="108">
        <f t="shared" si="0"/>
        <v>-67754</v>
      </c>
    </row>
    <row r="23" spans="1:33" ht="16.5" customHeight="1">
      <c r="A23" s="120" t="s">
        <v>199</v>
      </c>
      <c r="B23" s="56"/>
      <c r="C23" s="48">
        <v>1546</v>
      </c>
      <c r="D23" s="48">
        <v>-1411</v>
      </c>
      <c r="E23" s="57"/>
      <c r="F23" s="56"/>
      <c r="G23" s="48"/>
      <c r="H23" s="48"/>
      <c r="I23" s="57"/>
      <c r="J23" s="56"/>
      <c r="K23" s="48"/>
      <c r="L23" s="48"/>
      <c r="M23" s="57"/>
      <c r="N23" s="56"/>
      <c r="O23" s="48"/>
      <c r="P23" s="48"/>
      <c r="Q23" s="57"/>
      <c r="R23" s="56"/>
      <c r="S23" s="48"/>
      <c r="T23" s="48"/>
      <c r="U23" s="57"/>
      <c r="V23" s="56"/>
      <c r="W23" s="48"/>
      <c r="X23" s="48"/>
      <c r="Y23" s="57"/>
      <c r="Z23" s="56"/>
      <c r="AA23" s="48"/>
      <c r="AB23" s="48"/>
      <c r="AC23" s="57"/>
      <c r="AE23" s="108">
        <f t="shared" si="1"/>
        <v>0</v>
      </c>
      <c r="AF23" s="108">
        <f t="shared" si="0"/>
        <v>1546</v>
      </c>
      <c r="AG23" s="108">
        <f t="shared" si="0"/>
        <v>-1411</v>
      </c>
    </row>
    <row r="24" spans="1:33" ht="16.5" customHeight="1">
      <c r="A24" s="120" t="s">
        <v>200</v>
      </c>
      <c r="B24" s="56">
        <v>1064</v>
      </c>
      <c r="C24" s="48">
        <v>5106</v>
      </c>
      <c r="D24" s="48">
        <f>-817+9</f>
        <v>-808</v>
      </c>
      <c r="E24" s="57"/>
      <c r="F24" s="56"/>
      <c r="G24" s="48"/>
      <c r="H24" s="48"/>
      <c r="I24" s="57"/>
      <c r="J24" s="56"/>
      <c r="K24" s="48"/>
      <c r="L24" s="48"/>
      <c r="M24" s="57"/>
      <c r="N24" s="56">
        <v>-64</v>
      </c>
      <c r="O24" s="48">
        <v>-64</v>
      </c>
      <c r="P24" s="48">
        <v>-64</v>
      </c>
      <c r="Q24" s="57">
        <f>P24/O24*100</f>
        <v>100</v>
      </c>
      <c r="R24" s="56"/>
      <c r="S24" s="48"/>
      <c r="T24" s="48"/>
      <c r="U24" s="57"/>
      <c r="V24" s="56"/>
      <c r="W24" s="48"/>
      <c r="X24" s="48"/>
      <c r="Y24" s="57"/>
      <c r="Z24" s="56"/>
      <c r="AA24" s="48"/>
      <c r="AB24" s="48"/>
      <c r="AC24" s="57"/>
      <c r="AE24" s="108">
        <f t="shared" si="1"/>
        <v>1000</v>
      </c>
      <c r="AF24" s="108">
        <f t="shared" si="0"/>
        <v>5042</v>
      </c>
      <c r="AG24" s="108">
        <f t="shared" si="0"/>
        <v>-872</v>
      </c>
    </row>
    <row r="25" spans="1:33" ht="16.5" customHeight="1">
      <c r="A25" s="120" t="s">
        <v>201</v>
      </c>
      <c r="B25" s="56">
        <v>1200</v>
      </c>
      <c r="C25" s="48">
        <v>1998</v>
      </c>
      <c r="D25" s="48">
        <v>-12014</v>
      </c>
      <c r="E25" s="57"/>
      <c r="F25" s="56"/>
      <c r="G25" s="48"/>
      <c r="H25" s="48"/>
      <c r="I25" s="57"/>
      <c r="J25" s="56"/>
      <c r="K25" s="48"/>
      <c r="L25" s="48"/>
      <c r="M25" s="57"/>
      <c r="N25" s="56"/>
      <c r="O25" s="48"/>
      <c r="P25" s="48"/>
      <c r="Q25" s="57"/>
      <c r="R25" s="56"/>
      <c r="S25" s="48"/>
      <c r="T25" s="48"/>
      <c r="U25" s="57"/>
      <c r="V25" s="56"/>
      <c r="W25" s="48"/>
      <c r="X25" s="48">
        <v>10000</v>
      </c>
      <c r="Y25" s="57"/>
      <c r="Z25" s="56"/>
      <c r="AA25" s="48"/>
      <c r="AB25" s="48"/>
      <c r="AC25" s="57"/>
      <c r="AE25" s="108">
        <f t="shared" si="1"/>
        <v>1200</v>
      </c>
      <c r="AF25" s="108">
        <f t="shared" si="0"/>
        <v>1998</v>
      </c>
      <c r="AG25" s="108">
        <f t="shared" si="0"/>
        <v>-2014</v>
      </c>
    </row>
    <row r="26" spans="1:33" ht="16.5" customHeight="1">
      <c r="A26" s="120" t="s">
        <v>202</v>
      </c>
      <c r="B26" s="56">
        <v>500</v>
      </c>
      <c r="C26" s="48">
        <v>5220</v>
      </c>
      <c r="D26" s="48">
        <v>3353</v>
      </c>
      <c r="E26" s="57">
        <f aca="true" t="shared" si="2" ref="E26:E32">D26/C26*100</f>
        <v>64.23371647509578</v>
      </c>
      <c r="F26" s="56"/>
      <c r="G26" s="48"/>
      <c r="H26" s="48"/>
      <c r="I26" s="57"/>
      <c r="J26" s="56"/>
      <c r="K26" s="48"/>
      <c r="L26" s="48"/>
      <c r="M26" s="57"/>
      <c r="N26" s="56"/>
      <c r="O26" s="48"/>
      <c r="P26" s="48"/>
      <c r="Q26" s="57"/>
      <c r="R26" s="56"/>
      <c r="S26" s="48"/>
      <c r="T26" s="48"/>
      <c r="U26" s="57"/>
      <c r="V26" s="56"/>
      <c r="W26" s="48"/>
      <c r="X26" s="48"/>
      <c r="Y26" s="57"/>
      <c r="Z26" s="56"/>
      <c r="AA26" s="48"/>
      <c r="AB26" s="48"/>
      <c r="AC26" s="57"/>
      <c r="AE26" s="108">
        <f t="shared" si="1"/>
        <v>500</v>
      </c>
      <c r="AF26" s="108">
        <f t="shared" si="0"/>
        <v>5220</v>
      </c>
      <c r="AG26" s="108">
        <f t="shared" si="0"/>
        <v>3353</v>
      </c>
    </row>
    <row r="27" spans="1:33" ht="16.5" customHeight="1">
      <c r="A27" s="120" t="s">
        <v>203</v>
      </c>
      <c r="B27" s="56">
        <v>23520</v>
      </c>
      <c r="C27" s="48">
        <v>60029</v>
      </c>
      <c r="D27" s="48">
        <f>-49203+1156</f>
        <v>-48047</v>
      </c>
      <c r="E27" s="57"/>
      <c r="F27" s="56"/>
      <c r="G27" s="48"/>
      <c r="H27" s="48"/>
      <c r="I27" s="57"/>
      <c r="J27" s="56"/>
      <c r="K27" s="48"/>
      <c r="L27" s="48"/>
      <c r="M27" s="57"/>
      <c r="N27" s="56">
        <v>-11467</v>
      </c>
      <c r="O27" s="48">
        <v>-20798</v>
      </c>
      <c r="P27" s="48">
        <v>-20798</v>
      </c>
      <c r="Q27" s="57">
        <f>P27/O27*100</f>
        <v>100</v>
      </c>
      <c r="R27" s="56">
        <v>-1158</v>
      </c>
      <c r="S27" s="48">
        <v>-1158</v>
      </c>
      <c r="T27" s="48">
        <v>-1158</v>
      </c>
      <c r="U27" s="57">
        <f>T27/S27*100</f>
        <v>100</v>
      </c>
      <c r="V27" s="56"/>
      <c r="W27" s="48"/>
      <c r="X27" s="48"/>
      <c r="Y27" s="57"/>
      <c r="Z27" s="56"/>
      <c r="AA27" s="48"/>
      <c r="AB27" s="48"/>
      <c r="AC27" s="57"/>
      <c r="AE27" s="108">
        <f t="shared" si="1"/>
        <v>10895</v>
      </c>
      <c r="AF27" s="108">
        <f t="shared" si="0"/>
        <v>38073</v>
      </c>
      <c r="AG27" s="108">
        <f t="shared" si="0"/>
        <v>-70003</v>
      </c>
    </row>
    <row r="28" spans="1:33" ht="16.5" customHeight="1">
      <c r="A28" s="120" t="s">
        <v>204</v>
      </c>
      <c r="B28" s="56">
        <v>6392</v>
      </c>
      <c r="C28" s="48">
        <v>4821</v>
      </c>
      <c r="D28" s="48">
        <f>2357+18</f>
        <v>2375</v>
      </c>
      <c r="E28" s="57">
        <f t="shared" si="2"/>
        <v>49.263638249325865</v>
      </c>
      <c r="F28" s="56"/>
      <c r="G28" s="48"/>
      <c r="H28" s="48"/>
      <c r="I28" s="57"/>
      <c r="J28" s="56"/>
      <c r="K28" s="48"/>
      <c r="L28" s="48"/>
      <c r="M28" s="57"/>
      <c r="N28" s="56"/>
      <c r="O28" s="48"/>
      <c r="P28" s="48"/>
      <c r="Q28" s="57"/>
      <c r="R28" s="56"/>
      <c r="S28" s="48"/>
      <c r="T28" s="48"/>
      <c r="U28" s="57"/>
      <c r="V28" s="56"/>
      <c r="W28" s="48"/>
      <c r="X28" s="48"/>
      <c r="Y28" s="57"/>
      <c r="Z28" s="56"/>
      <c r="AA28" s="48"/>
      <c r="AB28" s="48"/>
      <c r="AC28" s="57"/>
      <c r="AE28" s="108">
        <f t="shared" si="1"/>
        <v>6392</v>
      </c>
      <c r="AF28" s="108">
        <f t="shared" si="0"/>
        <v>4821</v>
      </c>
      <c r="AG28" s="108">
        <f t="shared" si="0"/>
        <v>2375</v>
      </c>
    </row>
    <row r="29" spans="1:33" ht="16.5" customHeight="1">
      <c r="A29" s="120" t="s">
        <v>205</v>
      </c>
      <c r="B29" s="56"/>
      <c r="C29" s="48">
        <v>22968</v>
      </c>
      <c r="D29" s="48">
        <f>-29133+47</f>
        <v>-29086</v>
      </c>
      <c r="E29" s="57"/>
      <c r="F29" s="56"/>
      <c r="G29" s="48"/>
      <c r="H29" s="48"/>
      <c r="I29" s="57"/>
      <c r="J29" s="56">
        <v>15000</v>
      </c>
      <c r="K29" s="48">
        <v>15000</v>
      </c>
      <c r="L29" s="48">
        <v>14935</v>
      </c>
      <c r="M29" s="57">
        <f>L29/K29*100</f>
        <v>99.56666666666666</v>
      </c>
      <c r="N29" s="56">
        <v>-715</v>
      </c>
      <c r="O29" s="48">
        <v>-715</v>
      </c>
      <c r="P29" s="48">
        <v>-715</v>
      </c>
      <c r="Q29" s="57">
        <f>P30/O30*100</f>
        <v>100</v>
      </c>
      <c r="R29" s="56">
        <v>-14232</v>
      </c>
      <c r="S29" s="48">
        <v>-14232</v>
      </c>
      <c r="T29" s="48">
        <v>-14243</v>
      </c>
      <c r="U29" s="57">
        <f>T29/S29*100</f>
        <v>100.07729061270376</v>
      </c>
      <c r="V29" s="56"/>
      <c r="W29" s="48"/>
      <c r="X29" s="48"/>
      <c r="Y29" s="57"/>
      <c r="Z29" s="56"/>
      <c r="AA29" s="48"/>
      <c r="AB29" s="48"/>
      <c r="AC29" s="57"/>
      <c r="AE29" s="108">
        <f t="shared" si="1"/>
        <v>53</v>
      </c>
      <c r="AF29" s="108">
        <f t="shared" si="0"/>
        <v>23021</v>
      </c>
      <c r="AG29" s="108">
        <f t="shared" si="0"/>
        <v>-29109</v>
      </c>
    </row>
    <row r="30" spans="1:33" ht="16.5" customHeight="1">
      <c r="A30" s="120" t="s">
        <v>206</v>
      </c>
      <c r="B30" s="56">
        <v>9040</v>
      </c>
      <c r="C30" s="48">
        <v>10143</v>
      </c>
      <c r="D30" s="48">
        <f>-18574+29</f>
        <v>-18545</v>
      </c>
      <c r="E30" s="57"/>
      <c r="F30" s="56"/>
      <c r="G30" s="48"/>
      <c r="H30" s="48"/>
      <c r="I30" s="57"/>
      <c r="J30" s="56"/>
      <c r="K30" s="48"/>
      <c r="L30" s="48"/>
      <c r="M30" s="57"/>
      <c r="N30" s="56">
        <v>-3636</v>
      </c>
      <c r="O30" s="48">
        <v>-3636</v>
      </c>
      <c r="P30" s="48">
        <v>-3636</v>
      </c>
      <c r="Q30" s="57">
        <f>P31/O31*100</f>
        <v>100</v>
      </c>
      <c r="R30" s="56">
        <v>-2191</v>
      </c>
      <c r="S30" s="48">
        <v>-2191</v>
      </c>
      <c r="T30" s="48">
        <v>-2191</v>
      </c>
      <c r="U30" s="57">
        <f>T30/S30*100</f>
        <v>100</v>
      </c>
      <c r="V30" s="56"/>
      <c r="W30" s="48"/>
      <c r="X30" s="48"/>
      <c r="Y30" s="57"/>
      <c r="Z30" s="56"/>
      <c r="AA30" s="48"/>
      <c r="AB30" s="48"/>
      <c r="AC30" s="57"/>
      <c r="AE30" s="108">
        <f t="shared" si="1"/>
        <v>3213</v>
      </c>
      <c r="AF30" s="108">
        <f t="shared" si="0"/>
        <v>4316</v>
      </c>
      <c r="AG30" s="108">
        <f t="shared" si="0"/>
        <v>-24372</v>
      </c>
    </row>
    <row r="31" spans="1:33" ht="16.5" customHeight="1">
      <c r="A31" s="120" t="s">
        <v>207</v>
      </c>
      <c r="B31" s="56"/>
      <c r="C31" s="48">
        <v>9698</v>
      </c>
      <c r="D31" s="48">
        <f>-11318-328</f>
        <v>-11646</v>
      </c>
      <c r="E31" s="57"/>
      <c r="F31" s="56"/>
      <c r="G31" s="48"/>
      <c r="H31" s="48"/>
      <c r="I31" s="57"/>
      <c r="J31" s="56"/>
      <c r="K31" s="48"/>
      <c r="L31" s="48"/>
      <c r="M31" s="57"/>
      <c r="N31" s="56">
        <v>-3430</v>
      </c>
      <c r="O31" s="48">
        <v>-3430</v>
      </c>
      <c r="P31" s="48">
        <v>-3430</v>
      </c>
      <c r="Q31" s="57">
        <f>P31/O31*100</f>
        <v>100</v>
      </c>
      <c r="R31" s="56"/>
      <c r="S31" s="48"/>
      <c r="T31" s="48"/>
      <c r="U31" s="57"/>
      <c r="V31" s="56"/>
      <c r="W31" s="48"/>
      <c r="X31" s="48"/>
      <c r="Y31" s="57"/>
      <c r="Z31" s="56"/>
      <c r="AA31" s="48"/>
      <c r="AB31" s="48"/>
      <c r="AC31" s="57"/>
      <c r="AE31" s="108">
        <f t="shared" si="1"/>
        <v>-3430</v>
      </c>
      <c r="AF31" s="108">
        <f t="shared" si="1"/>
        <v>6268</v>
      </c>
      <c r="AG31" s="108">
        <f t="shared" si="1"/>
        <v>-15076</v>
      </c>
    </row>
    <row r="32" spans="1:33" ht="16.5" customHeight="1">
      <c r="A32" s="120" t="s">
        <v>208</v>
      </c>
      <c r="B32" s="56">
        <v>12047</v>
      </c>
      <c r="C32" s="48">
        <v>-15178</v>
      </c>
      <c r="D32" s="48">
        <f>-25294+29</f>
        <v>-25265</v>
      </c>
      <c r="E32" s="57">
        <f t="shared" si="2"/>
        <v>166.45803136118064</v>
      </c>
      <c r="F32" s="56"/>
      <c r="G32" s="48"/>
      <c r="H32" s="48"/>
      <c r="I32" s="57"/>
      <c r="J32" s="56"/>
      <c r="K32" s="48"/>
      <c r="L32" s="48"/>
      <c r="M32" s="57"/>
      <c r="N32" s="56">
        <v>-450</v>
      </c>
      <c r="O32" s="48">
        <v>-450</v>
      </c>
      <c r="P32" s="48">
        <v>-450</v>
      </c>
      <c r="Q32" s="57">
        <f>P32/O32*100</f>
        <v>100</v>
      </c>
      <c r="R32" s="56">
        <v>-8467</v>
      </c>
      <c r="S32" s="48">
        <v>-8467</v>
      </c>
      <c r="T32" s="48">
        <v>-8467</v>
      </c>
      <c r="U32" s="57">
        <f>T32/S32*100</f>
        <v>100</v>
      </c>
      <c r="V32" s="56"/>
      <c r="W32" s="48"/>
      <c r="X32" s="48"/>
      <c r="Y32" s="57"/>
      <c r="Z32" s="56"/>
      <c r="AA32" s="48"/>
      <c r="AB32" s="48"/>
      <c r="AC32" s="57"/>
      <c r="AE32" s="108">
        <f t="shared" si="1"/>
        <v>3130</v>
      </c>
      <c r="AF32" s="108">
        <f t="shared" si="1"/>
        <v>-24095</v>
      </c>
      <c r="AG32" s="108">
        <f t="shared" si="1"/>
        <v>-34182</v>
      </c>
    </row>
    <row r="33" spans="1:33" ht="16.5" customHeight="1">
      <c r="A33" s="120" t="s">
        <v>209</v>
      </c>
      <c r="B33" s="56">
        <v>15898</v>
      </c>
      <c r="C33" s="48">
        <v>16331</v>
      </c>
      <c r="D33" s="48">
        <f>-39605+346</f>
        <v>-39259</v>
      </c>
      <c r="E33" s="57"/>
      <c r="F33" s="56"/>
      <c r="G33" s="48"/>
      <c r="H33" s="48"/>
      <c r="I33" s="57"/>
      <c r="J33" s="56"/>
      <c r="K33" s="48"/>
      <c r="L33" s="48"/>
      <c r="M33" s="57"/>
      <c r="N33" s="56"/>
      <c r="O33" s="48"/>
      <c r="P33" s="48"/>
      <c r="Q33" s="57"/>
      <c r="R33" s="56">
        <v>-9000</v>
      </c>
      <c r="S33" s="48">
        <v>-9000</v>
      </c>
      <c r="T33" s="48">
        <v>-9000</v>
      </c>
      <c r="U33" s="57">
        <f>T33/S33*100</f>
        <v>100</v>
      </c>
      <c r="V33" s="56"/>
      <c r="W33" s="48"/>
      <c r="X33" s="48"/>
      <c r="Y33" s="57"/>
      <c r="Z33" s="56"/>
      <c r="AA33" s="48"/>
      <c r="AB33" s="48"/>
      <c r="AC33" s="57"/>
      <c r="AE33" s="108">
        <f t="shared" si="1"/>
        <v>6898</v>
      </c>
      <c r="AF33" s="108">
        <f t="shared" si="1"/>
        <v>7331</v>
      </c>
      <c r="AG33" s="108">
        <f t="shared" si="1"/>
        <v>-48259</v>
      </c>
    </row>
    <row r="34" spans="1:33" ht="16.5" customHeight="1">
      <c r="A34" s="120" t="s">
        <v>210</v>
      </c>
      <c r="B34" s="56"/>
      <c r="C34" s="48">
        <v>3631</v>
      </c>
      <c r="D34" s="48">
        <v>-8682</v>
      </c>
      <c r="E34" s="57"/>
      <c r="F34" s="56"/>
      <c r="G34" s="48"/>
      <c r="H34" s="48"/>
      <c r="I34" s="57"/>
      <c r="J34" s="56"/>
      <c r="K34" s="48"/>
      <c r="L34" s="48"/>
      <c r="M34" s="57"/>
      <c r="N34" s="56">
        <v>-125</v>
      </c>
      <c r="O34" s="48">
        <v>-125</v>
      </c>
      <c r="P34" s="48">
        <v>-125</v>
      </c>
      <c r="Q34" s="57">
        <f>P34/O34*100</f>
        <v>100</v>
      </c>
      <c r="R34" s="56">
        <v>-9692</v>
      </c>
      <c r="S34" s="48">
        <v>-10822</v>
      </c>
      <c r="T34" s="48">
        <v>-10822</v>
      </c>
      <c r="U34" s="57">
        <f>T34/S34*100</f>
        <v>100</v>
      </c>
      <c r="V34" s="56"/>
      <c r="W34" s="48"/>
      <c r="X34" s="48"/>
      <c r="Y34" s="57"/>
      <c r="Z34" s="56"/>
      <c r="AA34" s="48"/>
      <c r="AB34" s="48"/>
      <c r="AC34" s="57"/>
      <c r="AE34" s="108">
        <f t="shared" si="1"/>
        <v>-9817</v>
      </c>
      <c r="AF34" s="108">
        <f t="shared" si="1"/>
        <v>-7316</v>
      </c>
      <c r="AG34" s="108">
        <f t="shared" si="1"/>
        <v>-19629</v>
      </c>
    </row>
    <row r="35" spans="1:33" ht="16.5" customHeight="1">
      <c r="A35" s="120" t="s">
        <v>211</v>
      </c>
      <c r="B35" s="56">
        <v>337</v>
      </c>
      <c r="C35" s="48">
        <v>4480</v>
      </c>
      <c r="D35" s="48">
        <f>-1950+61</f>
        <v>-1889</v>
      </c>
      <c r="E35" s="57"/>
      <c r="F35" s="56"/>
      <c r="G35" s="48"/>
      <c r="H35" s="48"/>
      <c r="I35" s="57"/>
      <c r="J35" s="56"/>
      <c r="K35" s="48"/>
      <c r="L35" s="48"/>
      <c r="M35" s="57"/>
      <c r="N35" s="56"/>
      <c r="O35" s="48"/>
      <c r="P35" s="48"/>
      <c r="Q35" s="57"/>
      <c r="R35" s="56"/>
      <c r="S35" s="48"/>
      <c r="T35" s="48"/>
      <c r="U35" s="57"/>
      <c r="V35" s="56"/>
      <c r="W35" s="48"/>
      <c r="X35" s="48"/>
      <c r="Y35" s="57"/>
      <c r="Z35" s="56"/>
      <c r="AA35" s="48"/>
      <c r="AB35" s="48"/>
      <c r="AC35" s="57"/>
      <c r="AE35" s="108">
        <f t="shared" si="1"/>
        <v>337</v>
      </c>
      <c r="AF35" s="108">
        <f t="shared" si="1"/>
        <v>4480</v>
      </c>
      <c r="AG35" s="108">
        <f t="shared" si="1"/>
        <v>-1889</v>
      </c>
    </row>
    <row r="36" spans="1:33" ht="16.5" customHeight="1">
      <c r="A36" s="120" t="s">
        <v>212</v>
      </c>
      <c r="B36" s="56"/>
      <c r="C36" s="48">
        <v>361</v>
      </c>
      <c r="D36" s="48">
        <f>-2855+28</f>
        <v>-2827</v>
      </c>
      <c r="E36" s="57"/>
      <c r="F36" s="56"/>
      <c r="G36" s="48"/>
      <c r="H36" s="48"/>
      <c r="I36" s="57"/>
      <c r="J36" s="56"/>
      <c r="K36" s="48"/>
      <c r="L36" s="48"/>
      <c r="M36" s="57"/>
      <c r="N36" s="56"/>
      <c r="O36" s="48"/>
      <c r="P36" s="48"/>
      <c r="Q36" s="57"/>
      <c r="R36" s="56"/>
      <c r="S36" s="48"/>
      <c r="T36" s="48"/>
      <c r="U36" s="57"/>
      <c r="V36" s="56"/>
      <c r="W36" s="48"/>
      <c r="X36" s="48"/>
      <c r="Y36" s="57"/>
      <c r="Z36" s="56"/>
      <c r="AA36" s="48"/>
      <c r="AB36" s="48"/>
      <c r="AC36" s="57"/>
      <c r="AE36" s="108">
        <f t="shared" si="1"/>
        <v>0</v>
      </c>
      <c r="AF36" s="108">
        <f t="shared" si="1"/>
        <v>361</v>
      </c>
      <c r="AG36" s="108">
        <f t="shared" si="1"/>
        <v>-2827</v>
      </c>
    </row>
    <row r="37" spans="1:33" ht="16.5" customHeight="1">
      <c r="A37" s="120" t="s">
        <v>213</v>
      </c>
      <c r="B37" s="56">
        <v>104079</v>
      </c>
      <c r="C37" s="48">
        <v>150873</v>
      </c>
      <c r="D37" s="48">
        <f>-22522+70+1</f>
        <v>-22451</v>
      </c>
      <c r="E37" s="57"/>
      <c r="F37" s="56"/>
      <c r="G37" s="48"/>
      <c r="H37" s="48"/>
      <c r="I37" s="57"/>
      <c r="J37" s="56"/>
      <c r="K37" s="48"/>
      <c r="L37" s="48"/>
      <c r="M37" s="57"/>
      <c r="N37" s="56"/>
      <c r="O37" s="48"/>
      <c r="P37" s="48"/>
      <c r="Q37" s="57"/>
      <c r="R37" s="56">
        <v>-3403</v>
      </c>
      <c r="S37" s="48">
        <v>-3403</v>
      </c>
      <c r="T37" s="48">
        <v>-3403</v>
      </c>
      <c r="U37" s="57">
        <f>T37/S37*100</f>
        <v>100</v>
      </c>
      <c r="V37" s="56"/>
      <c r="W37" s="48"/>
      <c r="X37" s="48"/>
      <c r="Y37" s="57"/>
      <c r="Z37" s="56"/>
      <c r="AA37" s="48"/>
      <c r="AB37" s="48"/>
      <c r="AC37" s="57"/>
      <c r="AE37" s="108">
        <f t="shared" si="1"/>
        <v>100676</v>
      </c>
      <c r="AF37" s="108">
        <f t="shared" si="1"/>
        <v>147470</v>
      </c>
      <c r="AG37" s="108">
        <f t="shared" si="1"/>
        <v>-25854</v>
      </c>
    </row>
    <row r="38" spans="1:33" ht="16.5" customHeight="1">
      <c r="A38" s="120" t="s">
        <v>214</v>
      </c>
      <c r="B38" s="56">
        <v>365</v>
      </c>
      <c r="C38" s="48">
        <v>3257</v>
      </c>
      <c r="D38" s="48">
        <f>1629+207</f>
        <v>1836</v>
      </c>
      <c r="E38" s="57">
        <f>D38/C38*100</f>
        <v>56.37089346023948</v>
      </c>
      <c r="F38" s="56"/>
      <c r="G38" s="48"/>
      <c r="H38" s="48"/>
      <c r="I38" s="57"/>
      <c r="J38" s="56"/>
      <c r="K38" s="48"/>
      <c r="L38" s="48"/>
      <c r="M38" s="57"/>
      <c r="N38" s="56"/>
      <c r="O38" s="48"/>
      <c r="P38" s="48"/>
      <c r="Q38" s="57"/>
      <c r="R38" s="56"/>
      <c r="S38" s="48"/>
      <c r="T38" s="48"/>
      <c r="U38" s="57"/>
      <c r="V38" s="56"/>
      <c r="W38" s="48"/>
      <c r="X38" s="48"/>
      <c r="Y38" s="57"/>
      <c r="Z38" s="56"/>
      <c r="AA38" s="48"/>
      <c r="AB38" s="48"/>
      <c r="AC38" s="57"/>
      <c r="AE38" s="108">
        <f t="shared" si="1"/>
        <v>365</v>
      </c>
      <c r="AF38" s="108">
        <f t="shared" si="1"/>
        <v>3257</v>
      </c>
      <c r="AG38" s="108">
        <f t="shared" si="1"/>
        <v>1836</v>
      </c>
    </row>
    <row r="39" spans="1:33" ht="16.5" customHeight="1">
      <c r="A39" s="120" t="s">
        <v>215</v>
      </c>
      <c r="B39" s="56">
        <v>27573</v>
      </c>
      <c r="C39" s="48">
        <v>17485</v>
      </c>
      <c r="D39" s="48">
        <v>6672</v>
      </c>
      <c r="E39" s="57">
        <f>D39/C39*100</f>
        <v>38.15842150414641</v>
      </c>
      <c r="F39" s="56"/>
      <c r="G39" s="48"/>
      <c r="H39" s="48"/>
      <c r="I39" s="57"/>
      <c r="J39" s="56"/>
      <c r="K39" s="48"/>
      <c r="L39" s="48"/>
      <c r="M39" s="57"/>
      <c r="N39" s="56"/>
      <c r="O39" s="48"/>
      <c r="P39" s="48"/>
      <c r="Q39" s="57"/>
      <c r="R39" s="56"/>
      <c r="S39" s="48"/>
      <c r="T39" s="48"/>
      <c r="U39" s="57"/>
      <c r="V39" s="56"/>
      <c r="W39" s="48"/>
      <c r="X39" s="48"/>
      <c r="Y39" s="57"/>
      <c r="Z39" s="56"/>
      <c r="AA39" s="48"/>
      <c r="AB39" s="48"/>
      <c r="AC39" s="57"/>
      <c r="AE39" s="108">
        <f t="shared" si="1"/>
        <v>27573</v>
      </c>
      <c r="AF39" s="108">
        <f t="shared" si="1"/>
        <v>17485</v>
      </c>
      <c r="AG39" s="108">
        <f t="shared" si="1"/>
        <v>6672</v>
      </c>
    </row>
    <row r="40" spans="1:33" ht="16.5" customHeight="1">
      <c r="A40" s="120" t="s">
        <v>216</v>
      </c>
      <c r="B40" s="56"/>
      <c r="C40" s="48">
        <v>582</v>
      </c>
      <c r="D40" s="48">
        <f>-747+7</f>
        <v>-740</v>
      </c>
      <c r="E40" s="57"/>
      <c r="F40" s="56"/>
      <c r="G40" s="48"/>
      <c r="H40" s="48"/>
      <c r="I40" s="57"/>
      <c r="J40" s="56"/>
      <c r="K40" s="48"/>
      <c r="L40" s="48"/>
      <c r="M40" s="57"/>
      <c r="N40" s="56"/>
      <c r="O40" s="48"/>
      <c r="P40" s="48"/>
      <c r="Q40" s="57"/>
      <c r="R40" s="56"/>
      <c r="S40" s="48"/>
      <c r="T40" s="48"/>
      <c r="U40" s="57"/>
      <c r="V40" s="56"/>
      <c r="W40" s="48"/>
      <c r="X40" s="48"/>
      <c r="Y40" s="57"/>
      <c r="Z40" s="56"/>
      <c r="AA40" s="48"/>
      <c r="AB40" s="48"/>
      <c r="AC40" s="57"/>
      <c r="AE40" s="108">
        <f t="shared" si="1"/>
        <v>0</v>
      </c>
      <c r="AF40" s="108">
        <f t="shared" si="1"/>
        <v>582</v>
      </c>
      <c r="AG40" s="108">
        <f t="shared" si="1"/>
        <v>-740</v>
      </c>
    </row>
    <row r="41" spans="1:33" ht="16.5" customHeight="1">
      <c r="A41" s="120" t="s">
        <v>217</v>
      </c>
      <c r="B41" s="56"/>
      <c r="C41" s="48">
        <v>1007</v>
      </c>
      <c r="D41" s="48">
        <f>242+2</f>
        <v>244</v>
      </c>
      <c r="E41" s="57">
        <f>D41/C41*100</f>
        <v>24.23038728897716</v>
      </c>
      <c r="F41" s="56"/>
      <c r="G41" s="48"/>
      <c r="H41" s="48"/>
      <c r="I41" s="57"/>
      <c r="J41" s="56"/>
      <c r="K41" s="48"/>
      <c r="L41" s="48"/>
      <c r="M41" s="57"/>
      <c r="N41" s="56"/>
      <c r="O41" s="48"/>
      <c r="P41" s="48"/>
      <c r="Q41" s="57"/>
      <c r="R41" s="56"/>
      <c r="S41" s="48"/>
      <c r="T41" s="48"/>
      <c r="U41" s="57"/>
      <c r="V41" s="56"/>
      <c r="W41" s="48"/>
      <c r="X41" s="48"/>
      <c r="Y41" s="57"/>
      <c r="Z41" s="56"/>
      <c r="AA41" s="48"/>
      <c r="AB41" s="48"/>
      <c r="AC41" s="57"/>
      <c r="AE41" s="108">
        <f t="shared" si="1"/>
        <v>0</v>
      </c>
      <c r="AF41" s="108">
        <f t="shared" si="1"/>
        <v>1007</v>
      </c>
      <c r="AG41" s="108">
        <f t="shared" si="1"/>
        <v>244</v>
      </c>
    </row>
    <row r="42" spans="1:33" ht="16.5" customHeight="1">
      <c r="A42" s="120" t="s">
        <v>218</v>
      </c>
      <c r="B42" s="56"/>
      <c r="C42" s="48">
        <v>-2</v>
      </c>
      <c r="D42" s="48">
        <v>-459</v>
      </c>
      <c r="E42" s="57">
        <f>D42/C42*100</f>
        <v>22950</v>
      </c>
      <c r="F42" s="56"/>
      <c r="G42" s="48"/>
      <c r="H42" s="48"/>
      <c r="I42" s="57"/>
      <c r="J42" s="56"/>
      <c r="K42" s="48"/>
      <c r="L42" s="48"/>
      <c r="M42" s="57"/>
      <c r="N42" s="56"/>
      <c r="O42" s="48"/>
      <c r="P42" s="48"/>
      <c r="Q42" s="57"/>
      <c r="R42" s="56"/>
      <c r="S42" s="48"/>
      <c r="T42" s="48"/>
      <c r="U42" s="57"/>
      <c r="V42" s="56"/>
      <c r="W42" s="48"/>
      <c r="X42" s="48"/>
      <c r="Y42" s="57"/>
      <c r="Z42" s="56"/>
      <c r="AA42" s="48"/>
      <c r="AB42" s="48"/>
      <c r="AC42" s="57"/>
      <c r="AE42" s="108">
        <f t="shared" si="1"/>
        <v>0</v>
      </c>
      <c r="AF42" s="108">
        <f t="shared" si="1"/>
        <v>-2</v>
      </c>
      <c r="AG42" s="108">
        <f t="shared" si="1"/>
        <v>-459</v>
      </c>
    </row>
    <row r="43" spans="1:33" ht="16.5" customHeight="1" thickBot="1">
      <c r="A43" s="121" t="s">
        <v>219</v>
      </c>
      <c r="B43" s="61"/>
      <c r="C43" s="62">
        <v>298</v>
      </c>
      <c r="D43" s="62">
        <f>-647+2</f>
        <v>-645</v>
      </c>
      <c r="E43" s="63"/>
      <c r="F43" s="61"/>
      <c r="G43" s="62"/>
      <c r="H43" s="62"/>
      <c r="I43" s="63"/>
      <c r="J43" s="61"/>
      <c r="K43" s="62"/>
      <c r="L43" s="62"/>
      <c r="M43" s="63"/>
      <c r="N43" s="61"/>
      <c r="O43" s="62"/>
      <c r="P43" s="62"/>
      <c r="Q43" s="63"/>
      <c r="R43" s="61"/>
      <c r="S43" s="62"/>
      <c r="T43" s="62"/>
      <c r="U43" s="63"/>
      <c r="V43" s="61"/>
      <c r="W43" s="62"/>
      <c r="X43" s="62"/>
      <c r="Y43" s="63"/>
      <c r="Z43" s="61"/>
      <c r="AA43" s="62"/>
      <c r="AB43" s="62"/>
      <c r="AC43" s="63"/>
      <c r="AE43" s="108">
        <f t="shared" si="1"/>
        <v>0</v>
      </c>
      <c r="AF43" s="108">
        <f t="shared" si="1"/>
        <v>298</v>
      </c>
      <c r="AG43" s="108">
        <f t="shared" si="1"/>
        <v>-645</v>
      </c>
    </row>
    <row r="44" spans="1:33" ht="15" customHeight="1" thickBot="1">
      <c r="A44" s="118"/>
      <c r="B44" s="58"/>
      <c r="C44" s="59"/>
      <c r="D44" s="59"/>
      <c r="E44" s="60"/>
      <c r="F44" s="58"/>
      <c r="G44" s="59"/>
      <c r="H44" s="59"/>
      <c r="I44" s="60"/>
      <c r="J44" s="58"/>
      <c r="K44" s="59"/>
      <c r="L44" s="59"/>
      <c r="M44" s="60"/>
      <c r="N44" s="58"/>
      <c r="O44" s="59"/>
      <c r="P44" s="59"/>
      <c r="Q44" s="60"/>
      <c r="R44" s="58"/>
      <c r="S44" s="59"/>
      <c r="T44" s="59"/>
      <c r="U44" s="60"/>
      <c r="V44" s="58"/>
      <c r="W44" s="59"/>
      <c r="X44" s="59"/>
      <c r="Y44" s="60"/>
      <c r="Z44" s="58"/>
      <c r="AA44" s="59"/>
      <c r="AB44" s="59"/>
      <c r="AC44" s="60"/>
      <c r="AE44" s="108">
        <f t="shared" si="1"/>
        <v>0</v>
      </c>
      <c r="AF44" s="108">
        <f t="shared" si="1"/>
        <v>0</v>
      </c>
      <c r="AG44" s="108">
        <f t="shared" si="1"/>
        <v>0</v>
      </c>
    </row>
    <row r="45" spans="1:34" s="93" customFormat="1" ht="18" customHeight="1" thickBot="1">
      <c r="A45" s="122" t="s">
        <v>245</v>
      </c>
      <c r="B45" s="100">
        <f>SUM(B15:B43)</f>
        <v>362113</v>
      </c>
      <c r="C45" s="101">
        <f>SUM(C15:C43)</f>
        <v>466891</v>
      </c>
      <c r="D45" s="101">
        <f>SUM(D15:D43)</f>
        <v>-482602</v>
      </c>
      <c r="E45" s="103"/>
      <c r="F45" s="100"/>
      <c r="G45" s="101">
        <f>SUM(G15:G43)</f>
        <v>0</v>
      </c>
      <c r="H45" s="101">
        <f>SUM(H15:H43)</f>
        <v>0</v>
      </c>
      <c r="I45" s="103"/>
      <c r="J45" s="100">
        <f>SUM(J14:J43)</f>
        <v>15000</v>
      </c>
      <c r="K45" s="101">
        <f>SUM(K14:K43)</f>
        <v>17815</v>
      </c>
      <c r="L45" s="101">
        <f>SUM(L14:L43)</f>
        <v>17308</v>
      </c>
      <c r="M45" s="103">
        <f>L45/K45*100</f>
        <v>97.15408363738422</v>
      </c>
      <c r="N45" s="100">
        <f>SUM(N15:N43)</f>
        <v>-23578</v>
      </c>
      <c r="O45" s="101">
        <f>SUM(O15:O43)</f>
        <v>-32909</v>
      </c>
      <c r="P45" s="101">
        <f>SUM(P15:P43)</f>
        <v>-32909</v>
      </c>
      <c r="Q45" s="103">
        <f>P45/O45*100</f>
        <v>100</v>
      </c>
      <c r="R45" s="100">
        <f>SUM(R15:R43)</f>
        <v>-73311</v>
      </c>
      <c r="S45" s="101">
        <f>SUM(S15:S43)</f>
        <v>-75238</v>
      </c>
      <c r="T45" s="101">
        <f>SUM(T15:T43)</f>
        <v>-75218</v>
      </c>
      <c r="U45" s="103">
        <f>T45/S45*100</f>
        <v>99.9734176878705</v>
      </c>
      <c r="V45" s="100">
        <f>SUM(V15:V43)</f>
        <v>0</v>
      </c>
      <c r="W45" s="101">
        <f>SUM(W15:W43)</f>
        <v>0</v>
      </c>
      <c r="X45" s="101">
        <f>SUM(X15:X43)</f>
        <v>10000</v>
      </c>
      <c r="Y45" s="103"/>
      <c r="Z45" s="100">
        <f>SUM(Z15:Z43)</f>
        <v>0</v>
      </c>
      <c r="AA45" s="101">
        <f>SUM(AA15:AA43)</f>
        <v>0</v>
      </c>
      <c r="AB45" s="101">
        <f>SUM(AB15:AB43)</f>
        <v>0</v>
      </c>
      <c r="AC45" s="103"/>
      <c r="AH45" s="93">
        <f>SUM(AH15:AH44)</f>
        <v>0</v>
      </c>
    </row>
    <row r="46" spans="29:34" ht="15.75" customHeight="1">
      <c r="AC46" s="152"/>
      <c r="AH46" s="108" t="e">
        <f>#REF!+AH45</f>
        <v>#REF!</v>
      </c>
    </row>
    <row r="47" spans="31:33" ht="15.75" customHeight="1">
      <c r="AE47" s="108">
        <v>24566</v>
      </c>
      <c r="AF47" s="108">
        <v>293101</v>
      </c>
      <c r="AG47" s="108">
        <v>-67260</v>
      </c>
    </row>
    <row r="48" spans="1:24" ht="15.75" customHeight="1">
      <c r="A48" s="93">
        <v>2012</v>
      </c>
      <c r="B48" s="108">
        <v>362113</v>
      </c>
      <c r="C48" s="108">
        <v>469891</v>
      </c>
      <c r="D48" s="108">
        <f>-485090+2488</f>
        <v>-482602</v>
      </c>
      <c r="J48" s="108">
        <v>15000</v>
      </c>
      <c r="K48" s="108">
        <v>17815</v>
      </c>
      <c r="L48" s="108">
        <v>17308</v>
      </c>
      <c r="N48" s="108">
        <v>-23578</v>
      </c>
      <c r="O48" s="108">
        <v>-32909</v>
      </c>
      <c r="P48" s="108">
        <v>-32909</v>
      </c>
      <c r="R48" s="108">
        <v>-73311</v>
      </c>
      <c r="S48" s="108">
        <v>-75238</v>
      </c>
      <c r="T48" s="108">
        <v>-75218</v>
      </c>
      <c r="X48" s="108">
        <f>4863500-4863500</f>
        <v>0</v>
      </c>
    </row>
    <row r="49" ht="15.75" customHeight="1"/>
    <row r="50" spans="1:24" ht="15.75" customHeight="1">
      <c r="A50" s="93">
        <v>2011</v>
      </c>
      <c r="B50" s="108">
        <v>204760</v>
      </c>
      <c r="C50" s="108">
        <v>420375</v>
      </c>
      <c r="D50" s="108">
        <v>-299242</v>
      </c>
      <c r="G50" s="108">
        <v>7160</v>
      </c>
      <c r="H50" s="108">
        <v>7140</v>
      </c>
      <c r="J50" s="108">
        <v>32000</v>
      </c>
      <c r="K50" s="108">
        <v>54058</v>
      </c>
      <c r="L50" s="108">
        <v>54057</v>
      </c>
      <c r="N50" s="108">
        <v>-33897</v>
      </c>
      <c r="O50" s="108">
        <v>-33897</v>
      </c>
      <c r="P50" s="108">
        <v>-33897</v>
      </c>
      <c r="R50" s="108">
        <v>-76602</v>
      </c>
      <c r="S50" s="108">
        <v>-76575</v>
      </c>
      <c r="T50" s="108">
        <v>-76661</v>
      </c>
      <c r="X50" s="108">
        <f>4863500-4863500</f>
        <v>0</v>
      </c>
    </row>
    <row r="51" spans="4:5" ht="15.75">
      <c r="D51" s="387">
        <f>-485089831+2487754</f>
        <v>-482602077</v>
      </c>
      <c r="E51" s="387"/>
    </row>
    <row r="52" spans="3:5" ht="15.75">
      <c r="C52" s="108">
        <f>C50-C45</f>
        <v>-46516</v>
      </c>
      <c r="D52" s="108">
        <f>D50-D45</f>
        <v>183360</v>
      </c>
      <c r="E52" s="108">
        <f>9+328</f>
        <v>337</v>
      </c>
    </row>
    <row r="53" spans="3:8" ht="15.75">
      <c r="C53" s="108">
        <f>C52/2</f>
        <v>-23258</v>
      </c>
      <c r="E53" s="370"/>
      <c r="F53" s="370"/>
      <c r="G53" s="370"/>
      <c r="H53" s="370"/>
    </row>
    <row r="54" spans="4:8" ht="15.75">
      <c r="D54" s="108">
        <f>D53/2</f>
        <v>0</v>
      </c>
      <c r="E54" s="370"/>
      <c r="F54" s="370"/>
      <c r="G54" s="370"/>
      <c r="H54" s="370"/>
    </row>
    <row r="55" spans="5:8" ht="15.75">
      <c r="E55" s="370"/>
      <c r="F55" s="370"/>
      <c r="G55" s="370"/>
      <c r="H55" s="370"/>
    </row>
    <row r="68" ht="15.75">
      <c r="F68" s="108">
        <f>800+400+380+380</f>
        <v>1960</v>
      </c>
    </row>
    <row r="69" ht="15.75">
      <c r="F69" s="108">
        <v>500</v>
      </c>
    </row>
  </sheetData>
  <sheetProtection/>
  <mergeCells count="54">
    <mergeCell ref="A2:AC2"/>
    <mergeCell ref="B9:E9"/>
    <mergeCell ref="F9:I9"/>
    <mergeCell ref="J9:M9"/>
    <mergeCell ref="N9:Q9"/>
    <mergeCell ref="R9:U9"/>
    <mergeCell ref="Z8:AC8"/>
    <mergeCell ref="A3:AC3"/>
    <mergeCell ref="A4:AC4"/>
    <mergeCell ref="Z9:AC9"/>
    <mergeCell ref="V8:Y8"/>
    <mergeCell ref="V9:Y9"/>
    <mergeCell ref="A8:A11"/>
    <mergeCell ref="B8:E8"/>
    <mergeCell ref="F8:I8"/>
    <mergeCell ref="J8:M8"/>
    <mergeCell ref="E55:F55"/>
    <mergeCell ref="G55:H55"/>
    <mergeCell ref="AE9:AG9"/>
    <mergeCell ref="AE10:AG10"/>
    <mergeCell ref="E53:H53"/>
    <mergeCell ref="E54:F54"/>
    <mergeCell ref="G54:H54"/>
    <mergeCell ref="Z13:AC13"/>
    <mergeCell ref="B13:E13"/>
    <mergeCell ref="V13:Y13"/>
    <mergeCell ref="F13:I13"/>
    <mergeCell ref="J13:M13"/>
    <mergeCell ref="N13:Q13"/>
    <mergeCell ref="R13:U13"/>
    <mergeCell ref="D51:E51"/>
    <mergeCell ref="AA10:AA11"/>
    <mergeCell ref="N8:Q8"/>
    <mergeCell ref="R8:U8"/>
    <mergeCell ref="B10:B11"/>
    <mergeCell ref="C10:C11"/>
    <mergeCell ref="D10:D11"/>
    <mergeCell ref="F10:F11"/>
    <mergeCell ref="G10:G11"/>
    <mergeCell ref="H10:H11"/>
    <mergeCell ref="J10:J11"/>
    <mergeCell ref="K10:K11"/>
    <mergeCell ref="L10:L11"/>
    <mergeCell ref="N10:N11"/>
    <mergeCell ref="O10:O11"/>
    <mergeCell ref="P10:P11"/>
    <mergeCell ref="R10:R11"/>
    <mergeCell ref="S10:S11"/>
    <mergeCell ref="AB10:AB11"/>
    <mergeCell ref="T10:T11"/>
    <mergeCell ref="V10:V11"/>
    <mergeCell ref="W10:W11"/>
    <mergeCell ref="X10:X11"/>
    <mergeCell ref="Z10:Z11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180" verticalDpi="180" orientation="landscape" paperSize="9" scale="4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70"/>
  <sheetViews>
    <sheetView showZeros="0" view="pageBreakPreview" zoomScale="70" zoomScaleNormal="85" zoomScaleSheetLayoutView="70" zoomScalePageLayoutView="0" workbookViewId="0" topLeftCell="A1">
      <pane xSplit="1" ySplit="9" topLeftCell="K25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A1" sqref="A1"/>
    </sheetView>
  </sheetViews>
  <sheetFormatPr defaultColWidth="9.796875" defaultRowHeight="15"/>
  <cols>
    <col min="1" max="1" width="27.296875" style="93" customWidth="1"/>
    <col min="2" max="4" width="11.796875" style="40" customWidth="1"/>
    <col min="5" max="5" width="13.296875" style="40" hidden="1" customWidth="1"/>
    <col min="6" max="6" width="6.296875" style="40" hidden="1" customWidth="1"/>
    <col min="7" max="7" width="6.796875" style="40" customWidth="1"/>
    <col min="8" max="10" width="11.796875" style="40" customWidth="1"/>
    <col min="11" max="11" width="6.796875" style="40" customWidth="1"/>
    <col min="12" max="14" width="11.796875" style="40" customWidth="1"/>
    <col min="15" max="15" width="6.796875" style="40" customWidth="1"/>
    <col min="16" max="18" width="11.796875" style="40" customWidth="1"/>
    <col min="19" max="19" width="6.796875" style="40" customWidth="1"/>
    <col min="20" max="20" width="7.796875" style="40" customWidth="1"/>
    <col min="21" max="21" width="0" style="40" hidden="1" customWidth="1"/>
    <col min="22" max="24" width="9.796875" style="40" customWidth="1"/>
    <col min="25" max="25" width="10.796875" style="40" customWidth="1"/>
    <col min="26" max="28" width="9.796875" style="40" customWidth="1"/>
    <col min="29" max="29" width="10.796875" style="40" customWidth="1"/>
    <col min="30" max="32" width="9.796875" style="40" customWidth="1"/>
    <col min="33" max="33" width="10.796875" style="40" customWidth="1"/>
    <col min="34" max="36" width="9.796875" style="40" customWidth="1"/>
    <col min="37" max="37" width="10.796875" style="40" customWidth="1"/>
    <col min="38" max="16384" width="9.796875" style="40" customWidth="1"/>
  </cols>
  <sheetData>
    <row r="1" ht="17.25" customHeight="1"/>
    <row r="2" spans="1:20" s="114" customFormat="1" ht="24" customHeight="1">
      <c r="A2" s="310" t="s">
        <v>237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13"/>
    </row>
    <row r="3" spans="1:16" s="114" customFormat="1" ht="15" customHeight="1">
      <c r="A3" s="111"/>
      <c r="P3" s="114" t="s">
        <v>10</v>
      </c>
    </row>
    <row r="4" spans="1:19" s="114" customFormat="1" ht="21" customHeight="1">
      <c r="A4" s="310" t="s">
        <v>17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</row>
    <row r="5" ht="22.5" customHeight="1">
      <c r="S5" s="94" t="s">
        <v>9</v>
      </c>
    </row>
    <row r="6" ht="22.5" customHeight="1" thickBot="1">
      <c r="S6" s="94" t="s">
        <v>1</v>
      </c>
    </row>
    <row r="7" spans="1:19" ht="21.75" customHeight="1" thickBot="1">
      <c r="A7" s="298" t="s">
        <v>229</v>
      </c>
      <c r="B7" s="311" t="s">
        <v>14</v>
      </c>
      <c r="C7" s="312"/>
      <c r="D7" s="312"/>
      <c r="E7" s="312"/>
      <c r="F7" s="312"/>
      <c r="G7" s="313"/>
      <c r="H7" s="311" t="s">
        <v>16</v>
      </c>
      <c r="I7" s="312"/>
      <c r="J7" s="312"/>
      <c r="K7" s="313"/>
      <c r="L7" s="311" t="s">
        <v>18</v>
      </c>
      <c r="M7" s="312"/>
      <c r="N7" s="312"/>
      <c r="O7" s="313"/>
      <c r="P7" s="311" t="s">
        <v>139</v>
      </c>
      <c r="Q7" s="312"/>
      <c r="R7" s="312"/>
      <c r="S7" s="313"/>
    </row>
    <row r="8" spans="1:19" ht="18" customHeight="1">
      <c r="A8" s="299"/>
      <c r="B8" s="308" t="s">
        <v>242</v>
      </c>
      <c r="C8" s="309" t="s">
        <v>244</v>
      </c>
      <c r="D8" s="309" t="s">
        <v>243</v>
      </c>
      <c r="E8" s="115" t="s">
        <v>0</v>
      </c>
      <c r="F8" s="116"/>
      <c r="G8" s="117" t="s">
        <v>0</v>
      </c>
      <c r="H8" s="308" t="s">
        <v>242</v>
      </c>
      <c r="I8" s="309" t="s">
        <v>244</v>
      </c>
      <c r="J8" s="309" t="s">
        <v>243</v>
      </c>
      <c r="K8" s="117" t="s">
        <v>0</v>
      </c>
      <c r="L8" s="308" t="s">
        <v>242</v>
      </c>
      <c r="M8" s="309" t="s">
        <v>244</v>
      </c>
      <c r="N8" s="309" t="s">
        <v>243</v>
      </c>
      <c r="O8" s="117" t="s">
        <v>0</v>
      </c>
      <c r="P8" s="308" t="s">
        <v>242</v>
      </c>
      <c r="Q8" s="309" t="s">
        <v>244</v>
      </c>
      <c r="R8" s="309" t="s">
        <v>243</v>
      </c>
      <c r="S8" s="117" t="s">
        <v>0</v>
      </c>
    </row>
    <row r="9" spans="1:19" ht="18" customHeight="1" thickBot="1">
      <c r="A9" s="300"/>
      <c r="B9" s="290"/>
      <c r="C9" s="292"/>
      <c r="D9" s="292"/>
      <c r="E9" s="87" t="s">
        <v>11</v>
      </c>
      <c r="F9" s="88"/>
      <c r="G9" s="89" t="s">
        <v>11</v>
      </c>
      <c r="H9" s="290"/>
      <c r="I9" s="292"/>
      <c r="J9" s="292"/>
      <c r="K9" s="89" t="s">
        <v>11</v>
      </c>
      <c r="L9" s="290"/>
      <c r="M9" s="292"/>
      <c r="N9" s="292"/>
      <c r="O9" s="89" t="s">
        <v>11</v>
      </c>
      <c r="P9" s="290"/>
      <c r="Q9" s="292"/>
      <c r="R9" s="292"/>
      <c r="S9" s="89" t="s">
        <v>11</v>
      </c>
    </row>
    <row r="10" spans="1:19" ht="16.5" customHeight="1" thickBot="1">
      <c r="A10" s="118"/>
      <c r="B10" s="53"/>
      <c r="C10" s="54"/>
      <c r="D10" s="54"/>
      <c r="E10" s="54"/>
      <c r="F10" s="54"/>
      <c r="G10" s="55"/>
      <c r="H10" s="53"/>
      <c r="I10" s="54"/>
      <c r="J10" s="54"/>
      <c r="K10" s="55"/>
      <c r="L10" s="53"/>
      <c r="M10" s="54"/>
      <c r="N10" s="54"/>
      <c r="O10" s="55"/>
      <c r="P10" s="53"/>
      <c r="Q10" s="54"/>
      <c r="R10" s="54"/>
      <c r="S10" s="55"/>
    </row>
    <row r="11" spans="1:19" ht="16.5" customHeight="1">
      <c r="A11" s="119" t="s">
        <v>191</v>
      </c>
      <c r="B11" s="73">
        <f>'Daňové příjmy'!B12+'Daňové příjmy'!F12++'Daňové příjmy'!J12+'Daňové příjmy'!N12+'Ost.daně=Místní popl.'!B13</f>
        <v>66553</v>
      </c>
      <c r="C11" s="74">
        <f>'Daňové příjmy'!C12+'Daňové příjmy'!G12++'Daňové příjmy'!K12+'Daňové příjmy'!O12+'Ost.daně=Místní popl.'!C13</f>
        <v>107789</v>
      </c>
      <c r="D11" s="74">
        <f>'Daňové příjmy'!D12+'Daňové příjmy'!H12+'Daňové příjmy'!L12+'Daňové příjmy'!P12+'Ost.daně=Místní popl.'!D13</f>
        <v>100598</v>
      </c>
      <c r="E11" s="75">
        <v>-85288736.08</v>
      </c>
      <c r="F11" s="75">
        <f>-E11/1000-D11</f>
        <v>-15309.263919999998</v>
      </c>
      <c r="G11" s="76">
        <f aca="true" t="shared" si="0" ref="G11:G39">SUM(D11/C11*100)</f>
        <v>93.32863279184332</v>
      </c>
      <c r="H11" s="73">
        <f>'Nedaňové příjmy'!B14+'Nedaňové příjmy'!F14+'Nedaňové příjmy'!J14+'Nedaňové příjmy'!N14+'Nedaňové příjmy'!R14+'Nedaňové příjmy'!V14</f>
        <v>20715</v>
      </c>
      <c r="I11" s="74">
        <f>'Nedaňové příjmy'!C14+'Nedaňové příjmy'!G14+'Nedaňové příjmy'!K14+'Nedaňové příjmy'!O14+'Nedaňové příjmy'!S14+'Nedaňové příjmy'!W14</f>
        <v>46075</v>
      </c>
      <c r="J11" s="74">
        <f>'Nedaňové příjmy'!D14+'Nedaňové příjmy'!H14+'Nedaňové příjmy'!L14+'Nedaňové příjmy'!P14+'Nedaňové příjmy'!T14+'Nedaňové příjmy'!X14</f>
        <v>46421</v>
      </c>
      <c r="K11" s="76">
        <f>SUM(J11/I11*100)</f>
        <v>100.75094953879544</v>
      </c>
      <c r="L11" s="73">
        <f>'Kapitálové příjmy'!B12+'Kapitálové příjmy'!F12</f>
        <v>0</v>
      </c>
      <c r="M11" s="74">
        <f>'Kapitálové příjmy'!C12+'Kapitálové příjmy'!G12</f>
        <v>0</v>
      </c>
      <c r="N11" s="74">
        <f>'Kapitálové příjmy'!D12+'Kapitálové příjmy'!H12</f>
        <v>32</v>
      </c>
      <c r="O11" s="76"/>
      <c r="P11" s="73">
        <f>'Transfery neinvestiční 2.5'!B13+'Transfery neinvestiční 2.5'!F13+'Transfery neinvestiční 2.5'!J13+'Transfery neinvestiční 2.5'!N13+'Transfery nein.2.5a'!B14+'Transfery nein.2.5a'!N14+'Transfery nein.2.5a'!R14+'Transfery nein.2.5a'!V14+'Transfery neinvestiční 2.5'!R13+'Transfery investiční'!E13+'Transfery investiční'!I13+'Transfery investiční'!M13+'Transfery investiční'!Q13+'Transfery investiční'!U13+'Transfery nein.2.5a'!Z14+'Transfery investiční'!Y13</f>
        <v>257836</v>
      </c>
      <c r="Q11" s="74">
        <f>'Transfery neinvestiční 2.5'!C13+'Transfery neinvestiční 2.5'!G13+'Transfery neinvestiční 2.5'!K13+'Transfery neinvestiční 2.5'!O13+'Transfery nein.2.5a'!C14+'Transfery nein.2.5a'!O14+'Transfery nein.2.5a'!S14+'Transfery nein.2.5a'!W14+'Transfery neinvestiční 2.5'!S13+'Transfery investiční'!B13+'Transfery investiční'!F13+'Transfery investiční'!J13+'Transfery investiční'!N13+'Transfery investiční'!R13+'Transfery investiční'!V13+'Transfery nein.2.5a'!AA14+'Transfery investiční'!Z13</f>
        <v>342028</v>
      </c>
      <c r="R11" s="74">
        <f>'Transfery neinvestiční 2.5'!D13+'Transfery neinvestiční 2.5'!H13+'Transfery neinvestiční 2.5'!L13+'Transfery neinvestiční 2.5'!P13+'Transfery nein.2.5a'!D14+'Transfery nein.2.5a'!P14+'Transfery nein.2.5a'!T14+'Transfery nein.2.5a'!X14+'Transfery neinvestiční 2.5'!T13+'Transfery investiční'!C13+'Transfery investiční'!G13+'Transfery investiční'!K13+'Transfery investiční'!O13+'Transfery investiční'!S13+'Transfery investiční'!W13+'Transfery nein.2.5a'!AB14+'Transfery investiční'!AA13</f>
        <v>335859</v>
      </c>
      <c r="S11" s="76">
        <f>SUM(R11/Q11*100)</f>
        <v>98.19634649794754</v>
      </c>
    </row>
    <row r="12" spans="1:19" ht="16.5" customHeight="1">
      <c r="A12" s="120" t="s">
        <v>192</v>
      </c>
      <c r="B12" s="56">
        <f>'Daňové příjmy'!B13+'Daňové příjmy'!F13++'Daňové příjmy'!J13+'Daňové příjmy'!N13+'Ost.daně=Místní popl.'!B14</f>
        <v>5176</v>
      </c>
      <c r="C12" s="48">
        <f>'Daňové příjmy'!C13+'Daňové příjmy'!G13++'Daňové příjmy'!K13+'Daňové příjmy'!O13+'Ost.daně=Místní popl.'!C14</f>
        <v>6086</v>
      </c>
      <c r="D12" s="48">
        <f>'Daňové příjmy'!D13+'Daňové příjmy'!H13+'Daňové příjmy'!L13+'Daňové příjmy'!P13+'Ost.daně=Místní popl.'!D14</f>
        <v>6011</v>
      </c>
      <c r="E12" s="42">
        <v>-5982635</v>
      </c>
      <c r="F12" s="42">
        <f aca="true" t="shared" si="1" ref="F12:F39">-E12/1000-D12</f>
        <v>-28.36499999999978</v>
      </c>
      <c r="G12" s="57">
        <f t="shared" si="0"/>
        <v>98.767663489977</v>
      </c>
      <c r="H12" s="56">
        <f>'Nedaňové příjmy'!B15+'Nedaňové příjmy'!F15+'Nedaňové příjmy'!J15+'Nedaňové příjmy'!N15+'Nedaňové příjmy'!R15+'Nedaňové příjmy'!V15</f>
        <v>4495</v>
      </c>
      <c r="I12" s="48">
        <f>'Nedaňové příjmy'!C15+'Nedaňové příjmy'!G15+'Nedaňové příjmy'!K15+'Nedaňové příjmy'!O15+'Nedaňové příjmy'!S15+'Nedaňové příjmy'!W15</f>
        <v>7174</v>
      </c>
      <c r="J12" s="48">
        <f>'Nedaňové příjmy'!D15+'Nedaňové příjmy'!H15+'Nedaňové příjmy'!L15+'Nedaňové příjmy'!P15+'Nedaňové příjmy'!T15+'Nedaňové příjmy'!X15</f>
        <v>7059</v>
      </c>
      <c r="K12" s="57">
        <f aca="true" t="shared" si="2" ref="K12:K39">SUM(J12/I12*100)</f>
        <v>98.39698912740452</v>
      </c>
      <c r="L12" s="56">
        <f>'Kapitálové příjmy'!B13+'Kapitálové příjmy'!F13</f>
        <v>0</v>
      </c>
      <c r="M12" s="48">
        <f>'Kapitálové příjmy'!C13+'Kapitálové příjmy'!G13</f>
        <v>0</v>
      </c>
      <c r="N12" s="48">
        <f>'Kapitálové příjmy'!D13+'Kapitálové příjmy'!H13</f>
        <v>0</v>
      </c>
      <c r="O12" s="57"/>
      <c r="P12" s="56">
        <f>'Transfery neinvestiční 2.5'!B14+'Transfery neinvestiční 2.5'!F14+'Transfery neinvestiční 2.5'!J14+'Transfery neinvestiční 2.5'!N14+'Transfery nein.2.5a'!B15+'Transfery nein.2.5a'!N15+'Transfery nein.2.5a'!R15+'Transfery nein.2.5a'!V15+'Transfery neinvestiční 2.5'!R14+'Transfery investiční'!E14+'Transfery investiční'!I14+'Transfery investiční'!M14+'Transfery investiční'!Q14+'Transfery investiční'!U14+'Transfery nein.2.5a'!Z15+'Transfery investiční'!Y14</f>
        <v>42051</v>
      </c>
      <c r="Q12" s="48">
        <f>'Transfery neinvestiční 2.5'!C14+'Transfery neinvestiční 2.5'!G14+'Transfery neinvestiční 2.5'!K14+'Transfery neinvestiční 2.5'!O14+'Transfery nein.2.5a'!C15+'Transfery nein.2.5a'!O15+'Transfery nein.2.5a'!S15+'Transfery nein.2.5a'!W15+'Transfery neinvestiční 2.5'!S14+'Transfery investiční'!B14+'Transfery investiční'!F14+'Transfery investiční'!J14+'Transfery investiční'!N14+'Transfery investiční'!R14+'Transfery investiční'!V14+'Transfery nein.2.5a'!AA15+'Transfery investiční'!Z14</f>
        <v>51633</v>
      </c>
      <c r="R12" s="48">
        <f>'Transfery neinvestiční 2.5'!D14+'Transfery neinvestiční 2.5'!H14+'Transfery neinvestiční 2.5'!L14+'Transfery neinvestiční 2.5'!P14+'Transfery nein.2.5a'!D15+'Transfery nein.2.5a'!P15+'Transfery nein.2.5a'!T15+'Transfery nein.2.5a'!X15+'Transfery neinvestiční 2.5'!T14+'Transfery investiční'!C14+'Transfery investiční'!G14+'Transfery investiční'!K14+'Transfery investiční'!O14+'Transfery investiční'!S14+'Transfery investiční'!W14+'Transfery nein.2.5a'!AB15+'Transfery investiční'!AA14</f>
        <v>51633</v>
      </c>
      <c r="S12" s="57">
        <f aca="true" t="shared" si="3" ref="S12:S39">SUM(R12/Q12*100)</f>
        <v>100</v>
      </c>
    </row>
    <row r="13" spans="1:19" ht="16.5" customHeight="1">
      <c r="A13" s="120" t="s">
        <v>193</v>
      </c>
      <c r="B13" s="56">
        <f>'Daňové příjmy'!B14+'Daňové příjmy'!F14++'Daňové příjmy'!J14+'Daňové příjmy'!N14+'Ost.daně=Místní popl.'!B15</f>
        <v>9273</v>
      </c>
      <c r="C13" s="48">
        <f>'Daňové příjmy'!C14+'Daňové příjmy'!G14++'Daňové příjmy'!K14+'Daňové příjmy'!O14+'Ost.daně=Místní popl.'!C15</f>
        <v>7940</v>
      </c>
      <c r="D13" s="48">
        <f>'Daňové příjmy'!D14+'Daňové příjmy'!H14+'Daňové příjmy'!L14+'Daňové příjmy'!P14+'Ost.daně=Místní popl.'!D15</f>
        <v>7879</v>
      </c>
      <c r="E13" s="42">
        <v>-9125358.86</v>
      </c>
      <c r="F13" s="42">
        <f t="shared" si="1"/>
        <v>1246.3588600000003</v>
      </c>
      <c r="G13" s="57">
        <f t="shared" si="0"/>
        <v>99.23173803526448</v>
      </c>
      <c r="H13" s="56">
        <f>'Nedaňové příjmy'!B16+'Nedaňové příjmy'!F16+'Nedaňové příjmy'!J16+'Nedaňové příjmy'!N16+'Nedaňové příjmy'!R16+'Nedaňové příjmy'!V16</f>
        <v>3953</v>
      </c>
      <c r="I13" s="48">
        <f>'Nedaňové příjmy'!C16+'Nedaňové příjmy'!G16+'Nedaňové příjmy'!K16+'Nedaňové příjmy'!O16+'Nedaňové příjmy'!S16+'Nedaňové příjmy'!W16</f>
        <v>9247</v>
      </c>
      <c r="J13" s="48">
        <f>'Nedaňové příjmy'!D16+'Nedaňové příjmy'!H16+'Nedaňové příjmy'!L16+'Nedaňové příjmy'!P16+'Nedaňové příjmy'!T16+'Nedaňové příjmy'!X16</f>
        <v>9374</v>
      </c>
      <c r="K13" s="57">
        <f t="shared" si="2"/>
        <v>101.37341840596949</v>
      </c>
      <c r="L13" s="56">
        <f>'Kapitálové příjmy'!B14+'Kapitálové příjmy'!F14</f>
        <v>0</v>
      </c>
      <c r="M13" s="48">
        <f>'Kapitálové příjmy'!C14+'Kapitálové příjmy'!G14</f>
        <v>31</v>
      </c>
      <c r="N13" s="48">
        <f>'Kapitálové příjmy'!D14+'Kapitálové příjmy'!H14</f>
        <v>31</v>
      </c>
      <c r="O13" s="57">
        <f>SUM(N13/M13*100)</f>
        <v>100</v>
      </c>
      <c r="P13" s="56">
        <f>'Transfery neinvestiční 2.5'!B15+'Transfery neinvestiční 2.5'!F15+'Transfery neinvestiční 2.5'!J15+'Transfery neinvestiční 2.5'!N15+'Transfery nein.2.5a'!B16+'Transfery nein.2.5a'!N16+'Transfery nein.2.5a'!R16+'Transfery nein.2.5a'!V16+'Transfery neinvestiční 2.5'!R15+'Transfery investiční'!E15+'Transfery investiční'!I15+'Transfery investiční'!M15+'Transfery investiční'!Q15+'Transfery investiční'!U15+'Transfery nein.2.5a'!Z16+'Transfery investiční'!Y15</f>
        <v>101461</v>
      </c>
      <c r="Q13" s="48">
        <f>'Transfery neinvestiční 2.5'!C15+'Transfery neinvestiční 2.5'!G15+'Transfery neinvestiční 2.5'!K15+'Transfery neinvestiční 2.5'!O15+'Transfery nein.2.5a'!C16+'Transfery nein.2.5a'!O16+'Transfery nein.2.5a'!S16+'Transfery nein.2.5a'!W16+'Transfery neinvestiční 2.5'!S15+'Transfery investiční'!B15+'Transfery investiční'!F15+'Transfery investiční'!J15+'Transfery investiční'!N15+'Transfery investiční'!R15+'Transfery investiční'!V15+'Transfery nein.2.5a'!AA16+'Transfery investiční'!Z15</f>
        <v>171415</v>
      </c>
      <c r="R13" s="48">
        <f>'Transfery neinvestiční 2.5'!D15+'Transfery neinvestiční 2.5'!H15+'Transfery neinvestiční 2.5'!L15+'Transfery neinvestiční 2.5'!P15+'Transfery nein.2.5a'!D16+'Transfery nein.2.5a'!P16+'Transfery nein.2.5a'!T16+'Transfery nein.2.5a'!X16+'Transfery neinvestiční 2.5'!T15+'Transfery investiční'!C15+'Transfery investiční'!G15+'Transfery investiční'!K15+'Transfery investiční'!O15+'Transfery investiční'!S15+'Transfery investiční'!W15+'Transfery nein.2.5a'!AB16+'Transfery investiční'!AA15</f>
        <v>170606</v>
      </c>
      <c r="S13" s="57">
        <f t="shared" si="3"/>
        <v>99.52804597030598</v>
      </c>
    </row>
    <row r="14" spans="1:19" ht="16.5" customHeight="1">
      <c r="A14" s="120" t="s">
        <v>194</v>
      </c>
      <c r="B14" s="56">
        <f>'Daňové příjmy'!B15+'Daňové příjmy'!F15++'Daňové příjmy'!J15+'Daňové příjmy'!N15+'Ost.daně=Místní popl.'!B16</f>
        <v>745</v>
      </c>
      <c r="C14" s="48">
        <f>'Daňové příjmy'!C15+'Daňové příjmy'!G15++'Daňové příjmy'!K15+'Daňové příjmy'!O15+'Ost.daně=Místní popl.'!C16</f>
        <v>7122</v>
      </c>
      <c r="D14" s="48">
        <f>'Daňové příjmy'!D15+'Daňové příjmy'!H15+'Daňové příjmy'!L15+'Daňové příjmy'!P15+'Ost.daně=Místní popl.'!D16</f>
        <v>7503</v>
      </c>
      <c r="E14" s="42">
        <v>-5627695</v>
      </c>
      <c r="F14" s="42">
        <f t="shared" si="1"/>
        <v>-1875.3050000000003</v>
      </c>
      <c r="G14" s="57">
        <f t="shared" si="0"/>
        <v>105.3496208930076</v>
      </c>
      <c r="H14" s="56">
        <f>'Nedaňové příjmy'!B17+'Nedaňové příjmy'!F17+'Nedaňové příjmy'!J17+'Nedaňové příjmy'!N17+'Nedaňové příjmy'!R17+'Nedaňové příjmy'!V17</f>
        <v>1654</v>
      </c>
      <c r="I14" s="48">
        <f>'Nedaňové příjmy'!C17+'Nedaňové příjmy'!G17+'Nedaňové příjmy'!K17+'Nedaňové příjmy'!O17+'Nedaňové příjmy'!S17+'Nedaňové příjmy'!W17</f>
        <v>3328</v>
      </c>
      <c r="J14" s="48">
        <f>'Nedaňové příjmy'!D17+'Nedaňové příjmy'!H17+'Nedaňové příjmy'!L17+'Nedaňové příjmy'!P17+'Nedaňové příjmy'!T17+'Nedaňové příjmy'!X17</f>
        <v>3568</v>
      </c>
      <c r="K14" s="57">
        <f t="shared" si="2"/>
        <v>107.21153846153845</v>
      </c>
      <c r="L14" s="56">
        <f>'Kapitálové příjmy'!B15+'Kapitálové příjmy'!F15</f>
        <v>0</v>
      </c>
      <c r="M14" s="48">
        <f>'Kapitálové příjmy'!C15+'Kapitálové příjmy'!G15</f>
        <v>0</v>
      </c>
      <c r="N14" s="48">
        <f>'Kapitálové příjmy'!D15+'Kapitálové příjmy'!H15</f>
        <v>0</v>
      </c>
      <c r="O14" s="57"/>
      <c r="P14" s="56">
        <f>'Transfery neinvestiční 2.5'!B16+'Transfery neinvestiční 2.5'!F16+'Transfery neinvestiční 2.5'!J16+'Transfery neinvestiční 2.5'!N16+'Transfery nein.2.5a'!B17+'Transfery nein.2.5a'!N17+'Transfery nein.2.5a'!R17+'Transfery nein.2.5a'!V17+'Transfery neinvestiční 2.5'!R16+'Transfery investiční'!E16+'Transfery investiční'!I16+'Transfery investiční'!M16+'Transfery investiční'!Q16+'Transfery investiční'!U16+'Transfery nein.2.5a'!Z17+'Transfery investiční'!Y16</f>
        <v>53187</v>
      </c>
      <c r="Q14" s="48">
        <f>'Transfery neinvestiční 2.5'!C16+'Transfery neinvestiční 2.5'!G16+'Transfery neinvestiční 2.5'!K16+'Transfery neinvestiční 2.5'!O16+'Transfery nein.2.5a'!C17+'Transfery nein.2.5a'!O17+'Transfery nein.2.5a'!S17+'Transfery nein.2.5a'!W17+'Transfery neinvestiční 2.5'!S16+'Transfery investiční'!B16+'Transfery investiční'!F16+'Transfery investiční'!J16+'Transfery investiční'!N16+'Transfery investiční'!R16+'Transfery investiční'!V16+'Transfery nein.2.5a'!AA17+'Transfery investiční'!Z16</f>
        <v>78765</v>
      </c>
      <c r="R14" s="48">
        <f>'Transfery neinvestiční 2.5'!D16+'Transfery neinvestiční 2.5'!H16+'Transfery neinvestiční 2.5'!L16+'Transfery neinvestiční 2.5'!P16+'Transfery nein.2.5a'!D17+'Transfery nein.2.5a'!P17+'Transfery nein.2.5a'!T17+'Transfery nein.2.5a'!X17+'Transfery neinvestiční 2.5'!T16+'Transfery investiční'!C16+'Transfery investiční'!G16+'Transfery investiční'!K16+'Transfery investiční'!O16+'Transfery investiční'!S16+'Transfery investiční'!W16+'Transfery nein.2.5a'!AB17+'Transfery investiční'!AA16</f>
        <v>78676</v>
      </c>
      <c r="S14" s="57">
        <f t="shared" si="3"/>
        <v>99.88700564971752</v>
      </c>
    </row>
    <row r="15" spans="1:19" ht="16.5" customHeight="1">
      <c r="A15" s="120" t="s">
        <v>195</v>
      </c>
      <c r="B15" s="56">
        <f>'Daňové příjmy'!B16+'Daňové příjmy'!F16++'Daňové příjmy'!J16+'Daňové příjmy'!N16+'Ost.daně=Místní popl.'!B17</f>
        <v>3282</v>
      </c>
      <c r="C15" s="48">
        <f>'Daňové příjmy'!C16+'Daňové příjmy'!G16++'Daňové příjmy'!K16+'Daňové příjmy'!O16+'Ost.daně=Místní popl.'!C17</f>
        <v>9511</v>
      </c>
      <c r="D15" s="48">
        <f>'Daňové příjmy'!D16+'Daňové příjmy'!H16+'Daňové příjmy'!L16+'Daňové příjmy'!P16+'Ost.daně=Místní popl.'!D17</f>
        <v>9425</v>
      </c>
      <c r="E15" s="42">
        <v>-3603461.08</v>
      </c>
      <c r="F15" s="42">
        <f t="shared" si="1"/>
        <v>-5821.53892</v>
      </c>
      <c r="G15" s="57">
        <f t="shared" si="0"/>
        <v>99.09578382925034</v>
      </c>
      <c r="H15" s="56">
        <f>'Nedaňové příjmy'!B18+'Nedaňové příjmy'!F18+'Nedaňové příjmy'!J18+'Nedaňové příjmy'!N18+'Nedaňové příjmy'!R18+'Nedaňové příjmy'!V18</f>
        <v>3741</v>
      </c>
      <c r="I15" s="48">
        <f>'Nedaňové příjmy'!C18+'Nedaňové příjmy'!G18+'Nedaňové příjmy'!K18+'Nedaňové příjmy'!O18+'Nedaňové příjmy'!S18+'Nedaňové příjmy'!W18</f>
        <v>6116</v>
      </c>
      <c r="J15" s="48">
        <f>'Nedaňové příjmy'!D18+'Nedaňové příjmy'!H18+'Nedaňové příjmy'!L18+'Nedaňové příjmy'!P18+'Nedaňové příjmy'!T18+'Nedaňové příjmy'!X18</f>
        <v>6371</v>
      </c>
      <c r="K15" s="57">
        <f t="shared" si="2"/>
        <v>104.16939175931981</v>
      </c>
      <c r="L15" s="56">
        <f>'Kapitálové příjmy'!B16+'Kapitálové příjmy'!F16</f>
        <v>0</v>
      </c>
      <c r="M15" s="48">
        <f>'Kapitálové příjmy'!C16+'Kapitálové příjmy'!G16</f>
        <v>0</v>
      </c>
      <c r="N15" s="48">
        <f>'Kapitálové příjmy'!D16+'Kapitálové příjmy'!H16</f>
        <v>0</v>
      </c>
      <c r="O15" s="57"/>
      <c r="P15" s="56">
        <f>'Transfery neinvestiční 2.5'!B17+'Transfery neinvestiční 2.5'!F17+'Transfery neinvestiční 2.5'!J17+'Transfery neinvestiční 2.5'!N17+'Transfery nein.2.5a'!B18+'Transfery nein.2.5a'!N18+'Transfery nein.2.5a'!R18+'Transfery nein.2.5a'!V18+'Transfery neinvestiční 2.5'!R17+'Transfery investiční'!E17+'Transfery investiční'!I17+'Transfery investiční'!M17+'Transfery investiční'!Q17+'Transfery investiční'!U17+'Transfery nein.2.5a'!Z18+'Transfery investiční'!Y17</f>
        <v>47961</v>
      </c>
      <c r="Q15" s="48">
        <f>'Transfery neinvestiční 2.5'!C17+'Transfery neinvestiční 2.5'!G17+'Transfery neinvestiční 2.5'!K17+'Transfery neinvestiční 2.5'!O17+'Transfery nein.2.5a'!C18+'Transfery nein.2.5a'!O18+'Transfery nein.2.5a'!S18+'Transfery nein.2.5a'!W18+'Transfery neinvestiční 2.5'!S17+'Transfery investiční'!B17+'Transfery investiční'!F17+'Transfery investiční'!J17+'Transfery investiční'!N17+'Transfery investiční'!R17+'Transfery investiční'!V17+'Transfery nein.2.5a'!AA18+'Transfery investiční'!Z17</f>
        <v>58309</v>
      </c>
      <c r="R15" s="48">
        <f>'Transfery neinvestiční 2.5'!D17+'Transfery neinvestiční 2.5'!H17+'Transfery neinvestiční 2.5'!L17+'Transfery neinvestiční 2.5'!P17+'Transfery nein.2.5a'!D18+'Transfery nein.2.5a'!P18+'Transfery nein.2.5a'!T18+'Transfery nein.2.5a'!X18+'Transfery neinvestiční 2.5'!T17+'Transfery investiční'!C17+'Transfery investiční'!G17+'Transfery investiční'!K17+'Transfery investiční'!O17+'Transfery investiční'!S17+'Transfery investiční'!W17+'Transfery nein.2.5a'!AB18+'Transfery investiční'!AA17</f>
        <v>58309</v>
      </c>
      <c r="S15" s="57">
        <f t="shared" si="3"/>
        <v>100</v>
      </c>
    </row>
    <row r="16" spans="1:19" ht="16.5" customHeight="1">
      <c r="A16" s="120" t="s">
        <v>196</v>
      </c>
      <c r="B16" s="56">
        <f>'Daňové příjmy'!B17+'Daňové příjmy'!F17++'Daňové příjmy'!J17+'Daňové příjmy'!N17+'Ost.daně=Místní popl.'!B18</f>
        <v>963</v>
      </c>
      <c r="C16" s="48">
        <f>'Daňové příjmy'!C17+'Daňové příjmy'!G17++'Daňové příjmy'!K17+'Daňové příjmy'!O17+'Ost.daně=Místní popl.'!C18</f>
        <v>1178</v>
      </c>
      <c r="D16" s="48">
        <f>'Daňové příjmy'!D17+'Daňové příjmy'!H17+'Daňové příjmy'!L17+'Daňové příjmy'!P17+'Ost.daně=Místní popl.'!D18</f>
        <v>1023</v>
      </c>
      <c r="E16" s="42">
        <v>-1079676</v>
      </c>
      <c r="F16" s="42">
        <f t="shared" si="1"/>
        <v>56.67599999999993</v>
      </c>
      <c r="G16" s="57">
        <f t="shared" si="0"/>
        <v>86.8421052631579</v>
      </c>
      <c r="H16" s="56">
        <f>'Nedaňové příjmy'!B19+'Nedaňové příjmy'!F19+'Nedaňové příjmy'!J19+'Nedaňové příjmy'!N19+'Nedaňové příjmy'!R19+'Nedaňové příjmy'!V19</f>
        <v>3065</v>
      </c>
      <c r="I16" s="48">
        <f>'Nedaňové příjmy'!C19+'Nedaňové příjmy'!G19+'Nedaňové příjmy'!K19+'Nedaňové příjmy'!O19+'Nedaňové příjmy'!S19+'Nedaňové příjmy'!W19</f>
        <v>4026</v>
      </c>
      <c r="J16" s="48">
        <f>'Nedaňové příjmy'!D19+'Nedaňové příjmy'!H19+'Nedaňové příjmy'!L19+'Nedaňové příjmy'!P19+'Nedaňové příjmy'!T19+'Nedaňové příjmy'!X19</f>
        <v>4217</v>
      </c>
      <c r="K16" s="57">
        <f t="shared" si="2"/>
        <v>104.74416294088425</v>
      </c>
      <c r="L16" s="56">
        <f>'Kapitálové příjmy'!B17+'Kapitálové příjmy'!F17</f>
        <v>0</v>
      </c>
      <c r="M16" s="48">
        <f>'Kapitálové příjmy'!C17+'Kapitálové příjmy'!G17</f>
        <v>0</v>
      </c>
      <c r="N16" s="48">
        <f>'Kapitálové příjmy'!D17+'Kapitálové příjmy'!H17</f>
        <v>0</v>
      </c>
      <c r="O16" s="57"/>
      <c r="P16" s="56">
        <f>'Transfery neinvestiční 2.5'!B18+'Transfery neinvestiční 2.5'!F18+'Transfery neinvestiční 2.5'!J18+'Transfery neinvestiční 2.5'!N18+'Transfery nein.2.5a'!B19+'Transfery nein.2.5a'!N19+'Transfery nein.2.5a'!R19+'Transfery nein.2.5a'!V19+'Transfery neinvestiční 2.5'!R18+'Transfery investiční'!E18+'Transfery investiční'!I18+'Transfery investiční'!M18+'Transfery investiční'!Q18+'Transfery investiční'!U18+'Transfery nein.2.5a'!Z19+'Transfery investiční'!Y18</f>
        <v>9744</v>
      </c>
      <c r="Q16" s="48">
        <f>'Transfery neinvestiční 2.5'!C18+'Transfery neinvestiční 2.5'!G18+'Transfery neinvestiční 2.5'!K18+'Transfery neinvestiční 2.5'!O18+'Transfery nein.2.5a'!C19+'Transfery nein.2.5a'!O19+'Transfery nein.2.5a'!S19+'Transfery nein.2.5a'!W19+'Transfery neinvestiční 2.5'!S18+'Transfery investiční'!B18+'Transfery investiční'!F18+'Transfery investiční'!J18+'Transfery investiční'!N18+'Transfery investiční'!R18+'Transfery investiční'!V18+'Transfery nein.2.5a'!AA19+'Transfery investiční'!Z18</f>
        <v>9821</v>
      </c>
      <c r="R16" s="48">
        <f>'Transfery neinvestiční 2.5'!D18+'Transfery neinvestiční 2.5'!H18+'Transfery neinvestiční 2.5'!L18+'Transfery neinvestiční 2.5'!P18+'Transfery nein.2.5a'!D19+'Transfery nein.2.5a'!P19+'Transfery nein.2.5a'!T19+'Transfery nein.2.5a'!X19+'Transfery neinvestiční 2.5'!T18+'Transfery investiční'!C18+'Transfery investiční'!G18+'Transfery investiční'!K18+'Transfery investiční'!O18+'Transfery investiční'!S18+'Transfery investiční'!W18+'Transfery nein.2.5a'!AB19+'Transfery investiční'!AA18</f>
        <v>9821</v>
      </c>
      <c r="S16" s="57">
        <f t="shared" si="3"/>
        <v>100</v>
      </c>
    </row>
    <row r="17" spans="1:19" ht="16.5" customHeight="1">
      <c r="A17" s="120" t="s">
        <v>197</v>
      </c>
      <c r="B17" s="56">
        <f>'Daňové příjmy'!B18+'Daňové příjmy'!F18++'Daňové příjmy'!J18+'Daňové příjmy'!N18+'Ost.daně=Místní popl.'!B19</f>
        <v>11820</v>
      </c>
      <c r="C17" s="48">
        <f>'Daňové příjmy'!C18+'Daňové příjmy'!G18++'Daňové příjmy'!K18+'Daňové příjmy'!O18+'Ost.daně=Místní popl.'!C19</f>
        <v>16333</v>
      </c>
      <c r="D17" s="48">
        <f>'Daňové příjmy'!D18+'Daňové příjmy'!H18+'Daňové příjmy'!L18+'Daňové příjmy'!P18+'Ost.daně=Místní popl.'!D19</f>
        <v>15961</v>
      </c>
      <c r="E17" s="42">
        <v>-6678982.9</v>
      </c>
      <c r="F17" s="42">
        <f t="shared" si="1"/>
        <v>-9282.017100000001</v>
      </c>
      <c r="G17" s="57">
        <f t="shared" si="0"/>
        <v>97.72240249801017</v>
      </c>
      <c r="H17" s="56">
        <f>'Nedaňové příjmy'!B20+'Nedaňové příjmy'!F20+'Nedaňové příjmy'!J20+'Nedaňové příjmy'!N20+'Nedaňové příjmy'!R20+'Nedaňové příjmy'!V20</f>
        <v>14455</v>
      </c>
      <c r="I17" s="48">
        <f>'Nedaňové příjmy'!C20+'Nedaňové příjmy'!G20+'Nedaňové příjmy'!K20+'Nedaňové příjmy'!O20+'Nedaňové příjmy'!S20+'Nedaňové příjmy'!W20</f>
        <v>15519</v>
      </c>
      <c r="J17" s="48">
        <f>'Nedaňové příjmy'!D20+'Nedaňové příjmy'!H20+'Nedaňové příjmy'!L20+'Nedaňové příjmy'!P20+'Nedaňové příjmy'!T20+'Nedaňové příjmy'!X20</f>
        <v>15153</v>
      </c>
      <c r="K17" s="57">
        <f t="shared" si="2"/>
        <v>97.64160061859656</v>
      </c>
      <c r="L17" s="56">
        <f>'Kapitálové příjmy'!B18+'Kapitálové příjmy'!F18</f>
        <v>0</v>
      </c>
      <c r="M17" s="48">
        <f>'Kapitálové příjmy'!C18+'Kapitálové příjmy'!G18</f>
        <v>0</v>
      </c>
      <c r="N17" s="48">
        <f>'Kapitálové příjmy'!D18+'Kapitálové příjmy'!H18</f>
        <v>0</v>
      </c>
      <c r="O17" s="57"/>
      <c r="P17" s="56">
        <f>'Transfery neinvestiční 2.5'!B19+'Transfery neinvestiční 2.5'!F19+'Transfery neinvestiční 2.5'!J19+'Transfery neinvestiční 2.5'!N19+'Transfery nein.2.5a'!B20+'Transfery nein.2.5a'!N20+'Transfery nein.2.5a'!R20+'Transfery nein.2.5a'!V20+'Transfery neinvestiční 2.5'!R19+'Transfery investiční'!E19+'Transfery investiční'!I19+'Transfery investiční'!M19+'Transfery investiční'!Q19+'Transfery investiční'!U19+'Transfery nein.2.5a'!Z20+'Transfery investiční'!Y19</f>
        <v>84454</v>
      </c>
      <c r="Q17" s="48">
        <f>'Transfery neinvestiční 2.5'!C19+'Transfery neinvestiční 2.5'!G19+'Transfery neinvestiční 2.5'!K19+'Transfery neinvestiční 2.5'!O19+'Transfery nein.2.5a'!C20+'Transfery nein.2.5a'!O20+'Transfery nein.2.5a'!S20+'Transfery nein.2.5a'!W20+'Transfery neinvestiční 2.5'!S19+'Transfery investiční'!B19+'Transfery investiční'!F19+'Transfery investiční'!J19+'Transfery investiční'!N19+'Transfery investiční'!R19+'Transfery investiční'!V19+'Transfery nein.2.5a'!AA20+'Transfery investiční'!Z19</f>
        <v>122576</v>
      </c>
      <c r="R17" s="48">
        <f>'Transfery neinvestiční 2.5'!D19+'Transfery neinvestiční 2.5'!H19+'Transfery neinvestiční 2.5'!L19+'Transfery neinvestiční 2.5'!P19+'Transfery nein.2.5a'!D20+'Transfery nein.2.5a'!P20+'Transfery nein.2.5a'!T20+'Transfery nein.2.5a'!X20+'Transfery neinvestiční 2.5'!T19+'Transfery investiční'!C19+'Transfery investiční'!G19+'Transfery investiční'!K19+'Transfery investiční'!O19+'Transfery investiční'!S19+'Transfery investiční'!W19+'Transfery nein.2.5a'!AB20+'Transfery investiční'!AA19</f>
        <v>122407</v>
      </c>
      <c r="S17" s="57">
        <f t="shared" si="3"/>
        <v>99.86212635426185</v>
      </c>
    </row>
    <row r="18" spans="1:19" ht="16.5" customHeight="1">
      <c r="A18" s="120" t="s">
        <v>198</v>
      </c>
      <c r="B18" s="56">
        <f>'Daňové příjmy'!B19+'Daňové příjmy'!F19++'Daňové příjmy'!J19+'Daňové příjmy'!N19+'Ost.daně=Místní popl.'!B20</f>
        <v>3620</v>
      </c>
      <c r="C18" s="48">
        <f>'Daňové příjmy'!C19+'Daňové příjmy'!G19++'Daňové příjmy'!K19+'Daňové příjmy'!O19+'Ost.daně=Místní popl.'!C20</f>
        <v>12121</v>
      </c>
      <c r="D18" s="48">
        <f>'Daňové příjmy'!D19+'Daňové příjmy'!H19+'Daňové příjmy'!L19+'Daňové příjmy'!P19+'Ost.daně=Místní popl.'!D20</f>
        <v>12374</v>
      </c>
      <c r="E18" s="42">
        <v>-10823674.94</v>
      </c>
      <c r="F18" s="42">
        <f t="shared" si="1"/>
        <v>-1550.325060000001</v>
      </c>
      <c r="G18" s="57">
        <f t="shared" si="0"/>
        <v>102.08728652751422</v>
      </c>
      <c r="H18" s="56">
        <f>'Nedaňové příjmy'!B21+'Nedaňové příjmy'!F21+'Nedaňové příjmy'!J21+'Nedaňové příjmy'!N21+'Nedaňové příjmy'!R21+'Nedaňové příjmy'!V21</f>
        <v>11212</v>
      </c>
      <c r="I18" s="48">
        <f>'Nedaňové příjmy'!C21+'Nedaňové příjmy'!G21+'Nedaňové příjmy'!K21+'Nedaňové příjmy'!O21+'Nedaňové příjmy'!S21+'Nedaňové příjmy'!W21</f>
        <v>25842</v>
      </c>
      <c r="J18" s="48">
        <f>'Nedaňové příjmy'!D21+'Nedaňové příjmy'!H21+'Nedaňové příjmy'!L21+'Nedaňové příjmy'!P21+'Nedaňové příjmy'!T21+'Nedaňové příjmy'!X21</f>
        <v>26266</v>
      </c>
      <c r="K18" s="57">
        <f t="shared" si="2"/>
        <v>101.64073988081417</v>
      </c>
      <c r="L18" s="56">
        <f>'Kapitálové příjmy'!B19+'Kapitálové příjmy'!F19</f>
        <v>0</v>
      </c>
      <c r="M18" s="48">
        <f>'Kapitálové příjmy'!C19+'Kapitálové příjmy'!G19</f>
        <v>0</v>
      </c>
      <c r="N18" s="48">
        <f>'Kapitálové příjmy'!D19+'Kapitálové příjmy'!H19</f>
        <v>0</v>
      </c>
      <c r="O18" s="57"/>
      <c r="P18" s="56">
        <f>'Transfery neinvestiční 2.5'!B20+'Transfery neinvestiční 2.5'!F20+'Transfery neinvestiční 2.5'!J20+'Transfery neinvestiční 2.5'!N20+'Transfery nein.2.5a'!B21+'Transfery nein.2.5a'!N21+'Transfery nein.2.5a'!R21+'Transfery nein.2.5a'!V21+'Transfery neinvestiční 2.5'!R20+'Transfery investiční'!E20+'Transfery investiční'!I20+'Transfery investiční'!M20+'Transfery investiční'!Q20+'Transfery investiční'!U20+'Transfery nein.2.5a'!Z21+'Transfery investiční'!Y20</f>
        <v>129483</v>
      </c>
      <c r="Q18" s="48">
        <f>'Transfery neinvestiční 2.5'!C20+'Transfery neinvestiční 2.5'!G20+'Transfery neinvestiční 2.5'!K20+'Transfery neinvestiční 2.5'!O20+'Transfery nein.2.5a'!C21+'Transfery nein.2.5a'!O21+'Transfery nein.2.5a'!S21+'Transfery nein.2.5a'!W21+'Transfery neinvestiční 2.5'!S20+'Transfery investiční'!B20+'Transfery investiční'!F20+'Transfery investiční'!J20+'Transfery investiční'!N20+'Transfery investiční'!R20+'Transfery investiční'!V20+'Transfery nein.2.5a'!AA21+'Transfery investiční'!Z20</f>
        <v>166979</v>
      </c>
      <c r="R18" s="48">
        <f>'Transfery neinvestiční 2.5'!D20+'Transfery neinvestiční 2.5'!H20+'Transfery neinvestiční 2.5'!L20+'Transfery neinvestiční 2.5'!P20+'Transfery nein.2.5a'!D21+'Transfery nein.2.5a'!P21+'Transfery nein.2.5a'!T21+'Transfery nein.2.5a'!X21+'Transfery neinvestiční 2.5'!T20+'Transfery investiční'!C20+'Transfery investiční'!G20+'Transfery investiční'!K20+'Transfery investiční'!O20+'Transfery investiční'!S20+'Transfery investiční'!W20+'Transfery nein.2.5a'!AB21+'Transfery investiční'!AA20</f>
        <v>166980</v>
      </c>
      <c r="S18" s="57">
        <f t="shared" si="3"/>
        <v>100.00059887770318</v>
      </c>
    </row>
    <row r="19" spans="1:19" ht="16.5" customHeight="1">
      <c r="A19" s="120" t="s">
        <v>199</v>
      </c>
      <c r="B19" s="56">
        <f>'Daňové příjmy'!B20+'Daňové příjmy'!F20++'Daňové příjmy'!J20+'Daňové příjmy'!N20+'Ost.daně=Místní popl.'!B21</f>
        <v>160</v>
      </c>
      <c r="C19" s="48">
        <f>'Daňové příjmy'!C20+'Daňové příjmy'!G20++'Daňové příjmy'!K20+'Daňové příjmy'!O20+'Ost.daně=Místní popl.'!C21</f>
        <v>234</v>
      </c>
      <c r="D19" s="48">
        <f>'Daňové příjmy'!D20+'Daňové příjmy'!H20+'Daňové příjmy'!L20+'Daňové příjmy'!P20+'Ost.daně=Místní popl.'!D21</f>
        <v>153</v>
      </c>
      <c r="E19" s="42">
        <v>-190102</v>
      </c>
      <c r="F19" s="42">
        <f t="shared" si="1"/>
        <v>37.102000000000004</v>
      </c>
      <c r="G19" s="57">
        <f t="shared" si="0"/>
        <v>65.38461538461539</v>
      </c>
      <c r="H19" s="56">
        <f>'Nedaňové příjmy'!B22+'Nedaňové příjmy'!F22+'Nedaňové příjmy'!J22+'Nedaňové příjmy'!N22+'Nedaňové příjmy'!R22+'Nedaňové příjmy'!V22</f>
        <v>240</v>
      </c>
      <c r="I19" s="48">
        <f>'Nedaňové příjmy'!C22+'Nedaňové příjmy'!G22+'Nedaňové příjmy'!K22+'Nedaňové příjmy'!O22+'Nedaňové příjmy'!S22+'Nedaňové příjmy'!W22</f>
        <v>818</v>
      </c>
      <c r="J19" s="48">
        <f>'Nedaňové příjmy'!D22+'Nedaňové příjmy'!H22+'Nedaňové příjmy'!L22+'Nedaňové příjmy'!P22+'Nedaňové příjmy'!T22+'Nedaňové příjmy'!X22</f>
        <v>781</v>
      </c>
      <c r="K19" s="57">
        <f t="shared" si="2"/>
        <v>95.47677261613691</v>
      </c>
      <c r="L19" s="56">
        <f>'Kapitálové příjmy'!B20+'Kapitálové příjmy'!F20</f>
        <v>0</v>
      </c>
      <c r="M19" s="48">
        <f>'Kapitálové příjmy'!C20+'Kapitálové příjmy'!G20</f>
        <v>0</v>
      </c>
      <c r="N19" s="48">
        <f>'Kapitálové příjmy'!D20+'Kapitálové příjmy'!H20</f>
        <v>0</v>
      </c>
      <c r="O19" s="57"/>
      <c r="P19" s="56">
        <f>'Transfery neinvestiční 2.5'!B21+'Transfery neinvestiční 2.5'!F21+'Transfery neinvestiční 2.5'!J21+'Transfery neinvestiční 2.5'!N21+'Transfery nein.2.5a'!B22+'Transfery nein.2.5a'!N22+'Transfery nein.2.5a'!R22+'Transfery nein.2.5a'!V22+'Transfery neinvestiční 2.5'!R21+'Transfery investiční'!E21+'Transfery investiční'!I21+'Transfery investiční'!M21+'Transfery investiční'!Q21+'Transfery investiční'!U21+'Transfery nein.2.5a'!Z22+'Transfery investiční'!Y21</f>
        <v>8515</v>
      </c>
      <c r="Q19" s="48">
        <f>'Transfery neinvestiční 2.5'!C21+'Transfery neinvestiční 2.5'!G21+'Transfery neinvestiční 2.5'!K21+'Transfery neinvestiční 2.5'!O21+'Transfery nein.2.5a'!C22+'Transfery nein.2.5a'!O22+'Transfery nein.2.5a'!S22+'Transfery nein.2.5a'!W22+'Transfery neinvestiční 2.5'!S21+'Transfery investiční'!B21+'Transfery investiční'!F21+'Transfery investiční'!J21+'Transfery investiční'!N21+'Transfery investiční'!R21+'Transfery investiční'!V21+'Transfery nein.2.5a'!AA22+'Transfery investiční'!Z21</f>
        <v>8557</v>
      </c>
      <c r="R19" s="48">
        <f>'Transfery neinvestiční 2.5'!D21+'Transfery neinvestiční 2.5'!H21+'Transfery neinvestiční 2.5'!L21+'Transfery neinvestiční 2.5'!P21+'Transfery nein.2.5a'!D22+'Transfery nein.2.5a'!P22+'Transfery nein.2.5a'!T22+'Transfery nein.2.5a'!X22+'Transfery neinvestiční 2.5'!T21+'Transfery investiční'!C21+'Transfery investiční'!G21+'Transfery investiční'!K21+'Transfery investiční'!O21+'Transfery investiční'!S21+'Transfery investiční'!W21+'Transfery nein.2.5a'!AB22+'Transfery investiční'!AA21</f>
        <v>8557</v>
      </c>
      <c r="S19" s="57">
        <f t="shared" si="3"/>
        <v>100</v>
      </c>
    </row>
    <row r="20" spans="1:19" ht="16.5" customHeight="1">
      <c r="A20" s="120" t="s">
        <v>200</v>
      </c>
      <c r="B20" s="56">
        <f>'Daňové příjmy'!B21+'Daňové příjmy'!F21++'Daňové příjmy'!J21+'Daňové příjmy'!N21+'Ost.daně=Místní popl.'!B22</f>
        <v>1267</v>
      </c>
      <c r="C20" s="48">
        <f>'Daňové příjmy'!C21+'Daňové příjmy'!G21++'Daňové příjmy'!K21+'Daňové příjmy'!O21+'Ost.daně=Místní popl.'!C22</f>
        <v>2299</v>
      </c>
      <c r="D20" s="48">
        <f>'Daňové příjmy'!D21+'Daňové příjmy'!H21+'Daňové příjmy'!L21+'Daňové příjmy'!P21+'Ost.daně=Místní popl.'!D22</f>
        <v>2242</v>
      </c>
      <c r="E20" s="42">
        <v>-1842467</v>
      </c>
      <c r="F20" s="42">
        <f t="shared" si="1"/>
        <v>-399.5329999999999</v>
      </c>
      <c r="G20" s="57">
        <f t="shared" si="0"/>
        <v>97.52066115702479</v>
      </c>
      <c r="H20" s="56">
        <f>'Nedaňové příjmy'!B23+'Nedaňové příjmy'!F23+'Nedaňové příjmy'!J23+'Nedaňové příjmy'!N23+'Nedaňové příjmy'!R23+'Nedaňové příjmy'!V23</f>
        <v>1375</v>
      </c>
      <c r="I20" s="48">
        <f>'Nedaňové příjmy'!C23+'Nedaňové příjmy'!G23+'Nedaňové příjmy'!K23+'Nedaňové příjmy'!O23+'Nedaňové příjmy'!S23+'Nedaňové příjmy'!W23</f>
        <v>3206</v>
      </c>
      <c r="J20" s="48">
        <f>'Nedaňové příjmy'!D23+'Nedaňové příjmy'!H23+'Nedaňové příjmy'!L23+'Nedaňové příjmy'!P23+'Nedaňové příjmy'!T23+'Nedaňové příjmy'!X23</f>
        <v>3025</v>
      </c>
      <c r="K20" s="57">
        <f t="shared" si="2"/>
        <v>94.35433562071117</v>
      </c>
      <c r="L20" s="56">
        <f>'Kapitálové příjmy'!B21+'Kapitálové příjmy'!F21</f>
        <v>0</v>
      </c>
      <c r="M20" s="48">
        <f>'Kapitálové příjmy'!C21+'Kapitálové příjmy'!G21</f>
        <v>0</v>
      </c>
      <c r="N20" s="48">
        <f>'Kapitálové příjmy'!D21+'Kapitálové příjmy'!H21</f>
        <v>0</v>
      </c>
      <c r="O20" s="57"/>
      <c r="P20" s="56">
        <f>'Transfery neinvestiční 2.5'!B22+'Transfery neinvestiční 2.5'!F22+'Transfery neinvestiční 2.5'!J22+'Transfery neinvestiční 2.5'!N22+'Transfery nein.2.5a'!B23+'Transfery nein.2.5a'!N23+'Transfery nein.2.5a'!R23+'Transfery nein.2.5a'!V23+'Transfery neinvestiční 2.5'!R22+'Transfery investiční'!E22+'Transfery investiční'!I22+'Transfery investiční'!M22+'Transfery investiční'!Q22+'Transfery investiční'!U22+'Transfery nein.2.5a'!Z23+'Transfery investiční'!Y22</f>
        <v>24893</v>
      </c>
      <c r="Q20" s="48">
        <f>'Transfery neinvestiční 2.5'!C22+'Transfery neinvestiční 2.5'!G22+'Transfery neinvestiční 2.5'!K22+'Transfery neinvestiční 2.5'!O22+'Transfery nein.2.5a'!C23+'Transfery nein.2.5a'!O23+'Transfery nein.2.5a'!S23+'Transfery nein.2.5a'!W23+'Transfery neinvestiční 2.5'!S22+'Transfery investiční'!B22+'Transfery investiční'!F22+'Transfery investiční'!J22+'Transfery investiční'!N22+'Transfery investiční'!R22+'Transfery investiční'!V22+'Transfery nein.2.5a'!AA23+'Transfery investiční'!Z22</f>
        <v>34859</v>
      </c>
      <c r="R20" s="48">
        <f>'Transfery neinvestiční 2.5'!D22+'Transfery neinvestiční 2.5'!H22+'Transfery neinvestiční 2.5'!L22+'Transfery neinvestiční 2.5'!P22+'Transfery nein.2.5a'!D23+'Transfery nein.2.5a'!P23+'Transfery nein.2.5a'!T23+'Transfery nein.2.5a'!X23+'Transfery neinvestiční 2.5'!T22+'Transfery investiční'!C22+'Transfery investiční'!G22+'Transfery investiční'!K22+'Transfery investiční'!O22+'Transfery investiční'!S22+'Transfery investiční'!W22+'Transfery nein.2.5a'!AB23+'Transfery investiční'!AA22</f>
        <v>35738</v>
      </c>
      <c r="S20" s="57">
        <f t="shared" si="3"/>
        <v>102.52158696462894</v>
      </c>
    </row>
    <row r="21" spans="1:19" ht="16.5" customHeight="1">
      <c r="A21" s="120" t="s">
        <v>201</v>
      </c>
      <c r="B21" s="56">
        <f>'Daňové příjmy'!B22+'Daňové příjmy'!F22++'Daňové příjmy'!J22+'Daňové příjmy'!N22+'Ost.daně=Místní popl.'!B23</f>
        <v>1894</v>
      </c>
      <c r="C21" s="48">
        <f>'Daňové příjmy'!C22+'Daňové příjmy'!G22++'Daňové příjmy'!K22+'Daňové příjmy'!O22+'Ost.daně=Místní popl.'!C23</f>
        <v>2347</v>
      </c>
      <c r="D21" s="48">
        <f>'Daňové příjmy'!D22+'Daňové příjmy'!H22+'Daňové příjmy'!L22+'Daňové příjmy'!P22+'Ost.daně=Místní popl.'!D23</f>
        <v>2068</v>
      </c>
      <c r="E21" s="42">
        <v>-2004898</v>
      </c>
      <c r="F21" s="42">
        <f t="shared" si="1"/>
        <v>-63.10200000000009</v>
      </c>
      <c r="G21" s="57">
        <f t="shared" si="0"/>
        <v>88.11248402215594</v>
      </c>
      <c r="H21" s="56">
        <f>'Nedaňové příjmy'!B24+'Nedaňové příjmy'!F24+'Nedaňové příjmy'!J24+'Nedaňové příjmy'!N24+'Nedaňové příjmy'!R24+'Nedaňové příjmy'!V24</f>
        <v>1434</v>
      </c>
      <c r="I21" s="48">
        <f>'Nedaňové příjmy'!C24+'Nedaňové příjmy'!G24+'Nedaňové příjmy'!K24+'Nedaňové příjmy'!O24+'Nedaňové příjmy'!S24+'Nedaňové příjmy'!W24</f>
        <v>2113</v>
      </c>
      <c r="J21" s="48">
        <f>'Nedaňové příjmy'!D24+'Nedaňové příjmy'!H24+'Nedaňové příjmy'!L24+'Nedaňové příjmy'!P24+'Nedaňové příjmy'!T24+'Nedaňové příjmy'!X24</f>
        <v>2057</v>
      </c>
      <c r="K21" s="57">
        <f t="shared" si="2"/>
        <v>97.34973970657832</v>
      </c>
      <c r="L21" s="56">
        <f>'Kapitálové příjmy'!B22+'Kapitálové příjmy'!F22</f>
        <v>0</v>
      </c>
      <c r="M21" s="48">
        <f>'Kapitálové příjmy'!C22+'Kapitálové příjmy'!G22</f>
        <v>47</v>
      </c>
      <c r="N21" s="48">
        <f>'Kapitálové příjmy'!D22+'Kapitálové příjmy'!H22</f>
        <v>47</v>
      </c>
      <c r="O21" s="57">
        <f>SUM(N21/M21*100)</f>
        <v>100</v>
      </c>
      <c r="P21" s="56">
        <f>'Transfery neinvestiční 2.5'!B23+'Transfery neinvestiční 2.5'!F23+'Transfery neinvestiční 2.5'!J23+'Transfery neinvestiční 2.5'!N23+'Transfery nein.2.5a'!B24+'Transfery nein.2.5a'!N24+'Transfery nein.2.5a'!R24+'Transfery nein.2.5a'!V24+'Transfery neinvestiční 2.5'!R23+'Transfery investiční'!E23+'Transfery investiční'!I23+'Transfery investiční'!M23+'Transfery investiční'!Q23+'Transfery investiční'!U23+'Transfery nein.2.5a'!Z24+'Transfery investiční'!Y23</f>
        <v>16099</v>
      </c>
      <c r="Q21" s="48">
        <f>'Transfery neinvestiční 2.5'!C23+'Transfery neinvestiční 2.5'!G23+'Transfery neinvestiční 2.5'!K23+'Transfery neinvestiční 2.5'!O23+'Transfery nein.2.5a'!C24+'Transfery nein.2.5a'!O24+'Transfery nein.2.5a'!S24+'Transfery nein.2.5a'!W24+'Transfery neinvestiční 2.5'!S23+'Transfery investiční'!B23+'Transfery investiční'!F23+'Transfery investiční'!J23+'Transfery investiční'!N23+'Transfery investiční'!R23+'Transfery investiční'!V23+'Transfery nein.2.5a'!AA24+'Transfery investiční'!Z23</f>
        <v>22388</v>
      </c>
      <c r="R21" s="48">
        <f>'Transfery neinvestiční 2.5'!D23+'Transfery neinvestiční 2.5'!H23+'Transfery neinvestiční 2.5'!L23+'Transfery neinvestiční 2.5'!P23+'Transfery nein.2.5a'!D24+'Transfery nein.2.5a'!P24+'Transfery nein.2.5a'!T24+'Transfery nein.2.5a'!X24+'Transfery neinvestiční 2.5'!T23+'Transfery investiční'!C23+'Transfery investiční'!G23+'Transfery investiční'!K23+'Transfery investiční'!O23+'Transfery investiční'!S23+'Transfery investiční'!W23+'Transfery nein.2.5a'!AB24+'Transfery investiční'!AA23</f>
        <v>20331</v>
      </c>
      <c r="S21" s="57">
        <f t="shared" si="3"/>
        <v>90.81204216544577</v>
      </c>
    </row>
    <row r="22" spans="1:19" ht="16.5" customHeight="1">
      <c r="A22" s="120" t="s">
        <v>202</v>
      </c>
      <c r="B22" s="56">
        <f>'Daňové příjmy'!B23+'Daňové příjmy'!F23++'Daňové příjmy'!J23+'Daňové příjmy'!N23+'Ost.daně=Místní popl.'!B24</f>
        <v>664</v>
      </c>
      <c r="C22" s="48">
        <f>'Daňové příjmy'!C23+'Daňové příjmy'!G23++'Daňové příjmy'!K23+'Daňové příjmy'!O23+'Ost.daně=Místní popl.'!C24</f>
        <v>1024</v>
      </c>
      <c r="D22" s="48">
        <f>'Daňové příjmy'!D23+'Daňové příjmy'!H23+'Daňové příjmy'!L23+'Daňové příjmy'!P23+'Ost.daně=Místní popl.'!D24</f>
        <v>933</v>
      </c>
      <c r="E22" s="42">
        <v>-1060315.8</v>
      </c>
      <c r="F22" s="42">
        <f t="shared" si="1"/>
        <v>127.31580000000008</v>
      </c>
      <c r="G22" s="57">
        <f t="shared" si="0"/>
        <v>91.11328125</v>
      </c>
      <c r="H22" s="56">
        <f>'Nedaňové příjmy'!B25+'Nedaňové příjmy'!F25+'Nedaňové příjmy'!J25+'Nedaňové příjmy'!N25+'Nedaňové příjmy'!R25+'Nedaňové příjmy'!V25</f>
        <v>320</v>
      </c>
      <c r="I22" s="48">
        <f>'Nedaňové příjmy'!C25+'Nedaňové příjmy'!G25+'Nedaňové příjmy'!K25+'Nedaňové příjmy'!O25+'Nedaňové příjmy'!S25+'Nedaňové příjmy'!W25</f>
        <v>2866</v>
      </c>
      <c r="J22" s="48">
        <f>'Nedaňové příjmy'!D25+'Nedaňové příjmy'!H25+'Nedaňové příjmy'!L25+'Nedaňové příjmy'!P25+'Nedaňové příjmy'!T25+'Nedaňové příjmy'!X25</f>
        <v>2767</v>
      </c>
      <c r="K22" s="57">
        <f t="shared" si="2"/>
        <v>96.5457083042568</v>
      </c>
      <c r="L22" s="56">
        <f>'Kapitálové příjmy'!B23+'Kapitálové příjmy'!F23</f>
        <v>0</v>
      </c>
      <c r="M22" s="48">
        <f>'Kapitálové příjmy'!C23+'Kapitálové příjmy'!G23</f>
        <v>226</v>
      </c>
      <c r="N22" s="48">
        <f>'Kapitálové příjmy'!D23+'Kapitálové příjmy'!H23</f>
        <v>226</v>
      </c>
      <c r="O22" s="57">
        <f>SUM(N22/M22*100)</f>
        <v>100</v>
      </c>
      <c r="P22" s="56">
        <f>'Transfery neinvestiční 2.5'!B24+'Transfery neinvestiční 2.5'!F24+'Transfery neinvestiční 2.5'!J24+'Transfery neinvestiční 2.5'!N24+'Transfery nein.2.5a'!B25+'Transfery nein.2.5a'!N25+'Transfery nein.2.5a'!R25+'Transfery nein.2.5a'!V25+'Transfery neinvestiční 2.5'!R24+'Transfery investiční'!E24+'Transfery investiční'!I24+'Transfery investiční'!M24+'Transfery investiční'!Q24+'Transfery investiční'!U24+'Transfery nein.2.5a'!Z25+'Transfery investiční'!Y24</f>
        <v>14862</v>
      </c>
      <c r="Q22" s="48">
        <f>'Transfery neinvestiční 2.5'!C24+'Transfery neinvestiční 2.5'!G24+'Transfery neinvestiční 2.5'!K24+'Transfery neinvestiční 2.5'!O24+'Transfery nein.2.5a'!C25+'Transfery nein.2.5a'!O25+'Transfery nein.2.5a'!S25+'Transfery nein.2.5a'!W25+'Transfery neinvestiční 2.5'!S24+'Transfery investiční'!B24+'Transfery investiční'!F24+'Transfery investiční'!J24+'Transfery investiční'!N24+'Transfery investiční'!R24+'Transfery investiční'!V24+'Transfery nein.2.5a'!AA25+'Transfery investiční'!Z24</f>
        <v>15951</v>
      </c>
      <c r="R22" s="48">
        <f>'Transfery neinvestiční 2.5'!D24+'Transfery neinvestiční 2.5'!H24+'Transfery neinvestiční 2.5'!L24+'Transfery neinvestiční 2.5'!P24+'Transfery nein.2.5a'!D25+'Transfery nein.2.5a'!P25+'Transfery nein.2.5a'!T25+'Transfery nein.2.5a'!X25+'Transfery neinvestiční 2.5'!T24+'Transfery investiční'!C24+'Transfery investiční'!G24+'Transfery investiční'!K24+'Transfery investiční'!O24+'Transfery investiční'!S24+'Transfery investiční'!W24+'Transfery nein.2.5a'!AB25+'Transfery investiční'!AA24</f>
        <v>15951</v>
      </c>
      <c r="S22" s="57">
        <f t="shared" si="3"/>
        <v>100</v>
      </c>
    </row>
    <row r="23" spans="1:19" ht="16.5" customHeight="1">
      <c r="A23" s="120" t="s">
        <v>203</v>
      </c>
      <c r="B23" s="56">
        <f>'Daňové příjmy'!B24+'Daňové příjmy'!F24++'Daňové příjmy'!J24+'Daňové příjmy'!N24+'Ost.daně=Místní popl.'!B25</f>
        <v>5455</v>
      </c>
      <c r="C23" s="48">
        <f>'Daňové příjmy'!C24+'Daňové příjmy'!G24++'Daňové příjmy'!K24+'Daňové příjmy'!O24+'Ost.daně=Místní popl.'!C25</f>
        <v>31148</v>
      </c>
      <c r="D23" s="48">
        <f>'Daňové příjmy'!D24+'Daňové příjmy'!H24+'Daňové příjmy'!L24+'Daňové příjmy'!P24+'Ost.daně=Místní popl.'!D25</f>
        <v>31181</v>
      </c>
      <c r="E23" s="42">
        <v>-12395865.94</v>
      </c>
      <c r="F23" s="42">
        <f t="shared" si="1"/>
        <v>-18785.13406</v>
      </c>
      <c r="G23" s="57">
        <f t="shared" si="0"/>
        <v>100.10594580711442</v>
      </c>
      <c r="H23" s="56">
        <f>'Nedaňové příjmy'!B26+'Nedaňové příjmy'!F26+'Nedaňové příjmy'!J26+'Nedaňové příjmy'!N26+'Nedaňové příjmy'!R26+'Nedaňové příjmy'!V26</f>
        <v>19452</v>
      </c>
      <c r="I23" s="48">
        <f>'Nedaňové příjmy'!C26+'Nedaňové příjmy'!G26+'Nedaňové příjmy'!K26+'Nedaňové příjmy'!O26+'Nedaňové příjmy'!S26+'Nedaňové příjmy'!W26</f>
        <v>27076</v>
      </c>
      <c r="J23" s="48">
        <f>'Nedaňové příjmy'!D26+'Nedaňové příjmy'!H26+'Nedaňové příjmy'!L26+'Nedaňové příjmy'!P26+'Nedaňové příjmy'!T26+'Nedaňové příjmy'!X26</f>
        <v>27909</v>
      </c>
      <c r="K23" s="57">
        <f t="shared" si="2"/>
        <v>103.076525336091</v>
      </c>
      <c r="L23" s="56">
        <f>'Kapitálové příjmy'!B24+'Kapitálové příjmy'!F24</f>
        <v>0</v>
      </c>
      <c r="M23" s="48">
        <f>'Kapitálové příjmy'!C24+'Kapitálové příjmy'!G24</f>
        <v>24</v>
      </c>
      <c r="N23" s="48">
        <f>'Kapitálové příjmy'!D24+'Kapitálové příjmy'!H24</f>
        <v>24</v>
      </c>
      <c r="O23" s="57">
        <f>SUM(N23/M23*100)</f>
        <v>100</v>
      </c>
      <c r="P23" s="56">
        <f>'Transfery neinvestiční 2.5'!B25+'Transfery neinvestiční 2.5'!F25+'Transfery neinvestiční 2.5'!J25+'Transfery neinvestiční 2.5'!N25+'Transfery nein.2.5a'!B26+'Transfery nein.2.5a'!N26+'Transfery nein.2.5a'!R26+'Transfery nein.2.5a'!V26+'Transfery neinvestiční 2.5'!R25+'Transfery investiční'!E25+'Transfery investiční'!I25+'Transfery investiční'!M25+'Transfery investiční'!Q25+'Transfery investiční'!U25+'Transfery nein.2.5a'!Z26+'Transfery investiční'!Y25</f>
        <v>198016</v>
      </c>
      <c r="Q23" s="48">
        <f>'Transfery neinvestiční 2.5'!C25+'Transfery neinvestiční 2.5'!G25+'Transfery neinvestiční 2.5'!K25+'Transfery neinvestiční 2.5'!O25+'Transfery nein.2.5a'!C26+'Transfery nein.2.5a'!O26+'Transfery nein.2.5a'!S26+'Transfery nein.2.5a'!W26+'Transfery neinvestiční 2.5'!S25+'Transfery investiční'!B25+'Transfery investiční'!F25+'Transfery investiční'!J25+'Transfery investiční'!N25+'Transfery investiční'!R25+'Transfery investiční'!V25+'Transfery nein.2.5a'!AA26+'Transfery investiční'!Z25</f>
        <v>256090</v>
      </c>
      <c r="R23" s="48">
        <f>'Transfery neinvestiční 2.5'!D25+'Transfery neinvestiční 2.5'!H25+'Transfery neinvestiční 2.5'!L25+'Transfery neinvestiční 2.5'!P25+'Transfery nein.2.5a'!D26+'Transfery nein.2.5a'!P26+'Transfery nein.2.5a'!T26+'Transfery nein.2.5a'!X26+'Transfery neinvestiční 2.5'!T25+'Transfery investiční'!C25+'Transfery investiční'!G25+'Transfery investiční'!K25+'Transfery investiční'!O25+'Transfery investiční'!S25+'Transfery investiční'!W25+'Transfery nein.2.5a'!AB26+'Transfery investiční'!AA25</f>
        <v>254919</v>
      </c>
      <c r="S23" s="57">
        <f t="shared" si="3"/>
        <v>99.54273888086219</v>
      </c>
    </row>
    <row r="24" spans="1:19" ht="16.5" customHeight="1">
      <c r="A24" s="120" t="s">
        <v>204</v>
      </c>
      <c r="B24" s="56">
        <f>'Daňové příjmy'!B25+'Daňové příjmy'!F25++'Daňové příjmy'!J25+'Daňové příjmy'!N25+'Ost.daně=Místní popl.'!B26</f>
        <v>977</v>
      </c>
      <c r="C24" s="48">
        <f>'Daňové příjmy'!C25+'Daňové příjmy'!G25++'Daňové příjmy'!K25+'Daňové příjmy'!O25+'Ost.daně=Místní popl.'!C26</f>
        <v>1141</v>
      </c>
      <c r="D24" s="48">
        <f>'Daňové příjmy'!D25+'Daňové příjmy'!H25+'Daňové příjmy'!L25+'Daňové příjmy'!P25+'Ost.daně=Místní popl.'!D26</f>
        <v>1022</v>
      </c>
      <c r="E24" s="42">
        <v>-1252383.4</v>
      </c>
      <c r="F24" s="42">
        <f t="shared" si="1"/>
        <v>230.38339999999994</v>
      </c>
      <c r="G24" s="57">
        <f t="shared" si="0"/>
        <v>89.57055214723927</v>
      </c>
      <c r="H24" s="56">
        <f>'Nedaňové příjmy'!B27+'Nedaňové příjmy'!F27+'Nedaňové příjmy'!J27+'Nedaňové příjmy'!N27+'Nedaňové příjmy'!R27+'Nedaňové příjmy'!V27</f>
        <v>500</v>
      </c>
      <c r="I24" s="48">
        <f>'Nedaňové příjmy'!C27+'Nedaňové příjmy'!G27+'Nedaňové příjmy'!K27+'Nedaňové příjmy'!O27+'Nedaňové příjmy'!S27+'Nedaňové příjmy'!W27</f>
        <v>1641</v>
      </c>
      <c r="J24" s="48">
        <f>'Nedaňové příjmy'!D27+'Nedaňové příjmy'!H27+'Nedaňové příjmy'!L27+'Nedaňové příjmy'!P27+'Nedaňové příjmy'!T27+'Nedaňové příjmy'!X27</f>
        <v>1756</v>
      </c>
      <c r="K24" s="57">
        <f t="shared" si="2"/>
        <v>107.00792199878124</v>
      </c>
      <c r="L24" s="56">
        <f>'Kapitálové příjmy'!B25+'Kapitálové příjmy'!F25</f>
        <v>0</v>
      </c>
      <c r="M24" s="48">
        <f>'Kapitálové příjmy'!C25+'Kapitálové příjmy'!G25</f>
        <v>0</v>
      </c>
      <c r="N24" s="48">
        <f>'Kapitálové příjmy'!D25+'Kapitálové příjmy'!H25</f>
        <v>0</v>
      </c>
      <c r="O24" s="57"/>
      <c r="P24" s="56">
        <f>'Transfery neinvestiční 2.5'!B26+'Transfery neinvestiční 2.5'!F26+'Transfery neinvestiční 2.5'!J26+'Transfery neinvestiční 2.5'!N26+'Transfery nein.2.5a'!B27+'Transfery nein.2.5a'!N27+'Transfery nein.2.5a'!R27+'Transfery nein.2.5a'!V27+'Transfery neinvestiční 2.5'!R26+'Transfery investiční'!E26+'Transfery investiční'!I26+'Transfery investiční'!M26+'Transfery investiční'!Q26+'Transfery investiční'!U26+'Transfery nein.2.5a'!Z27+'Transfery investiční'!Y26</f>
        <v>22675</v>
      </c>
      <c r="Q24" s="48">
        <f>'Transfery neinvestiční 2.5'!C26+'Transfery neinvestiční 2.5'!G26+'Transfery neinvestiční 2.5'!K26+'Transfery neinvestiční 2.5'!O26+'Transfery nein.2.5a'!C27+'Transfery nein.2.5a'!O27+'Transfery nein.2.5a'!S27+'Transfery nein.2.5a'!W27+'Transfery neinvestiční 2.5'!S26+'Transfery investiční'!B26+'Transfery investiční'!F26+'Transfery investiční'!J26+'Transfery investiční'!N26+'Transfery investiční'!R26+'Transfery investiční'!V26+'Transfery nein.2.5a'!AA27+'Transfery investiční'!Z26</f>
        <v>26581</v>
      </c>
      <c r="R24" s="48">
        <f>'Transfery neinvestiční 2.5'!D26+'Transfery neinvestiční 2.5'!H26+'Transfery neinvestiční 2.5'!L26+'Transfery neinvestiční 2.5'!P26+'Transfery nein.2.5a'!D27+'Transfery nein.2.5a'!P27+'Transfery nein.2.5a'!T27+'Transfery nein.2.5a'!X27+'Transfery neinvestiční 2.5'!T26+'Transfery investiční'!C26+'Transfery investiční'!G26+'Transfery investiční'!K26+'Transfery investiční'!O26+'Transfery investiční'!S26+'Transfery investiční'!W26+'Transfery nein.2.5a'!AB27+'Transfery investiční'!AA26</f>
        <v>26566</v>
      </c>
      <c r="S24" s="57">
        <f t="shared" si="3"/>
        <v>99.94356871449531</v>
      </c>
    </row>
    <row r="25" spans="1:19" ht="16.5" customHeight="1">
      <c r="A25" s="120" t="s">
        <v>205</v>
      </c>
      <c r="B25" s="56">
        <f>'Daňové příjmy'!B26+'Daňové příjmy'!F26++'Daňové příjmy'!J26+'Daňové příjmy'!N26+'Ost.daně=Místní popl.'!B27</f>
        <v>17624</v>
      </c>
      <c r="C25" s="48">
        <f>'Daňové příjmy'!C26+'Daňové příjmy'!G26++'Daňové příjmy'!K26+'Daňové příjmy'!O26+'Ost.daně=Místní popl.'!C27</f>
        <v>16454</v>
      </c>
      <c r="D25" s="48">
        <f>'Daňové příjmy'!D26+'Daňové příjmy'!H26+'Daňové příjmy'!L26+'Daňové příjmy'!P26+'Ost.daně=Místní popl.'!D27</f>
        <v>16544</v>
      </c>
      <c r="E25" s="42">
        <v>-18265461.43</v>
      </c>
      <c r="F25" s="42">
        <f t="shared" si="1"/>
        <v>1721.4614299999994</v>
      </c>
      <c r="G25" s="57">
        <f t="shared" si="0"/>
        <v>100.54697945788259</v>
      </c>
      <c r="H25" s="56">
        <f>'Nedaňové příjmy'!B28+'Nedaňové příjmy'!F28+'Nedaňové příjmy'!J28+'Nedaňové příjmy'!N28+'Nedaňové příjmy'!R28+'Nedaňové příjmy'!V28</f>
        <v>7489</v>
      </c>
      <c r="I25" s="48">
        <f>'Nedaňové příjmy'!C28+'Nedaňové příjmy'!G28+'Nedaňové příjmy'!K28+'Nedaňové příjmy'!O28+'Nedaňové příjmy'!S28+'Nedaňové příjmy'!W28</f>
        <v>14450</v>
      </c>
      <c r="J25" s="48">
        <f>'Nedaňové příjmy'!D28+'Nedaňové příjmy'!H28+'Nedaňové příjmy'!L28+'Nedaňové příjmy'!P28+'Nedaňové příjmy'!T28+'Nedaňové příjmy'!X28</f>
        <v>14972</v>
      </c>
      <c r="K25" s="57">
        <f t="shared" si="2"/>
        <v>103.61245674740485</v>
      </c>
      <c r="L25" s="56">
        <f>'Kapitálové příjmy'!B26+'Kapitálové příjmy'!F26</f>
        <v>55</v>
      </c>
      <c r="M25" s="48">
        <f>'Kapitálové příjmy'!C26+'Kapitálové příjmy'!G26</f>
        <v>40</v>
      </c>
      <c r="N25" s="48">
        <f>'Kapitálové příjmy'!D26+'Kapitálové příjmy'!H26</f>
        <v>0</v>
      </c>
      <c r="O25" s="57">
        <f>SUM(N25/M25*100)</f>
        <v>0</v>
      </c>
      <c r="P25" s="56">
        <f>'Transfery neinvestiční 2.5'!B27+'Transfery neinvestiční 2.5'!F27+'Transfery neinvestiční 2.5'!J27+'Transfery neinvestiční 2.5'!N27+'Transfery nein.2.5a'!B28+'Transfery nein.2.5a'!N28+'Transfery nein.2.5a'!R28+'Transfery nein.2.5a'!V28+'Transfery neinvestiční 2.5'!R27+'Transfery investiční'!E27+'Transfery investiční'!I27+'Transfery investiční'!M27+'Transfery investiční'!Q27+'Transfery investiční'!U27+'Transfery nein.2.5a'!Z28+'Transfery investiční'!Y27</f>
        <v>137552</v>
      </c>
      <c r="Q25" s="48">
        <f>'Transfery neinvestiční 2.5'!C27+'Transfery neinvestiční 2.5'!G27+'Transfery neinvestiční 2.5'!K27+'Transfery neinvestiční 2.5'!O27+'Transfery nein.2.5a'!C28+'Transfery nein.2.5a'!O28+'Transfery nein.2.5a'!S28+'Transfery nein.2.5a'!W28+'Transfery neinvestiční 2.5'!S27+'Transfery investiční'!B27+'Transfery investiční'!F27+'Transfery investiční'!J27+'Transfery investiční'!N27+'Transfery investiční'!R27+'Transfery investiční'!V27+'Transfery nein.2.5a'!AA28+'Transfery investiční'!Z27</f>
        <v>144470</v>
      </c>
      <c r="R25" s="48">
        <f>'Transfery neinvestiční 2.5'!D27+'Transfery neinvestiční 2.5'!H27+'Transfery neinvestiční 2.5'!L27+'Transfery neinvestiční 2.5'!P27+'Transfery nein.2.5a'!D28+'Transfery nein.2.5a'!P28+'Transfery nein.2.5a'!T28+'Transfery nein.2.5a'!X28+'Transfery neinvestiční 2.5'!T27+'Transfery investiční'!C27+'Transfery investiční'!G27+'Transfery investiční'!K27+'Transfery investiční'!O27+'Transfery investiční'!S27+'Transfery investiční'!W27+'Transfery nein.2.5a'!AB28+'Transfery investiční'!AA27</f>
        <v>144440</v>
      </c>
      <c r="S25" s="57">
        <f t="shared" si="3"/>
        <v>99.97923444313699</v>
      </c>
    </row>
    <row r="26" spans="1:19" ht="16.5" customHeight="1">
      <c r="A26" s="120" t="s">
        <v>206</v>
      </c>
      <c r="B26" s="56">
        <f>'Daňové příjmy'!B27+'Daňové příjmy'!F27++'Daňové příjmy'!J27+'Daňové příjmy'!N27+'Ost.daně=Místní popl.'!B28</f>
        <v>1885</v>
      </c>
      <c r="C26" s="48">
        <f>'Daňové příjmy'!C27+'Daňové příjmy'!G27++'Daňové příjmy'!K27+'Daňové příjmy'!O27+'Ost.daně=Místní popl.'!C28</f>
        <v>7686</v>
      </c>
      <c r="D26" s="48">
        <f>'Daňové příjmy'!D27+'Daňové příjmy'!H27+'Daňové příjmy'!L27+'Daňové příjmy'!P27+'Ost.daně=Místní popl.'!D28</f>
        <v>7092</v>
      </c>
      <c r="E26" s="42">
        <v>-7784245.16</v>
      </c>
      <c r="F26" s="42">
        <f t="shared" si="1"/>
        <v>692.2451600000004</v>
      </c>
      <c r="G26" s="57">
        <f t="shared" si="0"/>
        <v>92.27166276346604</v>
      </c>
      <c r="H26" s="56">
        <f>'Nedaňové příjmy'!B29+'Nedaňové příjmy'!F29+'Nedaňové příjmy'!J29+'Nedaňové příjmy'!N29+'Nedaňové příjmy'!R29+'Nedaňové příjmy'!V29</f>
        <v>5631</v>
      </c>
      <c r="I26" s="48">
        <f>'Nedaňové příjmy'!C29+'Nedaňové příjmy'!G29+'Nedaňové příjmy'!K29+'Nedaňové příjmy'!O29+'Nedaňové příjmy'!S29+'Nedaňové příjmy'!W29</f>
        <v>9392</v>
      </c>
      <c r="J26" s="48">
        <f>'Nedaňové příjmy'!D29+'Nedaňové příjmy'!H29+'Nedaňové příjmy'!L29+'Nedaňové příjmy'!P29+'Nedaňové příjmy'!T29+'Nedaňové příjmy'!X29</f>
        <v>9448</v>
      </c>
      <c r="K26" s="57">
        <f t="shared" si="2"/>
        <v>100.59625212947189</v>
      </c>
      <c r="L26" s="56">
        <f>'Kapitálové příjmy'!B27+'Kapitálové příjmy'!F27</f>
        <v>0</v>
      </c>
      <c r="M26" s="48">
        <f>'Kapitálové příjmy'!C27+'Kapitálové příjmy'!G27</f>
        <v>16</v>
      </c>
      <c r="N26" s="48">
        <f>'Kapitálové příjmy'!D27+'Kapitálové příjmy'!H27</f>
        <v>16</v>
      </c>
      <c r="O26" s="57">
        <f>SUM(N26/M26*100)</f>
        <v>100</v>
      </c>
      <c r="P26" s="56">
        <f>'Transfery neinvestiční 2.5'!B28+'Transfery neinvestiční 2.5'!F28+'Transfery neinvestiční 2.5'!J28+'Transfery neinvestiční 2.5'!N28+'Transfery nein.2.5a'!B29+'Transfery nein.2.5a'!N29+'Transfery nein.2.5a'!R29+'Transfery nein.2.5a'!V29+'Transfery neinvestiční 2.5'!R28+'Transfery investiční'!E28+'Transfery investiční'!I28+'Transfery investiční'!M28+'Transfery investiční'!Q28+'Transfery investiční'!U28+'Transfery nein.2.5a'!Z29+'Transfery investiční'!Y28</f>
        <v>45302</v>
      </c>
      <c r="Q26" s="48">
        <f>'Transfery neinvestiční 2.5'!C28+'Transfery neinvestiční 2.5'!G28+'Transfery neinvestiční 2.5'!K28+'Transfery neinvestiční 2.5'!O28+'Transfery nein.2.5a'!C29+'Transfery nein.2.5a'!O29+'Transfery nein.2.5a'!S29+'Transfery nein.2.5a'!W29+'Transfery neinvestiční 2.5'!S28+'Transfery investiční'!B28+'Transfery investiční'!F28+'Transfery investiční'!J28+'Transfery investiční'!N28+'Transfery investiční'!R28+'Transfery investiční'!V28+'Transfery nein.2.5a'!AA29+'Transfery investiční'!Z28</f>
        <v>52717</v>
      </c>
      <c r="R26" s="48">
        <f>'Transfery neinvestiční 2.5'!D28+'Transfery neinvestiční 2.5'!H28+'Transfery neinvestiční 2.5'!L28+'Transfery neinvestiční 2.5'!P28+'Transfery nein.2.5a'!D29+'Transfery nein.2.5a'!P29+'Transfery nein.2.5a'!T29+'Transfery nein.2.5a'!X29+'Transfery neinvestiční 2.5'!T28+'Transfery investiční'!C28+'Transfery investiční'!G28+'Transfery investiční'!K28+'Transfery investiční'!O28+'Transfery investiční'!S28+'Transfery investiční'!W28+'Transfery nein.2.5a'!AB29+'Transfery investiční'!AA28</f>
        <v>54005</v>
      </c>
      <c r="S26" s="57">
        <f t="shared" si="3"/>
        <v>102.4432346301952</v>
      </c>
    </row>
    <row r="27" spans="1:19" ht="16.5" customHeight="1">
      <c r="A27" s="120" t="s">
        <v>207</v>
      </c>
      <c r="B27" s="56">
        <f>'Daňové příjmy'!B28+'Daňové příjmy'!F28++'Daňové příjmy'!J28+'Daňové příjmy'!N28+'Ost.daně=Místní popl.'!B29</f>
        <v>4030</v>
      </c>
      <c r="C27" s="48">
        <f>'Daňové příjmy'!C28+'Daňové příjmy'!G28++'Daňové příjmy'!K28+'Daňové příjmy'!O28+'Ost.daně=Místní popl.'!C29</f>
        <v>8085</v>
      </c>
      <c r="D27" s="48">
        <f>'Daňové příjmy'!D28+'Daňové příjmy'!H28+'Daňové příjmy'!L28+'Daňové příjmy'!P28+'Ost.daně=Místní popl.'!D29</f>
        <v>8244</v>
      </c>
      <c r="E27" s="42">
        <v>-6678131.87</v>
      </c>
      <c r="F27" s="42">
        <f t="shared" si="1"/>
        <v>-1565.8681299999998</v>
      </c>
      <c r="G27" s="57">
        <f t="shared" si="0"/>
        <v>101.96660482374769</v>
      </c>
      <c r="H27" s="56">
        <f>'Nedaňové příjmy'!B30+'Nedaňové příjmy'!F30+'Nedaňové příjmy'!J30+'Nedaňové příjmy'!N30+'Nedaňové příjmy'!R30+'Nedaňové příjmy'!V30</f>
        <v>7640</v>
      </c>
      <c r="I27" s="48">
        <f>'Nedaňové příjmy'!C30+'Nedaňové příjmy'!G30+'Nedaňové příjmy'!K30+'Nedaňové příjmy'!O30+'Nedaňové příjmy'!S30+'Nedaňové příjmy'!W30</f>
        <v>13101</v>
      </c>
      <c r="J27" s="48">
        <f>'Nedaňové příjmy'!D30+'Nedaňové příjmy'!H30+'Nedaňové příjmy'!L30+'Nedaňové příjmy'!P30+'Nedaňové příjmy'!T30+'Nedaňové příjmy'!X30</f>
        <v>13563</v>
      </c>
      <c r="K27" s="57">
        <f t="shared" si="2"/>
        <v>103.5264483627204</v>
      </c>
      <c r="L27" s="56">
        <f>'Kapitálové příjmy'!B28+'Kapitálové příjmy'!F28</f>
        <v>0</v>
      </c>
      <c r="M27" s="48">
        <f>'Kapitálové příjmy'!C28+'Kapitálové příjmy'!G28</f>
        <v>150</v>
      </c>
      <c r="N27" s="48">
        <f>'Kapitálové příjmy'!D28+'Kapitálové příjmy'!H28</f>
        <v>151</v>
      </c>
      <c r="O27" s="57">
        <f>SUM(N27/M27*100)</f>
        <v>100.66666666666666</v>
      </c>
      <c r="P27" s="56">
        <f>'Transfery neinvestiční 2.5'!B29+'Transfery neinvestiční 2.5'!F29+'Transfery neinvestiční 2.5'!J29+'Transfery neinvestiční 2.5'!N29+'Transfery nein.2.5a'!B30+'Transfery nein.2.5a'!N30+'Transfery nein.2.5a'!R30+'Transfery nein.2.5a'!V30+'Transfery neinvestiční 2.5'!R29+'Transfery investiční'!E29+'Transfery investiční'!I29+'Transfery investiční'!M29+'Transfery investiční'!Q29+'Transfery investiční'!U29+'Transfery nein.2.5a'!Z30+'Transfery investiční'!Y29</f>
        <v>49602</v>
      </c>
      <c r="Q27" s="48">
        <f>'Transfery neinvestiční 2.5'!C29+'Transfery neinvestiční 2.5'!G29+'Transfery neinvestiční 2.5'!K29+'Transfery neinvestiční 2.5'!O29+'Transfery nein.2.5a'!C30+'Transfery nein.2.5a'!O30+'Transfery nein.2.5a'!S30+'Transfery nein.2.5a'!W30+'Transfery neinvestiční 2.5'!S29+'Transfery investiční'!B29+'Transfery investiční'!F29+'Transfery investiční'!J29+'Transfery investiční'!N29+'Transfery investiční'!R29+'Transfery investiční'!V29+'Transfery nein.2.5a'!AA30+'Transfery investiční'!Z29</f>
        <v>56653</v>
      </c>
      <c r="R27" s="48">
        <f>'Transfery neinvestiční 2.5'!D29+'Transfery neinvestiční 2.5'!H29+'Transfery neinvestiční 2.5'!L29+'Transfery neinvestiční 2.5'!P29+'Transfery nein.2.5a'!D30+'Transfery nein.2.5a'!P30+'Transfery nein.2.5a'!T30+'Transfery nein.2.5a'!X30+'Transfery neinvestiční 2.5'!T29+'Transfery investiční'!C29+'Transfery investiční'!G29+'Transfery investiční'!K29+'Transfery investiční'!O29+'Transfery investiční'!S29+'Transfery investiční'!W29+'Transfery nein.2.5a'!AB30+'Transfery investiční'!AA29</f>
        <v>56671</v>
      </c>
      <c r="S27" s="57">
        <f t="shared" si="3"/>
        <v>100.03177236863007</v>
      </c>
    </row>
    <row r="28" spans="1:19" ht="16.5" customHeight="1">
      <c r="A28" s="120" t="s">
        <v>208</v>
      </c>
      <c r="B28" s="56">
        <f>'Daňové příjmy'!B29+'Daňové příjmy'!F29++'Daňové příjmy'!J29+'Daňové příjmy'!N29+'Ost.daně=Místní popl.'!B30</f>
        <v>2900</v>
      </c>
      <c r="C28" s="48">
        <f>'Daňové příjmy'!C29+'Daňové příjmy'!G29++'Daňové příjmy'!K29+'Daňové příjmy'!O29+'Ost.daně=Místní popl.'!C30</f>
        <v>8182</v>
      </c>
      <c r="D28" s="48">
        <f>'Daňové příjmy'!D29+'Daňové příjmy'!H29+'Daňové příjmy'!L29+'Daňové příjmy'!P29+'Ost.daně=Místní popl.'!D30</f>
        <v>8145</v>
      </c>
      <c r="E28" s="42">
        <v>-8545227.5</v>
      </c>
      <c r="F28" s="42">
        <f t="shared" si="1"/>
        <v>400.2275000000009</v>
      </c>
      <c r="G28" s="57">
        <f t="shared" si="0"/>
        <v>99.54778782693718</v>
      </c>
      <c r="H28" s="56">
        <f>'Nedaňové příjmy'!B31+'Nedaňové příjmy'!F31+'Nedaňové příjmy'!J31+'Nedaňové příjmy'!N31+'Nedaňové příjmy'!R31+'Nedaňové příjmy'!V31</f>
        <v>6970</v>
      </c>
      <c r="I28" s="48">
        <f>'Nedaňové příjmy'!C31+'Nedaňové příjmy'!G31+'Nedaňové příjmy'!K31+'Nedaňové příjmy'!O31+'Nedaňové příjmy'!S31+'Nedaňové příjmy'!W31</f>
        <v>11487</v>
      </c>
      <c r="J28" s="48">
        <f>'Nedaňové příjmy'!D31+'Nedaňové příjmy'!H31+'Nedaňové příjmy'!L31+'Nedaňové příjmy'!P31+'Nedaňové příjmy'!T31+'Nedaňové příjmy'!X31</f>
        <v>11799</v>
      </c>
      <c r="K28" s="57">
        <f t="shared" si="2"/>
        <v>102.71611386785062</v>
      </c>
      <c r="L28" s="56">
        <f>'Kapitálové příjmy'!B29+'Kapitálové příjmy'!F29</f>
        <v>40</v>
      </c>
      <c r="M28" s="48">
        <f>'Kapitálové příjmy'!C29+'Kapitálové příjmy'!G29</f>
        <v>165</v>
      </c>
      <c r="N28" s="48">
        <f>'Kapitálové příjmy'!D29+'Kapitálové příjmy'!H29</f>
        <v>165</v>
      </c>
      <c r="O28" s="57">
        <f>SUM(N28/M28*100)</f>
        <v>100</v>
      </c>
      <c r="P28" s="56">
        <f>'Transfery neinvestiční 2.5'!B30+'Transfery neinvestiční 2.5'!F30+'Transfery neinvestiční 2.5'!J30+'Transfery neinvestiční 2.5'!N30+'Transfery nein.2.5a'!B31+'Transfery nein.2.5a'!N31+'Transfery nein.2.5a'!R31+'Transfery nein.2.5a'!V31+'Transfery neinvestiční 2.5'!R30+'Transfery investiční'!E30+'Transfery investiční'!I30+'Transfery investiční'!M30+'Transfery investiční'!Q30+'Transfery investiční'!U30+'Transfery nein.2.5a'!Z31+'Transfery investiční'!Y30</f>
        <v>43968</v>
      </c>
      <c r="Q28" s="48">
        <f>'Transfery neinvestiční 2.5'!C30+'Transfery neinvestiční 2.5'!G30+'Transfery neinvestiční 2.5'!K30+'Transfery neinvestiční 2.5'!O30+'Transfery nein.2.5a'!C31+'Transfery nein.2.5a'!O31+'Transfery nein.2.5a'!S31+'Transfery nein.2.5a'!W31+'Transfery neinvestiční 2.5'!S30+'Transfery investiční'!B30+'Transfery investiční'!F30+'Transfery investiční'!J30+'Transfery investiční'!N30+'Transfery investiční'!R30+'Transfery investiční'!V30+'Transfery nein.2.5a'!AA31+'Transfery investiční'!Z30</f>
        <v>56133</v>
      </c>
      <c r="R28" s="48">
        <f>'Transfery neinvestiční 2.5'!D30+'Transfery neinvestiční 2.5'!H30+'Transfery neinvestiční 2.5'!L30+'Transfery neinvestiční 2.5'!P30+'Transfery nein.2.5a'!D31+'Transfery nein.2.5a'!P31+'Transfery nein.2.5a'!T31+'Transfery nein.2.5a'!X31+'Transfery neinvestiční 2.5'!T30+'Transfery investiční'!C30+'Transfery investiční'!G30+'Transfery investiční'!K30+'Transfery investiční'!O30+'Transfery investiční'!S30+'Transfery investiční'!W30+'Transfery nein.2.5a'!AB31+'Transfery investiční'!AA30</f>
        <v>56582</v>
      </c>
      <c r="S28" s="57">
        <f t="shared" si="3"/>
        <v>100.79988598507117</v>
      </c>
    </row>
    <row r="29" spans="1:19" ht="16.5" customHeight="1">
      <c r="A29" s="120" t="s">
        <v>209</v>
      </c>
      <c r="B29" s="56">
        <f>'Daňové příjmy'!B30+'Daňové příjmy'!F30++'Daňové příjmy'!J30+'Daňové příjmy'!N30+'Ost.daně=Místní popl.'!B31</f>
        <v>10233</v>
      </c>
      <c r="C29" s="48">
        <f>'Daňové příjmy'!C30+'Daňové příjmy'!G30++'Daňové příjmy'!K30+'Daňové příjmy'!O30+'Ost.daně=Místní popl.'!C31</f>
        <v>21408</v>
      </c>
      <c r="D29" s="48">
        <f>'Daňové příjmy'!D30+'Daňové příjmy'!H30+'Daňové příjmy'!L30+'Daňové příjmy'!P30+'Ost.daně=Místní popl.'!D31</f>
        <v>22151</v>
      </c>
      <c r="E29" s="42">
        <v>-14112277.6</v>
      </c>
      <c r="F29" s="42">
        <f t="shared" si="1"/>
        <v>-8038.722400000001</v>
      </c>
      <c r="G29" s="57">
        <f t="shared" si="0"/>
        <v>103.47066517189836</v>
      </c>
      <c r="H29" s="56">
        <f>'Nedaňové příjmy'!B32+'Nedaňové příjmy'!F32+'Nedaňové příjmy'!J32+'Nedaňové příjmy'!N32+'Nedaňové příjmy'!R32+'Nedaňové příjmy'!V32</f>
        <v>10866</v>
      </c>
      <c r="I29" s="48">
        <f>'Nedaňové příjmy'!C32+'Nedaňové příjmy'!G32+'Nedaňové příjmy'!K32+'Nedaňové příjmy'!O32+'Nedaňové příjmy'!S32+'Nedaňové příjmy'!W32</f>
        <v>14543</v>
      </c>
      <c r="J29" s="48">
        <f>'Nedaňové příjmy'!D32+'Nedaňové příjmy'!H32+'Nedaňové příjmy'!L32+'Nedaňové příjmy'!P32+'Nedaňové příjmy'!T32+'Nedaňové příjmy'!X32</f>
        <v>15562</v>
      </c>
      <c r="K29" s="57">
        <f t="shared" si="2"/>
        <v>107.00680739874855</v>
      </c>
      <c r="L29" s="56">
        <f>'Kapitálové příjmy'!B30+'Kapitálové příjmy'!F30</f>
        <v>0</v>
      </c>
      <c r="M29" s="48">
        <f>'Kapitálové příjmy'!C30+'Kapitálové příjmy'!G30</f>
        <v>0</v>
      </c>
      <c r="N29" s="48">
        <f>'Kapitálové příjmy'!D30+'Kapitálové příjmy'!H30</f>
        <v>0</v>
      </c>
      <c r="O29" s="57"/>
      <c r="P29" s="56">
        <f>'Transfery neinvestiční 2.5'!B31+'Transfery neinvestiční 2.5'!F31+'Transfery neinvestiční 2.5'!J31+'Transfery neinvestiční 2.5'!N31+'Transfery nein.2.5a'!B32+'Transfery nein.2.5a'!N32+'Transfery nein.2.5a'!R32+'Transfery nein.2.5a'!V32+'Transfery neinvestiční 2.5'!R31+'Transfery investiční'!E31+'Transfery investiční'!I31+'Transfery investiční'!M31+'Transfery investiční'!Q31+'Transfery investiční'!U31+'Transfery nein.2.5a'!Z32+'Transfery investiční'!Y31</f>
        <v>119162</v>
      </c>
      <c r="Q29" s="48">
        <f>'Transfery neinvestiční 2.5'!C31+'Transfery neinvestiční 2.5'!G31+'Transfery neinvestiční 2.5'!K31+'Transfery neinvestiční 2.5'!O31+'Transfery nein.2.5a'!C32+'Transfery nein.2.5a'!O32+'Transfery nein.2.5a'!S32+'Transfery nein.2.5a'!W32+'Transfery neinvestiční 2.5'!S31+'Transfery investiční'!B31+'Transfery investiční'!F31+'Transfery investiční'!J31+'Transfery investiční'!N31+'Transfery investiční'!R31+'Transfery investiční'!V31+'Transfery nein.2.5a'!AA32+'Transfery investiční'!Z31</f>
        <v>130320</v>
      </c>
      <c r="R29" s="48">
        <f>'Transfery neinvestiční 2.5'!D31+'Transfery neinvestiční 2.5'!H31+'Transfery neinvestiční 2.5'!L31+'Transfery neinvestiční 2.5'!P31+'Transfery nein.2.5a'!D32+'Transfery nein.2.5a'!P32+'Transfery nein.2.5a'!T32+'Transfery nein.2.5a'!X32+'Transfery neinvestiční 2.5'!T31+'Transfery investiční'!C31+'Transfery investiční'!G31+'Transfery investiční'!K31+'Transfery investiční'!O31+'Transfery investiční'!S31+'Transfery investiční'!W31+'Transfery nein.2.5a'!AB32+'Transfery investiční'!AA31</f>
        <v>130314</v>
      </c>
      <c r="S29" s="57">
        <f t="shared" si="3"/>
        <v>99.99539594843462</v>
      </c>
    </row>
    <row r="30" spans="1:19" ht="16.5" customHeight="1">
      <c r="A30" s="120" t="s">
        <v>210</v>
      </c>
      <c r="B30" s="56">
        <f>'Daňové příjmy'!B31+'Daňové příjmy'!F31++'Daňové příjmy'!J31+'Daňové příjmy'!N31+'Ost.daně=Místní popl.'!B32</f>
        <v>5372</v>
      </c>
      <c r="C30" s="48">
        <f>'Daňové příjmy'!C31+'Daňové příjmy'!G31++'Daňové příjmy'!K31+'Daňové příjmy'!O31+'Ost.daně=Místní popl.'!C32</f>
        <v>6536</v>
      </c>
      <c r="D30" s="48">
        <f>'Daňové příjmy'!D31+'Daňové příjmy'!H31+'Daňové příjmy'!L31+'Daňové příjmy'!P31+'Ost.daně=Místní popl.'!D32</f>
        <v>6513</v>
      </c>
      <c r="E30" s="42">
        <v>-5303691.51</v>
      </c>
      <c r="F30" s="42">
        <f t="shared" si="1"/>
        <v>-1209.3084900000003</v>
      </c>
      <c r="G30" s="57">
        <f t="shared" si="0"/>
        <v>99.64810281517748</v>
      </c>
      <c r="H30" s="56">
        <f>'Nedaňové příjmy'!B33+'Nedaňové příjmy'!F33+'Nedaňové příjmy'!J33+'Nedaňové příjmy'!N33+'Nedaňové příjmy'!R33+'Nedaňové příjmy'!V33</f>
        <v>2755</v>
      </c>
      <c r="I30" s="48">
        <f>'Nedaňové příjmy'!C33+'Nedaňové příjmy'!G33+'Nedaňové příjmy'!K33+'Nedaňové příjmy'!O33+'Nedaňové příjmy'!S33+'Nedaňové příjmy'!W33</f>
        <v>4335</v>
      </c>
      <c r="J30" s="48">
        <f>'Nedaňové příjmy'!D33+'Nedaňové příjmy'!H33+'Nedaňové příjmy'!L33+'Nedaňové příjmy'!P33+'Nedaňové příjmy'!T33+'Nedaňové příjmy'!X33</f>
        <v>4200</v>
      </c>
      <c r="K30" s="57">
        <f t="shared" si="2"/>
        <v>96.88581314878893</v>
      </c>
      <c r="L30" s="56">
        <f>'Kapitálové příjmy'!B31+'Kapitálové příjmy'!F31</f>
        <v>40</v>
      </c>
      <c r="M30" s="48">
        <f>'Kapitálové příjmy'!C31+'Kapitálové příjmy'!G31</f>
        <v>0</v>
      </c>
      <c r="N30" s="48">
        <f>'Kapitálové příjmy'!D31+'Kapitálové příjmy'!H31</f>
        <v>0</v>
      </c>
      <c r="O30" s="57"/>
      <c r="P30" s="56">
        <f>'Transfery neinvestiční 2.5'!B32+'Transfery neinvestiční 2.5'!F32+'Transfery neinvestiční 2.5'!J32+'Transfery neinvestiční 2.5'!N32+'Transfery nein.2.5a'!B33+'Transfery nein.2.5a'!N33+'Transfery nein.2.5a'!R33+'Transfery nein.2.5a'!V33+'Transfery neinvestiční 2.5'!R32+'Transfery investiční'!E32+'Transfery investiční'!I32+'Transfery investiční'!M32+'Transfery investiční'!Q32+'Transfery investiční'!U32+'Transfery nein.2.5a'!Z33+'Transfery investiční'!Y32</f>
        <v>45326</v>
      </c>
      <c r="Q30" s="48">
        <f>'Transfery neinvestiční 2.5'!C32+'Transfery neinvestiční 2.5'!G32+'Transfery neinvestiční 2.5'!K32+'Transfery neinvestiční 2.5'!O32+'Transfery nein.2.5a'!C33+'Transfery nein.2.5a'!O33+'Transfery nein.2.5a'!S33+'Transfery nein.2.5a'!W33+'Transfery neinvestiční 2.5'!S32+'Transfery investiční'!B32+'Transfery investiční'!F32+'Transfery investiční'!J32+'Transfery investiční'!N32+'Transfery investiční'!R32+'Transfery investiční'!V32+'Transfery nein.2.5a'!AA33+'Transfery investiční'!Z32</f>
        <v>61999</v>
      </c>
      <c r="R30" s="48">
        <f>'Transfery neinvestiční 2.5'!D32+'Transfery neinvestiční 2.5'!H32+'Transfery neinvestiční 2.5'!L32+'Transfery neinvestiční 2.5'!P32+'Transfery nein.2.5a'!D33+'Transfery nein.2.5a'!P33+'Transfery nein.2.5a'!T33+'Transfery nein.2.5a'!X33+'Transfery neinvestiční 2.5'!T32+'Transfery investiční'!C32+'Transfery investiční'!G32+'Transfery investiční'!K32+'Transfery investiční'!O32+'Transfery investiční'!S32+'Transfery investiční'!W32+'Transfery nein.2.5a'!AB33+'Transfery investiční'!AA32</f>
        <v>65258</v>
      </c>
      <c r="S30" s="57">
        <f t="shared" si="3"/>
        <v>105.25653639574833</v>
      </c>
    </row>
    <row r="31" spans="1:19" ht="16.5" customHeight="1">
      <c r="A31" s="120" t="s">
        <v>211</v>
      </c>
      <c r="B31" s="56">
        <f>'Daňové příjmy'!B32+'Daňové příjmy'!F32++'Daňové příjmy'!J32+'Daňové příjmy'!N32+'Ost.daně=Místní popl.'!B33</f>
        <v>1048</v>
      </c>
      <c r="C31" s="48">
        <f>'Daňové příjmy'!C32+'Daňové příjmy'!G32++'Daňové příjmy'!K32+'Daňové příjmy'!O32+'Ost.daně=Místní popl.'!C33</f>
        <v>1763</v>
      </c>
      <c r="D31" s="48">
        <f>'Daňové příjmy'!D32+'Daňové příjmy'!H32+'Daňové příjmy'!L32+'Daňové příjmy'!P32+'Ost.daně=Místní popl.'!D33</f>
        <v>1738</v>
      </c>
      <c r="E31" s="42">
        <v>-1289579.5</v>
      </c>
      <c r="F31" s="42">
        <f t="shared" si="1"/>
        <v>-448.42049999999995</v>
      </c>
      <c r="G31" s="57">
        <f t="shared" si="0"/>
        <v>98.58196256381169</v>
      </c>
      <c r="H31" s="56">
        <f>'Nedaňové příjmy'!B34+'Nedaňové příjmy'!F34+'Nedaňové příjmy'!J34+'Nedaňové příjmy'!N34+'Nedaňové příjmy'!R34+'Nedaňové příjmy'!V34</f>
        <v>2492</v>
      </c>
      <c r="I31" s="48">
        <f>'Nedaňové příjmy'!C34+'Nedaňové příjmy'!G34+'Nedaňové příjmy'!K34+'Nedaňové příjmy'!O34+'Nedaňové příjmy'!S34+'Nedaňové příjmy'!W34</f>
        <v>3843</v>
      </c>
      <c r="J31" s="48">
        <f>'Nedaňové příjmy'!D34+'Nedaňové příjmy'!H34+'Nedaňové příjmy'!L34+'Nedaňové příjmy'!P34+'Nedaňové příjmy'!T34+'Nedaňové příjmy'!X34</f>
        <v>3821</v>
      </c>
      <c r="K31" s="57">
        <f t="shared" si="2"/>
        <v>99.42753057507156</v>
      </c>
      <c r="L31" s="56">
        <f>'Kapitálové příjmy'!B32+'Kapitálové příjmy'!F32</f>
        <v>0</v>
      </c>
      <c r="M31" s="48">
        <f>'Kapitálové příjmy'!C32+'Kapitálové příjmy'!G32</f>
        <v>0</v>
      </c>
      <c r="N31" s="48">
        <f>'Kapitálové příjmy'!D32+'Kapitálové příjmy'!H32</f>
        <v>0</v>
      </c>
      <c r="O31" s="57"/>
      <c r="P31" s="56">
        <f>'Transfery neinvestiční 2.5'!B33+'Transfery neinvestiční 2.5'!F33+'Transfery neinvestiční 2.5'!J33+'Transfery neinvestiční 2.5'!N33+'Transfery nein.2.5a'!B34+'Transfery nein.2.5a'!N34+'Transfery nein.2.5a'!R34+'Transfery nein.2.5a'!V34+'Transfery neinvestiční 2.5'!R33+'Transfery investiční'!E33+'Transfery investiční'!I33+'Transfery investiční'!M33+'Transfery investiční'!Q33+'Transfery investiční'!U33+'Transfery nein.2.5a'!Z34+'Transfery investiční'!Y33</f>
        <v>26573</v>
      </c>
      <c r="Q31" s="48">
        <f>'Transfery neinvestiční 2.5'!C33+'Transfery neinvestiční 2.5'!G33+'Transfery neinvestiční 2.5'!K33+'Transfery neinvestiční 2.5'!O33+'Transfery nein.2.5a'!C34+'Transfery nein.2.5a'!O34+'Transfery nein.2.5a'!S34+'Transfery nein.2.5a'!W34+'Transfery neinvestiční 2.5'!S33+'Transfery investiční'!B33+'Transfery investiční'!F33+'Transfery investiční'!J33+'Transfery investiční'!N33+'Transfery investiční'!R33+'Transfery investiční'!V33+'Transfery nein.2.5a'!AA34+'Transfery investiční'!Z33</f>
        <v>29458</v>
      </c>
      <c r="R31" s="48">
        <f>'Transfery neinvestiční 2.5'!D33+'Transfery neinvestiční 2.5'!H33+'Transfery neinvestiční 2.5'!L33+'Transfery neinvestiční 2.5'!P33+'Transfery nein.2.5a'!D34+'Transfery nein.2.5a'!P34+'Transfery nein.2.5a'!T34+'Transfery nein.2.5a'!X34+'Transfery neinvestiční 2.5'!T33+'Transfery investiční'!C33+'Transfery investiční'!G33+'Transfery investiční'!K33+'Transfery investiční'!O33+'Transfery investiční'!S33+'Transfery investiční'!W33+'Transfery nein.2.5a'!AB34+'Transfery investiční'!AA33</f>
        <v>29454</v>
      </c>
      <c r="S31" s="57">
        <f t="shared" si="3"/>
        <v>99.98642134564464</v>
      </c>
    </row>
    <row r="32" spans="1:19" ht="16.5" customHeight="1">
      <c r="A32" s="120" t="s">
        <v>212</v>
      </c>
      <c r="B32" s="56">
        <f>'Daňové příjmy'!B33+'Daňové příjmy'!F33++'Daňové příjmy'!J33+'Daňové příjmy'!N33+'Ost.daně=Místní popl.'!B34</f>
        <v>494</v>
      </c>
      <c r="C32" s="48">
        <f>'Daňové příjmy'!C33+'Daňové příjmy'!G33++'Daňové příjmy'!K33+'Daňové příjmy'!O33+'Ost.daně=Místní popl.'!C34</f>
        <v>972</v>
      </c>
      <c r="D32" s="48">
        <f>'Daňové příjmy'!D33+'Daňové příjmy'!H33+'Daňové příjmy'!L33+'Daňové příjmy'!P33+'Ost.daně=Místní popl.'!D34</f>
        <v>757</v>
      </c>
      <c r="E32" s="42">
        <v>-936716</v>
      </c>
      <c r="F32" s="42">
        <f t="shared" si="1"/>
        <v>179.716</v>
      </c>
      <c r="G32" s="57">
        <f t="shared" si="0"/>
        <v>77.88065843621399</v>
      </c>
      <c r="H32" s="56">
        <f>'Nedaňové příjmy'!B35+'Nedaňové příjmy'!F35+'Nedaňové příjmy'!J35+'Nedaňové příjmy'!N35+'Nedaňové příjmy'!R35+'Nedaňové příjmy'!V35</f>
        <v>800</v>
      </c>
      <c r="I32" s="48">
        <f>'Nedaňové příjmy'!C35+'Nedaňové příjmy'!G35+'Nedaňové příjmy'!K35+'Nedaňové příjmy'!O35+'Nedaňové příjmy'!S35+'Nedaňové příjmy'!W35</f>
        <v>1878</v>
      </c>
      <c r="J32" s="48">
        <f>'Nedaňové příjmy'!D35+'Nedaňové příjmy'!H35+'Nedaňové příjmy'!L35+'Nedaňové příjmy'!P35+'Nedaňové příjmy'!T35+'Nedaňové příjmy'!X35</f>
        <v>1836</v>
      </c>
      <c r="K32" s="57">
        <f t="shared" si="2"/>
        <v>97.76357827476039</v>
      </c>
      <c r="L32" s="56">
        <f>'Kapitálové příjmy'!B33+'Kapitálové příjmy'!F33</f>
        <v>0</v>
      </c>
      <c r="M32" s="48">
        <f>'Kapitálové příjmy'!C33+'Kapitálové příjmy'!G33</f>
        <v>0</v>
      </c>
      <c r="N32" s="48">
        <f>'Kapitálové příjmy'!D33+'Kapitálové příjmy'!H33</f>
        <v>0</v>
      </c>
      <c r="O32" s="57"/>
      <c r="P32" s="56">
        <f>'Transfery neinvestiční 2.5'!B34+'Transfery neinvestiční 2.5'!F34+'Transfery neinvestiční 2.5'!J34+'Transfery neinvestiční 2.5'!N34+'Transfery nein.2.5a'!B35+'Transfery nein.2.5a'!N35+'Transfery nein.2.5a'!R35+'Transfery nein.2.5a'!V35+'Transfery neinvestiční 2.5'!R34+'Transfery investiční'!E34+'Transfery investiční'!I34+'Transfery investiční'!M34+'Transfery investiční'!Q34+'Transfery investiční'!U34+'Transfery nein.2.5a'!Z35+'Transfery investiční'!Y34</f>
        <v>15255</v>
      </c>
      <c r="Q32" s="48">
        <f>'Transfery neinvestiční 2.5'!C34+'Transfery neinvestiční 2.5'!G34+'Transfery neinvestiční 2.5'!K34+'Transfery neinvestiční 2.5'!O34+'Transfery nein.2.5a'!C35+'Transfery nein.2.5a'!O35+'Transfery nein.2.5a'!S35+'Transfery nein.2.5a'!W35+'Transfery neinvestiční 2.5'!S34+'Transfery investiční'!B34+'Transfery investiční'!F34+'Transfery investiční'!J34+'Transfery investiční'!N34+'Transfery investiční'!R34+'Transfery investiční'!V34+'Transfery nein.2.5a'!AA35+'Transfery investiční'!Z34</f>
        <v>16516</v>
      </c>
      <c r="R32" s="48">
        <f>'Transfery neinvestiční 2.5'!D34+'Transfery neinvestiční 2.5'!H34+'Transfery neinvestiční 2.5'!L34+'Transfery neinvestiční 2.5'!P34+'Transfery nein.2.5a'!D35+'Transfery nein.2.5a'!P35+'Transfery nein.2.5a'!T35+'Transfery nein.2.5a'!X35+'Transfery neinvestiční 2.5'!T34+'Transfery investiční'!C34+'Transfery investiční'!G34+'Transfery investiční'!K34+'Transfery investiční'!O34+'Transfery investiční'!S34+'Transfery investiční'!W34+'Transfery nein.2.5a'!AB35+'Transfery investiční'!AA34</f>
        <v>16515</v>
      </c>
      <c r="S32" s="57">
        <f t="shared" si="3"/>
        <v>99.99394526519738</v>
      </c>
    </row>
    <row r="33" spans="1:19" ht="16.5" customHeight="1">
      <c r="A33" s="120" t="s">
        <v>213</v>
      </c>
      <c r="B33" s="56">
        <f>'Daňové příjmy'!B34+'Daňové příjmy'!F34++'Daňové příjmy'!J34+'Daňové příjmy'!N34+'Ost.daně=Místní popl.'!B35</f>
        <v>31080</v>
      </c>
      <c r="C33" s="48">
        <f>'Daňové příjmy'!C34+'Daňové příjmy'!G34++'Daňové příjmy'!K34+'Daňové příjmy'!O34+'Ost.daně=Místní popl.'!C35</f>
        <v>45118</v>
      </c>
      <c r="D33" s="48">
        <f>'Daňové příjmy'!D34+'Daňové příjmy'!H34+'Daňové příjmy'!L34+'Daňové příjmy'!P34+'Ost.daně=Místní popl.'!D35</f>
        <v>45676</v>
      </c>
      <c r="E33" s="42">
        <v>-25626998.17</v>
      </c>
      <c r="F33" s="42">
        <f t="shared" si="1"/>
        <v>-20049.001829999997</v>
      </c>
      <c r="G33" s="57">
        <f t="shared" si="0"/>
        <v>101.2367569484463</v>
      </c>
      <c r="H33" s="56">
        <f>'Nedaňové příjmy'!B36+'Nedaňové příjmy'!F36+'Nedaňové příjmy'!J36+'Nedaňové příjmy'!N36+'Nedaňové příjmy'!R36+'Nedaňové příjmy'!V36</f>
        <v>11565</v>
      </c>
      <c r="I33" s="48">
        <f>'Nedaňové příjmy'!C36+'Nedaňové příjmy'!G36+'Nedaňové příjmy'!K36+'Nedaňové příjmy'!O36+'Nedaňové příjmy'!S36+'Nedaňové příjmy'!W36</f>
        <v>46151</v>
      </c>
      <c r="J33" s="48">
        <f>'Nedaňové příjmy'!D36+'Nedaňové příjmy'!H36+'Nedaňové příjmy'!L36+'Nedaňové příjmy'!P36+'Nedaňové příjmy'!T36+'Nedaňové příjmy'!X36</f>
        <v>46110</v>
      </c>
      <c r="K33" s="57">
        <f t="shared" si="2"/>
        <v>99.91116118827328</v>
      </c>
      <c r="L33" s="56">
        <f>'Kapitálové příjmy'!B34+'Kapitálové příjmy'!F34</f>
        <v>100</v>
      </c>
      <c r="M33" s="48">
        <f>'Kapitálové příjmy'!C34+'Kapitálové příjmy'!G34</f>
        <v>110</v>
      </c>
      <c r="N33" s="48">
        <f>'Kapitálové příjmy'!D34+'Kapitálové příjmy'!H34</f>
        <v>110</v>
      </c>
      <c r="O33" s="57">
        <f>SUM(N33/M33*100)</f>
        <v>100</v>
      </c>
      <c r="P33" s="56">
        <f>'Transfery neinvestiční 2.5'!B35+'Transfery neinvestiční 2.5'!F35+'Transfery neinvestiční 2.5'!J35+'Transfery neinvestiční 2.5'!N35+'Transfery nein.2.5a'!B36+'Transfery nein.2.5a'!N36+'Transfery nein.2.5a'!R36+'Transfery nein.2.5a'!V36+'Transfery neinvestiční 2.5'!R35+'Transfery investiční'!E35+'Transfery investiční'!I35+'Transfery investiční'!M35+'Transfery investiční'!Q35+'Transfery investiční'!U35+'Transfery nein.2.5a'!Z36+'Transfery investiční'!Y35</f>
        <v>115447</v>
      </c>
      <c r="Q33" s="48">
        <f>'Transfery neinvestiční 2.5'!C35+'Transfery neinvestiční 2.5'!G35+'Transfery neinvestiční 2.5'!K35+'Transfery neinvestiční 2.5'!O35+'Transfery nein.2.5a'!C36+'Transfery nein.2.5a'!O36+'Transfery nein.2.5a'!S36+'Transfery nein.2.5a'!W36+'Transfery neinvestiční 2.5'!S35+'Transfery investiční'!B35+'Transfery investiční'!F35+'Transfery investiční'!J35+'Transfery investiční'!N35+'Transfery investiční'!R35+'Transfery investiční'!V35+'Transfery nein.2.5a'!AA36+'Transfery investiční'!Z35</f>
        <v>124309</v>
      </c>
      <c r="R33" s="48">
        <f>'Transfery neinvestiční 2.5'!D35+'Transfery neinvestiční 2.5'!H35+'Transfery neinvestiční 2.5'!L35+'Transfery neinvestiční 2.5'!P35+'Transfery nein.2.5a'!D36+'Transfery nein.2.5a'!P36+'Transfery nein.2.5a'!T36+'Transfery nein.2.5a'!X36+'Transfery neinvestiční 2.5'!T35+'Transfery investiční'!C35+'Transfery investiční'!G35+'Transfery investiční'!K35+'Transfery investiční'!O35+'Transfery investiční'!S35+'Transfery investiční'!W35+'Transfery nein.2.5a'!AB36+'Transfery investiční'!AA35</f>
        <v>124259</v>
      </c>
      <c r="S33" s="57">
        <f t="shared" si="3"/>
        <v>99.95977765085392</v>
      </c>
    </row>
    <row r="34" spans="1:19" ht="16.5" customHeight="1">
      <c r="A34" s="120" t="s">
        <v>214</v>
      </c>
      <c r="B34" s="56">
        <f>'Daňové příjmy'!B35+'Daňové příjmy'!F35++'Daňové příjmy'!J35+'Daňové příjmy'!N35+'Ost.daně=Místní popl.'!B36</f>
        <v>2055</v>
      </c>
      <c r="C34" s="48">
        <f>'Daňové příjmy'!C35+'Daňové příjmy'!G35++'Daňové příjmy'!K35+'Daňové příjmy'!O35+'Ost.daně=Místní popl.'!C36</f>
        <v>2746</v>
      </c>
      <c r="D34" s="48">
        <f>'Daňové příjmy'!D35+'Daňové příjmy'!H35+'Daňové příjmy'!L35+'Daňové příjmy'!P35+'Ost.daně=Místní popl.'!D36</f>
        <v>2660</v>
      </c>
      <c r="E34" s="42">
        <v>-2107846</v>
      </c>
      <c r="F34" s="42">
        <f t="shared" si="1"/>
        <v>-552.154</v>
      </c>
      <c r="G34" s="57">
        <f t="shared" si="0"/>
        <v>96.8681718863802</v>
      </c>
      <c r="H34" s="56">
        <f>'Nedaňové příjmy'!B37+'Nedaňové příjmy'!F37+'Nedaňové příjmy'!J37+'Nedaňové příjmy'!N37+'Nedaňové příjmy'!R37+'Nedaňové příjmy'!V37</f>
        <v>1391</v>
      </c>
      <c r="I34" s="48">
        <f>'Nedaňové příjmy'!C37+'Nedaňové příjmy'!G37+'Nedaňové příjmy'!K37+'Nedaňové příjmy'!O37+'Nedaňové příjmy'!S37+'Nedaňové příjmy'!W37</f>
        <v>2177</v>
      </c>
      <c r="J34" s="48">
        <f>'Nedaňové příjmy'!D37+'Nedaňové příjmy'!H37+'Nedaňové příjmy'!L37+'Nedaňové příjmy'!P37+'Nedaňové příjmy'!T37+'Nedaňové příjmy'!X37</f>
        <v>1584</v>
      </c>
      <c r="K34" s="57">
        <f t="shared" si="2"/>
        <v>72.76067983463483</v>
      </c>
      <c r="L34" s="56">
        <f>'Kapitálové příjmy'!B35+'Kapitálové příjmy'!F35</f>
        <v>0</v>
      </c>
      <c r="M34" s="48">
        <f>'Kapitálové příjmy'!C35+'Kapitálové příjmy'!G35</f>
        <v>0</v>
      </c>
      <c r="N34" s="48">
        <f>'Kapitálové příjmy'!D35+'Kapitálové příjmy'!H35</f>
        <v>0</v>
      </c>
      <c r="O34" s="57"/>
      <c r="P34" s="56">
        <f>'Transfery neinvestiční 2.5'!B36+'Transfery neinvestiční 2.5'!F36+'Transfery neinvestiční 2.5'!J36+'Transfery neinvestiční 2.5'!N36+'Transfery nein.2.5a'!B37+'Transfery nein.2.5a'!N37+'Transfery nein.2.5a'!R37+'Transfery nein.2.5a'!V37+'Transfery neinvestiční 2.5'!R36+'Transfery investiční'!E36+'Transfery investiční'!I36+'Transfery investiční'!M36+'Transfery investiční'!Q36+'Transfery investiční'!U36+'Transfery nein.2.5a'!Z37+'Transfery investiční'!Y36</f>
        <v>17170</v>
      </c>
      <c r="Q34" s="48">
        <f>'Transfery neinvestiční 2.5'!C36+'Transfery neinvestiční 2.5'!G36+'Transfery neinvestiční 2.5'!K36+'Transfery neinvestiční 2.5'!O36+'Transfery nein.2.5a'!C37+'Transfery nein.2.5a'!O37+'Transfery nein.2.5a'!S37+'Transfery nein.2.5a'!W37+'Transfery neinvestiční 2.5'!S36+'Transfery investiční'!B36+'Transfery investiční'!F36+'Transfery investiční'!J36+'Transfery investiční'!N36+'Transfery investiční'!R36+'Transfery investiční'!V36+'Transfery nein.2.5a'!AA37+'Transfery investiční'!Z36</f>
        <v>18987</v>
      </c>
      <c r="R34" s="48">
        <f>'Transfery neinvestiční 2.5'!D36+'Transfery neinvestiční 2.5'!H36+'Transfery neinvestiční 2.5'!L36+'Transfery neinvestiční 2.5'!P36+'Transfery nein.2.5a'!D37+'Transfery nein.2.5a'!P37+'Transfery nein.2.5a'!T37+'Transfery nein.2.5a'!X37+'Transfery neinvestiční 2.5'!T36+'Transfery investiční'!C36+'Transfery investiční'!G36+'Transfery investiční'!K36+'Transfery investiční'!O36+'Transfery investiční'!S36+'Transfery investiční'!W36+'Transfery nein.2.5a'!AB37+'Transfery investiční'!AA36</f>
        <v>18987</v>
      </c>
      <c r="S34" s="57">
        <f t="shared" si="3"/>
        <v>100</v>
      </c>
    </row>
    <row r="35" spans="1:19" ht="16.5" customHeight="1">
      <c r="A35" s="120" t="s">
        <v>215</v>
      </c>
      <c r="B35" s="56">
        <f>'Daňové příjmy'!B36+'Daňové příjmy'!F36++'Daňové příjmy'!J36+'Daňové příjmy'!N36+'Ost.daně=Místní popl.'!B37</f>
        <v>5185</v>
      </c>
      <c r="C35" s="48">
        <f>'Daňové příjmy'!C36+'Daňové příjmy'!G36++'Daňové příjmy'!K36+'Daňové příjmy'!O36+'Ost.daně=Místní popl.'!C37</f>
        <v>6886</v>
      </c>
      <c r="D35" s="48">
        <f>'Daňové příjmy'!D36+'Daňové příjmy'!H36+'Daňové příjmy'!L36+'Daňové příjmy'!P36+'Ost.daně=Místní popl.'!D37</f>
        <v>6754</v>
      </c>
      <c r="E35" s="42">
        <v>-6661431</v>
      </c>
      <c r="F35" s="42">
        <f t="shared" si="1"/>
        <v>-92.56900000000041</v>
      </c>
      <c r="G35" s="57">
        <f t="shared" si="0"/>
        <v>98.08306709265176</v>
      </c>
      <c r="H35" s="56">
        <f>'Nedaňové příjmy'!B38+'Nedaňové příjmy'!F38+'Nedaňové příjmy'!J38+'Nedaňové příjmy'!N38+'Nedaňové příjmy'!R38+'Nedaňové příjmy'!V38</f>
        <v>6081</v>
      </c>
      <c r="I35" s="48">
        <f>'Nedaňové příjmy'!C38+'Nedaňové příjmy'!G38+'Nedaňové příjmy'!K38+'Nedaňové příjmy'!O38+'Nedaňové příjmy'!S38+'Nedaňové příjmy'!W38</f>
        <v>8287</v>
      </c>
      <c r="J35" s="48">
        <f>'Nedaňové příjmy'!D38+'Nedaňové příjmy'!H38+'Nedaňové příjmy'!L38+'Nedaňové příjmy'!P38+'Nedaňové příjmy'!T38+'Nedaňové příjmy'!X38</f>
        <v>8818</v>
      </c>
      <c r="K35" s="57">
        <f t="shared" si="2"/>
        <v>106.40762640279956</v>
      </c>
      <c r="L35" s="56">
        <f>'Kapitálové příjmy'!B36+'Kapitálové příjmy'!F36</f>
        <v>5</v>
      </c>
      <c r="M35" s="48">
        <f>'Kapitálové příjmy'!C36+'Kapitálové příjmy'!G36</f>
        <v>5</v>
      </c>
      <c r="N35" s="48">
        <f>'Kapitálové příjmy'!D36+'Kapitálové příjmy'!H36</f>
        <v>15</v>
      </c>
      <c r="O35" s="57">
        <f>SUM(N35/M35*100)</f>
        <v>300</v>
      </c>
      <c r="P35" s="56">
        <f>'Transfery neinvestiční 2.5'!B37+'Transfery neinvestiční 2.5'!F37+'Transfery neinvestiční 2.5'!J37+'Transfery neinvestiční 2.5'!N37+'Transfery nein.2.5a'!B38+'Transfery nein.2.5a'!N38+'Transfery nein.2.5a'!R38+'Transfery nein.2.5a'!V38+'Transfery neinvestiční 2.5'!R37+'Transfery investiční'!E37+'Transfery investiční'!I37+'Transfery investiční'!M37+'Transfery investiční'!Q37+'Transfery investiční'!U37+'Transfery nein.2.5a'!Z38+'Transfery investiční'!Y37</f>
        <v>49064</v>
      </c>
      <c r="Q35" s="48">
        <f>'Transfery neinvestiční 2.5'!C37+'Transfery neinvestiční 2.5'!G37+'Transfery neinvestiční 2.5'!K37+'Transfery neinvestiční 2.5'!O37+'Transfery nein.2.5a'!C38+'Transfery nein.2.5a'!O38+'Transfery nein.2.5a'!S38+'Transfery nein.2.5a'!W38+'Transfery neinvestiční 2.5'!S37+'Transfery investiční'!B37+'Transfery investiční'!F37+'Transfery investiční'!J37+'Transfery investiční'!N37+'Transfery investiční'!R37+'Transfery investiční'!V37+'Transfery nein.2.5a'!AA38+'Transfery investiční'!Z37</f>
        <v>63973</v>
      </c>
      <c r="R35" s="48">
        <f>'Transfery neinvestiční 2.5'!D37+'Transfery neinvestiční 2.5'!H37+'Transfery neinvestiční 2.5'!L37+'Transfery neinvestiční 2.5'!P37+'Transfery nein.2.5a'!D38+'Transfery nein.2.5a'!P38+'Transfery nein.2.5a'!T38+'Transfery nein.2.5a'!X38+'Transfery neinvestiční 2.5'!T37+'Transfery investiční'!C37+'Transfery investiční'!G37+'Transfery investiční'!K37+'Transfery investiční'!O37+'Transfery investiční'!S37+'Transfery investiční'!W37+'Transfery nein.2.5a'!AB38+'Transfery investiční'!AA37</f>
        <v>63973</v>
      </c>
      <c r="S35" s="57">
        <f t="shared" si="3"/>
        <v>100</v>
      </c>
    </row>
    <row r="36" spans="1:19" ht="16.5" customHeight="1">
      <c r="A36" s="120" t="s">
        <v>216</v>
      </c>
      <c r="B36" s="56">
        <f>'Daňové příjmy'!B37+'Daňové příjmy'!F37++'Daňové příjmy'!J37+'Daňové příjmy'!N37+'Ost.daně=Místní popl.'!B38</f>
        <v>144</v>
      </c>
      <c r="C36" s="48">
        <f>'Daňové příjmy'!C37+'Daňové příjmy'!G37++'Daňové příjmy'!K37+'Daňové příjmy'!O37+'Ost.daně=Místní popl.'!C38</f>
        <v>233</v>
      </c>
      <c r="D36" s="48">
        <f>'Daňové příjmy'!D37+'Daňové příjmy'!H37+'Daňové příjmy'!L37+'Daňové příjmy'!P37+'Ost.daně=Místní popl.'!D38</f>
        <v>222</v>
      </c>
      <c r="E36" s="42">
        <v>-216515</v>
      </c>
      <c r="F36" s="42">
        <f t="shared" si="1"/>
        <v>-5.485000000000014</v>
      </c>
      <c r="G36" s="57">
        <f t="shared" si="0"/>
        <v>95.27896995708154</v>
      </c>
      <c r="H36" s="56">
        <f>'Nedaňové příjmy'!B39+'Nedaňové příjmy'!F39+'Nedaňové příjmy'!J39+'Nedaňové příjmy'!N39+'Nedaňové příjmy'!R39+'Nedaňové příjmy'!V39</f>
        <v>453</v>
      </c>
      <c r="I36" s="48">
        <f>'Nedaňové příjmy'!C39+'Nedaňové příjmy'!G39+'Nedaňové příjmy'!K39+'Nedaňové příjmy'!O39+'Nedaňové příjmy'!S39+'Nedaňové příjmy'!W39</f>
        <v>777</v>
      </c>
      <c r="J36" s="48">
        <f>'Nedaňové příjmy'!D39+'Nedaňové příjmy'!H39+'Nedaňové příjmy'!L39+'Nedaňové příjmy'!P39+'Nedaňové příjmy'!T39+'Nedaňové příjmy'!X39</f>
        <v>731</v>
      </c>
      <c r="K36" s="57">
        <f t="shared" si="2"/>
        <v>94.07979407979408</v>
      </c>
      <c r="L36" s="56">
        <f>'Kapitálové příjmy'!B37+'Kapitálové příjmy'!F37</f>
        <v>0</v>
      </c>
      <c r="M36" s="48">
        <f>'Kapitálové příjmy'!C37+'Kapitálové příjmy'!G37</f>
        <v>0</v>
      </c>
      <c r="N36" s="48">
        <f>'Kapitálové příjmy'!D37+'Kapitálové příjmy'!H37</f>
        <v>0</v>
      </c>
      <c r="O36" s="57"/>
      <c r="P36" s="56">
        <f>'Transfery neinvestiční 2.5'!B38+'Transfery neinvestiční 2.5'!F38+'Transfery neinvestiční 2.5'!J38+'Transfery neinvestiční 2.5'!N38+'Transfery nein.2.5a'!B39+'Transfery nein.2.5a'!N39+'Transfery nein.2.5a'!R39+'Transfery nein.2.5a'!V39+'Transfery neinvestiční 2.5'!R38+'Transfery investiční'!E38+'Transfery investiční'!I38+'Transfery investiční'!M38+'Transfery investiční'!Q38+'Transfery investiční'!U38+'Transfery nein.2.5a'!Z39+'Transfery investiční'!Y38</f>
        <v>4412</v>
      </c>
      <c r="Q36" s="48">
        <f>'Transfery neinvestiční 2.5'!C38+'Transfery neinvestiční 2.5'!G38+'Transfery neinvestiční 2.5'!K38+'Transfery neinvestiční 2.5'!O38+'Transfery nein.2.5a'!C39+'Transfery nein.2.5a'!O39+'Transfery nein.2.5a'!S39+'Transfery nein.2.5a'!W39+'Transfery neinvestiční 2.5'!S38+'Transfery investiční'!B38+'Transfery investiční'!F38+'Transfery investiční'!J38+'Transfery investiční'!N38+'Transfery investiční'!R38+'Transfery investiční'!V38+'Transfery nein.2.5a'!AA39+'Transfery investiční'!Z38</f>
        <v>5373</v>
      </c>
      <c r="R36" s="48">
        <f>'Transfery neinvestiční 2.5'!D38+'Transfery neinvestiční 2.5'!H38+'Transfery neinvestiční 2.5'!L38+'Transfery neinvestiční 2.5'!P38+'Transfery nein.2.5a'!D39+'Transfery nein.2.5a'!P39+'Transfery nein.2.5a'!T39+'Transfery nein.2.5a'!X39+'Transfery neinvestiční 2.5'!T38+'Transfery investiční'!C38+'Transfery investiční'!G38+'Transfery investiční'!K38+'Transfery investiční'!O38+'Transfery investiční'!S38+'Transfery investiční'!W38+'Transfery nein.2.5a'!AB39+'Transfery investiční'!AA38</f>
        <v>5351</v>
      </c>
      <c r="S36" s="57">
        <f t="shared" si="3"/>
        <v>99.59054531918854</v>
      </c>
    </row>
    <row r="37" spans="1:19" ht="16.5" customHeight="1">
      <c r="A37" s="120" t="s">
        <v>217</v>
      </c>
      <c r="B37" s="56">
        <f>'Daňové příjmy'!B38+'Daňové příjmy'!F38++'Daňové příjmy'!J38+'Daňové příjmy'!N38+'Ost.daně=Místní popl.'!B39</f>
        <v>34</v>
      </c>
      <c r="C37" s="48">
        <f>'Daňové příjmy'!C38+'Daňové příjmy'!G38++'Daňové příjmy'!K38+'Daňové příjmy'!O38+'Ost.daně=Místní popl.'!C39</f>
        <v>112</v>
      </c>
      <c r="D37" s="48">
        <f>'Daňové příjmy'!D38+'Daňové příjmy'!H38+'Daňové příjmy'!L38+'Daňové příjmy'!P38+'Ost.daně=Místní popl.'!D39</f>
        <v>111</v>
      </c>
      <c r="E37" s="42">
        <v>-106123</v>
      </c>
      <c r="F37" s="42">
        <f t="shared" si="1"/>
        <v>-4.876999999999995</v>
      </c>
      <c r="G37" s="57">
        <f t="shared" si="0"/>
        <v>99.10714285714286</v>
      </c>
      <c r="H37" s="56">
        <f>'Nedaňové příjmy'!B40+'Nedaňové příjmy'!F40+'Nedaňové příjmy'!J40+'Nedaňové příjmy'!N40+'Nedaňové příjmy'!R40+'Nedaňové příjmy'!V40</f>
        <v>438</v>
      </c>
      <c r="I37" s="48">
        <f>'Nedaňové příjmy'!C40+'Nedaňové příjmy'!G40+'Nedaňové příjmy'!K40+'Nedaňové příjmy'!O40+'Nedaňové příjmy'!S40+'Nedaňové příjmy'!W40</f>
        <v>843</v>
      </c>
      <c r="J37" s="48">
        <f>'Nedaňové příjmy'!D40+'Nedaňové příjmy'!H40+'Nedaňové příjmy'!L40+'Nedaňové příjmy'!P40+'Nedaňové příjmy'!T40+'Nedaňové příjmy'!X40</f>
        <v>786</v>
      </c>
      <c r="K37" s="57">
        <f t="shared" si="2"/>
        <v>93.23843416370107</v>
      </c>
      <c r="L37" s="56">
        <f>'Kapitálové příjmy'!B38+'Kapitálové příjmy'!F38</f>
        <v>0</v>
      </c>
      <c r="M37" s="48">
        <f>'Kapitálové příjmy'!C38+'Kapitálové příjmy'!G38</f>
        <v>100</v>
      </c>
      <c r="N37" s="48">
        <f>'Kapitálové příjmy'!D38+'Kapitálové příjmy'!H38</f>
        <v>100</v>
      </c>
      <c r="O37" s="57">
        <f>SUM(N37/M37*100)</f>
        <v>100</v>
      </c>
      <c r="P37" s="56">
        <f>'Transfery neinvestiční 2.5'!B39+'Transfery neinvestiční 2.5'!F39+'Transfery neinvestiční 2.5'!J39+'Transfery neinvestiční 2.5'!N39+'Transfery nein.2.5a'!B40+'Transfery nein.2.5a'!N40+'Transfery nein.2.5a'!R40+'Transfery nein.2.5a'!V40+'Transfery neinvestiční 2.5'!R39+'Transfery investiční'!E39+'Transfery investiční'!I39+'Transfery investiční'!M39+'Transfery investiční'!Q39+'Transfery investiční'!U39+'Transfery nein.2.5a'!Z40+'Transfery investiční'!Y39</f>
        <v>5846</v>
      </c>
      <c r="Q37" s="48">
        <f>'Transfery neinvestiční 2.5'!C39+'Transfery neinvestiční 2.5'!G39+'Transfery neinvestiční 2.5'!K39+'Transfery neinvestiční 2.5'!O39+'Transfery nein.2.5a'!C40+'Transfery nein.2.5a'!O40+'Transfery nein.2.5a'!S40+'Transfery nein.2.5a'!W40+'Transfery neinvestiční 2.5'!S39+'Transfery investiční'!B39+'Transfery investiční'!F39+'Transfery investiční'!J39+'Transfery investiční'!N39+'Transfery investiční'!R39+'Transfery investiční'!V39+'Transfery nein.2.5a'!AA40+'Transfery investiční'!Z39</f>
        <v>5827</v>
      </c>
      <c r="R37" s="48">
        <f>'Transfery neinvestiční 2.5'!D39+'Transfery neinvestiční 2.5'!H39+'Transfery neinvestiční 2.5'!L39+'Transfery neinvestiční 2.5'!P39+'Transfery nein.2.5a'!D40+'Transfery nein.2.5a'!P40+'Transfery nein.2.5a'!T40+'Transfery nein.2.5a'!X40+'Transfery neinvestiční 2.5'!T39+'Transfery investiční'!C39+'Transfery investiční'!G39+'Transfery investiční'!K39+'Transfery investiční'!O39+'Transfery investiční'!S39+'Transfery investiční'!W39+'Transfery nein.2.5a'!AB40+'Transfery investiční'!AA39</f>
        <v>5827</v>
      </c>
      <c r="S37" s="57">
        <f t="shared" si="3"/>
        <v>100</v>
      </c>
    </row>
    <row r="38" spans="1:19" ht="16.5" customHeight="1">
      <c r="A38" s="120" t="s">
        <v>218</v>
      </c>
      <c r="B38" s="56">
        <f>'Daňové příjmy'!B39+'Daňové příjmy'!F39++'Daňové příjmy'!J39+'Daňové příjmy'!N39+'Ost.daně=Místní popl.'!B40</f>
        <v>23</v>
      </c>
      <c r="C38" s="48">
        <f>'Daňové příjmy'!C39+'Daňové příjmy'!G39++'Daňové příjmy'!K39+'Daňové příjmy'!O39+'Ost.daně=Místní popl.'!C40</f>
        <v>42</v>
      </c>
      <c r="D38" s="48">
        <f>'Daňové příjmy'!D39+'Daňové příjmy'!H39+'Daňové příjmy'!L39+'Daňové příjmy'!P39+'Ost.daně=Místní popl.'!D40</f>
        <v>43</v>
      </c>
      <c r="E38" s="42">
        <v>-38127</v>
      </c>
      <c r="F38" s="42">
        <f t="shared" si="1"/>
        <v>-4.8729999999999976</v>
      </c>
      <c r="G38" s="57">
        <f t="shared" si="0"/>
        <v>102.38095238095238</v>
      </c>
      <c r="H38" s="56">
        <f>'Nedaňové příjmy'!B41+'Nedaňové příjmy'!F41+'Nedaňové příjmy'!J41+'Nedaňové příjmy'!N41+'Nedaňové příjmy'!R41+'Nedaňové příjmy'!V41</f>
        <v>45</v>
      </c>
      <c r="I38" s="48">
        <f>'Nedaňové příjmy'!C41+'Nedaňové příjmy'!G41+'Nedaňové příjmy'!K41+'Nedaňové příjmy'!O41+'Nedaňové příjmy'!S41+'Nedaňové příjmy'!W41</f>
        <v>210</v>
      </c>
      <c r="J38" s="48">
        <f>'Nedaňové příjmy'!D41+'Nedaňové příjmy'!H41+'Nedaňové příjmy'!L41+'Nedaňové příjmy'!P41+'Nedaňové příjmy'!T41+'Nedaňové příjmy'!X41</f>
        <v>208</v>
      </c>
      <c r="K38" s="57">
        <f t="shared" si="2"/>
        <v>99.04761904761905</v>
      </c>
      <c r="L38" s="56">
        <f>'Kapitálové příjmy'!B39+'Kapitálové příjmy'!F39</f>
        <v>0</v>
      </c>
      <c r="M38" s="48">
        <f>'Kapitálové příjmy'!C39+'Kapitálové příjmy'!G39</f>
        <v>0</v>
      </c>
      <c r="N38" s="48">
        <f>'Kapitálové příjmy'!D39+'Kapitálové příjmy'!H39</f>
        <v>0</v>
      </c>
      <c r="O38" s="57"/>
      <c r="P38" s="56">
        <f>'Transfery neinvestiční 2.5'!B40+'Transfery neinvestiční 2.5'!F40+'Transfery neinvestiční 2.5'!J40+'Transfery neinvestiční 2.5'!N40+'Transfery nein.2.5a'!B41+'Transfery nein.2.5a'!N41+'Transfery nein.2.5a'!R41+'Transfery nein.2.5a'!V41+'Transfery neinvestiční 2.5'!R40+'Transfery investiční'!E40+'Transfery investiční'!I40+'Transfery investiční'!M40+'Transfery investiční'!Q40+'Transfery investiční'!U40+'Transfery nein.2.5a'!Z41+'Transfery investiční'!Y40</f>
        <v>2789</v>
      </c>
      <c r="Q38" s="48">
        <f>'Transfery neinvestiční 2.5'!C40+'Transfery neinvestiční 2.5'!G40+'Transfery neinvestiční 2.5'!K40+'Transfery neinvestiční 2.5'!O40+'Transfery nein.2.5a'!C41+'Transfery nein.2.5a'!O41+'Transfery nein.2.5a'!S41+'Transfery nein.2.5a'!W41+'Transfery neinvestiční 2.5'!S40+'Transfery investiční'!B40+'Transfery investiční'!F40+'Transfery investiční'!J40+'Transfery investiční'!N40+'Transfery investiční'!R40+'Transfery investiční'!V40+'Transfery nein.2.5a'!AA41+'Transfery investiční'!Z40</f>
        <v>3815</v>
      </c>
      <c r="R38" s="48">
        <f>'Transfery neinvestiční 2.5'!D40+'Transfery neinvestiční 2.5'!H40+'Transfery neinvestiční 2.5'!L40+'Transfery neinvestiční 2.5'!P40+'Transfery nein.2.5a'!D41+'Transfery nein.2.5a'!P41+'Transfery nein.2.5a'!T41+'Transfery nein.2.5a'!X41+'Transfery neinvestiční 2.5'!T40+'Transfery investiční'!C40+'Transfery investiční'!G40+'Transfery investiční'!K40+'Transfery investiční'!O40+'Transfery investiční'!S40+'Transfery investiční'!W40+'Transfery nein.2.5a'!AB41+'Transfery investiční'!AA40</f>
        <v>3814</v>
      </c>
      <c r="S38" s="57">
        <f t="shared" si="3"/>
        <v>99.9737876802097</v>
      </c>
    </row>
    <row r="39" spans="1:19" ht="16.5" customHeight="1" thickBot="1">
      <c r="A39" s="121" t="s">
        <v>219</v>
      </c>
      <c r="B39" s="61">
        <f>'Daňové příjmy'!B40+'Daňové příjmy'!F40++'Daňové příjmy'!J40+'Daňové příjmy'!N40+'Ost.daně=Místní popl.'!B41</f>
        <v>40</v>
      </c>
      <c r="C39" s="62">
        <f>'Daňové příjmy'!C40+'Daňové příjmy'!G40++'Daňové příjmy'!K40+'Daňové příjmy'!O40+'Ost.daně=Místní popl.'!C41</f>
        <v>67</v>
      </c>
      <c r="D39" s="62">
        <f>'Daňové příjmy'!D40+'Daňové příjmy'!H40+'Daňové příjmy'!L40+'Daňové příjmy'!P40+'Ost.daně=Místní popl.'!D41</f>
        <v>67</v>
      </c>
      <c r="E39" s="51">
        <v>-100710</v>
      </c>
      <c r="F39" s="51">
        <f t="shared" si="1"/>
        <v>33.709999999999994</v>
      </c>
      <c r="G39" s="63">
        <f t="shared" si="0"/>
        <v>100</v>
      </c>
      <c r="H39" s="61">
        <f>'Nedaňové příjmy'!B42+'Nedaňové příjmy'!F42+'Nedaňové příjmy'!J42+'Nedaňové příjmy'!N42+'Nedaňové příjmy'!R42+'Nedaňové příjmy'!V42</f>
        <v>66</v>
      </c>
      <c r="I39" s="62">
        <f>'Nedaňové příjmy'!C42+'Nedaňové příjmy'!G42+'Nedaňové příjmy'!K42+'Nedaňové příjmy'!O42+'Nedaňové příjmy'!S42+'Nedaňové příjmy'!W42</f>
        <v>215</v>
      </c>
      <c r="J39" s="62">
        <f>'Nedaňové příjmy'!D42+'Nedaňové příjmy'!H42+'Nedaňové příjmy'!L42+'Nedaňové příjmy'!P42+'Nedaňové příjmy'!T42+'Nedaňové příjmy'!X42</f>
        <v>215</v>
      </c>
      <c r="K39" s="63">
        <f t="shared" si="2"/>
        <v>100</v>
      </c>
      <c r="L39" s="61">
        <f>'Kapitálové příjmy'!B40+'Kapitálové příjmy'!F40</f>
        <v>0</v>
      </c>
      <c r="M39" s="62">
        <f>'Kapitálové příjmy'!C40+'Kapitálové příjmy'!G40</f>
        <v>0</v>
      </c>
      <c r="N39" s="62">
        <f>'Kapitálové příjmy'!D40+'Kapitálové příjmy'!H40</f>
        <v>0</v>
      </c>
      <c r="O39" s="63"/>
      <c r="P39" s="61">
        <f>'Transfery neinvestiční 2.5'!B41+'Transfery neinvestiční 2.5'!F41+'Transfery neinvestiční 2.5'!J41+'Transfery neinvestiční 2.5'!N41+'Transfery nein.2.5a'!B42+'Transfery nein.2.5a'!N42+'Transfery nein.2.5a'!R42+'Transfery nein.2.5a'!V42+'Transfery neinvestiční 2.5'!R41+'Transfery investiční'!E41+'Transfery investiční'!I41+'Transfery investiční'!M41+'Transfery investiční'!Q41+'Transfery investiční'!U41+'Transfery nein.2.5a'!Z42+'Transfery investiční'!Y41</f>
        <v>2135</v>
      </c>
      <c r="Q39" s="62">
        <f>'Transfery neinvestiční 2.5'!C41+'Transfery neinvestiční 2.5'!G41+'Transfery neinvestiční 2.5'!K41+'Transfery neinvestiční 2.5'!O41+'Transfery nein.2.5a'!C42+'Transfery nein.2.5a'!O42+'Transfery nein.2.5a'!S42+'Transfery nein.2.5a'!W42+'Transfery neinvestiční 2.5'!S41+'Transfery investiční'!B41+'Transfery investiční'!F41+'Transfery investiční'!J41+'Transfery investiční'!N41+'Transfery investiční'!R41+'Transfery investiční'!V41+'Transfery nein.2.5a'!AA42+'Transfery investiční'!Z41</f>
        <v>2579</v>
      </c>
      <c r="R39" s="62">
        <f>'Transfery neinvestiční 2.5'!D41+'Transfery neinvestiční 2.5'!H41+'Transfery neinvestiční 2.5'!L41+'Transfery neinvestiční 2.5'!P41+'Transfery nein.2.5a'!D42+'Transfery nein.2.5a'!P42+'Transfery nein.2.5a'!T42+'Transfery nein.2.5a'!X42+'Transfery neinvestiční 2.5'!T41+'Transfery investiční'!C41+'Transfery investiční'!G41+'Transfery investiční'!K41+'Transfery investiční'!O41+'Transfery investiční'!S41+'Transfery investiční'!W41+'Transfery nein.2.5a'!AB42+'Transfery investiční'!AA41</f>
        <v>2579</v>
      </c>
      <c r="S39" s="63">
        <f t="shared" si="3"/>
        <v>100</v>
      </c>
    </row>
    <row r="40" spans="1:19" ht="15" customHeight="1" thickBot="1">
      <c r="A40" s="118"/>
      <c r="B40" s="58"/>
      <c r="C40" s="59"/>
      <c r="D40" s="59"/>
      <c r="E40" s="54"/>
      <c r="F40" s="54"/>
      <c r="G40" s="60"/>
      <c r="H40" s="58"/>
      <c r="I40" s="59"/>
      <c r="J40" s="59"/>
      <c r="K40" s="60"/>
      <c r="L40" s="58"/>
      <c r="M40" s="59"/>
      <c r="N40" s="59"/>
      <c r="O40" s="60"/>
      <c r="P40" s="58"/>
      <c r="Q40" s="59"/>
      <c r="R40" s="59"/>
      <c r="S40" s="60"/>
    </row>
    <row r="41" spans="1:19" s="93" customFormat="1" ht="20.25" customHeight="1" thickBot="1">
      <c r="A41" s="122" t="s">
        <v>245</v>
      </c>
      <c r="B41" s="100">
        <f>SUM(B11:B39)</f>
        <v>193996</v>
      </c>
      <c r="C41" s="101">
        <f>SUM(C11:C39)</f>
        <v>332563</v>
      </c>
      <c r="D41" s="101">
        <f>SUM(D11:D39)</f>
        <v>325090</v>
      </c>
      <c r="E41" s="123">
        <f>SUM(E11:E39)</f>
        <v>-244729332.74</v>
      </c>
      <c r="F41" s="123"/>
      <c r="G41" s="124">
        <f>SUM(D41/C41*100)</f>
        <v>97.75290696800305</v>
      </c>
      <c r="H41" s="100">
        <f>SUM(H11:H39)</f>
        <v>151293</v>
      </c>
      <c r="I41" s="101">
        <f>SUM(I11:I39)</f>
        <v>286736</v>
      </c>
      <c r="J41" s="101">
        <f>SUM(J11:J39)</f>
        <v>290377</v>
      </c>
      <c r="K41" s="124">
        <f>SUM(J41/I41*100)</f>
        <v>101.26980916243514</v>
      </c>
      <c r="L41" s="100">
        <f>SUM(L11:L39)</f>
        <v>240</v>
      </c>
      <c r="M41" s="101">
        <f>SUM(M11:M39)</f>
        <v>914</v>
      </c>
      <c r="N41" s="101">
        <f>SUM(N11:N39)</f>
        <v>917</v>
      </c>
      <c r="O41" s="124">
        <f>SUM(N41/M41*100)</f>
        <v>100.32822757111597</v>
      </c>
      <c r="P41" s="100">
        <f>SUM(P11:P39)</f>
        <v>1690840</v>
      </c>
      <c r="Q41" s="101">
        <f>SUM(Q11:Q39)</f>
        <v>2139081</v>
      </c>
      <c r="R41" s="101">
        <f>SUM(R11:R39)</f>
        <v>2134382</v>
      </c>
      <c r="S41" s="124">
        <f>SUM(R41/Q41*100)</f>
        <v>99.78032622420562</v>
      </c>
    </row>
    <row r="45" spans="1:18" ht="15.75" customHeight="1">
      <c r="A45" s="93">
        <v>2011</v>
      </c>
      <c r="B45" s="47">
        <v>200204</v>
      </c>
      <c r="C45" s="47">
        <v>276821</v>
      </c>
      <c r="D45" s="47">
        <v>306564</v>
      </c>
      <c r="E45" s="47"/>
      <c r="F45" s="47"/>
      <c r="G45" s="47"/>
      <c r="H45" s="47">
        <v>145723</v>
      </c>
      <c r="I45" s="47">
        <v>332968</v>
      </c>
      <c r="J45" s="47">
        <v>339311</v>
      </c>
      <c r="K45" s="47"/>
      <c r="L45" s="47">
        <v>110</v>
      </c>
      <c r="M45" s="47">
        <v>1024</v>
      </c>
      <c r="N45" s="47">
        <v>3419</v>
      </c>
      <c r="O45" s="47"/>
      <c r="P45" s="47">
        <v>1677171</v>
      </c>
      <c r="Q45" s="47">
        <v>2152021</v>
      </c>
      <c r="R45" s="47">
        <v>2110622</v>
      </c>
    </row>
    <row r="46" spans="2:18" ht="15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5.75" customHeight="1">
      <c r="A47" s="93">
        <v>2012</v>
      </c>
      <c r="B47" s="47">
        <v>193996</v>
      </c>
      <c r="C47" s="47">
        <v>332563</v>
      </c>
      <c r="D47" s="47">
        <v>325090</v>
      </c>
      <c r="E47" s="47"/>
      <c r="F47" s="47"/>
      <c r="G47" s="47"/>
      <c r="H47" s="47">
        <v>151293</v>
      </c>
      <c r="I47" s="47">
        <v>286736</v>
      </c>
      <c r="J47" s="47">
        <v>290377</v>
      </c>
      <c r="K47" s="47"/>
      <c r="L47" s="47">
        <v>240</v>
      </c>
      <c r="M47" s="47">
        <v>914</v>
      </c>
      <c r="N47" s="47">
        <v>917</v>
      </c>
      <c r="O47" s="47"/>
      <c r="P47" s="47">
        <v>1690840</v>
      </c>
      <c r="Q47" s="47">
        <v>2139081</v>
      </c>
      <c r="R47" s="47">
        <v>2134382</v>
      </c>
    </row>
    <row r="49" spans="4:18" ht="15.75">
      <c r="D49" s="40">
        <f>(D47-D45)/D45*100</f>
        <v>6.0431100846805235</v>
      </c>
      <c r="J49" s="108">
        <f>(J47-J45)/J45*100</f>
        <v>-14.421577844514324</v>
      </c>
      <c r="N49" s="108">
        <f>(N47-N45)/N45*100</f>
        <v>-73.17929219069903</v>
      </c>
      <c r="R49" s="108">
        <f>(R47-R45)/R45*100</f>
        <v>1.125734499119217</v>
      </c>
    </row>
    <row r="50" ht="15.75" customHeight="1"/>
    <row r="51" spans="4:18" ht="15.75" customHeight="1">
      <c r="D51" s="47">
        <f>D47-D45</f>
        <v>18526</v>
      </c>
      <c r="E51" s="40">
        <f aca="true" t="shared" si="4" ref="E51:O51">-E47+E45</f>
        <v>0</v>
      </c>
      <c r="F51" s="40">
        <f t="shared" si="4"/>
        <v>0</v>
      </c>
      <c r="G51" s="40">
        <f t="shared" si="4"/>
        <v>0</v>
      </c>
      <c r="J51" s="47">
        <f>J47-J45</f>
        <v>-48934</v>
      </c>
      <c r="K51" s="40">
        <f t="shared" si="4"/>
        <v>0</v>
      </c>
      <c r="N51" s="47">
        <f>N47-N45</f>
        <v>-2502</v>
      </c>
      <c r="O51" s="40">
        <f t="shared" si="4"/>
        <v>0</v>
      </c>
      <c r="R51" s="47">
        <f>R47-R45</f>
        <v>23760</v>
      </c>
    </row>
    <row r="52" ht="15.75" customHeight="1"/>
    <row r="53" ht="15.75" customHeight="1"/>
    <row r="54" ht="15.75" customHeight="1"/>
    <row r="55" ht="18" customHeight="1">
      <c r="D55" s="40">
        <f>D47/D45*100</f>
        <v>106.04311008468052</v>
      </c>
    </row>
    <row r="56" spans="4:18" ht="18" customHeight="1">
      <c r="D56" s="40">
        <f>D41/'Příjmy a Výdaje '!D41*100</f>
        <v>11.818162649967318</v>
      </c>
      <c r="J56" s="40">
        <f>J41/'Příjmy a Výdaje '!D41*100</f>
        <v>10.556223248360638</v>
      </c>
      <c r="N56" s="40">
        <f>N41/'Příjmy a Výdaje '!D41*100</f>
        <v>0.03333616890713351</v>
      </c>
      <c r="R56" s="40">
        <f>R41/'Příjmy a Výdaje '!D41*100</f>
        <v>77.59227793276492</v>
      </c>
    </row>
    <row r="57" ht="13.5" customHeight="1"/>
    <row r="58" ht="15.75">
      <c r="J58" s="47">
        <f>J47-J45</f>
        <v>-48934</v>
      </c>
    </row>
    <row r="59" ht="18" customHeight="1">
      <c r="J59" s="40">
        <f>-J58/J45*100</f>
        <v>14.421577844514324</v>
      </c>
    </row>
    <row r="60" ht="13.5" customHeight="1"/>
    <row r="61" ht="13.5" customHeight="1">
      <c r="J61" s="40">
        <f>J47/J45*100</f>
        <v>85.57842215548568</v>
      </c>
    </row>
    <row r="62" ht="13.5" customHeight="1"/>
    <row r="63" ht="13.5" customHeight="1"/>
    <row r="64" ht="13.5" customHeight="1"/>
    <row r="65" spans="1:8" ht="13.5" customHeight="1">
      <c r="A65" s="93" t="s">
        <v>255</v>
      </c>
      <c r="B65" s="47">
        <f>B41+H41+L41</f>
        <v>345529</v>
      </c>
      <c r="C65" s="47">
        <f>C41+I41+M41</f>
        <v>620213</v>
      </c>
      <c r="D65" s="47">
        <f>D41+J41+N41</f>
        <v>616384</v>
      </c>
      <c r="H65" s="40">
        <f>D65/'Příjmy a Výdaje '!D41*100</f>
        <v>22.40772206723509</v>
      </c>
    </row>
    <row r="66" ht="13.5" customHeight="1"/>
    <row r="67" spans="1:8" ht="13.5" customHeight="1">
      <c r="A67" s="93" t="s">
        <v>256</v>
      </c>
      <c r="B67" s="47">
        <f>B45+H45+L45</f>
        <v>346037</v>
      </c>
      <c r="C67" s="47">
        <f>C45+I45+M45</f>
        <v>610813</v>
      </c>
      <c r="D67" s="47">
        <f>D45+J45+N45</f>
        <v>649294</v>
      </c>
      <c r="E67" s="47">
        <f>E45+K45+O45</f>
        <v>0</v>
      </c>
      <c r="F67" s="47">
        <f>F45+L45+P45</f>
        <v>1677281</v>
      </c>
      <c r="H67" s="47">
        <f>D67-D65</f>
        <v>32910</v>
      </c>
    </row>
    <row r="68" ht="13.5" customHeight="1"/>
    <row r="69" ht="13.5" customHeight="1">
      <c r="H69" s="40">
        <f>H67/D67*100</f>
        <v>5.068582183109655</v>
      </c>
    </row>
    <row r="70" ht="13.5" customHeight="1">
      <c r="H70" s="40">
        <f>D65/D67*100</f>
        <v>94.93141781689035</v>
      </c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19">
    <mergeCell ref="L8:L9"/>
    <mergeCell ref="M8:M9"/>
    <mergeCell ref="N8:N9"/>
    <mergeCell ref="P8:P9"/>
    <mergeCell ref="Q8:Q9"/>
    <mergeCell ref="R8:R9"/>
    <mergeCell ref="A2:S2"/>
    <mergeCell ref="A4:S4"/>
    <mergeCell ref="B7:G7"/>
    <mergeCell ref="H7:K7"/>
    <mergeCell ref="L7:O7"/>
    <mergeCell ref="P7:S7"/>
    <mergeCell ref="A7:A9"/>
    <mergeCell ref="B8:B9"/>
    <mergeCell ref="C8:C9"/>
    <mergeCell ref="D8:D9"/>
    <mergeCell ref="H8:H9"/>
    <mergeCell ref="I8:I9"/>
    <mergeCell ref="J8:J9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180" verticalDpi="18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9"/>
  <sheetViews>
    <sheetView showZeros="0" view="pageBreakPreview" zoomScale="85" zoomScaleNormal="70" zoomScaleSheetLayoutView="85" zoomScalePageLayoutView="0" workbookViewId="0" topLeftCell="A1">
      <pane xSplit="1" ySplit="10" topLeftCell="J35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Q38" sqref="Q38"/>
    </sheetView>
  </sheetViews>
  <sheetFormatPr defaultColWidth="8.796875" defaultRowHeight="15"/>
  <cols>
    <col min="1" max="1" width="31.3984375" style="82" customWidth="1"/>
    <col min="2" max="2" width="11.8984375" style="44" customWidth="1"/>
    <col min="3" max="4" width="11.8984375" style="40" customWidth="1"/>
    <col min="5" max="5" width="6.796875" style="44" customWidth="1"/>
    <col min="6" max="8" width="11.69921875" style="44" customWidth="1"/>
    <col min="9" max="9" width="6.796875" style="44" customWidth="1"/>
    <col min="10" max="12" width="11.8984375" style="44" customWidth="1"/>
    <col min="13" max="13" width="6.796875" style="44" customWidth="1"/>
    <col min="14" max="16" width="11.8984375" style="44" customWidth="1"/>
    <col min="17" max="17" width="6.796875" style="44" customWidth="1"/>
    <col min="18" max="19" width="9.296875" style="44" customWidth="1"/>
    <col min="20" max="20" width="11.296875" style="44" bestFit="1" customWidth="1"/>
    <col min="21" max="22" width="9.796875" style="44" customWidth="1"/>
    <col min="23" max="23" width="1" style="44" customWidth="1"/>
    <col min="24" max="24" width="11.296875" style="44" bestFit="1" customWidth="1"/>
    <col min="25" max="25" width="11.296875" style="44" customWidth="1"/>
    <col min="26" max="26" width="9.796875" style="44" customWidth="1"/>
    <col min="27" max="27" width="6.59765625" style="44" customWidth="1"/>
    <col min="28" max="31" width="7.796875" style="44" customWidth="1"/>
    <col min="32" max="34" width="8.796875" style="44" customWidth="1"/>
    <col min="35" max="38" width="7.796875" style="44" customWidth="1"/>
    <col min="39" max="39" width="6.796875" style="44" customWidth="1"/>
    <col min="40" max="42" width="8.796875" style="44" customWidth="1"/>
    <col min="43" max="46" width="7.796875" style="44" customWidth="1"/>
    <col min="47" max="47" width="6.796875" style="44" customWidth="1"/>
    <col min="48" max="52" width="7.796875" style="44" customWidth="1"/>
    <col min="53" max="53" width="5.796875" style="44" customWidth="1"/>
    <col min="54" max="54" width="9.796875" style="44" customWidth="1"/>
    <col min="55" max="55" width="6.796875" style="44" customWidth="1"/>
    <col min="56" max="58" width="9.796875" style="44" customWidth="1"/>
    <col min="59" max="59" width="4.796875" style="44" customWidth="1"/>
    <col min="60" max="60" width="0" style="44" hidden="1" customWidth="1"/>
    <col min="61" max="16384" width="8.8984375" style="44" customWidth="1"/>
  </cols>
  <sheetData>
    <row r="1" spans="3:4" s="82" customFormat="1" ht="17.25" customHeight="1">
      <c r="C1" s="93"/>
      <c r="D1" s="93"/>
    </row>
    <row r="2" spans="1:17" s="110" customFormat="1" ht="24" customHeight="1">
      <c r="A2" s="293" t="s">
        <v>236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4" s="110" customFormat="1" ht="15" customHeight="1">
      <c r="A3" s="126"/>
      <c r="C3" s="111"/>
      <c r="D3" s="111"/>
    </row>
    <row r="4" spans="1:17" s="110" customFormat="1" ht="21" customHeight="1">
      <c r="A4" s="293" t="s">
        <v>26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3:17" s="82" customFormat="1" ht="22.5" customHeight="1">
      <c r="C5" s="93"/>
      <c r="D5" s="93"/>
      <c r="Q5" s="132" t="s">
        <v>27</v>
      </c>
    </row>
    <row r="6" ht="22.5" customHeight="1" thickBot="1">
      <c r="Q6" s="132" t="s">
        <v>1</v>
      </c>
    </row>
    <row r="7" spans="1:17" ht="22.5" customHeight="1" thickBot="1">
      <c r="A7" s="294" t="s">
        <v>229</v>
      </c>
      <c r="B7" s="314" t="s">
        <v>28</v>
      </c>
      <c r="C7" s="315"/>
      <c r="D7" s="315"/>
      <c r="E7" s="316"/>
      <c r="F7" s="314" t="s">
        <v>29</v>
      </c>
      <c r="G7" s="315"/>
      <c r="H7" s="315"/>
      <c r="I7" s="316"/>
      <c r="J7" s="314" t="s">
        <v>30</v>
      </c>
      <c r="K7" s="315"/>
      <c r="L7" s="315"/>
      <c r="M7" s="316"/>
      <c r="N7" s="314" t="s">
        <v>31</v>
      </c>
      <c r="O7" s="315"/>
      <c r="P7" s="315"/>
      <c r="Q7" s="316"/>
    </row>
    <row r="8" spans="1:17" ht="18" customHeight="1">
      <c r="A8" s="295"/>
      <c r="B8" s="308" t="s">
        <v>242</v>
      </c>
      <c r="C8" s="309" t="s">
        <v>244</v>
      </c>
      <c r="D8" s="309" t="s">
        <v>243</v>
      </c>
      <c r="E8" s="117" t="s">
        <v>0</v>
      </c>
      <c r="F8" s="308" t="s">
        <v>242</v>
      </c>
      <c r="G8" s="309" t="s">
        <v>244</v>
      </c>
      <c r="H8" s="309" t="s">
        <v>243</v>
      </c>
      <c r="I8" s="117" t="s">
        <v>0</v>
      </c>
      <c r="J8" s="308" t="s">
        <v>242</v>
      </c>
      <c r="K8" s="309" t="s">
        <v>244</v>
      </c>
      <c r="L8" s="309" t="s">
        <v>243</v>
      </c>
      <c r="M8" s="117" t="s">
        <v>0</v>
      </c>
      <c r="N8" s="308" t="s">
        <v>242</v>
      </c>
      <c r="O8" s="309" t="s">
        <v>244</v>
      </c>
      <c r="P8" s="309" t="s">
        <v>243</v>
      </c>
      <c r="Q8" s="117" t="s">
        <v>0</v>
      </c>
    </row>
    <row r="9" spans="1:17" ht="18" customHeight="1" thickBot="1">
      <c r="A9" s="296"/>
      <c r="B9" s="290"/>
      <c r="C9" s="292"/>
      <c r="D9" s="292"/>
      <c r="E9" s="89" t="s">
        <v>11</v>
      </c>
      <c r="F9" s="290"/>
      <c r="G9" s="292"/>
      <c r="H9" s="292"/>
      <c r="I9" s="89" t="s">
        <v>11</v>
      </c>
      <c r="J9" s="290"/>
      <c r="K9" s="292"/>
      <c r="L9" s="292"/>
      <c r="M9" s="89" t="s">
        <v>11</v>
      </c>
      <c r="N9" s="290"/>
      <c r="O9" s="292"/>
      <c r="P9" s="292"/>
      <c r="Q9" s="89" t="s">
        <v>11</v>
      </c>
    </row>
    <row r="10" spans="1:17" ht="15.75" customHeight="1">
      <c r="A10" s="98"/>
      <c r="B10" s="317" t="s">
        <v>36</v>
      </c>
      <c r="C10" s="318"/>
      <c r="D10" s="318"/>
      <c r="E10" s="319"/>
      <c r="F10" s="317" t="s">
        <v>37</v>
      </c>
      <c r="G10" s="318"/>
      <c r="H10" s="318"/>
      <c r="I10" s="319"/>
      <c r="J10" s="317" t="s">
        <v>38</v>
      </c>
      <c r="K10" s="318"/>
      <c r="L10" s="318"/>
      <c r="M10" s="319"/>
      <c r="N10" s="317" t="s">
        <v>39</v>
      </c>
      <c r="O10" s="318"/>
      <c r="P10" s="318"/>
      <c r="Q10" s="319"/>
    </row>
    <row r="11" spans="1:26" ht="16.5" customHeight="1" thickBot="1">
      <c r="A11" s="98"/>
      <c r="B11" s="141"/>
      <c r="C11" s="54"/>
      <c r="D11" s="54"/>
      <c r="E11" s="142"/>
      <c r="F11" s="141"/>
      <c r="G11" s="147"/>
      <c r="H11" s="54"/>
      <c r="I11" s="142"/>
      <c r="J11" s="141"/>
      <c r="K11" s="147"/>
      <c r="L11" s="147"/>
      <c r="M11" s="142"/>
      <c r="N11" s="141"/>
      <c r="O11" s="147"/>
      <c r="P11" s="147"/>
      <c r="Q11" s="142"/>
      <c r="T11" s="44" t="s">
        <v>12</v>
      </c>
      <c r="U11" s="44" t="s">
        <v>13</v>
      </c>
      <c r="V11" s="44" t="s">
        <v>145</v>
      </c>
      <c r="X11" s="44" t="s">
        <v>12</v>
      </c>
      <c r="Y11" s="44" t="s">
        <v>13</v>
      </c>
      <c r="Z11" s="44" t="s">
        <v>145</v>
      </c>
    </row>
    <row r="12" spans="1:26" ht="15.75" customHeight="1">
      <c r="A12" s="95" t="s">
        <v>191</v>
      </c>
      <c r="B12" s="154">
        <v>6279</v>
      </c>
      <c r="C12" s="74">
        <v>15425</v>
      </c>
      <c r="D12" s="74">
        <v>15425</v>
      </c>
      <c r="E12" s="155">
        <f aca="true" t="shared" si="0" ref="E12:E40">SUM(D12/C12*100)</f>
        <v>100</v>
      </c>
      <c r="F12" s="154">
        <v>16</v>
      </c>
      <c r="G12" s="156">
        <v>16</v>
      </c>
      <c r="H12" s="74">
        <v>21</v>
      </c>
      <c r="I12" s="155">
        <f>SUM(H12/G12*100)</f>
        <v>131.25</v>
      </c>
      <c r="J12" s="154">
        <v>2000</v>
      </c>
      <c r="K12" s="156">
        <v>42292</v>
      </c>
      <c r="L12" s="156">
        <v>40296</v>
      </c>
      <c r="M12" s="155">
        <f aca="true" t="shared" si="1" ref="M12:M19">SUM(L12/K12*100)</f>
        <v>95.28043128724109</v>
      </c>
      <c r="N12" s="154">
        <v>2360</v>
      </c>
      <c r="O12" s="156">
        <v>2660</v>
      </c>
      <c r="P12" s="156">
        <v>2125</v>
      </c>
      <c r="Q12" s="155">
        <f aca="true" t="shared" si="2" ref="Q12:Q37">SUM(P12/O12*100)</f>
        <v>79.88721804511279</v>
      </c>
      <c r="T12" s="44">
        <v>2000</v>
      </c>
      <c r="U12" s="44">
        <v>1384</v>
      </c>
      <c r="V12" s="44">
        <v>1384</v>
      </c>
      <c r="X12" s="44">
        <f>B12-T12</f>
        <v>4279</v>
      </c>
      <c r="Y12" s="44">
        <f aca="true" t="shared" si="3" ref="Y12:Z27">C12-U12</f>
        <v>14041</v>
      </c>
      <c r="Z12" s="44">
        <f t="shared" si="3"/>
        <v>14041</v>
      </c>
    </row>
    <row r="13" spans="1:26" ht="16.5" customHeight="1">
      <c r="A13" s="96" t="s">
        <v>192</v>
      </c>
      <c r="B13" s="143">
        <v>800</v>
      </c>
      <c r="C13" s="48">
        <v>836</v>
      </c>
      <c r="D13" s="48">
        <v>836</v>
      </c>
      <c r="E13" s="144">
        <f t="shared" si="0"/>
        <v>100</v>
      </c>
      <c r="F13" s="143"/>
      <c r="G13" s="138">
        <v>2</v>
      </c>
      <c r="H13" s="48">
        <v>2</v>
      </c>
      <c r="I13" s="144">
        <f>SUM(H13/G13*100)</f>
        <v>100</v>
      </c>
      <c r="J13" s="143">
        <v>200</v>
      </c>
      <c r="K13" s="138">
        <v>2304</v>
      </c>
      <c r="L13" s="138">
        <v>2304</v>
      </c>
      <c r="M13" s="144">
        <f t="shared" si="1"/>
        <v>100</v>
      </c>
      <c r="N13" s="143">
        <v>200</v>
      </c>
      <c r="O13" s="138">
        <v>250</v>
      </c>
      <c r="P13" s="138">
        <v>252</v>
      </c>
      <c r="Q13" s="144">
        <f t="shared" si="2"/>
        <v>100.8</v>
      </c>
      <c r="T13" s="44">
        <v>1000</v>
      </c>
      <c r="U13" s="44">
        <v>1075</v>
      </c>
      <c r="V13" s="44">
        <v>1075</v>
      </c>
      <c r="X13" s="44">
        <f aca="true" t="shared" si="4" ref="X13:Z41">B13-T13</f>
        <v>-200</v>
      </c>
      <c r="Y13" s="44">
        <f t="shared" si="3"/>
        <v>-239</v>
      </c>
      <c r="Z13" s="44">
        <f t="shared" si="3"/>
        <v>-239</v>
      </c>
    </row>
    <row r="14" spans="1:26" ht="16.5" customHeight="1">
      <c r="A14" s="96" t="s">
        <v>193</v>
      </c>
      <c r="B14" s="143">
        <v>7280</v>
      </c>
      <c r="C14" s="48">
        <v>5276</v>
      </c>
      <c r="D14" s="48">
        <v>5276</v>
      </c>
      <c r="E14" s="144">
        <f t="shared" si="0"/>
        <v>100</v>
      </c>
      <c r="F14" s="143"/>
      <c r="G14" s="138">
        <v>1</v>
      </c>
      <c r="H14" s="48">
        <v>1</v>
      </c>
      <c r="I14" s="144">
        <f>SUM(H14/G14*100)</f>
        <v>100</v>
      </c>
      <c r="J14" s="143">
        <v>1</v>
      </c>
      <c r="K14" s="138">
        <v>1325</v>
      </c>
      <c r="L14" s="138">
        <v>1324</v>
      </c>
      <c r="M14" s="144">
        <f t="shared" si="1"/>
        <v>99.9245283018868</v>
      </c>
      <c r="N14" s="143">
        <v>95</v>
      </c>
      <c r="O14" s="138">
        <v>170</v>
      </c>
      <c r="P14" s="138">
        <v>171</v>
      </c>
      <c r="Q14" s="144">
        <f t="shared" si="2"/>
        <v>100.58823529411765</v>
      </c>
      <c r="T14" s="44">
        <v>1000</v>
      </c>
      <c r="U14" s="44">
        <v>561</v>
      </c>
      <c r="V14" s="44">
        <v>561</v>
      </c>
      <c r="X14" s="44">
        <f t="shared" si="4"/>
        <v>6280</v>
      </c>
      <c r="Y14" s="44">
        <f t="shared" si="3"/>
        <v>4715</v>
      </c>
      <c r="Z14" s="44">
        <f t="shared" si="3"/>
        <v>4715</v>
      </c>
    </row>
    <row r="15" spans="1:26" ht="16.5" customHeight="1">
      <c r="A15" s="96" t="s">
        <v>194</v>
      </c>
      <c r="B15" s="143">
        <v>0</v>
      </c>
      <c r="C15" s="48">
        <v>4551</v>
      </c>
      <c r="D15" s="48">
        <v>4551</v>
      </c>
      <c r="E15" s="144">
        <f t="shared" si="0"/>
        <v>100</v>
      </c>
      <c r="F15" s="143"/>
      <c r="G15" s="138"/>
      <c r="H15" s="48"/>
      <c r="I15" s="144"/>
      <c r="J15" s="143">
        <v>0</v>
      </c>
      <c r="K15" s="138">
        <v>1564</v>
      </c>
      <c r="L15" s="138">
        <v>1564</v>
      </c>
      <c r="M15" s="144">
        <f t="shared" si="1"/>
        <v>100</v>
      </c>
      <c r="N15" s="143">
        <v>90</v>
      </c>
      <c r="O15" s="138">
        <v>90</v>
      </c>
      <c r="P15" s="138">
        <v>62</v>
      </c>
      <c r="Q15" s="144">
        <f t="shared" si="2"/>
        <v>68.88888888888889</v>
      </c>
      <c r="U15" s="44">
        <v>842</v>
      </c>
      <c r="V15" s="44">
        <v>842</v>
      </c>
      <c r="X15" s="44">
        <f t="shared" si="4"/>
        <v>0</v>
      </c>
      <c r="Y15" s="44">
        <f t="shared" si="3"/>
        <v>3709</v>
      </c>
      <c r="Z15" s="44">
        <f t="shared" si="3"/>
        <v>3709</v>
      </c>
    </row>
    <row r="16" spans="1:26" ht="16.5" customHeight="1">
      <c r="A16" s="96" t="s">
        <v>195</v>
      </c>
      <c r="B16" s="143">
        <v>0</v>
      </c>
      <c r="C16" s="48">
        <v>6002</v>
      </c>
      <c r="D16" s="48">
        <v>6002</v>
      </c>
      <c r="E16" s="144">
        <f t="shared" si="0"/>
        <v>100</v>
      </c>
      <c r="F16" s="143"/>
      <c r="G16" s="138"/>
      <c r="H16" s="48"/>
      <c r="I16" s="144"/>
      <c r="J16" s="143">
        <v>50</v>
      </c>
      <c r="K16" s="138">
        <v>2274</v>
      </c>
      <c r="L16" s="138">
        <v>2255</v>
      </c>
      <c r="M16" s="144">
        <f t="shared" si="1"/>
        <v>99.16446789797713</v>
      </c>
      <c r="N16" s="143">
        <v>160</v>
      </c>
      <c r="O16" s="138">
        <v>160</v>
      </c>
      <c r="P16" s="138">
        <v>134</v>
      </c>
      <c r="Q16" s="144">
        <f t="shared" si="2"/>
        <v>83.75</v>
      </c>
      <c r="U16" s="44">
        <v>802</v>
      </c>
      <c r="V16" s="44">
        <v>802</v>
      </c>
      <c r="X16" s="44">
        <f t="shared" si="4"/>
        <v>0</v>
      </c>
      <c r="Y16" s="44">
        <f t="shared" si="3"/>
        <v>5200</v>
      </c>
      <c r="Z16" s="44">
        <f t="shared" si="3"/>
        <v>5200</v>
      </c>
    </row>
    <row r="17" spans="1:26" ht="16.5" customHeight="1">
      <c r="A17" s="96" t="s">
        <v>196</v>
      </c>
      <c r="B17" s="143">
        <v>580</v>
      </c>
      <c r="C17" s="48">
        <v>642</v>
      </c>
      <c r="D17" s="48">
        <v>642</v>
      </c>
      <c r="E17" s="144">
        <f t="shared" si="0"/>
        <v>100</v>
      </c>
      <c r="F17" s="143"/>
      <c r="G17" s="138">
        <v>1</v>
      </c>
      <c r="H17" s="48">
        <v>1</v>
      </c>
      <c r="I17" s="144">
        <f>SUM(H17/G17*100)</f>
        <v>100</v>
      </c>
      <c r="J17" s="143">
        <v>30</v>
      </c>
      <c r="K17" s="138">
        <v>182</v>
      </c>
      <c r="L17" s="138">
        <v>168</v>
      </c>
      <c r="M17" s="144">
        <f t="shared" si="1"/>
        <v>92.3076923076923</v>
      </c>
      <c r="N17" s="143">
        <v>80</v>
      </c>
      <c r="O17" s="138">
        <v>80</v>
      </c>
      <c r="P17" s="138">
        <v>51</v>
      </c>
      <c r="Q17" s="144">
        <f t="shared" si="2"/>
        <v>63.74999999999999</v>
      </c>
      <c r="T17" s="44">
        <v>700</v>
      </c>
      <c r="U17" s="44">
        <v>623</v>
      </c>
      <c r="V17" s="44">
        <v>623</v>
      </c>
      <c r="X17" s="44">
        <f t="shared" si="4"/>
        <v>-120</v>
      </c>
      <c r="Y17" s="44">
        <f t="shared" si="3"/>
        <v>19</v>
      </c>
      <c r="Z17" s="44">
        <f t="shared" si="3"/>
        <v>19</v>
      </c>
    </row>
    <row r="18" spans="1:26" ht="16.5" customHeight="1">
      <c r="A18" s="96" t="s">
        <v>197</v>
      </c>
      <c r="B18" s="143">
        <v>6400</v>
      </c>
      <c r="C18" s="48">
        <v>9790</v>
      </c>
      <c r="D18" s="48">
        <v>9790</v>
      </c>
      <c r="E18" s="144">
        <f t="shared" si="0"/>
        <v>100</v>
      </c>
      <c r="F18" s="143"/>
      <c r="G18" s="138"/>
      <c r="H18" s="48"/>
      <c r="I18" s="144"/>
      <c r="J18" s="143">
        <v>0</v>
      </c>
      <c r="K18" s="138">
        <v>3389</v>
      </c>
      <c r="L18" s="138">
        <v>3389</v>
      </c>
      <c r="M18" s="144">
        <f t="shared" si="1"/>
        <v>100</v>
      </c>
      <c r="N18" s="143">
        <v>400</v>
      </c>
      <c r="O18" s="138">
        <v>400</v>
      </c>
      <c r="P18" s="138">
        <v>301</v>
      </c>
      <c r="Q18" s="144">
        <f t="shared" si="2"/>
        <v>75.25</v>
      </c>
      <c r="T18" s="44">
        <v>80</v>
      </c>
      <c r="U18" s="44">
        <v>204</v>
      </c>
      <c r="V18" s="44">
        <f>204-1</f>
        <v>203</v>
      </c>
      <c r="X18" s="44">
        <f t="shared" si="4"/>
        <v>6320</v>
      </c>
      <c r="Y18" s="44">
        <f t="shared" si="3"/>
        <v>9586</v>
      </c>
      <c r="Z18" s="44">
        <f t="shared" si="3"/>
        <v>9587</v>
      </c>
    </row>
    <row r="19" spans="1:26" ht="16.5" customHeight="1">
      <c r="A19" s="96" t="s">
        <v>198</v>
      </c>
      <c r="B19" s="143">
        <v>0</v>
      </c>
      <c r="C19" s="48">
        <v>7238</v>
      </c>
      <c r="D19" s="48">
        <v>7238</v>
      </c>
      <c r="E19" s="144">
        <f t="shared" si="0"/>
        <v>100</v>
      </c>
      <c r="F19" s="143"/>
      <c r="G19" s="138">
        <v>1</v>
      </c>
      <c r="H19" s="48">
        <v>1</v>
      </c>
      <c r="I19" s="144">
        <f>SUM(H19/G19*100)</f>
        <v>100</v>
      </c>
      <c r="J19" s="143">
        <v>200</v>
      </c>
      <c r="K19" s="138">
        <v>1886</v>
      </c>
      <c r="L19" s="138">
        <v>1887</v>
      </c>
      <c r="M19" s="144">
        <f t="shared" si="1"/>
        <v>100.05302226935314</v>
      </c>
      <c r="N19" s="143">
        <v>600</v>
      </c>
      <c r="O19" s="138">
        <v>350</v>
      </c>
      <c r="P19" s="138">
        <v>358</v>
      </c>
      <c r="Q19" s="144">
        <f t="shared" si="2"/>
        <v>102.28571428571429</v>
      </c>
      <c r="U19" s="44">
        <v>379</v>
      </c>
      <c r="V19" s="44">
        <v>379</v>
      </c>
      <c r="X19" s="44">
        <f t="shared" si="4"/>
        <v>0</v>
      </c>
      <c r="Y19" s="44">
        <f t="shared" si="3"/>
        <v>6859</v>
      </c>
      <c r="Z19" s="44">
        <f t="shared" si="3"/>
        <v>6859</v>
      </c>
    </row>
    <row r="20" spans="1:26" ht="16.5" customHeight="1">
      <c r="A20" s="96" t="s">
        <v>199</v>
      </c>
      <c r="B20" s="143">
        <v>0</v>
      </c>
      <c r="C20" s="48">
        <v>58</v>
      </c>
      <c r="D20" s="48">
        <v>58</v>
      </c>
      <c r="E20" s="144">
        <f t="shared" si="0"/>
        <v>100</v>
      </c>
      <c r="F20" s="143"/>
      <c r="G20" s="138"/>
      <c r="H20" s="48"/>
      <c r="I20" s="144"/>
      <c r="J20" s="143"/>
      <c r="K20" s="138"/>
      <c r="L20" s="138"/>
      <c r="M20" s="144"/>
      <c r="N20" s="143">
        <v>25</v>
      </c>
      <c r="O20" s="138">
        <v>37</v>
      </c>
      <c r="P20" s="138">
        <v>36</v>
      </c>
      <c r="Q20" s="144">
        <f t="shared" si="2"/>
        <v>97.2972972972973</v>
      </c>
      <c r="U20" s="44">
        <v>45</v>
      </c>
      <c r="V20" s="44">
        <f>46</f>
        <v>46</v>
      </c>
      <c r="X20" s="44">
        <f t="shared" si="4"/>
        <v>0</v>
      </c>
      <c r="Y20" s="44">
        <f t="shared" si="3"/>
        <v>13</v>
      </c>
      <c r="Z20" s="44">
        <f t="shared" si="3"/>
        <v>12</v>
      </c>
    </row>
    <row r="21" spans="1:26" ht="16.5" customHeight="1">
      <c r="A21" s="96" t="s">
        <v>200</v>
      </c>
      <c r="B21" s="143">
        <v>400</v>
      </c>
      <c r="C21" s="48">
        <v>741</v>
      </c>
      <c r="D21" s="48">
        <v>741</v>
      </c>
      <c r="E21" s="144">
        <f t="shared" si="0"/>
        <v>100</v>
      </c>
      <c r="F21" s="143"/>
      <c r="G21" s="138">
        <v>1</v>
      </c>
      <c r="H21" s="48">
        <v>1</v>
      </c>
      <c r="I21" s="144">
        <f>SUM(H21/G21*100)</f>
        <v>100</v>
      </c>
      <c r="J21" s="143"/>
      <c r="K21" s="138">
        <v>735</v>
      </c>
      <c r="L21" s="138">
        <v>735</v>
      </c>
      <c r="M21" s="144">
        <f aca="true" t="shared" si="5" ref="M21:M33">SUM(L21/K21*100)</f>
        <v>100</v>
      </c>
      <c r="N21" s="143">
        <v>190</v>
      </c>
      <c r="O21" s="138">
        <v>190</v>
      </c>
      <c r="P21" s="138">
        <v>147</v>
      </c>
      <c r="Q21" s="144">
        <f t="shared" si="2"/>
        <v>77.36842105263158</v>
      </c>
      <c r="T21" s="44">
        <v>400</v>
      </c>
      <c r="U21" s="44">
        <v>411</v>
      </c>
      <c r="V21" s="44">
        <v>411</v>
      </c>
      <c r="X21" s="44">
        <f t="shared" si="4"/>
        <v>0</v>
      </c>
      <c r="Y21" s="44">
        <f t="shared" si="3"/>
        <v>330</v>
      </c>
      <c r="Z21" s="44">
        <f t="shared" si="3"/>
        <v>330</v>
      </c>
    </row>
    <row r="22" spans="1:26" ht="16.5" customHeight="1">
      <c r="A22" s="96" t="s">
        <v>201</v>
      </c>
      <c r="B22" s="143">
        <v>1270</v>
      </c>
      <c r="C22" s="48">
        <v>1329</v>
      </c>
      <c r="D22" s="48">
        <v>1329</v>
      </c>
      <c r="E22" s="144">
        <f t="shared" si="0"/>
        <v>100</v>
      </c>
      <c r="F22" s="143"/>
      <c r="G22" s="138"/>
      <c r="H22" s="48"/>
      <c r="I22" s="144"/>
      <c r="J22" s="143">
        <v>15</v>
      </c>
      <c r="K22" s="138">
        <v>364</v>
      </c>
      <c r="L22" s="138">
        <v>349</v>
      </c>
      <c r="M22" s="144">
        <f t="shared" si="5"/>
        <v>95.87912087912088</v>
      </c>
      <c r="N22" s="143">
        <v>100</v>
      </c>
      <c r="O22" s="138">
        <v>100</v>
      </c>
      <c r="P22" s="138">
        <v>81</v>
      </c>
      <c r="Q22" s="144">
        <f t="shared" si="2"/>
        <v>81</v>
      </c>
      <c r="T22" s="44">
        <v>300</v>
      </c>
      <c r="U22" s="44">
        <v>368</v>
      </c>
      <c r="V22" s="44">
        <f>368-1</f>
        <v>367</v>
      </c>
      <c r="X22" s="44">
        <f t="shared" si="4"/>
        <v>970</v>
      </c>
      <c r="Y22" s="44">
        <f t="shared" si="3"/>
        <v>961</v>
      </c>
      <c r="Z22" s="44">
        <f t="shared" si="3"/>
        <v>962</v>
      </c>
    </row>
    <row r="23" spans="1:26" ht="16.5" customHeight="1">
      <c r="A23" s="96" t="s">
        <v>202</v>
      </c>
      <c r="B23" s="143">
        <v>0</v>
      </c>
      <c r="C23" s="48">
        <v>212</v>
      </c>
      <c r="D23" s="48">
        <v>212</v>
      </c>
      <c r="E23" s="144">
        <f t="shared" si="0"/>
        <v>100</v>
      </c>
      <c r="F23" s="143"/>
      <c r="G23" s="138">
        <v>1</v>
      </c>
      <c r="H23" s="48">
        <v>1</v>
      </c>
      <c r="I23" s="144">
        <f aca="true" t="shared" si="6" ref="I23:I28">SUM(H23/G23*100)</f>
        <v>100</v>
      </c>
      <c r="J23" s="143">
        <v>15</v>
      </c>
      <c r="K23" s="138">
        <v>148</v>
      </c>
      <c r="L23" s="138">
        <v>139</v>
      </c>
      <c r="M23" s="144">
        <f t="shared" si="5"/>
        <v>93.91891891891892</v>
      </c>
      <c r="N23" s="143">
        <v>80</v>
      </c>
      <c r="O23" s="138">
        <v>60</v>
      </c>
      <c r="P23" s="138">
        <v>53</v>
      </c>
      <c r="Q23" s="144">
        <f t="shared" si="2"/>
        <v>88.33333333333333</v>
      </c>
      <c r="U23" s="44">
        <v>204</v>
      </c>
      <c r="V23" s="44">
        <v>204</v>
      </c>
      <c r="X23" s="44">
        <f t="shared" si="4"/>
        <v>0</v>
      </c>
      <c r="Y23" s="44">
        <f t="shared" si="3"/>
        <v>8</v>
      </c>
      <c r="Z23" s="44">
        <f t="shared" si="3"/>
        <v>8</v>
      </c>
    </row>
    <row r="24" spans="1:26" ht="16.5" customHeight="1">
      <c r="A24" s="96" t="s">
        <v>203</v>
      </c>
      <c r="B24" s="143">
        <v>0</v>
      </c>
      <c r="C24" s="48">
        <v>14419</v>
      </c>
      <c r="D24" s="48">
        <v>14419</v>
      </c>
      <c r="E24" s="144">
        <f t="shared" si="0"/>
        <v>100</v>
      </c>
      <c r="F24" s="143"/>
      <c r="G24" s="138">
        <v>8</v>
      </c>
      <c r="H24" s="48">
        <v>8</v>
      </c>
      <c r="I24" s="144">
        <f t="shared" si="6"/>
        <v>100</v>
      </c>
      <c r="J24" s="143">
        <v>120</v>
      </c>
      <c r="K24" s="138">
        <v>8626</v>
      </c>
      <c r="L24" s="138">
        <v>8627</v>
      </c>
      <c r="M24" s="144">
        <f t="shared" si="5"/>
        <v>100.01159285879896</v>
      </c>
      <c r="N24" s="143">
        <v>500</v>
      </c>
      <c r="O24" s="138">
        <v>500</v>
      </c>
      <c r="P24" s="138">
        <v>430</v>
      </c>
      <c r="Q24" s="144">
        <f t="shared" si="2"/>
        <v>86</v>
      </c>
      <c r="U24" s="44">
        <v>790</v>
      </c>
      <c r="V24" s="44">
        <f>791-1</f>
        <v>790</v>
      </c>
      <c r="X24" s="44">
        <f t="shared" si="4"/>
        <v>0</v>
      </c>
      <c r="Y24" s="44">
        <f t="shared" si="3"/>
        <v>13629</v>
      </c>
      <c r="Z24" s="44">
        <f t="shared" si="3"/>
        <v>13629</v>
      </c>
    </row>
    <row r="25" spans="1:26" ht="16.5" customHeight="1">
      <c r="A25" s="96" t="s">
        <v>204</v>
      </c>
      <c r="B25" s="143">
        <v>214</v>
      </c>
      <c r="C25" s="48">
        <v>314</v>
      </c>
      <c r="D25" s="48">
        <v>314</v>
      </c>
      <c r="E25" s="144">
        <f t="shared" si="0"/>
        <v>100</v>
      </c>
      <c r="F25" s="143">
        <v>3</v>
      </c>
      <c r="G25" s="138">
        <v>3</v>
      </c>
      <c r="H25" s="48">
        <v>5</v>
      </c>
      <c r="I25" s="144">
        <f t="shared" si="6"/>
        <v>166.66666666666669</v>
      </c>
      <c r="J25" s="143">
        <v>0</v>
      </c>
      <c r="K25" s="138">
        <v>246</v>
      </c>
      <c r="L25" s="138">
        <v>246</v>
      </c>
      <c r="M25" s="144">
        <f t="shared" si="5"/>
        <v>100</v>
      </c>
      <c r="N25" s="143">
        <v>160</v>
      </c>
      <c r="O25" s="138">
        <v>160</v>
      </c>
      <c r="P25" s="138">
        <v>129</v>
      </c>
      <c r="Q25" s="144">
        <f t="shared" si="2"/>
        <v>80.625</v>
      </c>
      <c r="T25" s="44">
        <v>123</v>
      </c>
      <c r="U25" s="44">
        <v>132</v>
      </c>
      <c r="V25" s="44">
        <v>132</v>
      </c>
      <c r="X25" s="44">
        <f t="shared" si="4"/>
        <v>91</v>
      </c>
      <c r="Y25" s="44">
        <f t="shared" si="3"/>
        <v>182</v>
      </c>
      <c r="Z25" s="44">
        <f t="shared" si="3"/>
        <v>182</v>
      </c>
    </row>
    <row r="26" spans="1:26" ht="16.5" customHeight="1">
      <c r="A26" s="96" t="s">
        <v>205</v>
      </c>
      <c r="B26" s="143">
        <v>10633</v>
      </c>
      <c r="C26" s="48">
        <v>9502</v>
      </c>
      <c r="D26" s="48">
        <v>9502</v>
      </c>
      <c r="E26" s="144">
        <f t="shared" si="0"/>
        <v>100</v>
      </c>
      <c r="F26" s="143">
        <v>5</v>
      </c>
      <c r="G26" s="138">
        <v>5</v>
      </c>
      <c r="H26" s="48">
        <f>4-1</f>
        <v>3</v>
      </c>
      <c r="I26" s="144">
        <f t="shared" si="6"/>
        <v>60</v>
      </c>
      <c r="J26" s="143">
        <v>500</v>
      </c>
      <c r="K26" s="138">
        <v>3924</v>
      </c>
      <c r="L26" s="138">
        <v>3924</v>
      </c>
      <c r="M26" s="144">
        <f t="shared" si="5"/>
        <v>100</v>
      </c>
      <c r="N26" s="143">
        <v>1145</v>
      </c>
      <c r="O26" s="138">
        <v>645</v>
      </c>
      <c r="P26" s="138">
        <v>584</v>
      </c>
      <c r="Q26" s="144">
        <f t="shared" si="2"/>
        <v>90.54263565891473</v>
      </c>
      <c r="T26" s="44">
        <v>720</v>
      </c>
      <c r="U26" s="44">
        <v>846</v>
      </c>
      <c r="V26" s="44">
        <v>846</v>
      </c>
      <c r="X26" s="44">
        <f t="shared" si="4"/>
        <v>9913</v>
      </c>
      <c r="Y26" s="44">
        <f t="shared" si="3"/>
        <v>8656</v>
      </c>
      <c r="Z26" s="44">
        <f t="shared" si="3"/>
        <v>8656</v>
      </c>
    </row>
    <row r="27" spans="1:26" ht="16.5" customHeight="1">
      <c r="A27" s="96" t="s">
        <v>206</v>
      </c>
      <c r="B27" s="143">
        <v>0</v>
      </c>
      <c r="C27" s="48">
        <v>3875</v>
      </c>
      <c r="D27" s="48">
        <v>3875</v>
      </c>
      <c r="E27" s="144">
        <f t="shared" si="0"/>
        <v>100</v>
      </c>
      <c r="F27" s="143">
        <v>15</v>
      </c>
      <c r="G27" s="138">
        <v>15</v>
      </c>
      <c r="H27" s="48">
        <v>14</v>
      </c>
      <c r="I27" s="144">
        <f t="shared" si="6"/>
        <v>93.33333333333333</v>
      </c>
      <c r="J27" s="143">
        <v>100</v>
      </c>
      <c r="K27" s="138">
        <v>1885</v>
      </c>
      <c r="L27" s="138">
        <v>1885</v>
      </c>
      <c r="M27" s="144">
        <f t="shared" si="5"/>
        <v>100</v>
      </c>
      <c r="N27" s="143">
        <v>490</v>
      </c>
      <c r="O27" s="138">
        <v>521</v>
      </c>
      <c r="P27" s="138">
        <v>208</v>
      </c>
      <c r="Q27" s="144">
        <f t="shared" si="2"/>
        <v>39.923224568138195</v>
      </c>
      <c r="U27" s="44">
        <v>1305</v>
      </c>
      <c r="V27" s="44">
        <v>1305</v>
      </c>
      <c r="X27" s="44">
        <f t="shared" si="4"/>
        <v>0</v>
      </c>
      <c r="Y27" s="44">
        <f t="shared" si="3"/>
        <v>2570</v>
      </c>
      <c r="Z27" s="44">
        <f t="shared" si="3"/>
        <v>2570</v>
      </c>
    </row>
    <row r="28" spans="1:26" ht="16.5" customHeight="1">
      <c r="A28" s="96" t="s">
        <v>207</v>
      </c>
      <c r="B28" s="143">
        <v>0</v>
      </c>
      <c r="C28" s="48">
        <v>4050</v>
      </c>
      <c r="D28" s="48">
        <v>4050</v>
      </c>
      <c r="E28" s="144">
        <f t="shared" si="0"/>
        <v>100</v>
      </c>
      <c r="F28" s="143"/>
      <c r="G28" s="138">
        <v>5</v>
      </c>
      <c r="H28" s="48">
        <v>20</v>
      </c>
      <c r="I28" s="144">
        <f t="shared" si="6"/>
        <v>400</v>
      </c>
      <c r="J28" s="143">
        <v>500</v>
      </c>
      <c r="K28" s="138">
        <v>1997</v>
      </c>
      <c r="L28" s="138">
        <v>1966</v>
      </c>
      <c r="M28" s="144">
        <f t="shared" si="5"/>
        <v>98.44767150726089</v>
      </c>
      <c r="N28" s="143">
        <v>400</v>
      </c>
      <c r="O28" s="138">
        <v>400</v>
      </c>
      <c r="P28" s="138">
        <v>282</v>
      </c>
      <c r="Q28" s="144">
        <f t="shared" si="2"/>
        <v>70.5</v>
      </c>
      <c r="U28" s="44">
        <v>1786</v>
      </c>
      <c r="V28" s="44">
        <v>1786</v>
      </c>
      <c r="X28" s="44">
        <f t="shared" si="4"/>
        <v>0</v>
      </c>
      <c r="Y28" s="44">
        <f t="shared" si="4"/>
        <v>2264</v>
      </c>
      <c r="Z28" s="44">
        <f t="shared" si="4"/>
        <v>2264</v>
      </c>
    </row>
    <row r="29" spans="1:26" ht="16.5" customHeight="1">
      <c r="A29" s="96" t="s">
        <v>208</v>
      </c>
      <c r="B29" s="143">
        <v>0</v>
      </c>
      <c r="C29" s="48">
        <v>3078</v>
      </c>
      <c r="D29" s="48">
        <v>3078</v>
      </c>
      <c r="E29" s="144">
        <f t="shared" si="0"/>
        <v>100</v>
      </c>
      <c r="F29" s="143"/>
      <c r="G29" s="138"/>
      <c r="H29" s="48"/>
      <c r="I29" s="144"/>
      <c r="J29" s="143">
        <v>100</v>
      </c>
      <c r="K29" s="138">
        <v>3456</v>
      </c>
      <c r="L29" s="138">
        <v>3454</v>
      </c>
      <c r="M29" s="144">
        <f t="shared" si="5"/>
        <v>99.94212962962963</v>
      </c>
      <c r="N29" s="143">
        <v>500</v>
      </c>
      <c r="O29" s="138">
        <v>200</v>
      </c>
      <c r="P29" s="138">
        <v>188</v>
      </c>
      <c r="Q29" s="144">
        <f t="shared" si="2"/>
        <v>94</v>
      </c>
      <c r="U29" s="44">
        <v>1104</v>
      </c>
      <c r="V29" s="44">
        <v>1104</v>
      </c>
      <c r="X29" s="44">
        <f t="shared" si="4"/>
        <v>0</v>
      </c>
      <c r="Y29" s="44">
        <f t="shared" si="4"/>
        <v>1974</v>
      </c>
      <c r="Z29" s="44">
        <f t="shared" si="4"/>
        <v>1974</v>
      </c>
    </row>
    <row r="30" spans="1:26" ht="16.5" customHeight="1">
      <c r="A30" s="96" t="s">
        <v>209</v>
      </c>
      <c r="B30" s="143">
        <v>4960</v>
      </c>
      <c r="C30" s="48">
        <v>12387</v>
      </c>
      <c r="D30" s="48">
        <v>12387</v>
      </c>
      <c r="E30" s="144">
        <f t="shared" si="0"/>
        <v>100</v>
      </c>
      <c r="F30" s="143">
        <v>2</v>
      </c>
      <c r="G30" s="138">
        <v>2</v>
      </c>
      <c r="H30" s="48">
        <v>2</v>
      </c>
      <c r="I30" s="144">
        <f>SUM(H30/G30*100)</f>
        <v>100</v>
      </c>
      <c r="J30" s="143">
        <v>250</v>
      </c>
      <c r="K30" s="138">
        <v>5360</v>
      </c>
      <c r="L30" s="138">
        <v>5360</v>
      </c>
      <c r="M30" s="144">
        <f t="shared" si="5"/>
        <v>100</v>
      </c>
      <c r="N30" s="143">
        <v>921</v>
      </c>
      <c r="O30" s="138">
        <v>350</v>
      </c>
      <c r="P30" s="138">
        <v>380</v>
      </c>
      <c r="Q30" s="144">
        <f t="shared" si="2"/>
        <v>108.57142857142857</v>
      </c>
      <c r="T30" s="44">
        <v>1300</v>
      </c>
      <c r="U30" s="44">
        <v>1383</v>
      </c>
      <c r="V30" s="44">
        <v>1383</v>
      </c>
      <c r="X30" s="44">
        <f t="shared" si="4"/>
        <v>3660</v>
      </c>
      <c r="Y30" s="44">
        <f t="shared" si="4"/>
        <v>11004</v>
      </c>
      <c r="Z30" s="44">
        <f t="shared" si="4"/>
        <v>11004</v>
      </c>
    </row>
    <row r="31" spans="1:26" ht="16.5" customHeight="1">
      <c r="A31" s="96" t="s">
        <v>210</v>
      </c>
      <c r="B31" s="143">
        <v>4214</v>
      </c>
      <c r="C31" s="48">
        <v>3704</v>
      </c>
      <c r="D31" s="48">
        <v>3704</v>
      </c>
      <c r="E31" s="144">
        <f t="shared" si="0"/>
        <v>100</v>
      </c>
      <c r="F31" s="143">
        <v>10</v>
      </c>
      <c r="G31" s="138">
        <v>26</v>
      </c>
      <c r="H31" s="48">
        <v>26</v>
      </c>
      <c r="I31" s="144">
        <f>SUM(H31/G31*100)</f>
        <v>100</v>
      </c>
      <c r="J31" s="143">
        <v>195</v>
      </c>
      <c r="K31" s="138">
        <v>1392</v>
      </c>
      <c r="L31" s="138">
        <v>1391</v>
      </c>
      <c r="M31" s="144">
        <f t="shared" si="5"/>
        <v>99.92816091954023</v>
      </c>
      <c r="N31" s="143">
        <v>198</v>
      </c>
      <c r="O31" s="138">
        <v>243</v>
      </c>
      <c r="P31" s="138">
        <v>263</v>
      </c>
      <c r="Q31" s="144">
        <f t="shared" si="2"/>
        <v>108.23045267489712</v>
      </c>
      <c r="T31" s="44">
        <v>534</v>
      </c>
      <c r="U31" s="44">
        <v>466</v>
      </c>
      <c r="V31" s="44">
        <v>466</v>
      </c>
      <c r="X31" s="44">
        <f t="shared" si="4"/>
        <v>3680</v>
      </c>
      <c r="Y31" s="44">
        <f t="shared" si="4"/>
        <v>3238</v>
      </c>
      <c r="Z31" s="44">
        <f t="shared" si="4"/>
        <v>3238</v>
      </c>
    </row>
    <row r="32" spans="1:26" ht="16.5" customHeight="1">
      <c r="A32" s="96" t="s">
        <v>211</v>
      </c>
      <c r="B32" s="143">
        <v>0</v>
      </c>
      <c r="C32" s="48">
        <v>533</v>
      </c>
      <c r="D32" s="48">
        <v>533</v>
      </c>
      <c r="E32" s="144">
        <f t="shared" si="0"/>
        <v>100</v>
      </c>
      <c r="F32" s="143">
        <v>0</v>
      </c>
      <c r="G32" s="138">
        <v>7</v>
      </c>
      <c r="H32" s="48">
        <v>7</v>
      </c>
      <c r="I32" s="144">
        <f>SUM(H32/G32*100)</f>
        <v>100</v>
      </c>
      <c r="J32" s="143">
        <v>0</v>
      </c>
      <c r="K32" s="138">
        <v>668</v>
      </c>
      <c r="L32" s="138">
        <v>667</v>
      </c>
      <c r="M32" s="144">
        <f t="shared" si="5"/>
        <v>99.8502994011976</v>
      </c>
      <c r="N32" s="143">
        <v>420</v>
      </c>
      <c r="O32" s="138">
        <v>193</v>
      </c>
      <c r="P32" s="138">
        <v>172</v>
      </c>
      <c r="Q32" s="144">
        <f t="shared" si="2"/>
        <v>89.11917098445595</v>
      </c>
      <c r="U32" s="44">
        <v>342</v>
      </c>
      <c r="V32" s="44">
        <v>342</v>
      </c>
      <c r="X32" s="44">
        <f t="shared" si="4"/>
        <v>0</v>
      </c>
      <c r="Y32" s="44">
        <f t="shared" si="4"/>
        <v>191</v>
      </c>
      <c r="Z32" s="44">
        <f t="shared" si="4"/>
        <v>191</v>
      </c>
    </row>
    <row r="33" spans="1:26" ht="16.5" customHeight="1">
      <c r="A33" s="96" t="s">
        <v>212</v>
      </c>
      <c r="B33" s="143">
        <v>0</v>
      </c>
      <c r="C33" s="48">
        <v>144</v>
      </c>
      <c r="D33" s="48">
        <v>144</v>
      </c>
      <c r="E33" s="144">
        <f t="shared" si="0"/>
        <v>100</v>
      </c>
      <c r="F33" s="143"/>
      <c r="G33" s="138">
        <v>3</v>
      </c>
      <c r="H33" s="48">
        <v>3</v>
      </c>
      <c r="I33" s="144">
        <f>SUM(H33/G33*100)</f>
        <v>100</v>
      </c>
      <c r="J33" s="143">
        <v>50</v>
      </c>
      <c r="K33" s="138">
        <v>294</v>
      </c>
      <c r="L33" s="138">
        <v>253</v>
      </c>
      <c r="M33" s="144">
        <f t="shared" si="5"/>
        <v>86.05442176870748</v>
      </c>
      <c r="N33" s="143">
        <v>130</v>
      </c>
      <c r="O33" s="138">
        <v>130</v>
      </c>
      <c r="P33" s="138">
        <v>116</v>
      </c>
      <c r="Q33" s="144">
        <f t="shared" si="2"/>
        <v>89.23076923076924</v>
      </c>
      <c r="U33" s="44">
        <v>172</v>
      </c>
      <c r="V33" s="44">
        <v>172</v>
      </c>
      <c r="X33" s="44">
        <f t="shared" si="4"/>
        <v>0</v>
      </c>
      <c r="Y33" s="44">
        <f t="shared" si="4"/>
        <v>-28</v>
      </c>
      <c r="Z33" s="44">
        <f t="shared" si="4"/>
        <v>-28</v>
      </c>
    </row>
    <row r="34" spans="1:26" ht="16.5" customHeight="1">
      <c r="A34" s="96" t="s">
        <v>213</v>
      </c>
      <c r="B34" s="143">
        <v>16015</v>
      </c>
      <c r="C34" s="48">
        <v>12863</v>
      </c>
      <c r="D34" s="48">
        <v>12863</v>
      </c>
      <c r="E34" s="144">
        <f t="shared" si="0"/>
        <v>100</v>
      </c>
      <c r="F34" s="143"/>
      <c r="G34" s="138"/>
      <c r="H34" s="48"/>
      <c r="I34" s="144"/>
      <c r="J34" s="143">
        <v>25</v>
      </c>
      <c r="K34" s="138">
        <v>16730</v>
      </c>
      <c r="L34" s="138">
        <v>16729</v>
      </c>
      <c r="M34" s="144">
        <f>SUM(L34/K34*100)</f>
        <v>99.994022713688</v>
      </c>
      <c r="N34" s="143">
        <v>565</v>
      </c>
      <c r="O34" s="138">
        <v>565</v>
      </c>
      <c r="P34" s="138">
        <v>509</v>
      </c>
      <c r="Q34" s="144">
        <f t="shared" si="2"/>
        <v>90.08849557522124</v>
      </c>
      <c r="T34" s="44">
        <v>2200</v>
      </c>
      <c r="U34" s="44">
        <v>1187</v>
      </c>
      <c r="V34" s="44">
        <v>1187</v>
      </c>
      <c r="X34" s="44">
        <f t="shared" si="4"/>
        <v>13815</v>
      </c>
      <c r="Y34" s="44">
        <f t="shared" si="4"/>
        <v>11676</v>
      </c>
      <c r="Z34" s="44">
        <f t="shared" si="4"/>
        <v>11676</v>
      </c>
    </row>
    <row r="35" spans="1:26" ht="16.5" customHeight="1">
      <c r="A35" s="96" t="s">
        <v>214</v>
      </c>
      <c r="B35" s="143">
        <v>1350</v>
      </c>
      <c r="C35" s="48">
        <v>1859</v>
      </c>
      <c r="D35" s="48">
        <v>1859</v>
      </c>
      <c r="E35" s="144">
        <f t="shared" si="0"/>
        <v>100</v>
      </c>
      <c r="F35" s="143"/>
      <c r="G35" s="138"/>
      <c r="H35" s="48"/>
      <c r="I35" s="144"/>
      <c r="J35" s="143">
        <v>70</v>
      </c>
      <c r="K35" s="138">
        <v>368</v>
      </c>
      <c r="L35" s="138">
        <v>368</v>
      </c>
      <c r="M35" s="144">
        <f>SUM(L35/K35*100)</f>
        <v>100</v>
      </c>
      <c r="N35" s="143">
        <v>200</v>
      </c>
      <c r="O35" s="138">
        <v>200</v>
      </c>
      <c r="P35" s="138">
        <v>124</v>
      </c>
      <c r="Q35" s="144">
        <f t="shared" si="2"/>
        <v>62</v>
      </c>
      <c r="T35" s="44">
        <v>420</v>
      </c>
      <c r="U35" s="44">
        <v>193</v>
      </c>
      <c r="V35" s="44">
        <v>193</v>
      </c>
      <c r="X35" s="44">
        <f t="shared" si="4"/>
        <v>930</v>
      </c>
      <c r="Y35" s="44">
        <f t="shared" si="4"/>
        <v>1666</v>
      </c>
      <c r="Z35" s="44">
        <f t="shared" si="4"/>
        <v>1666</v>
      </c>
    </row>
    <row r="36" spans="1:26" ht="16.5" customHeight="1">
      <c r="A36" s="96" t="s">
        <v>215</v>
      </c>
      <c r="B36" s="143">
        <v>2700</v>
      </c>
      <c r="C36" s="48">
        <v>2869</v>
      </c>
      <c r="D36" s="48">
        <v>2869</v>
      </c>
      <c r="E36" s="144">
        <f t="shared" si="0"/>
        <v>100</v>
      </c>
      <c r="F36" s="143"/>
      <c r="G36" s="138"/>
      <c r="H36" s="48"/>
      <c r="I36" s="144"/>
      <c r="J36" s="143">
        <v>20</v>
      </c>
      <c r="K36" s="138">
        <v>1802</v>
      </c>
      <c r="L36" s="138">
        <v>1802</v>
      </c>
      <c r="M36" s="144">
        <f>SUM(L36/K36*100)</f>
        <v>100</v>
      </c>
      <c r="N36" s="143">
        <v>300</v>
      </c>
      <c r="O36" s="138">
        <v>300</v>
      </c>
      <c r="P36" s="138">
        <v>298</v>
      </c>
      <c r="Q36" s="144">
        <f t="shared" si="2"/>
        <v>99.33333333333333</v>
      </c>
      <c r="T36" s="44">
        <v>800</v>
      </c>
      <c r="U36" s="44">
        <v>678</v>
      </c>
      <c r="V36" s="44">
        <v>678</v>
      </c>
      <c r="X36" s="44">
        <f t="shared" si="4"/>
        <v>1900</v>
      </c>
      <c r="Y36" s="44">
        <f t="shared" si="4"/>
        <v>2191</v>
      </c>
      <c r="Z36" s="44">
        <f t="shared" si="4"/>
        <v>2191</v>
      </c>
    </row>
    <row r="37" spans="1:26" ht="16.5" customHeight="1">
      <c r="A37" s="96" t="s">
        <v>216</v>
      </c>
      <c r="B37" s="143">
        <v>0</v>
      </c>
      <c r="C37" s="48">
        <v>79</v>
      </c>
      <c r="D37" s="48">
        <v>79</v>
      </c>
      <c r="E37" s="144">
        <f t="shared" si="0"/>
        <v>100</v>
      </c>
      <c r="F37" s="143"/>
      <c r="G37" s="138"/>
      <c r="H37" s="48"/>
      <c r="I37" s="144"/>
      <c r="J37" s="143"/>
      <c r="K37" s="138"/>
      <c r="L37" s="138"/>
      <c r="M37" s="144"/>
      <c r="N37" s="143">
        <v>70</v>
      </c>
      <c r="O37" s="138">
        <v>70</v>
      </c>
      <c r="P37" s="138">
        <v>65</v>
      </c>
      <c r="Q37" s="144">
        <f t="shared" si="2"/>
        <v>92.85714285714286</v>
      </c>
      <c r="U37" s="44">
        <v>103</v>
      </c>
      <c r="V37" s="44">
        <v>103</v>
      </c>
      <c r="X37" s="44">
        <f t="shared" si="4"/>
        <v>0</v>
      </c>
      <c r="Y37" s="44">
        <f t="shared" si="4"/>
        <v>-24</v>
      </c>
      <c r="Z37" s="44">
        <f t="shared" si="4"/>
        <v>-24</v>
      </c>
    </row>
    <row r="38" spans="1:26" ht="16.5" customHeight="1">
      <c r="A38" s="96" t="s">
        <v>217</v>
      </c>
      <c r="B38" s="143">
        <v>0</v>
      </c>
      <c r="C38" s="48">
        <v>75</v>
      </c>
      <c r="D38" s="48">
        <v>75</v>
      </c>
      <c r="E38" s="144">
        <f t="shared" si="0"/>
        <v>100</v>
      </c>
      <c r="F38" s="143"/>
      <c r="G38" s="138"/>
      <c r="H38" s="48"/>
      <c r="I38" s="144"/>
      <c r="J38" s="143"/>
      <c r="K38" s="138"/>
      <c r="L38" s="138"/>
      <c r="M38" s="144"/>
      <c r="N38" s="143"/>
      <c r="O38" s="138"/>
      <c r="P38" s="138"/>
      <c r="Q38" s="144"/>
      <c r="U38" s="44">
        <v>108</v>
      </c>
      <c r="V38" s="44">
        <f>109</f>
        <v>109</v>
      </c>
      <c r="X38" s="44">
        <f t="shared" si="4"/>
        <v>0</v>
      </c>
      <c r="Y38" s="44">
        <f t="shared" si="4"/>
        <v>-33</v>
      </c>
      <c r="Z38" s="44">
        <f>D38-V38</f>
        <v>-34</v>
      </c>
    </row>
    <row r="39" spans="1:26" ht="16.5" customHeight="1">
      <c r="A39" s="96" t="s">
        <v>218</v>
      </c>
      <c r="B39" s="143">
        <v>0</v>
      </c>
      <c r="C39" s="48">
        <v>10</v>
      </c>
      <c r="D39" s="48">
        <v>10</v>
      </c>
      <c r="E39" s="144">
        <f t="shared" si="0"/>
        <v>100</v>
      </c>
      <c r="F39" s="143"/>
      <c r="G39" s="138"/>
      <c r="H39" s="48"/>
      <c r="I39" s="144"/>
      <c r="J39" s="143"/>
      <c r="K39" s="138"/>
      <c r="L39" s="138"/>
      <c r="M39" s="144"/>
      <c r="N39" s="143">
        <v>2</v>
      </c>
      <c r="O39" s="138">
        <v>9</v>
      </c>
      <c r="P39" s="138">
        <v>10</v>
      </c>
      <c r="Q39" s="144">
        <f>SUM(P39/O39*100)</f>
        <v>111.11111111111111</v>
      </c>
      <c r="U39" s="44">
        <v>71</v>
      </c>
      <c r="V39" s="44">
        <v>71</v>
      </c>
      <c r="X39" s="44">
        <f t="shared" si="4"/>
        <v>0</v>
      </c>
      <c r="Y39" s="44">
        <f t="shared" si="4"/>
        <v>-61</v>
      </c>
      <c r="Z39" s="44">
        <f t="shared" si="4"/>
        <v>-61</v>
      </c>
    </row>
    <row r="40" spans="1:26" ht="16.5" customHeight="1" thickBot="1">
      <c r="A40" s="97" t="s">
        <v>219</v>
      </c>
      <c r="B40" s="157">
        <v>0</v>
      </c>
      <c r="C40" s="62">
        <v>25</v>
      </c>
      <c r="D40" s="62">
        <v>25</v>
      </c>
      <c r="E40" s="158">
        <f t="shared" si="0"/>
        <v>100</v>
      </c>
      <c r="F40" s="157"/>
      <c r="G40" s="159"/>
      <c r="H40" s="62"/>
      <c r="I40" s="158"/>
      <c r="J40" s="157"/>
      <c r="K40" s="159"/>
      <c r="L40" s="159"/>
      <c r="M40" s="158"/>
      <c r="N40" s="157">
        <v>9</v>
      </c>
      <c r="O40" s="159">
        <v>8</v>
      </c>
      <c r="P40" s="159">
        <v>8</v>
      </c>
      <c r="Q40" s="158">
        <f>SUM(P40/O40*100)</f>
        <v>100</v>
      </c>
      <c r="U40" s="44">
        <v>39</v>
      </c>
      <c r="V40" s="44">
        <v>39</v>
      </c>
      <c r="X40" s="44">
        <f t="shared" si="4"/>
        <v>0</v>
      </c>
      <c r="Y40" s="44">
        <f t="shared" si="4"/>
        <v>-14</v>
      </c>
      <c r="Z40" s="44">
        <f t="shared" si="4"/>
        <v>-14</v>
      </c>
    </row>
    <row r="41" spans="1:26" ht="15" customHeight="1" thickBot="1">
      <c r="A41" s="98"/>
      <c r="B41" s="145"/>
      <c r="C41" s="59"/>
      <c r="D41" s="59"/>
      <c r="E41" s="146"/>
      <c r="F41" s="145"/>
      <c r="G41" s="148"/>
      <c r="H41" s="59"/>
      <c r="I41" s="146"/>
      <c r="J41" s="145"/>
      <c r="K41" s="148"/>
      <c r="L41" s="148"/>
      <c r="M41" s="146"/>
      <c r="N41" s="145"/>
      <c r="O41" s="148"/>
      <c r="P41" s="148"/>
      <c r="Q41" s="146"/>
      <c r="X41" s="44">
        <f t="shared" si="4"/>
        <v>0</v>
      </c>
      <c r="Y41" s="44">
        <f t="shared" si="4"/>
        <v>0</v>
      </c>
      <c r="Z41" s="44">
        <f t="shared" si="4"/>
        <v>0</v>
      </c>
    </row>
    <row r="42" spans="1:17" s="82" customFormat="1" ht="16.5" customHeight="1" thickBot="1">
      <c r="A42" s="99" t="s">
        <v>40</v>
      </c>
      <c r="B42" s="149">
        <f>SUM(B12:B40)</f>
        <v>63095</v>
      </c>
      <c r="C42" s="101">
        <f>SUM(C12:C40)</f>
        <v>121886</v>
      </c>
      <c r="D42" s="101">
        <f>SUM(D12:D40)</f>
        <v>121886</v>
      </c>
      <c r="E42" s="150">
        <f>SUM(D42/C42*100)</f>
        <v>100</v>
      </c>
      <c r="F42" s="149">
        <f>SUM(F12:F40)</f>
        <v>51</v>
      </c>
      <c r="G42" s="151">
        <f>SUM(G12:G40)</f>
        <v>97</v>
      </c>
      <c r="H42" s="101">
        <f>SUM(H12:H40)</f>
        <v>116</v>
      </c>
      <c r="I42" s="150">
        <f>SUM(H42/G42*100)</f>
        <v>119.58762886597938</v>
      </c>
      <c r="J42" s="149">
        <f>SUM(J12:J40)</f>
        <v>4441</v>
      </c>
      <c r="K42" s="151">
        <f>SUM(K12:K40)</f>
        <v>103211</v>
      </c>
      <c r="L42" s="151">
        <f>SUM(L12:L40)</f>
        <v>101082</v>
      </c>
      <c r="M42" s="150">
        <f>SUM(L42/K42*100)</f>
        <v>97.9372353721987</v>
      </c>
      <c r="N42" s="149">
        <f>SUM(N12:N40)</f>
        <v>10390</v>
      </c>
      <c r="O42" s="151">
        <f>SUM(O12:O40)</f>
        <v>9041</v>
      </c>
      <c r="P42" s="151">
        <f>SUM(P12:P40)</f>
        <v>7537</v>
      </c>
      <c r="Q42" s="150">
        <f>SUM(P42/O42*100)</f>
        <v>83.36467204955204</v>
      </c>
    </row>
    <row r="44" spans="1:16" ht="15.75">
      <c r="A44" s="82">
        <v>2012</v>
      </c>
      <c r="B44" s="44">
        <f>54005+9090</f>
        <v>63095</v>
      </c>
      <c r="C44" s="40">
        <f>103181+18705</f>
        <v>121886</v>
      </c>
      <c r="D44" s="40">
        <f>103182+18704</f>
        <v>121886</v>
      </c>
      <c r="F44" s="44">
        <v>51</v>
      </c>
      <c r="G44" s="44">
        <v>97</v>
      </c>
      <c r="H44" s="44">
        <v>116</v>
      </c>
      <c r="J44" s="44">
        <v>4441</v>
      </c>
      <c r="K44" s="44">
        <v>103211</v>
      </c>
      <c r="L44" s="44">
        <v>101082</v>
      </c>
      <c r="N44" s="44">
        <v>10390</v>
      </c>
      <c r="O44" s="44">
        <v>9041</v>
      </c>
      <c r="P44" s="44">
        <v>7537</v>
      </c>
    </row>
    <row r="46" spans="1:26" ht="15.75">
      <c r="A46" s="82">
        <v>2011</v>
      </c>
      <c r="B46" s="44">
        <v>52740</v>
      </c>
      <c r="C46" s="40">
        <v>106379</v>
      </c>
      <c r="D46" s="40">
        <v>106379</v>
      </c>
      <c r="F46" s="44">
        <v>49</v>
      </c>
      <c r="G46" s="44">
        <v>75</v>
      </c>
      <c r="H46" s="44">
        <v>61</v>
      </c>
      <c r="J46" s="44">
        <v>9518</v>
      </c>
      <c r="K46" s="44">
        <v>8975</v>
      </c>
      <c r="L46" s="44">
        <v>7963</v>
      </c>
      <c r="N46" s="44">
        <v>16115</v>
      </c>
      <c r="O46" s="44">
        <v>13030</v>
      </c>
      <c r="P46" s="44">
        <v>10568</v>
      </c>
      <c r="T46" s="44">
        <v>11577</v>
      </c>
      <c r="U46" s="44">
        <v>17603</v>
      </c>
      <c r="V46" s="44">
        <v>17603</v>
      </c>
      <c r="X46" s="44">
        <v>35980</v>
      </c>
      <c r="Y46" s="44">
        <v>75952</v>
      </c>
      <c r="Z46" s="44">
        <v>75952</v>
      </c>
    </row>
    <row r="47" ht="15.75" customHeight="1"/>
    <row r="48" spans="2:16" ht="15.75" customHeight="1">
      <c r="B48" s="44">
        <v>39257</v>
      </c>
      <c r="C48" s="40">
        <v>86613</v>
      </c>
      <c r="D48" s="40">
        <v>866143</v>
      </c>
      <c r="P48" s="44">
        <f>P46-P44</f>
        <v>3031</v>
      </c>
    </row>
    <row r="49" spans="2:16" ht="15.75" customHeight="1">
      <c r="B49" s="44">
        <v>13483</v>
      </c>
      <c r="C49" s="40">
        <v>19766</v>
      </c>
      <c r="D49" s="40">
        <v>19766</v>
      </c>
      <c r="P49" s="44">
        <f>P48/P46*100</f>
        <v>28.680923542770632</v>
      </c>
    </row>
    <row r="50" ht="15.75" customHeight="1"/>
    <row r="51" ht="15.75" customHeight="1"/>
    <row r="52" ht="18" customHeight="1"/>
    <row r="53" ht="18" customHeight="1"/>
    <row r="55" ht="18" customHeight="1"/>
    <row r="56" ht="13.5" customHeight="1"/>
    <row r="57" ht="15.75" customHeight="1"/>
    <row r="59" ht="13.5" customHeight="1"/>
    <row r="60" ht="12" customHeight="1"/>
    <row r="61" ht="15.75" customHeight="1"/>
    <row r="62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23">
    <mergeCell ref="N10:Q10"/>
    <mergeCell ref="H8:H9"/>
    <mergeCell ref="J8:J9"/>
    <mergeCell ref="K8:K9"/>
    <mergeCell ref="B10:E10"/>
    <mergeCell ref="F10:I10"/>
    <mergeCell ref="J10:M10"/>
    <mergeCell ref="L8:L9"/>
    <mergeCell ref="N8:N9"/>
    <mergeCell ref="O8:O9"/>
    <mergeCell ref="P8:P9"/>
    <mergeCell ref="A2:Q2"/>
    <mergeCell ref="F7:I7"/>
    <mergeCell ref="N7:Q7"/>
    <mergeCell ref="A4:Q4"/>
    <mergeCell ref="A7:A9"/>
    <mergeCell ref="B7:E7"/>
    <mergeCell ref="J7:M7"/>
    <mergeCell ref="B8:B9"/>
    <mergeCell ref="C8:C9"/>
    <mergeCell ref="D8:D9"/>
    <mergeCell ref="F8:F9"/>
    <mergeCell ref="G8:G9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180" verticalDpi="180" orientation="landscape" paperSize="9" scale="58" r:id="rId3"/>
  <rowBreaks count="1" manualBreakCount="1">
    <brk id="42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R96"/>
  <sheetViews>
    <sheetView showZeros="0" view="pageBreakPreview" zoomScale="55" zoomScaleNormal="70" zoomScaleSheetLayoutView="55" zoomScalePageLayoutView="0" workbookViewId="0" topLeftCell="A1">
      <pane xSplit="1" ySplit="10" topLeftCell="B58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L64" sqref="L64"/>
    </sheetView>
  </sheetViews>
  <sheetFormatPr defaultColWidth="8.796875" defaultRowHeight="15"/>
  <cols>
    <col min="1" max="1" width="28.59765625" style="93" customWidth="1"/>
    <col min="2" max="4" width="11.796875" style="40" customWidth="1"/>
    <col min="5" max="5" width="6.796875" style="40" customWidth="1"/>
    <col min="6" max="8" width="11.3984375" style="40" customWidth="1"/>
    <col min="9" max="9" width="6.8984375" style="40" customWidth="1"/>
    <col min="10" max="12" width="12" style="40" customWidth="1"/>
    <col min="13" max="13" width="7.09765625" style="40" customWidth="1"/>
    <col min="14" max="16" width="11.69921875" style="40" customWidth="1"/>
    <col min="17" max="17" width="6.796875" style="40" customWidth="1"/>
    <col min="18" max="18" width="7.19921875" style="40" customWidth="1"/>
    <col min="19" max="19" width="5.796875" style="40" customWidth="1"/>
    <col min="20" max="22" width="6.796875" style="40" customWidth="1"/>
    <col min="23" max="27" width="5.796875" style="40" customWidth="1"/>
    <col min="28" max="30" width="12.69921875" style="40" customWidth="1"/>
    <col min="31" max="31" width="6.796875" style="40" customWidth="1"/>
    <col min="32" max="34" width="7.796875" style="40" customWidth="1"/>
    <col min="35" max="35" width="5.796875" style="40" customWidth="1"/>
    <col min="36" max="38" width="7.796875" style="40" customWidth="1"/>
    <col min="39" max="39" width="5.796875" style="40" customWidth="1"/>
    <col min="40" max="42" width="7.796875" style="40" customWidth="1"/>
    <col min="43" max="43" width="5.796875" style="40" customWidth="1"/>
    <col min="44" max="44" width="7.796875" style="40" customWidth="1"/>
    <col min="45" max="45" width="6.796875" style="40" customWidth="1"/>
    <col min="46" max="46" width="7.796875" style="40" customWidth="1"/>
    <col min="47" max="47" width="5.796875" style="40" customWidth="1"/>
    <col min="48" max="48" width="7.796875" style="40" customWidth="1"/>
    <col min="49" max="49" width="6.796875" style="40" customWidth="1"/>
    <col min="50" max="50" width="7.796875" style="40" customWidth="1"/>
    <col min="51" max="51" width="5.796875" style="40" customWidth="1"/>
    <col min="52" max="52" width="7.796875" style="40" customWidth="1"/>
    <col min="53" max="53" width="6.796875" style="40" customWidth="1"/>
    <col min="54" max="54" width="7.796875" style="40" customWidth="1"/>
    <col min="55" max="55" width="5.796875" style="40" customWidth="1"/>
    <col min="56" max="59" width="7.796875" style="40" customWidth="1"/>
    <col min="60" max="16384" width="8.8984375" style="40" customWidth="1"/>
  </cols>
  <sheetData>
    <row r="1" ht="17.25" customHeight="1"/>
    <row r="2" spans="1:18" s="111" customFormat="1" ht="24" customHeight="1">
      <c r="A2" s="327" t="s">
        <v>236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="111" customFormat="1" ht="15" customHeight="1"/>
    <row r="4" spans="1:17" s="111" customFormat="1" ht="21" customHeight="1">
      <c r="A4" s="327" t="s">
        <v>41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ht="22.5" customHeight="1">
      <c r="Q5" s="94"/>
    </row>
    <row r="6" ht="22.5" customHeight="1" thickBot="1">
      <c r="Q6" s="94" t="s">
        <v>169</v>
      </c>
    </row>
    <row r="7" spans="1:17" ht="18" customHeight="1" thickBot="1">
      <c r="A7" s="321" t="s">
        <v>229</v>
      </c>
      <c r="B7" s="304" t="s">
        <v>42</v>
      </c>
      <c r="C7" s="332"/>
      <c r="D7" s="332"/>
      <c r="E7" s="305"/>
      <c r="F7" s="93" t="s">
        <v>43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4" t="s">
        <v>1</v>
      </c>
    </row>
    <row r="8" spans="1:17" ht="18" customHeight="1" thickBot="1">
      <c r="A8" s="322"/>
      <c r="B8" s="324" t="s">
        <v>44</v>
      </c>
      <c r="C8" s="325"/>
      <c r="D8" s="325"/>
      <c r="E8" s="326"/>
      <c r="F8" s="329" t="s">
        <v>45</v>
      </c>
      <c r="G8" s="330"/>
      <c r="H8" s="330"/>
      <c r="I8" s="331"/>
      <c r="J8" s="329" t="s">
        <v>46</v>
      </c>
      <c r="K8" s="330"/>
      <c r="L8" s="330"/>
      <c r="M8" s="331"/>
      <c r="N8" s="329" t="s">
        <v>47</v>
      </c>
      <c r="O8" s="330"/>
      <c r="P8" s="330"/>
      <c r="Q8" s="331"/>
    </row>
    <row r="9" spans="1:17" ht="18" customHeight="1">
      <c r="A9" s="322"/>
      <c r="B9" s="308" t="s">
        <v>242</v>
      </c>
      <c r="C9" s="309" t="s">
        <v>244</v>
      </c>
      <c r="D9" s="309" t="s">
        <v>243</v>
      </c>
      <c r="E9" s="117" t="s">
        <v>0</v>
      </c>
      <c r="F9" s="328" t="s">
        <v>242</v>
      </c>
      <c r="G9" s="320" t="s">
        <v>244</v>
      </c>
      <c r="H9" s="320" t="s">
        <v>243</v>
      </c>
      <c r="I9" s="161" t="s">
        <v>0</v>
      </c>
      <c r="J9" s="328" t="s">
        <v>242</v>
      </c>
      <c r="K9" s="320" t="s">
        <v>244</v>
      </c>
      <c r="L9" s="320" t="s">
        <v>243</v>
      </c>
      <c r="M9" s="161" t="s">
        <v>0</v>
      </c>
      <c r="N9" s="328" t="s">
        <v>242</v>
      </c>
      <c r="O9" s="320" t="s">
        <v>244</v>
      </c>
      <c r="P9" s="320" t="s">
        <v>243</v>
      </c>
      <c r="Q9" s="161" t="s">
        <v>0</v>
      </c>
    </row>
    <row r="10" spans="1:17" ht="18" customHeight="1" thickBot="1">
      <c r="A10" s="323"/>
      <c r="B10" s="290"/>
      <c r="C10" s="292"/>
      <c r="D10" s="292"/>
      <c r="E10" s="89" t="s">
        <v>11</v>
      </c>
      <c r="F10" s="290"/>
      <c r="G10" s="292"/>
      <c r="H10" s="292"/>
      <c r="I10" s="89" t="s">
        <v>11</v>
      </c>
      <c r="J10" s="290"/>
      <c r="K10" s="292"/>
      <c r="L10" s="292"/>
      <c r="M10" s="89" t="s">
        <v>11</v>
      </c>
      <c r="N10" s="290"/>
      <c r="O10" s="292"/>
      <c r="P10" s="292"/>
      <c r="Q10" s="89" t="s">
        <v>11</v>
      </c>
    </row>
    <row r="11" spans="1:17" ht="16.5" customHeight="1">
      <c r="A11" s="118"/>
      <c r="B11" s="53"/>
      <c r="C11" s="54"/>
      <c r="D11" s="54"/>
      <c r="E11" s="55"/>
      <c r="F11" s="53"/>
      <c r="G11" s="160" t="s">
        <v>48</v>
      </c>
      <c r="H11" s="54"/>
      <c r="I11" s="55"/>
      <c r="J11" s="53"/>
      <c r="K11" s="160" t="s">
        <v>49</v>
      </c>
      <c r="L11" s="54"/>
      <c r="M11" s="55"/>
      <c r="N11" s="53"/>
      <c r="O11" s="160" t="s">
        <v>50</v>
      </c>
      <c r="P11" s="54"/>
      <c r="Q11" s="55"/>
    </row>
    <row r="12" spans="1:17" ht="16.5" customHeight="1" thickBot="1">
      <c r="A12" s="118"/>
      <c r="B12" s="53"/>
      <c r="C12" s="54"/>
      <c r="D12" s="54"/>
      <c r="E12" s="55"/>
      <c r="F12" s="53"/>
      <c r="G12" s="54"/>
      <c r="H12" s="54"/>
      <c r="I12" s="55"/>
      <c r="J12" s="53"/>
      <c r="K12" s="54"/>
      <c r="L12" s="54"/>
      <c r="M12" s="55"/>
      <c r="N12" s="53"/>
      <c r="O12" s="54"/>
      <c r="P12" s="54"/>
      <c r="Q12" s="55"/>
    </row>
    <row r="13" spans="1:17" ht="16.5" customHeight="1">
      <c r="A13" s="119" t="s">
        <v>191</v>
      </c>
      <c r="B13" s="73">
        <f aca="true" t="shared" si="0" ref="B13:B41">SUM(F13+J13+N13+B58+F58+J58+N58)</f>
        <v>55898</v>
      </c>
      <c r="C13" s="74">
        <f aca="true" t="shared" si="1" ref="C13:C41">SUM(G13+K13+O13+C58+G58+K58+O58)</f>
        <v>47396</v>
      </c>
      <c r="D13" s="74">
        <f aca="true" t="shared" si="2" ref="D13:D41">SUM(H13+L13+P13+D58+H58+L58+P58)</f>
        <v>42731</v>
      </c>
      <c r="E13" s="76">
        <f aca="true" t="shared" si="3" ref="E13:E41">SUM(D13/C13*100)</f>
        <v>90.15739724871297</v>
      </c>
      <c r="F13" s="73">
        <v>1500</v>
      </c>
      <c r="G13" s="74">
        <v>2000</v>
      </c>
      <c r="H13" s="74">
        <v>1382</v>
      </c>
      <c r="I13" s="76">
        <f aca="true" t="shared" si="4" ref="I13:I41">SUM(H13/G13*100)</f>
        <v>69.1</v>
      </c>
      <c r="J13" s="73">
        <v>600</v>
      </c>
      <c r="K13" s="74">
        <v>600</v>
      </c>
      <c r="L13" s="74">
        <v>956</v>
      </c>
      <c r="M13" s="76">
        <f>SUM(L13/K13*100)</f>
        <v>159.33333333333331</v>
      </c>
      <c r="N13" s="73">
        <v>26298</v>
      </c>
      <c r="O13" s="74">
        <v>33298</v>
      </c>
      <c r="P13" s="74">
        <v>29883</v>
      </c>
      <c r="Q13" s="76">
        <f aca="true" t="shared" si="5" ref="Q13:Q41">SUM(P13/O13*100)</f>
        <v>89.74412877650309</v>
      </c>
    </row>
    <row r="14" spans="1:17" ht="16.5" customHeight="1">
      <c r="A14" s="120" t="s">
        <v>192</v>
      </c>
      <c r="B14" s="56">
        <f t="shared" si="0"/>
        <v>3976</v>
      </c>
      <c r="C14" s="48">
        <f t="shared" si="1"/>
        <v>2694</v>
      </c>
      <c r="D14" s="48">
        <f t="shared" si="2"/>
        <v>2617</v>
      </c>
      <c r="E14" s="57">
        <f t="shared" si="3"/>
        <v>97.14179658500372</v>
      </c>
      <c r="F14" s="56">
        <v>650</v>
      </c>
      <c r="G14" s="48">
        <v>650</v>
      </c>
      <c r="H14" s="48">
        <v>582</v>
      </c>
      <c r="I14" s="57">
        <f t="shared" si="4"/>
        <v>89.53846153846153</v>
      </c>
      <c r="J14" s="56">
        <v>1</v>
      </c>
      <c r="K14" s="48">
        <v>4</v>
      </c>
      <c r="L14" s="48">
        <v>4</v>
      </c>
      <c r="M14" s="57">
        <f>SUM(L14/K14*100)</f>
        <v>100</v>
      </c>
      <c r="N14" s="56">
        <v>865</v>
      </c>
      <c r="O14" s="48">
        <v>1265</v>
      </c>
      <c r="P14" s="48">
        <v>1261</v>
      </c>
      <c r="Q14" s="57">
        <f t="shared" si="5"/>
        <v>99.68379446640316</v>
      </c>
    </row>
    <row r="15" spans="1:17" ht="16.5" customHeight="1">
      <c r="A15" s="120" t="s">
        <v>193</v>
      </c>
      <c r="B15" s="56">
        <f t="shared" si="0"/>
        <v>1897</v>
      </c>
      <c r="C15" s="48">
        <f t="shared" si="1"/>
        <v>1168</v>
      </c>
      <c r="D15" s="48">
        <f t="shared" si="2"/>
        <v>1107</v>
      </c>
      <c r="E15" s="57">
        <f t="shared" si="3"/>
        <v>94.77739726027397</v>
      </c>
      <c r="F15" s="56">
        <v>440</v>
      </c>
      <c r="G15" s="48">
        <v>440</v>
      </c>
      <c r="H15" s="48">
        <v>373</v>
      </c>
      <c r="I15" s="57">
        <f t="shared" si="4"/>
        <v>84.77272727272728</v>
      </c>
      <c r="J15" s="56">
        <v>5</v>
      </c>
      <c r="K15" s="48">
        <v>6</v>
      </c>
      <c r="L15" s="48">
        <v>6</v>
      </c>
      <c r="M15" s="57">
        <f>SUM(L15/K15*100)</f>
        <v>100</v>
      </c>
      <c r="N15" s="56">
        <v>650</v>
      </c>
      <c r="O15" s="48">
        <v>720</v>
      </c>
      <c r="P15" s="48">
        <v>726</v>
      </c>
      <c r="Q15" s="57">
        <f t="shared" si="5"/>
        <v>100.83333333333333</v>
      </c>
    </row>
    <row r="16" spans="1:17" ht="16.5" customHeight="1">
      <c r="A16" s="120" t="s">
        <v>194</v>
      </c>
      <c r="B16" s="56">
        <f t="shared" si="0"/>
        <v>655</v>
      </c>
      <c r="C16" s="48">
        <f t="shared" si="1"/>
        <v>917</v>
      </c>
      <c r="D16" s="48">
        <f t="shared" si="2"/>
        <v>1326</v>
      </c>
      <c r="E16" s="57">
        <f t="shared" si="3"/>
        <v>144.60196292257362</v>
      </c>
      <c r="F16" s="56">
        <v>340</v>
      </c>
      <c r="G16" s="48">
        <v>340</v>
      </c>
      <c r="H16" s="48">
        <v>327</v>
      </c>
      <c r="I16" s="57">
        <f t="shared" si="4"/>
        <v>96.17647058823529</v>
      </c>
      <c r="J16" s="56"/>
      <c r="K16" s="48"/>
      <c r="L16" s="48"/>
      <c r="M16" s="57"/>
      <c r="N16" s="56">
        <v>315</v>
      </c>
      <c r="O16" s="48">
        <v>315</v>
      </c>
      <c r="P16" s="48">
        <v>316</v>
      </c>
      <c r="Q16" s="57">
        <f t="shared" si="5"/>
        <v>100.31746031746032</v>
      </c>
    </row>
    <row r="17" spans="1:17" ht="16.5" customHeight="1">
      <c r="A17" s="120" t="s">
        <v>195</v>
      </c>
      <c r="B17" s="56">
        <f t="shared" si="0"/>
        <v>3072</v>
      </c>
      <c r="C17" s="48">
        <f t="shared" si="1"/>
        <v>1075</v>
      </c>
      <c r="D17" s="48">
        <f t="shared" si="2"/>
        <v>1034</v>
      </c>
      <c r="E17" s="57">
        <f t="shared" si="3"/>
        <v>96.18604651162791</v>
      </c>
      <c r="F17" s="56">
        <v>400</v>
      </c>
      <c r="G17" s="48">
        <v>400</v>
      </c>
      <c r="H17" s="48">
        <v>326</v>
      </c>
      <c r="I17" s="57">
        <f t="shared" si="4"/>
        <v>81.5</v>
      </c>
      <c r="J17" s="56">
        <v>12</v>
      </c>
      <c r="K17" s="48">
        <v>12</v>
      </c>
      <c r="L17" s="48">
        <v>11</v>
      </c>
      <c r="M17" s="57">
        <f>SUM(L17/K17*100)</f>
        <v>91.66666666666666</v>
      </c>
      <c r="N17" s="56">
        <v>600</v>
      </c>
      <c r="O17" s="48">
        <v>600</v>
      </c>
      <c r="P17" s="48">
        <v>619</v>
      </c>
      <c r="Q17" s="57">
        <f t="shared" si="5"/>
        <v>103.16666666666667</v>
      </c>
    </row>
    <row r="18" spans="1:17" ht="16.5" customHeight="1">
      <c r="A18" s="120" t="s">
        <v>196</v>
      </c>
      <c r="B18" s="56">
        <f t="shared" si="0"/>
        <v>273</v>
      </c>
      <c r="C18" s="48">
        <f t="shared" si="1"/>
        <v>273</v>
      </c>
      <c r="D18" s="48">
        <f t="shared" si="2"/>
        <v>161</v>
      </c>
      <c r="E18" s="57">
        <f t="shared" si="3"/>
        <v>58.97435897435898</v>
      </c>
      <c r="F18" s="56">
        <v>83</v>
      </c>
      <c r="G18" s="48">
        <v>83</v>
      </c>
      <c r="H18" s="48">
        <v>82</v>
      </c>
      <c r="I18" s="57">
        <f t="shared" si="4"/>
        <v>98.79518072289156</v>
      </c>
      <c r="J18" s="56">
        <v>1</v>
      </c>
      <c r="K18" s="48">
        <v>1</v>
      </c>
      <c r="L18" s="48">
        <v>1</v>
      </c>
      <c r="M18" s="57">
        <f>SUM(L18/K18*100)</f>
        <v>100</v>
      </c>
      <c r="N18" s="56">
        <v>28</v>
      </c>
      <c r="O18" s="48">
        <v>28</v>
      </c>
      <c r="P18" s="48">
        <v>14</v>
      </c>
      <c r="Q18" s="57">
        <f t="shared" si="5"/>
        <v>50</v>
      </c>
    </row>
    <row r="19" spans="1:17" ht="16.5" customHeight="1">
      <c r="A19" s="120" t="s">
        <v>197</v>
      </c>
      <c r="B19" s="56">
        <f t="shared" si="0"/>
        <v>5020</v>
      </c>
      <c r="C19" s="48">
        <f t="shared" si="1"/>
        <v>2754</v>
      </c>
      <c r="D19" s="48">
        <f t="shared" si="2"/>
        <v>2481</v>
      </c>
      <c r="E19" s="57">
        <f t="shared" si="3"/>
        <v>90.0871459694989</v>
      </c>
      <c r="F19" s="56">
        <v>780</v>
      </c>
      <c r="G19" s="48">
        <v>780</v>
      </c>
      <c r="H19" s="48">
        <v>585</v>
      </c>
      <c r="I19" s="57">
        <f t="shared" si="4"/>
        <v>75</v>
      </c>
      <c r="J19" s="56"/>
      <c r="K19" s="48"/>
      <c r="L19" s="48"/>
      <c r="M19" s="57"/>
      <c r="N19" s="56">
        <v>1900</v>
      </c>
      <c r="O19" s="48">
        <v>1900</v>
      </c>
      <c r="P19" s="48">
        <v>1840</v>
      </c>
      <c r="Q19" s="57">
        <f t="shared" si="5"/>
        <v>96.84210526315789</v>
      </c>
    </row>
    <row r="20" spans="1:17" ht="16.5" customHeight="1">
      <c r="A20" s="120" t="s">
        <v>198</v>
      </c>
      <c r="B20" s="56">
        <f t="shared" si="0"/>
        <v>2820</v>
      </c>
      <c r="C20" s="48">
        <f t="shared" si="1"/>
        <v>2646</v>
      </c>
      <c r="D20" s="48">
        <f t="shared" si="2"/>
        <v>2890</v>
      </c>
      <c r="E20" s="57">
        <f t="shared" si="3"/>
        <v>109.2214663643235</v>
      </c>
      <c r="F20" s="56">
        <v>1000</v>
      </c>
      <c r="G20" s="48">
        <v>1000</v>
      </c>
      <c r="H20" s="48">
        <v>944</v>
      </c>
      <c r="I20" s="57">
        <f t="shared" si="4"/>
        <v>94.39999999999999</v>
      </c>
      <c r="J20" s="56">
        <v>20</v>
      </c>
      <c r="K20" s="48">
        <v>10</v>
      </c>
      <c r="L20" s="48">
        <v>18</v>
      </c>
      <c r="M20" s="57">
        <f>SUM(L20/K20*100)</f>
        <v>180</v>
      </c>
      <c r="N20" s="56">
        <v>1200</v>
      </c>
      <c r="O20" s="48">
        <v>1500</v>
      </c>
      <c r="P20" s="48">
        <v>1747</v>
      </c>
      <c r="Q20" s="57">
        <f t="shared" si="5"/>
        <v>116.46666666666667</v>
      </c>
    </row>
    <row r="21" spans="1:17" ht="16.5" customHeight="1">
      <c r="A21" s="120" t="s">
        <v>199</v>
      </c>
      <c r="B21" s="56">
        <f t="shared" si="0"/>
        <v>135</v>
      </c>
      <c r="C21" s="48">
        <f t="shared" si="1"/>
        <v>139</v>
      </c>
      <c r="D21" s="48">
        <f t="shared" si="2"/>
        <v>59</v>
      </c>
      <c r="E21" s="57">
        <f t="shared" si="3"/>
        <v>42.44604316546763</v>
      </c>
      <c r="F21" s="56">
        <v>35</v>
      </c>
      <c r="G21" s="48">
        <v>39</v>
      </c>
      <c r="H21" s="48">
        <v>38</v>
      </c>
      <c r="I21" s="57">
        <f t="shared" si="4"/>
        <v>97.43589743589743</v>
      </c>
      <c r="J21" s="56">
        <v>50</v>
      </c>
      <c r="K21" s="48">
        <v>50</v>
      </c>
      <c r="L21" s="48">
        <v>15</v>
      </c>
      <c r="M21" s="57">
        <f>SUM(L21/K21*100)</f>
        <v>30</v>
      </c>
      <c r="N21" s="56"/>
      <c r="O21" s="48"/>
      <c r="P21" s="48"/>
      <c r="Q21" s="57"/>
    </row>
    <row r="22" spans="1:17" ht="15" customHeight="1">
      <c r="A22" s="120" t="s">
        <v>200</v>
      </c>
      <c r="B22" s="56">
        <f t="shared" si="0"/>
        <v>677</v>
      </c>
      <c r="C22" s="48">
        <f t="shared" si="1"/>
        <v>632</v>
      </c>
      <c r="D22" s="48">
        <f t="shared" si="2"/>
        <v>618</v>
      </c>
      <c r="E22" s="57">
        <f t="shared" si="3"/>
        <v>97.78481012658227</v>
      </c>
      <c r="F22" s="56">
        <v>207</v>
      </c>
      <c r="G22" s="48">
        <v>207</v>
      </c>
      <c r="H22" s="48">
        <v>172</v>
      </c>
      <c r="I22" s="57">
        <f t="shared" si="4"/>
        <v>83.09178743961353</v>
      </c>
      <c r="J22" s="56"/>
      <c r="K22" s="48"/>
      <c r="L22" s="48"/>
      <c r="M22" s="57"/>
      <c r="N22" s="56">
        <v>315</v>
      </c>
      <c r="O22" s="48">
        <v>355</v>
      </c>
      <c r="P22" s="48">
        <v>393</v>
      </c>
      <c r="Q22" s="57">
        <f t="shared" si="5"/>
        <v>110.70422535211269</v>
      </c>
    </row>
    <row r="23" spans="1:17" ht="16.5" customHeight="1">
      <c r="A23" s="120" t="s">
        <v>201</v>
      </c>
      <c r="B23" s="56">
        <f t="shared" si="0"/>
        <v>509</v>
      </c>
      <c r="C23" s="48">
        <f t="shared" si="1"/>
        <v>554</v>
      </c>
      <c r="D23" s="48">
        <f t="shared" si="2"/>
        <v>309</v>
      </c>
      <c r="E23" s="57">
        <f t="shared" si="3"/>
        <v>55.77617328519856</v>
      </c>
      <c r="F23" s="56">
        <v>160</v>
      </c>
      <c r="G23" s="48">
        <v>160</v>
      </c>
      <c r="H23" s="48">
        <v>152</v>
      </c>
      <c r="I23" s="57">
        <f t="shared" si="4"/>
        <v>95</v>
      </c>
      <c r="J23" s="56">
        <v>3</v>
      </c>
      <c r="K23" s="48">
        <v>3</v>
      </c>
      <c r="L23" s="48">
        <v>2</v>
      </c>
      <c r="M23" s="57">
        <f>SUM(L23/K23*100)</f>
        <v>66.66666666666666</v>
      </c>
      <c r="N23" s="56">
        <v>80</v>
      </c>
      <c r="O23" s="48">
        <v>125</v>
      </c>
      <c r="P23" s="48">
        <v>135</v>
      </c>
      <c r="Q23" s="57">
        <f t="shared" si="5"/>
        <v>108</v>
      </c>
    </row>
    <row r="24" spans="1:17" ht="16.5" customHeight="1">
      <c r="A24" s="120" t="s">
        <v>202</v>
      </c>
      <c r="B24" s="56">
        <f t="shared" si="0"/>
        <v>569</v>
      </c>
      <c r="C24" s="48">
        <f t="shared" si="1"/>
        <v>603</v>
      </c>
      <c r="D24" s="48">
        <f t="shared" si="2"/>
        <v>528</v>
      </c>
      <c r="E24" s="57">
        <f t="shared" si="3"/>
        <v>87.56218905472637</v>
      </c>
      <c r="F24" s="56">
        <v>160</v>
      </c>
      <c r="G24" s="48">
        <v>172</v>
      </c>
      <c r="H24" s="48">
        <f>173+1</f>
        <v>174</v>
      </c>
      <c r="I24" s="57">
        <f t="shared" si="4"/>
        <v>101.16279069767442</v>
      </c>
      <c r="J24" s="56">
        <v>2</v>
      </c>
      <c r="K24" s="48">
        <v>2</v>
      </c>
      <c r="L24" s="48">
        <v>1</v>
      </c>
      <c r="M24" s="57">
        <f>SUM(L24/K24*100)</f>
        <v>50</v>
      </c>
      <c r="N24" s="56">
        <v>50</v>
      </c>
      <c r="O24" s="48">
        <v>124</v>
      </c>
      <c r="P24" s="48">
        <v>98</v>
      </c>
      <c r="Q24" s="57">
        <f t="shared" si="5"/>
        <v>79.03225806451613</v>
      </c>
    </row>
    <row r="25" spans="1:17" ht="16.5" customHeight="1">
      <c r="A25" s="120" t="s">
        <v>203</v>
      </c>
      <c r="B25" s="56">
        <f t="shared" si="0"/>
        <v>4835</v>
      </c>
      <c r="C25" s="48">
        <f t="shared" si="1"/>
        <v>7595</v>
      </c>
      <c r="D25" s="48">
        <f t="shared" si="2"/>
        <v>7697</v>
      </c>
      <c r="E25" s="57">
        <f t="shared" si="3"/>
        <v>101.34298880842661</v>
      </c>
      <c r="F25" s="56">
        <v>1050</v>
      </c>
      <c r="G25" s="48">
        <v>1315</v>
      </c>
      <c r="H25" s="48">
        <v>1350</v>
      </c>
      <c r="I25" s="57">
        <f t="shared" si="4"/>
        <v>102.6615969581749</v>
      </c>
      <c r="J25" s="56">
        <v>5</v>
      </c>
      <c r="K25" s="48">
        <v>114</v>
      </c>
      <c r="L25" s="48">
        <v>131</v>
      </c>
      <c r="M25" s="57">
        <f>SUM(L25/K25*100)</f>
        <v>114.91228070175438</v>
      </c>
      <c r="N25" s="56">
        <v>2100</v>
      </c>
      <c r="O25" s="48">
        <v>2100</v>
      </c>
      <c r="P25" s="48">
        <v>2093</v>
      </c>
      <c r="Q25" s="57">
        <f t="shared" si="5"/>
        <v>99.66666666666667</v>
      </c>
    </row>
    <row r="26" spans="1:17" ht="16.5" customHeight="1">
      <c r="A26" s="120" t="s">
        <v>204</v>
      </c>
      <c r="B26" s="56">
        <f t="shared" si="0"/>
        <v>600</v>
      </c>
      <c r="C26" s="48">
        <f t="shared" si="1"/>
        <v>418</v>
      </c>
      <c r="D26" s="48">
        <f t="shared" si="2"/>
        <v>328</v>
      </c>
      <c r="E26" s="57">
        <f t="shared" si="3"/>
        <v>78.4688995215311</v>
      </c>
      <c r="F26" s="56">
        <v>240</v>
      </c>
      <c r="G26" s="48">
        <v>210</v>
      </c>
      <c r="H26" s="48">
        <v>143</v>
      </c>
      <c r="I26" s="57">
        <f t="shared" si="4"/>
        <v>68.0952380952381</v>
      </c>
      <c r="J26" s="56"/>
      <c r="K26" s="48"/>
      <c r="L26" s="48"/>
      <c r="M26" s="57"/>
      <c r="N26" s="56">
        <v>50</v>
      </c>
      <c r="O26" s="48">
        <v>50</v>
      </c>
      <c r="P26" s="48">
        <v>78</v>
      </c>
      <c r="Q26" s="57">
        <f t="shared" si="5"/>
        <v>156</v>
      </c>
    </row>
    <row r="27" spans="1:17" ht="16.5" customHeight="1">
      <c r="A27" s="120" t="s">
        <v>205</v>
      </c>
      <c r="B27" s="56">
        <f t="shared" si="0"/>
        <v>5341</v>
      </c>
      <c r="C27" s="48">
        <f t="shared" si="1"/>
        <v>2378</v>
      </c>
      <c r="D27" s="48">
        <f t="shared" si="2"/>
        <v>2531</v>
      </c>
      <c r="E27" s="57">
        <f t="shared" si="3"/>
        <v>106.43397813288477</v>
      </c>
      <c r="F27" s="56">
        <v>700</v>
      </c>
      <c r="G27" s="48">
        <v>700</v>
      </c>
      <c r="H27" s="48">
        <v>637</v>
      </c>
      <c r="I27" s="57">
        <f t="shared" si="4"/>
        <v>91</v>
      </c>
      <c r="J27" s="56">
        <v>1</v>
      </c>
      <c r="K27" s="48">
        <v>1</v>
      </c>
      <c r="L27" s="48">
        <v>1</v>
      </c>
      <c r="M27" s="57">
        <f>SUM(L27/K27*100)</f>
        <v>100</v>
      </c>
      <c r="N27" s="56">
        <v>1560</v>
      </c>
      <c r="O27" s="48">
        <v>1560</v>
      </c>
      <c r="P27" s="48">
        <v>1790</v>
      </c>
      <c r="Q27" s="57">
        <f t="shared" si="5"/>
        <v>114.74358974358974</v>
      </c>
    </row>
    <row r="28" spans="1:17" ht="16.5" customHeight="1">
      <c r="A28" s="120" t="s">
        <v>206</v>
      </c>
      <c r="B28" s="56">
        <f t="shared" si="0"/>
        <v>1280</v>
      </c>
      <c r="C28" s="48">
        <f t="shared" si="1"/>
        <v>1390</v>
      </c>
      <c r="D28" s="48">
        <f t="shared" si="2"/>
        <v>1110</v>
      </c>
      <c r="E28" s="57">
        <f t="shared" si="3"/>
        <v>79.85611510791367</v>
      </c>
      <c r="F28" s="56">
        <v>260</v>
      </c>
      <c r="G28" s="48">
        <v>260</v>
      </c>
      <c r="H28" s="48">
        <v>261</v>
      </c>
      <c r="I28" s="57">
        <f t="shared" si="4"/>
        <v>100.38461538461539</v>
      </c>
      <c r="J28" s="56"/>
      <c r="K28" s="48"/>
      <c r="L28" s="48"/>
      <c r="M28" s="57"/>
      <c r="N28" s="56">
        <v>600</v>
      </c>
      <c r="O28" s="48">
        <v>710</v>
      </c>
      <c r="P28" s="48">
        <v>786</v>
      </c>
      <c r="Q28" s="57">
        <f t="shared" si="5"/>
        <v>110.70422535211269</v>
      </c>
    </row>
    <row r="29" spans="1:17" ht="16.5" customHeight="1">
      <c r="A29" s="120" t="s">
        <v>207</v>
      </c>
      <c r="B29" s="56">
        <f t="shared" si="0"/>
        <v>3130</v>
      </c>
      <c r="C29" s="48">
        <f t="shared" si="1"/>
        <v>1633</v>
      </c>
      <c r="D29" s="48">
        <f t="shared" si="2"/>
        <v>1926</v>
      </c>
      <c r="E29" s="57">
        <f t="shared" si="3"/>
        <v>117.94243723208817</v>
      </c>
      <c r="F29" s="56">
        <v>270</v>
      </c>
      <c r="G29" s="48">
        <v>270</v>
      </c>
      <c r="H29" s="48">
        <v>284</v>
      </c>
      <c r="I29" s="57">
        <f t="shared" si="4"/>
        <v>105.18518518518518</v>
      </c>
      <c r="J29" s="56"/>
      <c r="K29" s="48"/>
      <c r="L29" s="48"/>
      <c r="M29" s="57"/>
      <c r="N29" s="56">
        <v>1000</v>
      </c>
      <c r="O29" s="48">
        <v>1000</v>
      </c>
      <c r="P29" s="48">
        <v>1281</v>
      </c>
      <c r="Q29" s="57">
        <f t="shared" si="5"/>
        <v>128.1</v>
      </c>
    </row>
    <row r="30" spans="1:17" ht="16.5" customHeight="1">
      <c r="A30" s="120" t="s">
        <v>208</v>
      </c>
      <c r="B30" s="56">
        <f t="shared" si="0"/>
        <v>2300</v>
      </c>
      <c r="C30" s="48">
        <f t="shared" si="1"/>
        <v>1448</v>
      </c>
      <c r="D30" s="48">
        <f t="shared" si="2"/>
        <v>1425</v>
      </c>
      <c r="E30" s="57">
        <f t="shared" si="3"/>
        <v>98.41160220994475</v>
      </c>
      <c r="F30" s="56">
        <v>495</v>
      </c>
      <c r="G30" s="48">
        <v>474</v>
      </c>
      <c r="H30" s="48">
        <v>455</v>
      </c>
      <c r="I30" s="57">
        <f t="shared" si="4"/>
        <v>95.9915611814346</v>
      </c>
      <c r="J30" s="56">
        <v>1</v>
      </c>
      <c r="K30" s="48">
        <v>1</v>
      </c>
      <c r="L30" s="48">
        <v>0</v>
      </c>
      <c r="M30" s="57">
        <f>SUM(L30/K30*100)</f>
        <v>0</v>
      </c>
      <c r="N30" s="56">
        <v>400</v>
      </c>
      <c r="O30" s="48">
        <v>400</v>
      </c>
      <c r="P30" s="48">
        <v>397</v>
      </c>
      <c r="Q30" s="57">
        <f t="shared" si="5"/>
        <v>99.25</v>
      </c>
    </row>
    <row r="31" spans="1:17" ht="16.5" customHeight="1">
      <c r="A31" s="120" t="s">
        <v>209</v>
      </c>
      <c r="B31" s="56">
        <f t="shared" si="0"/>
        <v>4100</v>
      </c>
      <c r="C31" s="48">
        <f t="shared" si="1"/>
        <v>3309</v>
      </c>
      <c r="D31" s="48">
        <f t="shared" si="2"/>
        <v>4022</v>
      </c>
      <c r="E31" s="57">
        <f t="shared" si="3"/>
        <v>121.54729525536416</v>
      </c>
      <c r="F31" s="56">
        <v>750</v>
      </c>
      <c r="G31" s="48">
        <v>750</v>
      </c>
      <c r="H31" s="48">
        <v>724</v>
      </c>
      <c r="I31" s="57">
        <f t="shared" si="4"/>
        <v>96.53333333333333</v>
      </c>
      <c r="J31" s="56">
        <v>0</v>
      </c>
      <c r="K31" s="48">
        <v>4</v>
      </c>
      <c r="L31" s="48">
        <v>4</v>
      </c>
      <c r="M31" s="57">
        <f>SUM(L31/K31*100)</f>
        <v>100</v>
      </c>
      <c r="N31" s="56">
        <v>700</v>
      </c>
      <c r="O31" s="48">
        <v>700</v>
      </c>
      <c r="P31" s="48">
        <v>637</v>
      </c>
      <c r="Q31" s="57">
        <f t="shared" si="5"/>
        <v>91</v>
      </c>
    </row>
    <row r="32" spans="1:17" ht="16.5" customHeight="1">
      <c r="A32" s="120" t="s">
        <v>210</v>
      </c>
      <c r="B32" s="56">
        <f t="shared" si="0"/>
        <v>755</v>
      </c>
      <c r="C32" s="48">
        <f t="shared" si="1"/>
        <v>1171</v>
      </c>
      <c r="D32" s="48">
        <f t="shared" si="2"/>
        <v>1129</v>
      </c>
      <c r="E32" s="57">
        <f t="shared" si="3"/>
        <v>96.4133219470538</v>
      </c>
      <c r="F32" s="56">
        <v>250</v>
      </c>
      <c r="G32" s="48">
        <v>250</v>
      </c>
      <c r="H32" s="48">
        <v>252</v>
      </c>
      <c r="I32" s="57">
        <f t="shared" si="4"/>
        <v>100.8</v>
      </c>
      <c r="J32" s="56">
        <v>0</v>
      </c>
      <c r="K32" s="48">
        <v>0</v>
      </c>
      <c r="L32" s="48">
        <v>2</v>
      </c>
      <c r="M32" s="57"/>
      <c r="N32" s="56">
        <v>450</v>
      </c>
      <c r="O32" s="48">
        <v>320</v>
      </c>
      <c r="P32" s="48">
        <v>260</v>
      </c>
      <c r="Q32" s="57">
        <f t="shared" si="5"/>
        <v>81.25</v>
      </c>
    </row>
    <row r="33" spans="1:17" ht="16.5" customHeight="1">
      <c r="A33" s="120" t="s">
        <v>211</v>
      </c>
      <c r="B33" s="56">
        <f t="shared" si="0"/>
        <v>628</v>
      </c>
      <c r="C33" s="48">
        <f t="shared" si="1"/>
        <v>362</v>
      </c>
      <c r="D33" s="48">
        <f t="shared" si="2"/>
        <v>359</v>
      </c>
      <c r="E33" s="57">
        <f t="shared" si="3"/>
        <v>99.17127071823204</v>
      </c>
      <c r="F33" s="56">
        <v>131</v>
      </c>
      <c r="G33" s="48">
        <v>188</v>
      </c>
      <c r="H33" s="48">
        <f>189+1</f>
        <v>190</v>
      </c>
      <c r="I33" s="57">
        <f t="shared" si="4"/>
        <v>101.06382978723406</v>
      </c>
      <c r="J33" s="56"/>
      <c r="K33" s="48"/>
      <c r="L33" s="48"/>
      <c r="M33" s="57"/>
      <c r="N33" s="56">
        <v>80</v>
      </c>
      <c r="O33" s="48">
        <v>80</v>
      </c>
      <c r="P33" s="48">
        <v>78</v>
      </c>
      <c r="Q33" s="57">
        <f t="shared" si="5"/>
        <v>97.5</v>
      </c>
    </row>
    <row r="34" spans="1:17" ht="16.5" customHeight="1">
      <c r="A34" s="120" t="s">
        <v>212</v>
      </c>
      <c r="B34" s="56">
        <f t="shared" si="0"/>
        <v>314</v>
      </c>
      <c r="C34" s="48">
        <f t="shared" si="1"/>
        <v>401</v>
      </c>
      <c r="D34" s="48">
        <f t="shared" si="2"/>
        <v>241</v>
      </c>
      <c r="E34" s="57">
        <f t="shared" si="3"/>
        <v>60.099750623441395</v>
      </c>
      <c r="F34" s="56">
        <v>100</v>
      </c>
      <c r="G34" s="48">
        <v>100</v>
      </c>
      <c r="H34" s="48">
        <v>96</v>
      </c>
      <c r="I34" s="57">
        <f t="shared" si="4"/>
        <v>96</v>
      </c>
      <c r="J34" s="56"/>
      <c r="K34" s="48"/>
      <c r="L34" s="48"/>
      <c r="M34" s="57"/>
      <c r="N34" s="56">
        <v>60</v>
      </c>
      <c r="O34" s="48">
        <v>135</v>
      </c>
      <c r="P34" s="48">
        <v>121</v>
      </c>
      <c r="Q34" s="57">
        <f t="shared" si="5"/>
        <v>89.62962962962962</v>
      </c>
    </row>
    <row r="35" spans="1:17" ht="16.5" customHeight="1">
      <c r="A35" s="120" t="s">
        <v>213</v>
      </c>
      <c r="B35" s="56">
        <f t="shared" si="0"/>
        <v>14475</v>
      </c>
      <c r="C35" s="48">
        <f t="shared" si="1"/>
        <v>14960</v>
      </c>
      <c r="D35" s="48">
        <f t="shared" si="2"/>
        <v>15575</v>
      </c>
      <c r="E35" s="57">
        <f t="shared" si="3"/>
        <v>104.1109625668449</v>
      </c>
      <c r="F35" s="56">
        <v>865</v>
      </c>
      <c r="G35" s="48">
        <v>900</v>
      </c>
      <c r="H35" s="48">
        <v>910</v>
      </c>
      <c r="I35" s="57">
        <f t="shared" si="4"/>
        <v>101.11111111111111</v>
      </c>
      <c r="J35" s="56">
        <v>70</v>
      </c>
      <c r="K35" s="48">
        <v>110</v>
      </c>
      <c r="L35" s="48">
        <v>109</v>
      </c>
      <c r="M35" s="57">
        <f>SUM(L35/K35*100)</f>
        <v>99.0909090909091</v>
      </c>
      <c r="N35" s="56">
        <v>2910</v>
      </c>
      <c r="O35" s="48">
        <v>2910</v>
      </c>
      <c r="P35" s="48">
        <v>2868</v>
      </c>
      <c r="Q35" s="57">
        <f t="shared" si="5"/>
        <v>98.55670103092784</v>
      </c>
    </row>
    <row r="36" spans="1:17" ht="16.5" customHeight="1">
      <c r="A36" s="120" t="s">
        <v>214</v>
      </c>
      <c r="B36" s="56">
        <f t="shared" si="0"/>
        <v>435</v>
      </c>
      <c r="C36" s="48">
        <f t="shared" si="1"/>
        <v>319</v>
      </c>
      <c r="D36" s="48">
        <f t="shared" si="2"/>
        <v>309</v>
      </c>
      <c r="E36" s="57">
        <f t="shared" si="3"/>
        <v>96.86520376175548</v>
      </c>
      <c r="F36" s="56">
        <v>160</v>
      </c>
      <c r="G36" s="48">
        <v>185</v>
      </c>
      <c r="H36" s="48">
        <v>186</v>
      </c>
      <c r="I36" s="57">
        <f t="shared" si="4"/>
        <v>100.54054054054053</v>
      </c>
      <c r="J36" s="56">
        <v>5</v>
      </c>
      <c r="K36" s="48">
        <v>10</v>
      </c>
      <c r="L36" s="48">
        <f>10-1</f>
        <v>9</v>
      </c>
      <c r="M36" s="57">
        <f>SUM(L36/K36*100)</f>
        <v>90</v>
      </c>
      <c r="N36" s="56">
        <v>50</v>
      </c>
      <c r="O36" s="48">
        <v>50</v>
      </c>
      <c r="P36" s="48">
        <v>42</v>
      </c>
      <c r="Q36" s="57">
        <f t="shared" si="5"/>
        <v>84</v>
      </c>
    </row>
    <row r="37" spans="1:17" ht="16.5" customHeight="1">
      <c r="A37" s="120" t="s">
        <v>215</v>
      </c>
      <c r="B37" s="56">
        <f t="shared" si="0"/>
        <v>2165</v>
      </c>
      <c r="C37" s="48">
        <f t="shared" si="1"/>
        <v>1915</v>
      </c>
      <c r="D37" s="48">
        <f t="shared" si="2"/>
        <v>1785</v>
      </c>
      <c r="E37" s="57">
        <f t="shared" si="3"/>
        <v>93.21148825065274</v>
      </c>
      <c r="F37" s="56">
        <v>500</v>
      </c>
      <c r="G37" s="48">
        <v>500</v>
      </c>
      <c r="H37" s="48">
        <v>507</v>
      </c>
      <c r="I37" s="57">
        <f t="shared" si="4"/>
        <v>101.4</v>
      </c>
      <c r="J37" s="56"/>
      <c r="K37" s="48"/>
      <c r="L37" s="48"/>
      <c r="M37" s="57"/>
      <c r="N37" s="56">
        <v>650</v>
      </c>
      <c r="O37" s="48">
        <v>650</v>
      </c>
      <c r="P37" s="48">
        <f>513-1</f>
        <v>512</v>
      </c>
      <c r="Q37" s="57">
        <f t="shared" si="5"/>
        <v>78.76923076923077</v>
      </c>
    </row>
    <row r="38" spans="1:17" ht="16.5" customHeight="1">
      <c r="A38" s="120" t="s">
        <v>216</v>
      </c>
      <c r="B38" s="56">
        <f t="shared" si="0"/>
        <v>74</v>
      </c>
      <c r="C38" s="48">
        <f t="shared" si="1"/>
        <v>84</v>
      </c>
      <c r="D38" s="48">
        <f t="shared" si="2"/>
        <v>78</v>
      </c>
      <c r="E38" s="57">
        <f t="shared" si="3"/>
        <v>92.85714285714286</v>
      </c>
      <c r="F38" s="56">
        <v>50</v>
      </c>
      <c r="G38" s="48">
        <v>50</v>
      </c>
      <c r="H38" s="48">
        <v>49</v>
      </c>
      <c r="I38" s="57">
        <f t="shared" si="4"/>
        <v>98</v>
      </c>
      <c r="J38" s="56"/>
      <c r="K38" s="48"/>
      <c r="L38" s="48"/>
      <c r="M38" s="57"/>
      <c r="N38" s="56">
        <v>20</v>
      </c>
      <c r="O38" s="48">
        <v>30</v>
      </c>
      <c r="P38" s="48">
        <v>26</v>
      </c>
      <c r="Q38" s="57">
        <f t="shared" si="5"/>
        <v>86.66666666666667</v>
      </c>
    </row>
    <row r="39" spans="1:17" ht="16.5" customHeight="1">
      <c r="A39" s="120" t="s">
        <v>217</v>
      </c>
      <c r="B39" s="56">
        <f t="shared" si="0"/>
        <v>34</v>
      </c>
      <c r="C39" s="48">
        <f t="shared" si="1"/>
        <v>37</v>
      </c>
      <c r="D39" s="48">
        <f t="shared" si="2"/>
        <v>36</v>
      </c>
      <c r="E39" s="57">
        <f t="shared" si="3"/>
        <v>97.2972972972973</v>
      </c>
      <c r="F39" s="56">
        <v>23</v>
      </c>
      <c r="G39" s="48">
        <v>24</v>
      </c>
      <c r="H39" s="48">
        <v>24</v>
      </c>
      <c r="I39" s="57">
        <f t="shared" si="4"/>
        <v>100</v>
      </c>
      <c r="J39" s="56"/>
      <c r="K39" s="48"/>
      <c r="L39" s="48"/>
      <c r="M39" s="57"/>
      <c r="N39" s="56">
        <v>11</v>
      </c>
      <c r="O39" s="48">
        <v>13</v>
      </c>
      <c r="P39" s="48">
        <v>12</v>
      </c>
      <c r="Q39" s="57">
        <f t="shared" si="5"/>
        <v>92.3076923076923</v>
      </c>
    </row>
    <row r="40" spans="1:17" ht="16.5" customHeight="1">
      <c r="A40" s="120" t="s">
        <v>218</v>
      </c>
      <c r="B40" s="56">
        <f t="shared" si="0"/>
        <v>21</v>
      </c>
      <c r="C40" s="48">
        <f t="shared" si="1"/>
        <v>23</v>
      </c>
      <c r="D40" s="48">
        <f t="shared" si="2"/>
        <v>23</v>
      </c>
      <c r="E40" s="57">
        <f t="shared" si="3"/>
        <v>100</v>
      </c>
      <c r="F40" s="56">
        <v>20</v>
      </c>
      <c r="G40" s="48">
        <v>21</v>
      </c>
      <c r="H40" s="48">
        <f>21+1</f>
        <v>22</v>
      </c>
      <c r="I40" s="57">
        <f t="shared" si="4"/>
        <v>104.76190476190477</v>
      </c>
      <c r="J40" s="56"/>
      <c r="K40" s="48"/>
      <c r="L40" s="48"/>
      <c r="M40" s="57"/>
      <c r="N40" s="56">
        <v>1</v>
      </c>
      <c r="O40" s="48">
        <v>2</v>
      </c>
      <c r="P40" s="48">
        <f>2-1</f>
        <v>1</v>
      </c>
      <c r="Q40" s="57">
        <f t="shared" si="5"/>
        <v>50</v>
      </c>
    </row>
    <row r="41" spans="1:17" ht="15" customHeight="1" thickBot="1">
      <c r="A41" s="121" t="s">
        <v>219</v>
      </c>
      <c r="B41" s="61">
        <f t="shared" si="0"/>
        <v>31</v>
      </c>
      <c r="C41" s="62">
        <f t="shared" si="1"/>
        <v>34</v>
      </c>
      <c r="D41" s="62">
        <f t="shared" si="2"/>
        <v>34</v>
      </c>
      <c r="E41" s="63">
        <f t="shared" si="3"/>
        <v>100</v>
      </c>
      <c r="F41" s="61">
        <v>28</v>
      </c>
      <c r="G41" s="62">
        <v>28</v>
      </c>
      <c r="H41" s="62">
        <v>28</v>
      </c>
      <c r="I41" s="63">
        <f t="shared" si="4"/>
        <v>100</v>
      </c>
      <c r="J41" s="61"/>
      <c r="K41" s="62"/>
      <c r="L41" s="62"/>
      <c r="M41" s="63"/>
      <c r="N41" s="61">
        <v>3</v>
      </c>
      <c r="O41" s="62">
        <v>6</v>
      </c>
      <c r="P41" s="62">
        <v>6</v>
      </c>
      <c r="Q41" s="63">
        <f t="shared" si="5"/>
        <v>100</v>
      </c>
    </row>
    <row r="42" spans="1:17" ht="15" customHeight="1" thickBot="1">
      <c r="A42" s="118"/>
      <c r="B42" s="53"/>
      <c r="C42" s="54"/>
      <c r="D42" s="54"/>
      <c r="E42" s="60"/>
      <c r="F42" s="53"/>
      <c r="G42" s="54"/>
      <c r="H42" s="54"/>
      <c r="I42" s="60"/>
      <c r="J42" s="53"/>
      <c r="K42" s="54"/>
      <c r="L42" s="54"/>
      <c r="M42" s="60"/>
      <c r="N42" s="53"/>
      <c r="O42" s="54"/>
      <c r="P42" s="54"/>
      <c r="Q42" s="60"/>
    </row>
    <row r="43" spans="1:18" s="93" customFormat="1" ht="18" customHeight="1" thickBot="1">
      <c r="A43" s="122" t="s">
        <v>245</v>
      </c>
      <c r="B43" s="176">
        <f>SUM(B13:B41)</f>
        <v>116019</v>
      </c>
      <c r="C43" s="283">
        <f>SUM(C13:C42)</f>
        <v>98328</v>
      </c>
      <c r="D43" s="283">
        <f>SUM(D13:D41)</f>
        <v>94469</v>
      </c>
      <c r="E43" s="103">
        <f>SUM(D43/C43*100)</f>
        <v>96.07538035961272</v>
      </c>
      <c r="F43" s="100">
        <f>SUM(F13:F41)</f>
        <v>11647</v>
      </c>
      <c r="G43" s="175">
        <f>SUM(G13:G41)</f>
        <v>12496</v>
      </c>
      <c r="H43" s="283">
        <f>SUM(H13:H41)</f>
        <v>11255</v>
      </c>
      <c r="I43" s="103">
        <f>SUM(H43/G43*100)</f>
        <v>90.06882202304737</v>
      </c>
      <c r="J43" s="100">
        <f>SUM(J13:J41)</f>
        <v>776</v>
      </c>
      <c r="K43" s="175">
        <f>SUM(K13:K41)</f>
        <v>928</v>
      </c>
      <c r="L43" s="101">
        <f>SUM(L13:L41)</f>
        <v>1270</v>
      </c>
      <c r="M43" s="124">
        <f>SUM(L43/K43*100)</f>
        <v>136.85344827586206</v>
      </c>
      <c r="N43" s="100">
        <f>SUM(N13:N41)</f>
        <v>42946</v>
      </c>
      <c r="O43" s="101">
        <f>SUM(O13:O41)</f>
        <v>50946</v>
      </c>
      <c r="P43" s="175">
        <f>SUM(P13:P41)</f>
        <v>48020</v>
      </c>
      <c r="Q43" s="103">
        <f>SUM(P43/O43*100)</f>
        <v>94.25666391865897</v>
      </c>
      <c r="R43" s="93" t="s">
        <v>51</v>
      </c>
    </row>
    <row r="44" ht="18" customHeight="1"/>
    <row r="45" spans="1:17" ht="16.5" customHeight="1" hidden="1">
      <c r="A45" s="93" t="s">
        <v>4</v>
      </c>
      <c r="B45" s="47"/>
      <c r="C45" s="47"/>
      <c r="D45" s="47">
        <f>H45+L45+P45+D94+H94+L94+P94</f>
        <v>94469</v>
      </c>
      <c r="E45" s="47"/>
      <c r="F45" s="47"/>
      <c r="G45" s="47"/>
      <c r="H45" s="47">
        <f>ROUND(H46/1000,0)</f>
        <v>11255</v>
      </c>
      <c r="I45" s="47"/>
      <c r="J45" s="47"/>
      <c r="K45" s="47"/>
      <c r="L45" s="47">
        <f>ROUND(L46/1000,0)</f>
        <v>1270</v>
      </c>
      <c r="M45" s="47"/>
      <c r="N45" s="47"/>
      <c r="O45" s="47"/>
      <c r="P45" s="47">
        <f>ROUND(P46/1000,0)</f>
        <v>48020</v>
      </c>
      <c r="Q45" s="47"/>
    </row>
    <row r="46" spans="1:17" ht="16.5" customHeight="1" hidden="1">
      <c r="A46" s="93">
        <v>2012</v>
      </c>
      <c r="B46" s="47">
        <v>116019</v>
      </c>
      <c r="C46" s="47">
        <v>98328</v>
      </c>
      <c r="D46" s="47">
        <v>94469</v>
      </c>
      <c r="E46" s="47"/>
      <c r="F46" s="47">
        <v>11647</v>
      </c>
      <c r="G46" s="47">
        <v>12496</v>
      </c>
      <c r="H46" s="47">
        <v>11254696</v>
      </c>
      <c r="I46" s="47"/>
      <c r="J46" s="47">
        <v>776</v>
      </c>
      <c r="K46" s="47">
        <v>928</v>
      </c>
      <c r="L46" s="47">
        <v>1269868</v>
      </c>
      <c r="M46" s="47"/>
      <c r="N46" s="47">
        <v>42946</v>
      </c>
      <c r="O46" s="47">
        <v>50946</v>
      </c>
      <c r="P46" s="47">
        <v>48020126.96</v>
      </c>
      <c r="Q46" s="47"/>
    </row>
    <row r="47" spans="1:17" ht="16.5" customHeight="1" hidden="1">
      <c r="A47" s="93">
        <v>2011</v>
      </c>
      <c r="B47" s="47">
        <v>121782</v>
      </c>
      <c r="C47" s="47">
        <v>148362</v>
      </c>
      <c r="D47" s="47">
        <v>181593</v>
      </c>
      <c r="E47" s="47">
        <v>92.73445346679604</v>
      </c>
      <c r="F47" s="47">
        <v>12083</v>
      </c>
      <c r="G47" s="47">
        <v>12142</v>
      </c>
      <c r="H47" s="47">
        <v>11852</v>
      </c>
      <c r="I47" s="47">
        <v>97.39392458669272</v>
      </c>
      <c r="J47" s="47">
        <v>820</v>
      </c>
      <c r="K47" s="47">
        <v>842</v>
      </c>
      <c r="L47" s="47">
        <v>962</v>
      </c>
      <c r="M47" s="47">
        <v>106.47291941875825</v>
      </c>
      <c r="N47" s="47">
        <v>42722</v>
      </c>
      <c r="O47" s="47">
        <v>45336</v>
      </c>
      <c r="P47" s="47">
        <v>53085</v>
      </c>
      <c r="Q47" s="47">
        <v>109.64879937318524</v>
      </c>
    </row>
    <row r="48" spans="2:17" ht="16.5" customHeight="1" hidden="1">
      <c r="B48" s="47"/>
      <c r="C48" s="47"/>
      <c r="D48" s="129">
        <f>D46/D47*100</f>
        <v>52.022379717279854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24.75" customHeight="1">
      <c r="A49" s="327" t="s">
        <v>41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ht="16.5" customHeight="1">
      <c r="Q50" s="93"/>
    </row>
    <row r="51" ht="16.5" customHeight="1" thickBot="1">
      <c r="Q51" s="94" t="s">
        <v>169</v>
      </c>
    </row>
    <row r="52" spans="1:17" ht="16.5" customHeight="1" thickBot="1">
      <c r="A52" s="321" t="s">
        <v>229</v>
      </c>
      <c r="B52" s="93" t="s">
        <v>43</v>
      </c>
      <c r="C52" s="93" t="s">
        <v>52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 t="s">
        <v>1</v>
      </c>
    </row>
    <row r="53" spans="1:17" ht="16.5" customHeight="1" thickBot="1">
      <c r="A53" s="322"/>
      <c r="B53" s="329" t="s">
        <v>253</v>
      </c>
      <c r="C53" s="330"/>
      <c r="D53" s="330"/>
      <c r="E53" s="331"/>
      <c r="F53" s="329" t="s">
        <v>53</v>
      </c>
      <c r="G53" s="330"/>
      <c r="H53" s="330"/>
      <c r="I53" s="331"/>
      <c r="J53" s="329" t="s">
        <v>230</v>
      </c>
      <c r="K53" s="330"/>
      <c r="L53" s="330"/>
      <c r="M53" s="331"/>
      <c r="N53" s="329" t="s">
        <v>54</v>
      </c>
      <c r="O53" s="330"/>
      <c r="P53" s="330"/>
      <c r="Q53" s="331"/>
    </row>
    <row r="54" spans="1:17" ht="16.5" customHeight="1">
      <c r="A54" s="322"/>
      <c r="B54" s="328" t="s">
        <v>242</v>
      </c>
      <c r="C54" s="320" t="s">
        <v>244</v>
      </c>
      <c r="D54" s="320" t="s">
        <v>243</v>
      </c>
      <c r="E54" s="161" t="s">
        <v>0</v>
      </c>
      <c r="F54" s="328" t="s">
        <v>242</v>
      </c>
      <c r="G54" s="320" t="s">
        <v>244</v>
      </c>
      <c r="H54" s="320" t="s">
        <v>243</v>
      </c>
      <c r="I54" s="161" t="s">
        <v>0</v>
      </c>
      <c r="J54" s="328" t="s">
        <v>242</v>
      </c>
      <c r="K54" s="320" t="s">
        <v>244</v>
      </c>
      <c r="L54" s="320" t="s">
        <v>243</v>
      </c>
      <c r="M54" s="161" t="s">
        <v>0</v>
      </c>
      <c r="N54" s="328" t="s">
        <v>242</v>
      </c>
      <c r="O54" s="320" t="s">
        <v>244</v>
      </c>
      <c r="P54" s="320" t="s">
        <v>243</v>
      </c>
      <c r="Q54" s="161" t="s">
        <v>0</v>
      </c>
    </row>
    <row r="55" spans="1:17" ht="16.5" customHeight="1" thickBot="1">
      <c r="A55" s="323"/>
      <c r="B55" s="290"/>
      <c r="C55" s="292"/>
      <c r="D55" s="292"/>
      <c r="E55" s="89" t="s">
        <v>11</v>
      </c>
      <c r="F55" s="290"/>
      <c r="G55" s="292"/>
      <c r="H55" s="292"/>
      <c r="I55" s="89" t="s">
        <v>11</v>
      </c>
      <c r="J55" s="290"/>
      <c r="K55" s="292"/>
      <c r="L55" s="292"/>
      <c r="M55" s="89" t="s">
        <v>11</v>
      </c>
      <c r="N55" s="290"/>
      <c r="O55" s="292"/>
      <c r="P55" s="292"/>
      <c r="Q55" s="89" t="s">
        <v>11</v>
      </c>
    </row>
    <row r="56" spans="1:17" ht="16.5" customHeight="1">
      <c r="A56" s="118"/>
      <c r="B56" s="53"/>
      <c r="C56" s="160" t="s">
        <v>55</v>
      </c>
      <c r="D56" s="54"/>
      <c r="E56" s="55"/>
      <c r="F56" s="53"/>
      <c r="G56" s="160" t="s">
        <v>56</v>
      </c>
      <c r="H56" s="54"/>
      <c r="I56" s="55"/>
      <c r="J56" s="53"/>
      <c r="K56" s="160" t="s">
        <v>57</v>
      </c>
      <c r="L56" s="54"/>
      <c r="M56" s="55"/>
      <c r="N56" s="53"/>
      <c r="O56" s="160" t="s">
        <v>58</v>
      </c>
      <c r="P56" s="54"/>
      <c r="Q56" s="55"/>
    </row>
    <row r="57" spans="1:17" ht="16.5" customHeight="1" thickBot="1">
      <c r="A57" s="118"/>
      <c r="B57" s="53"/>
      <c r="C57" s="54"/>
      <c r="D57" s="54"/>
      <c r="E57" s="55"/>
      <c r="F57" s="53"/>
      <c r="G57" s="54"/>
      <c r="H57" s="54"/>
      <c r="I57" s="55"/>
      <c r="J57" s="53"/>
      <c r="K57" s="54"/>
      <c r="L57" s="54"/>
      <c r="M57" s="55"/>
      <c r="N57" s="53"/>
      <c r="O57" s="54"/>
      <c r="P57" s="54"/>
      <c r="Q57" s="55"/>
    </row>
    <row r="58" spans="1:17" ht="16.5" customHeight="1">
      <c r="A58" s="119" t="s">
        <v>191</v>
      </c>
      <c r="B58" s="73">
        <v>5000</v>
      </c>
      <c r="C58" s="74">
        <v>6500</v>
      </c>
      <c r="D58" s="74">
        <v>5859</v>
      </c>
      <c r="E58" s="76">
        <f>SUM(D58/C58*100)</f>
        <v>90.13846153846153</v>
      </c>
      <c r="F58" s="73">
        <v>2200</v>
      </c>
      <c r="G58" s="74">
        <v>2700</v>
      </c>
      <c r="H58" s="74">
        <v>3257</v>
      </c>
      <c r="I58" s="76">
        <f>SUM(H58/G58*100)</f>
        <v>120.62962962962962</v>
      </c>
      <c r="J58" s="73">
        <v>20300</v>
      </c>
      <c r="K58" s="74">
        <v>2298</v>
      </c>
      <c r="L58" s="74">
        <v>1394</v>
      </c>
      <c r="M58" s="76">
        <f aca="true" t="shared" si="6" ref="M58:M65">SUM(L58/K58*100)</f>
        <v>60.661444734551786</v>
      </c>
      <c r="N58" s="73"/>
      <c r="O58" s="74"/>
      <c r="P58" s="74"/>
      <c r="Q58" s="76"/>
    </row>
    <row r="59" spans="1:17" ht="16.5" customHeight="1">
      <c r="A59" s="120" t="s">
        <v>192</v>
      </c>
      <c r="B59" s="56">
        <v>10</v>
      </c>
      <c r="C59" s="48">
        <v>10</v>
      </c>
      <c r="D59" s="48">
        <v>10</v>
      </c>
      <c r="E59" s="57">
        <f>SUM(D59/C59*100)</f>
        <v>100</v>
      </c>
      <c r="F59" s="56">
        <v>750</v>
      </c>
      <c r="G59" s="48">
        <v>750</v>
      </c>
      <c r="H59" s="48">
        <v>745</v>
      </c>
      <c r="I59" s="57">
        <f>SUM(H59/G59*100)</f>
        <v>99.33333333333333</v>
      </c>
      <c r="J59" s="56">
        <v>1700</v>
      </c>
      <c r="K59" s="48">
        <v>15</v>
      </c>
      <c r="L59" s="48">
        <v>15</v>
      </c>
      <c r="M59" s="57">
        <f t="shared" si="6"/>
        <v>100</v>
      </c>
      <c r="N59" s="56"/>
      <c r="O59" s="48"/>
      <c r="P59" s="48"/>
      <c r="Q59" s="57"/>
    </row>
    <row r="60" spans="1:17" ht="16.5" customHeight="1">
      <c r="A60" s="120" t="s">
        <v>193</v>
      </c>
      <c r="B60" s="56"/>
      <c r="C60" s="48"/>
      <c r="D60" s="48"/>
      <c r="E60" s="57"/>
      <c r="F60" s="56">
        <v>2</v>
      </c>
      <c r="G60" s="48">
        <v>2</v>
      </c>
      <c r="H60" s="48">
        <f>1+1</f>
        <v>2</v>
      </c>
      <c r="I60" s="57">
        <f>SUM(H60/G60*100)</f>
        <v>100</v>
      </c>
      <c r="J60" s="56">
        <v>800</v>
      </c>
      <c r="K60" s="48">
        <v>0</v>
      </c>
      <c r="L60" s="48">
        <v>0</v>
      </c>
      <c r="M60" s="57"/>
      <c r="N60" s="56"/>
      <c r="O60" s="48"/>
      <c r="P60" s="48"/>
      <c r="Q60" s="57"/>
    </row>
    <row r="61" spans="1:17" ht="16.5" customHeight="1">
      <c r="A61" s="120" t="s">
        <v>194</v>
      </c>
      <c r="B61" s="56"/>
      <c r="C61" s="48"/>
      <c r="D61" s="48"/>
      <c r="E61" s="57"/>
      <c r="F61" s="56"/>
      <c r="G61" s="48"/>
      <c r="H61" s="48"/>
      <c r="I61" s="57"/>
      <c r="J61" s="56">
        <v>0</v>
      </c>
      <c r="K61" s="48">
        <v>262</v>
      </c>
      <c r="L61" s="48">
        <v>683</v>
      </c>
      <c r="M61" s="57">
        <f t="shared" si="6"/>
        <v>260.68702290076334</v>
      </c>
      <c r="N61" s="56"/>
      <c r="O61" s="48"/>
      <c r="P61" s="48"/>
      <c r="Q61" s="57"/>
    </row>
    <row r="62" spans="1:17" ht="16.5" customHeight="1">
      <c r="A62" s="120" t="s">
        <v>195</v>
      </c>
      <c r="B62" s="56"/>
      <c r="C62" s="48"/>
      <c r="D62" s="48"/>
      <c r="E62" s="57"/>
      <c r="F62" s="56">
        <v>60</v>
      </c>
      <c r="G62" s="48">
        <v>60</v>
      </c>
      <c r="H62" s="48">
        <v>74</v>
      </c>
      <c r="I62" s="57">
        <f aca="true" t="shared" si="7" ref="I62:I83">SUM(H62/G62*100)</f>
        <v>123.33333333333334</v>
      </c>
      <c r="J62" s="56">
        <v>2000</v>
      </c>
      <c r="K62" s="48">
        <v>3</v>
      </c>
      <c r="L62" s="48">
        <v>4</v>
      </c>
      <c r="M62" s="57">
        <f t="shared" si="6"/>
        <v>133.33333333333331</v>
      </c>
      <c r="N62" s="56"/>
      <c r="O62" s="48"/>
      <c r="P62" s="48"/>
      <c r="Q62" s="57"/>
    </row>
    <row r="63" spans="1:17" ht="16.5" customHeight="1">
      <c r="A63" s="120" t="s">
        <v>196</v>
      </c>
      <c r="B63" s="56"/>
      <c r="C63" s="48"/>
      <c r="D63" s="48"/>
      <c r="E63" s="57"/>
      <c r="F63" s="56">
        <v>1</v>
      </c>
      <c r="G63" s="48">
        <v>1</v>
      </c>
      <c r="H63" s="48">
        <v>1</v>
      </c>
      <c r="I63" s="57">
        <f t="shared" si="7"/>
        <v>100</v>
      </c>
      <c r="J63" s="56">
        <v>160</v>
      </c>
      <c r="K63" s="48">
        <v>160</v>
      </c>
      <c r="L63" s="48">
        <v>63</v>
      </c>
      <c r="M63" s="57">
        <f t="shared" si="6"/>
        <v>39.375</v>
      </c>
      <c r="N63" s="56"/>
      <c r="O63" s="48"/>
      <c r="P63" s="48"/>
      <c r="Q63" s="57"/>
    </row>
    <row r="64" spans="1:17" ht="16.5" customHeight="1">
      <c r="A64" s="120" t="s">
        <v>197</v>
      </c>
      <c r="B64" s="56"/>
      <c r="C64" s="48"/>
      <c r="D64" s="48"/>
      <c r="E64" s="57"/>
      <c r="F64" s="56">
        <v>40</v>
      </c>
      <c r="G64" s="48">
        <v>40</v>
      </c>
      <c r="H64" s="48">
        <v>22</v>
      </c>
      <c r="I64" s="57">
        <f t="shared" si="7"/>
        <v>55.00000000000001</v>
      </c>
      <c r="J64" s="56">
        <v>2300</v>
      </c>
      <c r="K64" s="48">
        <v>34</v>
      </c>
      <c r="L64" s="48">
        <v>34</v>
      </c>
      <c r="M64" s="57">
        <f t="shared" si="6"/>
        <v>100</v>
      </c>
      <c r="N64" s="56"/>
      <c r="O64" s="48"/>
      <c r="P64" s="48"/>
      <c r="Q64" s="57"/>
    </row>
    <row r="65" spans="1:17" ht="16.5" customHeight="1">
      <c r="A65" s="120" t="s">
        <v>198</v>
      </c>
      <c r="B65" s="56">
        <v>0</v>
      </c>
      <c r="C65" s="48">
        <v>1</v>
      </c>
      <c r="D65" s="48">
        <v>0</v>
      </c>
      <c r="E65" s="57"/>
      <c r="F65" s="56">
        <v>100</v>
      </c>
      <c r="G65" s="48">
        <v>130</v>
      </c>
      <c r="H65" s="48">
        <v>173</v>
      </c>
      <c r="I65" s="57">
        <f t="shared" si="7"/>
        <v>133.07692307692307</v>
      </c>
      <c r="J65" s="56">
        <v>500</v>
      </c>
      <c r="K65" s="48">
        <v>5</v>
      </c>
      <c r="L65" s="48">
        <v>8</v>
      </c>
      <c r="M65" s="57">
        <f t="shared" si="6"/>
        <v>160</v>
      </c>
      <c r="N65" s="56"/>
      <c r="O65" s="48"/>
      <c r="P65" s="48"/>
      <c r="Q65" s="57"/>
    </row>
    <row r="66" spans="1:17" ht="16.5" customHeight="1">
      <c r="A66" s="120" t="s">
        <v>199</v>
      </c>
      <c r="B66" s="56"/>
      <c r="C66" s="48"/>
      <c r="D66" s="48"/>
      <c r="E66" s="57"/>
      <c r="F66" s="56">
        <v>50</v>
      </c>
      <c r="G66" s="48">
        <v>50</v>
      </c>
      <c r="H66" s="48">
        <v>6</v>
      </c>
      <c r="I66" s="57">
        <f t="shared" si="7"/>
        <v>12</v>
      </c>
      <c r="J66" s="56"/>
      <c r="K66" s="48"/>
      <c r="L66" s="48"/>
      <c r="M66" s="57"/>
      <c r="N66" s="56"/>
      <c r="O66" s="48"/>
      <c r="P66" s="48"/>
      <c r="Q66" s="57"/>
    </row>
    <row r="67" spans="1:17" ht="16.5" customHeight="1">
      <c r="A67" s="120" t="s">
        <v>200</v>
      </c>
      <c r="B67" s="56"/>
      <c r="C67" s="48"/>
      <c r="D67" s="48"/>
      <c r="E67" s="57"/>
      <c r="F67" s="56">
        <v>55</v>
      </c>
      <c r="G67" s="48">
        <v>55</v>
      </c>
      <c r="H67" s="48">
        <v>38</v>
      </c>
      <c r="I67" s="57">
        <f t="shared" si="7"/>
        <v>69.0909090909091</v>
      </c>
      <c r="J67" s="56">
        <v>100</v>
      </c>
      <c r="K67" s="48">
        <v>15</v>
      </c>
      <c r="L67" s="48">
        <v>15</v>
      </c>
      <c r="M67" s="57">
        <f aca="true" t="shared" si="8" ref="M67:M82">SUM(L67/K67*100)</f>
        <v>100</v>
      </c>
      <c r="N67" s="56"/>
      <c r="O67" s="48"/>
      <c r="P67" s="48"/>
      <c r="Q67" s="57"/>
    </row>
    <row r="68" spans="1:17" ht="16.5" customHeight="1">
      <c r="A68" s="120" t="s">
        <v>201</v>
      </c>
      <c r="B68" s="56"/>
      <c r="C68" s="48"/>
      <c r="D68" s="48"/>
      <c r="E68" s="57"/>
      <c r="F68" s="56">
        <v>16</v>
      </c>
      <c r="G68" s="48">
        <v>16</v>
      </c>
      <c r="H68" s="48">
        <v>15</v>
      </c>
      <c r="I68" s="57">
        <f t="shared" si="7"/>
        <v>93.75</v>
      </c>
      <c r="J68" s="56">
        <v>250</v>
      </c>
      <c r="K68" s="48">
        <v>250</v>
      </c>
      <c r="L68" s="48">
        <v>5</v>
      </c>
      <c r="M68" s="57">
        <f t="shared" si="8"/>
        <v>2</v>
      </c>
      <c r="N68" s="56"/>
      <c r="O68" s="48"/>
      <c r="P68" s="48"/>
      <c r="Q68" s="57"/>
    </row>
    <row r="69" spans="1:17" ht="16.5" customHeight="1">
      <c r="A69" s="120" t="s">
        <v>202</v>
      </c>
      <c r="B69" s="56">
        <v>250</v>
      </c>
      <c r="C69" s="48">
        <v>250</v>
      </c>
      <c r="D69" s="48">
        <v>250</v>
      </c>
      <c r="E69" s="57">
        <f>SUM(D69/C69*100)</f>
        <v>100</v>
      </c>
      <c r="F69" s="56">
        <v>7</v>
      </c>
      <c r="G69" s="48">
        <v>7</v>
      </c>
      <c r="H69" s="48">
        <v>5</v>
      </c>
      <c r="I69" s="57">
        <f t="shared" si="7"/>
        <v>71.42857142857143</v>
      </c>
      <c r="J69" s="56">
        <v>100</v>
      </c>
      <c r="K69" s="48">
        <v>48</v>
      </c>
      <c r="L69" s="48">
        <v>0</v>
      </c>
      <c r="M69" s="57">
        <f t="shared" si="8"/>
        <v>0</v>
      </c>
      <c r="N69" s="56"/>
      <c r="O69" s="48"/>
      <c r="P69" s="48"/>
      <c r="Q69" s="57"/>
    </row>
    <row r="70" spans="1:17" ht="16.5" customHeight="1">
      <c r="A70" s="120" t="s">
        <v>203</v>
      </c>
      <c r="B70" s="56"/>
      <c r="C70" s="48"/>
      <c r="D70" s="48"/>
      <c r="E70" s="57"/>
      <c r="F70" s="56">
        <v>180</v>
      </c>
      <c r="G70" s="48">
        <v>150</v>
      </c>
      <c r="H70" s="48">
        <v>137</v>
      </c>
      <c r="I70" s="57">
        <f t="shared" si="7"/>
        <v>91.33333333333333</v>
      </c>
      <c r="J70" s="56">
        <v>1500</v>
      </c>
      <c r="K70" s="48">
        <v>3916</v>
      </c>
      <c r="L70" s="48">
        <v>3986</v>
      </c>
      <c r="M70" s="57">
        <f t="shared" si="8"/>
        <v>101.78753830439224</v>
      </c>
      <c r="N70" s="56"/>
      <c r="O70" s="48"/>
      <c r="P70" s="48"/>
      <c r="Q70" s="57"/>
    </row>
    <row r="71" spans="1:17" ht="16.5" customHeight="1">
      <c r="A71" s="120" t="s">
        <v>204</v>
      </c>
      <c r="B71" s="56"/>
      <c r="C71" s="48"/>
      <c r="D71" s="48"/>
      <c r="E71" s="57"/>
      <c r="F71" s="56">
        <v>150</v>
      </c>
      <c r="G71" s="48">
        <v>150</v>
      </c>
      <c r="H71" s="48">
        <v>99</v>
      </c>
      <c r="I71" s="57">
        <f t="shared" si="7"/>
        <v>66</v>
      </c>
      <c r="J71" s="56">
        <v>160</v>
      </c>
      <c r="K71" s="48">
        <v>8</v>
      </c>
      <c r="L71" s="48">
        <v>8</v>
      </c>
      <c r="M71" s="57">
        <f t="shared" si="8"/>
        <v>100</v>
      </c>
      <c r="N71" s="56"/>
      <c r="O71" s="48"/>
      <c r="P71" s="48"/>
      <c r="Q71" s="57"/>
    </row>
    <row r="72" spans="1:17" ht="16.5" customHeight="1">
      <c r="A72" s="120" t="s">
        <v>205</v>
      </c>
      <c r="B72" s="56"/>
      <c r="C72" s="48"/>
      <c r="D72" s="48"/>
      <c r="E72" s="57"/>
      <c r="F72" s="56">
        <v>80</v>
      </c>
      <c r="G72" s="48">
        <v>80</v>
      </c>
      <c r="H72" s="48">
        <v>66</v>
      </c>
      <c r="I72" s="57">
        <f t="shared" si="7"/>
        <v>82.5</v>
      </c>
      <c r="J72" s="56">
        <v>3000</v>
      </c>
      <c r="K72" s="48">
        <v>37</v>
      </c>
      <c r="L72" s="48">
        <v>37</v>
      </c>
      <c r="M72" s="57">
        <f t="shared" si="8"/>
        <v>100</v>
      </c>
      <c r="N72" s="56"/>
      <c r="O72" s="48"/>
      <c r="P72" s="48"/>
      <c r="Q72" s="57"/>
    </row>
    <row r="73" spans="1:17" ht="16.5" customHeight="1">
      <c r="A73" s="120" t="s">
        <v>206</v>
      </c>
      <c r="B73" s="56"/>
      <c r="C73" s="48"/>
      <c r="D73" s="48"/>
      <c r="E73" s="57"/>
      <c r="F73" s="56">
        <v>20</v>
      </c>
      <c r="G73" s="48">
        <v>20</v>
      </c>
      <c r="H73" s="48">
        <v>31</v>
      </c>
      <c r="I73" s="57">
        <f t="shared" si="7"/>
        <v>155</v>
      </c>
      <c r="J73" s="56">
        <v>400</v>
      </c>
      <c r="K73" s="48">
        <v>400</v>
      </c>
      <c r="L73" s="48">
        <v>32</v>
      </c>
      <c r="M73" s="57">
        <f t="shared" si="8"/>
        <v>8</v>
      </c>
      <c r="N73" s="56"/>
      <c r="O73" s="48"/>
      <c r="P73" s="48"/>
      <c r="Q73" s="57"/>
    </row>
    <row r="74" spans="1:17" ht="16.5" customHeight="1">
      <c r="A74" s="120" t="s">
        <v>207</v>
      </c>
      <c r="B74" s="56">
        <v>10</v>
      </c>
      <c r="C74" s="48">
        <v>10</v>
      </c>
      <c r="D74" s="48">
        <v>0</v>
      </c>
      <c r="E74" s="57">
        <f>SUM(D74/C74*100)</f>
        <v>0</v>
      </c>
      <c r="F74" s="56">
        <v>250</v>
      </c>
      <c r="G74" s="48">
        <v>250</v>
      </c>
      <c r="H74" s="48">
        <v>258</v>
      </c>
      <c r="I74" s="57">
        <f t="shared" si="7"/>
        <v>103.2</v>
      </c>
      <c r="J74" s="56">
        <v>1600</v>
      </c>
      <c r="K74" s="48">
        <v>103</v>
      </c>
      <c r="L74" s="48">
        <v>103</v>
      </c>
      <c r="M74" s="57">
        <f t="shared" si="8"/>
        <v>100</v>
      </c>
      <c r="N74" s="56"/>
      <c r="O74" s="48"/>
      <c r="P74" s="48"/>
      <c r="Q74" s="57"/>
    </row>
    <row r="75" spans="1:17" ht="16.5" customHeight="1">
      <c r="A75" s="120" t="s">
        <v>208</v>
      </c>
      <c r="B75" s="56"/>
      <c r="C75" s="48"/>
      <c r="D75" s="48"/>
      <c r="E75" s="57"/>
      <c r="F75" s="56">
        <v>4</v>
      </c>
      <c r="G75" s="48">
        <v>8</v>
      </c>
      <c r="H75" s="48">
        <v>8</v>
      </c>
      <c r="I75" s="57">
        <f t="shared" si="7"/>
        <v>100</v>
      </c>
      <c r="J75" s="56">
        <v>1400</v>
      </c>
      <c r="K75" s="48">
        <v>565</v>
      </c>
      <c r="L75" s="48">
        <v>565</v>
      </c>
      <c r="M75" s="57">
        <f t="shared" si="8"/>
        <v>100</v>
      </c>
      <c r="N75" s="56"/>
      <c r="O75" s="48"/>
      <c r="P75" s="48"/>
      <c r="Q75" s="57"/>
    </row>
    <row r="76" spans="1:17" ht="16.5" customHeight="1">
      <c r="A76" s="120" t="s">
        <v>209</v>
      </c>
      <c r="B76" s="56"/>
      <c r="C76" s="48"/>
      <c r="D76" s="48"/>
      <c r="E76" s="57"/>
      <c r="F76" s="56">
        <v>650</v>
      </c>
      <c r="G76" s="48">
        <v>625</v>
      </c>
      <c r="H76" s="48">
        <v>625</v>
      </c>
      <c r="I76" s="57">
        <f t="shared" si="7"/>
        <v>100</v>
      </c>
      <c r="J76" s="56">
        <v>2000</v>
      </c>
      <c r="K76" s="48">
        <v>1230</v>
      </c>
      <c r="L76" s="48">
        <v>2032</v>
      </c>
      <c r="M76" s="57">
        <f t="shared" si="8"/>
        <v>165.20325203252034</v>
      </c>
      <c r="N76" s="56"/>
      <c r="O76" s="48"/>
      <c r="P76" s="48"/>
      <c r="Q76" s="57"/>
    </row>
    <row r="77" spans="1:17" ht="16.5" customHeight="1">
      <c r="A77" s="120" t="s">
        <v>210</v>
      </c>
      <c r="B77" s="56"/>
      <c r="C77" s="48"/>
      <c r="D77" s="48"/>
      <c r="E77" s="57"/>
      <c r="F77" s="56">
        <v>55</v>
      </c>
      <c r="G77" s="48">
        <v>55</v>
      </c>
      <c r="H77" s="48">
        <v>69</v>
      </c>
      <c r="I77" s="57">
        <f t="shared" si="7"/>
        <v>125.45454545454547</v>
      </c>
      <c r="J77" s="56">
        <v>0</v>
      </c>
      <c r="K77" s="48">
        <v>546</v>
      </c>
      <c r="L77" s="48">
        <v>546</v>
      </c>
      <c r="M77" s="57">
        <f t="shared" si="8"/>
        <v>100</v>
      </c>
      <c r="N77" s="56"/>
      <c r="O77" s="48"/>
      <c r="P77" s="48"/>
      <c r="Q77" s="57"/>
    </row>
    <row r="78" spans="1:17" ht="16.5" customHeight="1">
      <c r="A78" s="120" t="s">
        <v>211</v>
      </c>
      <c r="B78" s="56">
        <v>0</v>
      </c>
      <c r="C78" s="48">
        <v>0</v>
      </c>
      <c r="D78" s="48">
        <v>1</v>
      </c>
      <c r="E78" s="57"/>
      <c r="F78" s="56">
        <v>17</v>
      </c>
      <c r="G78" s="48">
        <v>17</v>
      </c>
      <c r="H78" s="48">
        <v>13</v>
      </c>
      <c r="I78" s="57">
        <f t="shared" si="7"/>
        <v>76.47058823529412</v>
      </c>
      <c r="J78" s="56">
        <v>400</v>
      </c>
      <c r="K78" s="48">
        <v>77</v>
      </c>
      <c r="L78" s="48">
        <v>77</v>
      </c>
      <c r="M78" s="57">
        <f t="shared" si="8"/>
        <v>100</v>
      </c>
      <c r="N78" s="56"/>
      <c r="O78" s="48"/>
      <c r="P78" s="48"/>
      <c r="Q78" s="57"/>
    </row>
    <row r="79" spans="1:17" ht="16.5" customHeight="1">
      <c r="A79" s="120" t="s">
        <v>212</v>
      </c>
      <c r="B79" s="56">
        <v>8</v>
      </c>
      <c r="C79" s="48">
        <v>20</v>
      </c>
      <c r="D79" s="48">
        <v>19</v>
      </c>
      <c r="E79" s="57">
        <f>SUM(D79/C79*100)</f>
        <v>95</v>
      </c>
      <c r="F79" s="56">
        <v>6</v>
      </c>
      <c r="G79" s="48">
        <v>6</v>
      </c>
      <c r="H79" s="48">
        <v>5</v>
      </c>
      <c r="I79" s="57">
        <f t="shared" si="7"/>
        <v>83.33333333333334</v>
      </c>
      <c r="J79" s="56">
        <v>140</v>
      </c>
      <c r="K79" s="48">
        <v>140</v>
      </c>
      <c r="L79" s="48">
        <v>0</v>
      </c>
      <c r="M79" s="57">
        <f t="shared" si="8"/>
        <v>0</v>
      </c>
      <c r="N79" s="56"/>
      <c r="O79" s="48"/>
      <c r="P79" s="48"/>
      <c r="Q79" s="57"/>
    </row>
    <row r="80" spans="1:17" ht="16.5" customHeight="1">
      <c r="A80" s="120" t="s">
        <v>213</v>
      </c>
      <c r="B80" s="56">
        <v>0</v>
      </c>
      <c r="C80" s="48">
        <v>0</v>
      </c>
      <c r="D80" s="48">
        <f>7-1</f>
        <v>6</v>
      </c>
      <c r="E80" s="57"/>
      <c r="F80" s="56">
        <v>630</v>
      </c>
      <c r="G80" s="48">
        <v>630</v>
      </c>
      <c r="H80" s="48">
        <v>452</v>
      </c>
      <c r="I80" s="57">
        <f t="shared" si="7"/>
        <v>71.74603174603175</v>
      </c>
      <c r="J80" s="56">
        <v>10000</v>
      </c>
      <c r="K80" s="48">
        <v>10410</v>
      </c>
      <c r="L80" s="48">
        <v>11230</v>
      </c>
      <c r="M80" s="57">
        <f t="shared" si="8"/>
        <v>107.87704130643611</v>
      </c>
      <c r="N80" s="56"/>
      <c r="O80" s="48"/>
      <c r="P80" s="48"/>
      <c r="Q80" s="57"/>
    </row>
    <row r="81" spans="1:17" ht="16.5" customHeight="1">
      <c r="A81" s="120" t="s">
        <v>214</v>
      </c>
      <c r="B81" s="56"/>
      <c r="C81" s="48"/>
      <c r="D81" s="48"/>
      <c r="E81" s="57"/>
      <c r="F81" s="56">
        <v>70</v>
      </c>
      <c r="G81" s="48">
        <v>70</v>
      </c>
      <c r="H81" s="48">
        <v>68</v>
      </c>
      <c r="I81" s="57">
        <f t="shared" si="7"/>
        <v>97.14285714285714</v>
      </c>
      <c r="J81" s="56">
        <v>150</v>
      </c>
      <c r="K81" s="48">
        <v>4</v>
      </c>
      <c r="L81" s="48">
        <v>4</v>
      </c>
      <c r="M81" s="57">
        <f t="shared" si="8"/>
        <v>100</v>
      </c>
      <c r="N81" s="56"/>
      <c r="O81" s="48"/>
      <c r="P81" s="48"/>
      <c r="Q81" s="57"/>
    </row>
    <row r="82" spans="1:17" ht="16.5" customHeight="1">
      <c r="A82" s="120" t="s">
        <v>215</v>
      </c>
      <c r="B82" s="56"/>
      <c r="C82" s="48"/>
      <c r="D82" s="48"/>
      <c r="E82" s="57"/>
      <c r="F82" s="56">
        <v>15</v>
      </c>
      <c r="G82" s="48">
        <v>15</v>
      </c>
      <c r="H82" s="48">
        <v>16</v>
      </c>
      <c r="I82" s="57">
        <f t="shared" si="7"/>
        <v>106.66666666666667</v>
      </c>
      <c r="J82" s="56">
        <v>1000</v>
      </c>
      <c r="K82" s="48">
        <v>750</v>
      </c>
      <c r="L82" s="48">
        <v>750</v>
      </c>
      <c r="M82" s="57">
        <f t="shared" si="8"/>
        <v>100</v>
      </c>
      <c r="N82" s="56"/>
      <c r="O82" s="48"/>
      <c r="P82" s="48"/>
      <c r="Q82" s="57"/>
    </row>
    <row r="83" spans="1:17" ht="16.5" customHeight="1">
      <c r="A83" s="120" t="s">
        <v>216</v>
      </c>
      <c r="B83" s="56"/>
      <c r="C83" s="48"/>
      <c r="D83" s="48"/>
      <c r="E83" s="57"/>
      <c r="F83" s="56">
        <v>4</v>
      </c>
      <c r="G83" s="48">
        <v>4</v>
      </c>
      <c r="H83" s="48">
        <v>3</v>
      </c>
      <c r="I83" s="57">
        <f t="shared" si="7"/>
        <v>75</v>
      </c>
      <c r="J83" s="56"/>
      <c r="K83" s="48"/>
      <c r="L83" s="48"/>
      <c r="M83" s="57"/>
      <c r="N83" s="56"/>
      <c r="O83" s="48"/>
      <c r="P83" s="48"/>
      <c r="Q83" s="57"/>
    </row>
    <row r="84" spans="1:17" ht="16.5" customHeight="1">
      <c r="A84" s="120" t="s">
        <v>217</v>
      </c>
      <c r="B84" s="56"/>
      <c r="C84" s="48"/>
      <c r="D84" s="48"/>
      <c r="E84" s="57"/>
      <c r="F84" s="56"/>
      <c r="G84" s="48"/>
      <c r="H84" s="48"/>
      <c r="I84" s="57"/>
      <c r="J84" s="56"/>
      <c r="K84" s="48"/>
      <c r="L84" s="48"/>
      <c r="M84" s="57"/>
      <c r="N84" s="56"/>
      <c r="O84" s="48"/>
      <c r="P84" s="48"/>
      <c r="Q84" s="57"/>
    </row>
    <row r="85" spans="1:17" ht="16.5" customHeight="1">
      <c r="A85" s="120" t="s">
        <v>218</v>
      </c>
      <c r="B85" s="56"/>
      <c r="C85" s="48"/>
      <c r="D85" s="48"/>
      <c r="E85" s="57"/>
      <c r="F85" s="56"/>
      <c r="G85" s="48"/>
      <c r="H85" s="48"/>
      <c r="I85" s="57"/>
      <c r="J85" s="56"/>
      <c r="K85" s="48"/>
      <c r="L85" s="48"/>
      <c r="M85" s="57"/>
      <c r="N85" s="56"/>
      <c r="O85" s="48"/>
      <c r="P85" s="48"/>
      <c r="Q85" s="57"/>
    </row>
    <row r="86" spans="1:17" ht="16.5" customHeight="1" thickBot="1">
      <c r="A86" s="121" t="s">
        <v>219</v>
      </c>
      <c r="B86" s="61"/>
      <c r="C86" s="62"/>
      <c r="D86" s="62"/>
      <c r="E86" s="63"/>
      <c r="F86" s="61"/>
      <c r="G86" s="62"/>
      <c r="H86" s="62"/>
      <c r="I86" s="63"/>
      <c r="J86" s="61"/>
      <c r="K86" s="62"/>
      <c r="L86" s="62"/>
      <c r="M86" s="63"/>
      <c r="N86" s="61"/>
      <c r="O86" s="62"/>
      <c r="P86" s="62"/>
      <c r="Q86" s="63"/>
    </row>
    <row r="87" spans="1:17" ht="16.5" customHeight="1" thickBot="1">
      <c r="A87" s="118"/>
      <c r="B87" s="53"/>
      <c r="C87" s="54"/>
      <c r="D87" s="54"/>
      <c r="E87" s="60"/>
      <c r="F87" s="53"/>
      <c r="G87" s="54"/>
      <c r="H87" s="54"/>
      <c r="I87" s="60"/>
      <c r="J87" s="53"/>
      <c r="K87" s="54"/>
      <c r="L87" s="54"/>
      <c r="M87" s="60"/>
      <c r="N87" s="53"/>
      <c r="O87" s="54"/>
      <c r="P87" s="54"/>
      <c r="Q87" s="60"/>
    </row>
    <row r="88" spans="1:17" s="93" customFormat="1" ht="18" customHeight="1" thickBot="1">
      <c r="A88" s="122" t="s">
        <v>245</v>
      </c>
      <c r="B88" s="176">
        <f>SUM(B58:B86)</f>
        <v>5278</v>
      </c>
      <c r="C88" s="101">
        <f>SUM(C58:C86)</f>
        <v>6791</v>
      </c>
      <c r="D88" s="175">
        <f>SUM(D58:D86)</f>
        <v>6145</v>
      </c>
      <c r="E88" s="103">
        <f>SUM(D88/C88*100)</f>
        <v>90.48740980709763</v>
      </c>
      <c r="F88" s="176">
        <f>SUM(F58:F86)</f>
        <v>5412</v>
      </c>
      <c r="G88" s="283">
        <f>SUM(G58:G86)</f>
        <v>5891</v>
      </c>
      <c r="H88" s="101">
        <f>SUM(H58:H86)</f>
        <v>6188</v>
      </c>
      <c r="I88" s="124">
        <f>SUM(H88/G88*100)</f>
        <v>105.04158886436939</v>
      </c>
      <c r="J88" s="176">
        <f>SUM(J58:J86)</f>
        <v>49960</v>
      </c>
      <c r="K88" s="283">
        <f>SUM(K58:K86)</f>
        <v>21276</v>
      </c>
      <c r="L88" s="283">
        <f>SUM(L58:L86)</f>
        <v>21591</v>
      </c>
      <c r="M88" s="103">
        <f>SUM(L88/K88*100)</f>
        <v>101.48054145516075</v>
      </c>
      <c r="N88" s="176">
        <f>SUM(N58:N86)</f>
        <v>0</v>
      </c>
      <c r="O88" s="101">
        <f>SUM(O58:O87)</f>
        <v>0</v>
      </c>
      <c r="P88" s="175">
        <f>SUM(P57:P87)</f>
        <v>0</v>
      </c>
      <c r="Q88" s="103"/>
    </row>
    <row r="89" ht="15.75" customHeight="1" hidden="1"/>
    <row r="90" spans="2:16" ht="15" customHeight="1" hidden="1">
      <c r="B90" s="40">
        <v>16323</v>
      </c>
      <c r="C90" s="40">
        <v>12708</v>
      </c>
      <c r="D90" s="40">
        <v>9371878</v>
      </c>
      <c r="F90" s="40">
        <v>3188</v>
      </c>
      <c r="G90" s="40">
        <v>3385</v>
      </c>
      <c r="H90" s="40">
        <v>3727599</v>
      </c>
      <c r="J90" s="40">
        <v>42549</v>
      </c>
      <c r="K90" s="40">
        <v>49819</v>
      </c>
      <c r="L90" s="40">
        <v>51136393</v>
      </c>
      <c r="N90" s="40">
        <v>17</v>
      </c>
      <c r="O90" s="40">
        <v>205</v>
      </c>
      <c r="P90" s="40">
        <v>204843</v>
      </c>
    </row>
    <row r="91" ht="15.75" customHeight="1" hidden="1"/>
    <row r="92" ht="15.75" customHeight="1" hidden="1"/>
    <row r="94" spans="2:13" ht="15.75">
      <c r="B94" s="47"/>
      <c r="C94" s="47"/>
      <c r="D94" s="47">
        <f>ROUND(D95/1000,0)</f>
        <v>6145</v>
      </c>
      <c r="E94" s="47"/>
      <c r="F94" s="47"/>
      <c r="G94" s="47"/>
      <c r="H94" s="47">
        <f>ROUND(H95/1000,0)</f>
        <v>6188</v>
      </c>
      <c r="I94" s="47"/>
      <c r="J94" s="47"/>
      <c r="K94" s="47"/>
      <c r="L94" s="47">
        <f>ROUND(L95/1000,0)-1</f>
        <v>21591</v>
      </c>
      <c r="M94" s="47"/>
    </row>
    <row r="95" spans="1:15" ht="15.75">
      <c r="A95" s="93">
        <v>2012</v>
      </c>
      <c r="B95" s="47">
        <v>5278</v>
      </c>
      <c r="C95" s="47">
        <v>6791</v>
      </c>
      <c r="D95" s="47">
        <v>6144690</v>
      </c>
      <c r="E95" s="47"/>
      <c r="F95" s="47">
        <v>5412</v>
      </c>
      <c r="G95" s="47">
        <v>5891</v>
      </c>
      <c r="H95" s="47">
        <v>6187760</v>
      </c>
      <c r="I95" s="47"/>
      <c r="J95" s="47">
        <v>49960</v>
      </c>
      <c r="K95" s="47">
        <v>21276</v>
      </c>
      <c r="L95" s="47">
        <v>21591573</v>
      </c>
      <c r="M95" s="47"/>
      <c r="O95" s="40">
        <v>0</v>
      </c>
    </row>
    <row r="96" spans="1:13" ht="15.75">
      <c r="A96" s="93">
        <v>2011</v>
      </c>
      <c r="B96" s="47">
        <v>6619</v>
      </c>
      <c r="C96" s="47">
        <v>6509</v>
      </c>
      <c r="D96" s="47">
        <v>7009</v>
      </c>
      <c r="E96" s="47"/>
      <c r="F96" s="47">
        <v>4098</v>
      </c>
      <c r="G96" s="47">
        <v>500</v>
      </c>
      <c r="H96" s="47">
        <v>5644</v>
      </c>
      <c r="I96" s="47"/>
      <c r="J96" s="47">
        <v>55440</v>
      </c>
      <c r="K96" s="47">
        <v>78528</v>
      </c>
      <c r="L96" s="47">
        <v>103039</v>
      </c>
      <c r="M96" s="47"/>
    </row>
  </sheetData>
  <sheetProtection/>
  <mergeCells count="38">
    <mergeCell ref="A2:R2"/>
    <mergeCell ref="A4:Q4"/>
    <mergeCell ref="B7:E7"/>
    <mergeCell ref="F8:I8"/>
    <mergeCell ref="J8:M8"/>
    <mergeCell ref="N8:Q8"/>
    <mergeCell ref="B53:E53"/>
    <mergeCell ref="F53:I53"/>
    <mergeCell ref="J53:M53"/>
    <mergeCell ref="N53:Q53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N9:N10"/>
    <mergeCell ref="O9:O10"/>
    <mergeCell ref="P9:P10"/>
    <mergeCell ref="O54:O55"/>
    <mergeCell ref="P54:P55"/>
    <mergeCell ref="A7:A10"/>
    <mergeCell ref="B8:E8"/>
    <mergeCell ref="A52:A55"/>
    <mergeCell ref="A49:Q49"/>
    <mergeCell ref="H54:H55"/>
    <mergeCell ref="J54:J55"/>
    <mergeCell ref="K54:K55"/>
    <mergeCell ref="L54:L55"/>
    <mergeCell ref="N54:N55"/>
    <mergeCell ref="B54:B55"/>
    <mergeCell ref="C54:C55"/>
    <mergeCell ref="D54:D55"/>
    <mergeCell ref="F54:F55"/>
    <mergeCell ref="G54:G55"/>
  </mergeCells>
  <printOptions horizontalCentered="1" verticalCentered="1"/>
  <pageMargins left="0.1968503937007874" right="0.1968503937007874" top="0.7480314960629921" bottom="0.7480314960629921" header="0.5118110236220472" footer="0.5118110236220472"/>
  <pageSetup horizontalDpi="600" verticalDpi="600" orientation="landscape" paperSize="9" scale="55" r:id="rId3"/>
  <rowBreaks count="1" manualBreakCount="1">
    <brk id="44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AF53"/>
  <sheetViews>
    <sheetView showZeros="0" view="pageBreakPreview" zoomScale="70" zoomScaleNormal="70" zoomScaleSheetLayoutView="70" zoomScalePageLayoutView="0" workbookViewId="0" topLeftCell="A1">
      <pane xSplit="1" ySplit="12" topLeftCell="L31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J48" sqref="J48"/>
    </sheetView>
  </sheetViews>
  <sheetFormatPr defaultColWidth="8.796875" defaultRowHeight="15"/>
  <cols>
    <col min="1" max="1" width="26.69921875" style="82" customWidth="1"/>
    <col min="2" max="3" width="9.69921875" style="44" customWidth="1"/>
    <col min="4" max="4" width="9.3984375" style="44" customWidth="1"/>
    <col min="5" max="5" width="6.59765625" style="44" customWidth="1"/>
    <col min="6" max="7" width="9" style="44" customWidth="1"/>
    <col min="8" max="8" width="9.69921875" style="44" customWidth="1"/>
    <col min="9" max="9" width="6.59765625" style="44" customWidth="1"/>
    <col min="10" max="10" width="9" style="44" customWidth="1"/>
    <col min="11" max="11" width="8.8984375" style="44" customWidth="1"/>
    <col min="12" max="12" width="10" style="44" customWidth="1"/>
    <col min="13" max="13" width="6.59765625" style="44" customWidth="1"/>
    <col min="14" max="15" width="9" style="44" customWidth="1"/>
    <col min="16" max="16" width="9.8984375" style="44" customWidth="1"/>
    <col min="17" max="17" width="6.19921875" style="44" customWidth="1"/>
    <col min="18" max="19" width="9" style="44" customWidth="1"/>
    <col min="20" max="20" width="9.3984375" style="44" customWidth="1"/>
    <col min="21" max="21" width="6.59765625" style="44" customWidth="1"/>
    <col min="22" max="22" width="9" style="40" customWidth="1"/>
    <col min="23" max="23" width="8.8984375" style="40" customWidth="1"/>
    <col min="24" max="24" width="9.69921875" style="40" customWidth="1"/>
    <col min="25" max="25" width="6.59765625" style="40" customWidth="1"/>
    <col min="26" max="26" width="5.19921875" style="44" customWidth="1"/>
    <col min="27" max="29" width="13.3984375" style="44" customWidth="1"/>
    <col min="30" max="47" width="7.796875" style="44" customWidth="1"/>
    <col min="48" max="16384" width="8.8984375" style="44" customWidth="1"/>
  </cols>
  <sheetData>
    <row r="1" ht="17.25" customHeight="1"/>
    <row r="2" spans="1:25" s="110" customFormat="1" ht="24" customHeight="1">
      <c r="A2" s="297" t="s">
        <v>237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s="110" customFormat="1" ht="1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111"/>
      <c r="W3" s="111"/>
      <c r="X3" s="111"/>
      <c r="Y3" s="111"/>
    </row>
    <row r="4" spans="1:25" s="110" customFormat="1" ht="21" customHeight="1">
      <c r="A4" s="297" t="s">
        <v>59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5" ht="22.5" customHeight="1">
      <c r="G5" s="44" t="s">
        <v>60</v>
      </c>
    </row>
    <row r="6" ht="22.5" customHeight="1">
      <c r="Y6" s="94" t="s">
        <v>248</v>
      </c>
    </row>
    <row r="7" ht="16.5" customHeight="1" thickBot="1">
      <c r="Y7" s="94" t="s">
        <v>1</v>
      </c>
    </row>
    <row r="8" spans="1:25" s="82" customFormat="1" ht="18" customHeight="1" thickBot="1">
      <c r="A8" s="346" t="s">
        <v>229</v>
      </c>
      <c r="B8" s="349" t="s">
        <v>61</v>
      </c>
      <c r="C8" s="350"/>
      <c r="D8" s="350"/>
      <c r="E8" s="351"/>
      <c r="F8" s="349" t="s">
        <v>62</v>
      </c>
      <c r="G8" s="350"/>
      <c r="H8" s="350"/>
      <c r="I8" s="351"/>
      <c r="J8" s="349" t="s">
        <v>226</v>
      </c>
      <c r="K8" s="350"/>
      <c r="L8" s="350"/>
      <c r="M8" s="351"/>
      <c r="N8" s="349" t="s">
        <v>63</v>
      </c>
      <c r="O8" s="350"/>
      <c r="P8" s="350"/>
      <c r="Q8" s="351"/>
      <c r="R8" s="349" t="s">
        <v>260</v>
      </c>
      <c r="S8" s="350"/>
      <c r="T8" s="350"/>
      <c r="U8" s="351"/>
      <c r="V8" s="329" t="s">
        <v>172</v>
      </c>
      <c r="W8" s="330"/>
      <c r="X8" s="330"/>
      <c r="Y8" s="331"/>
    </row>
    <row r="9" spans="1:29" s="172" customFormat="1" ht="22.5" customHeight="1">
      <c r="A9" s="347"/>
      <c r="B9" s="333" t="s">
        <v>242</v>
      </c>
      <c r="C9" s="335" t="s">
        <v>244</v>
      </c>
      <c r="D9" s="335" t="s">
        <v>243</v>
      </c>
      <c r="E9" s="171" t="s">
        <v>0</v>
      </c>
      <c r="F9" s="333" t="s">
        <v>242</v>
      </c>
      <c r="G9" s="335" t="s">
        <v>244</v>
      </c>
      <c r="H9" s="335" t="s">
        <v>243</v>
      </c>
      <c r="I9" s="171" t="s">
        <v>0</v>
      </c>
      <c r="J9" s="333" t="s">
        <v>242</v>
      </c>
      <c r="K9" s="335" t="s">
        <v>244</v>
      </c>
      <c r="L9" s="335" t="s">
        <v>243</v>
      </c>
      <c r="M9" s="171" t="s">
        <v>0</v>
      </c>
      <c r="N9" s="333" t="s">
        <v>242</v>
      </c>
      <c r="O9" s="335" t="s">
        <v>244</v>
      </c>
      <c r="P9" s="335" t="s">
        <v>243</v>
      </c>
      <c r="Q9" s="171" t="s">
        <v>0</v>
      </c>
      <c r="R9" s="333" t="s">
        <v>242</v>
      </c>
      <c r="S9" s="335" t="s">
        <v>244</v>
      </c>
      <c r="T9" s="335" t="s">
        <v>243</v>
      </c>
      <c r="U9" s="171" t="s">
        <v>0</v>
      </c>
      <c r="V9" s="333" t="s">
        <v>242</v>
      </c>
      <c r="W9" s="335" t="s">
        <v>244</v>
      </c>
      <c r="X9" s="335" t="s">
        <v>243</v>
      </c>
      <c r="Y9" s="171" t="s">
        <v>0</v>
      </c>
      <c r="AA9" s="338" t="s">
        <v>223</v>
      </c>
      <c r="AB9" s="338"/>
      <c r="AC9" s="338"/>
    </row>
    <row r="10" spans="1:29" s="172" customFormat="1" ht="23.25" customHeight="1" thickBot="1">
      <c r="A10" s="348"/>
      <c r="B10" s="334"/>
      <c r="C10" s="336"/>
      <c r="D10" s="336"/>
      <c r="E10" s="173" t="s">
        <v>11</v>
      </c>
      <c r="F10" s="334"/>
      <c r="G10" s="336"/>
      <c r="H10" s="336"/>
      <c r="I10" s="173" t="s">
        <v>11</v>
      </c>
      <c r="J10" s="334"/>
      <c r="K10" s="336"/>
      <c r="L10" s="336"/>
      <c r="M10" s="173" t="s">
        <v>11</v>
      </c>
      <c r="N10" s="334"/>
      <c r="O10" s="336"/>
      <c r="P10" s="336"/>
      <c r="Q10" s="173" t="s">
        <v>11</v>
      </c>
      <c r="R10" s="334"/>
      <c r="S10" s="336"/>
      <c r="T10" s="336"/>
      <c r="U10" s="173" t="s">
        <v>11</v>
      </c>
      <c r="V10" s="334"/>
      <c r="W10" s="336"/>
      <c r="X10" s="336"/>
      <c r="Y10" s="173" t="s">
        <v>11</v>
      </c>
      <c r="AA10" s="172" t="s">
        <v>12</v>
      </c>
      <c r="AB10" s="172" t="s">
        <v>13</v>
      </c>
      <c r="AC10" s="172" t="s">
        <v>222</v>
      </c>
    </row>
    <row r="11" spans="1:25" ht="15.75" customHeight="1" hidden="1" thickBot="1" thickTop="1">
      <c r="A11" s="98"/>
      <c r="B11" s="141"/>
      <c r="C11" s="147" t="s">
        <v>66</v>
      </c>
      <c r="D11" s="147"/>
      <c r="E11" s="142"/>
      <c r="F11" s="141"/>
      <c r="G11" s="147" t="s">
        <v>68</v>
      </c>
      <c r="H11" s="147"/>
      <c r="I11" s="142"/>
      <c r="J11" s="141"/>
      <c r="K11" s="147" t="s">
        <v>69</v>
      </c>
      <c r="L11" s="147"/>
      <c r="M11" s="142"/>
      <c r="N11" s="141"/>
      <c r="O11" s="147" t="s">
        <v>70</v>
      </c>
      <c r="P11" s="147"/>
      <c r="Q11" s="142"/>
      <c r="R11" s="141" t="s">
        <v>32</v>
      </c>
      <c r="S11" s="147"/>
      <c r="T11" s="147" t="s">
        <v>33</v>
      </c>
      <c r="U11" s="142" t="s">
        <v>0</v>
      </c>
      <c r="V11" s="53" t="s">
        <v>32</v>
      </c>
      <c r="W11" s="54"/>
      <c r="X11" s="54" t="s">
        <v>33</v>
      </c>
      <c r="Y11" s="55" t="s">
        <v>0</v>
      </c>
    </row>
    <row r="12" spans="1:29" ht="15.75" customHeight="1">
      <c r="A12" s="98"/>
      <c r="B12" s="343" t="s">
        <v>71</v>
      </c>
      <c r="C12" s="344"/>
      <c r="D12" s="344"/>
      <c r="E12" s="345"/>
      <c r="F12" s="343" t="s">
        <v>72</v>
      </c>
      <c r="G12" s="344"/>
      <c r="H12" s="344"/>
      <c r="I12" s="345"/>
      <c r="J12" s="343" t="s">
        <v>134</v>
      </c>
      <c r="K12" s="344"/>
      <c r="L12" s="344"/>
      <c r="M12" s="345"/>
      <c r="N12" s="343" t="s">
        <v>73</v>
      </c>
      <c r="O12" s="344"/>
      <c r="P12" s="344"/>
      <c r="Q12" s="345"/>
      <c r="R12" s="343" t="s">
        <v>146</v>
      </c>
      <c r="S12" s="344"/>
      <c r="T12" s="344"/>
      <c r="U12" s="345"/>
      <c r="V12" s="339" t="s">
        <v>180</v>
      </c>
      <c r="W12" s="340"/>
      <c r="X12" s="340"/>
      <c r="Y12" s="341"/>
      <c r="AA12" s="337"/>
      <c r="AB12" s="337"/>
      <c r="AC12" s="337"/>
    </row>
    <row r="13" spans="1:25" ht="16.5" customHeight="1" thickBot="1">
      <c r="A13" s="98"/>
      <c r="B13" s="141"/>
      <c r="C13" s="147"/>
      <c r="D13" s="147"/>
      <c r="E13" s="142"/>
      <c r="F13" s="141"/>
      <c r="G13" s="147"/>
      <c r="H13" s="147"/>
      <c r="I13" s="142"/>
      <c r="J13" s="141"/>
      <c r="K13" s="147"/>
      <c r="L13" s="147"/>
      <c r="M13" s="142"/>
      <c r="N13" s="141"/>
      <c r="O13" s="147"/>
      <c r="P13" s="147"/>
      <c r="Q13" s="142"/>
      <c r="R13" s="141"/>
      <c r="S13" s="147"/>
      <c r="T13" s="147"/>
      <c r="U13" s="142"/>
      <c r="V13" s="53"/>
      <c r="W13" s="54"/>
      <c r="X13" s="54"/>
      <c r="Y13" s="55"/>
    </row>
    <row r="14" spans="1:32" ht="16.5" customHeight="1">
      <c r="A14" s="95" t="s">
        <v>191</v>
      </c>
      <c r="B14" s="154">
        <v>3120</v>
      </c>
      <c r="C14" s="156">
        <v>3120</v>
      </c>
      <c r="D14" s="156">
        <v>2862</v>
      </c>
      <c r="E14" s="155">
        <f aca="true" t="shared" si="0" ref="E14:E32">D14/C14*100</f>
        <v>91.73076923076923</v>
      </c>
      <c r="F14" s="154">
        <v>11133</v>
      </c>
      <c r="G14" s="156">
        <v>11133</v>
      </c>
      <c r="H14" s="156">
        <v>5683</v>
      </c>
      <c r="I14" s="155">
        <f aca="true" t="shared" si="1" ref="I14:I42">H14/G14*100</f>
        <v>51.04643851612324</v>
      </c>
      <c r="J14" s="154">
        <v>1300</v>
      </c>
      <c r="K14" s="156">
        <v>1300</v>
      </c>
      <c r="L14" s="156">
        <v>2772</v>
      </c>
      <c r="M14" s="155">
        <f>L14/K14*100</f>
        <v>213.23076923076925</v>
      </c>
      <c r="N14" s="154">
        <v>2580</v>
      </c>
      <c r="O14" s="156">
        <v>2580</v>
      </c>
      <c r="P14" s="156">
        <v>2497</v>
      </c>
      <c r="Q14" s="155">
        <f aca="true" t="shared" si="2" ref="Q14:Q22">P14/O14*100</f>
        <v>96.78294573643412</v>
      </c>
      <c r="R14" s="154"/>
      <c r="S14" s="156">
        <v>25260</v>
      </c>
      <c r="T14" s="156">
        <v>25201</v>
      </c>
      <c r="U14" s="155">
        <f aca="true" t="shared" si="3" ref="U14:U42">T14/S14*100</f>
        <v>99.76642913697546</v>
      </c>
      <c r="V14" s="73">
        <f>AA14-B14-F14-J14-N14-R14</f>
        <v>2582</v>
      </c>
      <c r="W14" s="74">
        <f>AB14-C14-G14-K14-O14-S14</f>
        <v>2682</v>
      </c>
      <c r="X14" s="74">
        <f>ROUND(AC14/1000,0)-D14-H14-L14-P14-T14</f>
        <v>7406</v>
      </c>
      <c r="Y14" s="76">
        <f aca="true" t="shared" si="4" ref="Y14:Y42">X14/W14*100</f>
        <v>276.1372110365399</v>
      </c>
      <c r="AA14" s="44">
        <v>20715</v>
      </c>
      <c r="AB14" s="44">
        <v>46075</v>
      </c>
      <c r="AC14" s="44">
        <v>46421230.26</v>
      </c>
      <c r="AD14" s="44">
        <f>ROUND(AC14/1000,0)</f>
        <v>46421</v>
      </c>
      <c r="AF14" s="43"/>
    </row>
    <row r="15" spans="1:32" ht="16.5" customHeight="1">
      <c r="A15" s="96" t="s">
        <v>192</v>
      </c>
      <c r="B15" s="143">
        <v>715</v>
      </c>
      <c r="C15" s="138">
        <v>716</v>
      </c>
      <c r="D15" s="138">
        <v>718</v>
      </c>
      <c r="E15" s="144">
        <f t="shared" si="0"/>
        <v>100.27932960893855</v>
      </c>
      <c r="F15" s="143">
        <v>3430</v>
      </c>
      <c r="G15" s="138">
        <v>3445</v>
      </c>
      <c r="H15" s="138">
        <f>3373+1</f>
        <v>3374</v>
      </c>
      <c r="I15" s="144">
        <f t="shared" si="1"/>
        <v>97.93904208998548</v>
      </c>
      <c r="J15" s="143">
        <v>80</v>
      </c>
      <c r="K15" s="138">
        <v>125</v>
      </c>
      <c r="L15" s="138">
        <v>117</v>
      </c>
      <c r="M15" s="144">
        <f>L15/K15*100</f>
        <v>93.60000000000001</v>
      </c>
      <c r="N15" s="143">
        <v>20</v>
      </c>
      <c r="O15" s="138">
        <v>25</v>
      </c>
      <c r="P15" s="138">
        <v>21</v>
      </c>
      <c r="Q15" s="144">
        <f t="shared" si="2"/>
        <v>84</v>
      </c>
      <c r="R15" s="143"/>
      <c r="S15" s="138">
        <v>1594</v>
      </c>
      <c r="T15" s="138">
        <v>1594</v>
      </c>
      <c r="U15" s="144">
        <f t="shared" si="3"/>
        <v>100</v>
      </c>
      <c r="V15" s="56">
        <f aca="true" t="shared" si="5" ref="V15:V42">AA15-B15-F15-J15-N15-R15</f>
        <v>250</v>
      </c>
      <c r="W15" s="48">
        <f aca="true" t="shared" si="6" ref="W15:W42">AB15-C15-G15-K15-O15-S15</f>
        <v>1269</v>
      </c>
      <c r="X15" s="48">
        <f aca="true" t="shared" si="7" ref="X15:X42">ROUND(AC15/1000,0)-D15-H15-L15-P15-T15</f>
        <v>1235</v>
      </c>
      <c r="Y15" s="57">
        <f t="shared" si="4"/>
        <v>97.32072498029945</v>
      </c>
      <c r="AA15" s="44">
        <v>4495</v>
      </c>
      <c r="AB15" s="44">
        <v>7174</v>
      </c>
      <c r="AC15" s="44">
        <v>7058659.21</v>
      </c>
      <c r="AD15" s="44">
        <f aca="true" t="shared" si="8" ref="AD15:AD42">ROUND(AC15/1000,0)</f>
        <v>7059</v>
      </c>
      <c r="AF15" s="43"/>
    </row>
    <row r="16" spans="1:32" ht="16.5" customHeight="1">
      <c r="A16" s="96" t="s">
        <v>193</v>
      </c>
      <c r="B16" s="143">
        <v>125</v>
      </c>
      <c r="C16" s="138">
        <v>275</v>
      </c>
      <c r="D16" s="138">
        <v>277</v>
      </c>
      <c r="E16" s="144">
        <f t="shared" si="0"/>
        <v>100.72727272727273</v>
      </c>
      <c r="F16" s="143">
        <v>3468</v>
      </c>
      <c r="G16" s="138">
        <v>3770</v>
      </c>
      <c r="H16" s="138">
        <v>3507</v>
      </c>
      <c r="I16" s="144">
        <f t="shared" si="1"/>
        <v>93.0238726790451</v>
      </c>
      <c r="J16" s="143">
        <v>200</v>
      </c>
      <c r="K16" s="138">
        <v>1160</v>
      </c>
      <c r="L16" s="138">
        <v>1133</v>
      </c>
      <c r="M16" s="144">
        <f aca="true" t="shared" si="9" ref="M16:M42">L16/K16*100</f>
        <v>97.67241379310346</v>
      </c>
      <c r="N16" s="143">
        <v>10</v>
      </c>
      <c r="O16" s="138">
        <v>30</v>
      </c>
      <c r="P16" s="138">
        <v>22</v>
      </c>
      <c r="Q16" s="144">
        <f t="shared" si="2"/>
        <v>73.33333333333333</v>
      </c>
      <c r="R16" s="143"/>
      <c r="S16" s="138">
        <v>2786</v>
      </c>
      <c r="T16" s="138">
        <v>2786</v>
      </c>
      <c r="U16" s="144">
        <f t="shared" si="3"/>
        <v>100</v>
      </c>
      <c r="V16" s="56">
        <f t="shared" si="5"/>
        <v>150</v>
      </c>
      <c r="W16" s="48">
        <f t="shared" si="6"/>
        <v>1226</v>
      </c>
      <c r="X16" s="48">
        <f t="shared" si="7"/>
        <v>1649</v>
      </c>
      <c r="Y16" s="57">
        <f t="shared" si="4"/>
        <v>134.50244698205546</v>
      </c>
      <c r="AA16" s="44">
        <v>3953</v>
      </c>
      <c r="AB16" s="44">
        <v>9247</v>
      </c>
      <c r="AC16" s="44">
        <v>9373614.95</v>
      </c>
      <c r="AD16" s="44">
        <f t="shared" si="8"/>
        <v>9374</v>
      </c>
      <c r="AF16" s="43"/>
    </row>
    <row r="17" spans="1:32" ht="16.5" customHeight="1">
      <c r="A17" s="96" t="s">
        <v>194</v>
      </c>
      <c r="B17" s="143">
        <v>310</v>
      </c>
      <c r="C17" s="138">
        <v>363</v>
      </c>
      <c r="D17" s="138">
        <v>354</v>
      </c>
      <c r="E17" s="144">
        <f t="shared" si="0"/>
        <v>97.52066115702479</v>
      </c>
      <c r="F17" s="143">
        <v>1154</v>
      </c>
      <c r="G17" s="138">
        <v>1211</v>
      </c>
      <c r="H17" s="138">
        <v>1268</v>
      </c>
      <c r="I17" s="144">
        <f t="shared" si="1"/>
        <v>104.70685383980181</v>
      </c>
      <c r="J17" s="143">
        <v>190</v>
      </c>
      <c r="K17" s="138">
        <v>390</v>
      </c>
      <c r="L17" s="138">
        <v>567</v>
      </c>
      <c r="M17" s="144">
        <f t="shared" si="9"/>
        <v>145.3846153846154</v>
      </c>
      <c r="N17" s="143">
        <v>0</v>
      </c>
      <c r="O17" s="138">
        <v>43</v>
      </c>
      <c r="P17" s="138">
        <v>53</v>
      </c>
      <c r="Q17" s="144">
        <f t="shared" si="2"/>
        <v>123.25581395348837</v>
      </c>
      <c r="R17" s="143"/>
      <c r="S17" s="138">
        <v>1122</v>
      </c>
      <c r="T17" s="138">
        <v>1122</v>
      </c>
      <c r="U17" s="144">
        <f t="shared" si="3"/>
        <v>100</v>
      </c>
      <c r="V17" s="56">
        <f t="shared" si="5"/>
        <v>0</v>
      </c>
      <c r="W17" s="48">
        <f t="shared" si="6"/>
        <v>199</v>
      </c>
      <c r="X17" s="48">
        <f t="shared" si="7"/>
        <v>204</v>
      </c>
      <c r="Y17" s="57">
        <f t="shared" si="4"/>
        <v>102.51256281407035</v>
      </c>
      <c r="AA17" s="44">
        <v>1654</v>
      </c>
      <c r="AB17" s="44">
        <v>3328</v>
      </c>
      <c r="AC17" s="44">
        <v>3568257.34</v>
      </c>
      <c r="AD17" s="44">
        <f t="shared" si="8"/>
        <v>3568</v>
      </c>
      <c r="AF17" s="43"/>
    </row>
    <row r="18" spans="1:32" ht="16.5" customHeight="1">
      <c r="A18" s="96" t="s">
        <v>195</v>
      </c>
      <c r="B18" s="143">
        <v>205</v>
      </c>
      <c r="C18" s="138">
        <v>298</v>
      </c>
      <c r="D18" s="138">
        <v>315</v>
      </c>
      <c r="E18" s="144">
        <f t="shared" si="0"/>
        <v>105.70469798657717</v>
      </c>
      <c r="F18" s="143">
        <v>3124</v>
      </c>
      <c r="G18" s="138">
        <v>3184</v>
      </c>
      <c r="H18" s="138">
        <v>3221</v>
      </c>
      <c r="I18" s="144">
        <f t="shared" si="1"/>
        <v>101.16206030150754</v>
      </c>
      <c r="J18" s="143">
        <v>250</v>
      </c>
      <c r="K18" s="138">
        <v>288</v>
      </c>
      <c r="L18" s="138">
        <v>421</v>
      </c>
      <c r="M18" s="144">
        <f t="shared" si="9"/>
        <v>146.18055555555557</v>
      </c>
      <c r="N18" s="143">
        <v>0</v>
      </c>
      <c r="O18" s="138">
        <v>44</v>
      </c>
      <c r="P18" s="138">
        <v>52</v>
      </c>
      <c r="Q18" s="144">
        <f t="shared" si="2"/>
        <v>118.18181818181819</v>
      </c>
      <c r="R18" s="143"/>
      <c r="S18" s="138">
        <v>1355</v>
      </c>
      <c r="T18" s="138">
        <v>1355</v>
      </c>
      <c r="U18" s="144">
        <f t="shared" si="3"/>
        <v>100</v>
      </c>
      <c r="V18" s="56">
        <f t="shared" si="5"/>
        <v>162</v>
      </c>
      <c r="W18" s="48">
        <f t="shared" si="6"/>
        <v>947</v>
      </c>
      <c r="X18" s="48">
        <f t="shared" si="7"/>
        <v>1007</v>
      </c>
      <c r="Y18" s="57">
        <f t="shared" si="4"/>
        <v>106.33579725448786</v>
      </c>
      <c r="AA18" s="44">
        <v>3741</v>
      </c>
      <c r="AB18" s="44">
        <v>6116</v>
      </c>
      <c r="AC18" s="44">
        <v>6370931.64</v>
      </c>
      <c r="AD18" s="44">
        <f t="shared" si="8"/>
        <v>6371</v>
      </c>
      <c r="AF18" s="43"/>
    </row>
    <row r="19" spans="1:32" ht="16.5" customHeight="1">
      <c r="A19" s="96" t="s">
        <v>196</v>
      </c>
      <c r="B19" s="143">
        <v>75</v>
      </c>
      <c r="C19" s="138">
        <v>96</v>
      </c>
      <c r="D19" s="138">
        <v>92</v>
      </c>
      <c r="E19" s="144">
        <f t="shared" si="0"/>
        <v>95.83333333333334</v>
      </c>
      <c r="F19" s="143">
        <v>2879</v>
      </c>
      <c r="G19" s="138">
        <v>2879</v>
      </c>
      <c r="H19" s="138">
        <v>3014</v>
      </c>
      <c r="I19" s="144">
        <f t="shared" si="1"/>
        <v>104.6891281695033</v>
      </c>
      <c r="J19" s="143">
        <v>45</v>
      </c>
      <c r="K19" s="138">
        <v>45</v>
      </c>
      <c r="L19" s="138">
        <v>60</v>
      </c>
      <c r="M19" s="144">
        <f t="shared" si="9"/>
        <v>133.33333333333331</v>
      </c>
      <c r="N19" s="143">
        <v>16</v>
      </c>
      <c r="O19" s="138">
        <v>39</v>
      </c>
      <c r="P19" s="138">
        <v>38</v>
      </c>
      <c r="Q19" s="144">
        <f t="shared" si="2"/>
        <v>97.43589743589743</v>
      </c>
      <c r="R19" s="143"/>
      <c r="S19" s="138">
        <v>402</v>
      </c>
      <c r="T19" s="138">
        <f>S19</f>
        <v>402</v>
      </c>
      <c r="U19" s="144">
        <f t="shared" si="3"/>
        <v>100</v>
      </c>
      <c r="V19" s="56">
        <f t="shared" si="5"/>
        <v>50</v>
      </c>
      <c r="W19" s="48">
        <f t="shared" si="6"/>
        <v>565</v>
      </c>
      <c r="X19" s="48">
        <f t="shared" si="7"/>
        <v>611</v>
      </c>
      <c r="Y19" s="57">
        <f t="shared" si="4"/>
        <v>108.14159292035399</v>
      </c>
      <c r="AA19" s="44">
        <v>3065</v>
      </c>
      <c r="AB19" s="44">
        <v>4026</v>
      </c>
      <c r="AC19" s="44">
        <v>4216870.89</v>
      </c>
      <c r="AD19" s="44">
        <f t="shared" si="8"/>
        <v>4217</v>
      </c>
      <c r="AF19" s="43"/>
    </row>
    <row r="20" spans="1:32" ht="16.5" customHeight="1">
      <c r="A20" s="96" t="s">
        <v>197</v>
      </c>
      <c r="B20" s="143">
        <v>5830</v>
      </c>
      <c r="C20" s="138">
        <v>6290</v>
      </c>
      <c r="D20" s="138">
        <v>6482</v>
      </c>
      <c r="E20" s="144">
        <f t="shared" si="0"/>
        <v>103.05246422893481</v>
      </c>
      <c r="F20" s="143">
        <v>4640</v>
      </c>
      <c r="G20" s="138">
        <v>4740</v>
      </c>
      <c r="H20" s="138">
        <v>4062</v>
      </c>
      <c r="I20" s="144">
        <f t="shared" si="1"/>
        <v>85.69620253164557</v>
      </c>
      <c r="J20" s="143">
        <v>250</v>
      </c>
      <c r="K20" s="138">
        <v>300</v>
      </c>
      <c r="L20" s="138">
        <v>377</v>
      </c>
      <c r="M20" s="144">
        <f t="shared" si="9"/>
        <v>125.66666666666666</v>
      </c>
      <c r="N20" s="143">
        <v>110</v>
      </c>
      <c r="O20" s="138">
        <v>110</v>
      </c>
      <c r="P20" s="138">
        <v>88</v>
      </c>
      <c r="Q20" s="144">
        <f t="shared" si="2"/>
        <v>80</v>
      </c>
      <c r="R20" s="143"/>
      <c r="S20" s="138">
        <v>2839</v>
      </c>
      <c r="T20" s="138">
        <f>S20</f>
        <v>2839</v>
      </c>
      <c r="U20" s="144">
        <f t="shared" si="3"/>
        <v>100</v>
      </c>
      <c r="V20" s="56">
        <f t="shared" si="5"/>
        <v>3625</v>
      </c>
      <c r="W20" s="48">
        <f t="shared" si="6"/>
        <v>1240</v>
      </c>
      <c r="X20" s="48">
        <f t="shared" si="7"/>
        <v>1305</v>
      </c>
      <c r="Y20" s="57">
        <f t="shared" si="4"/>
        <v>105.24193548387098</v>
      </c>
      <c r="AA20" s="44">
        <v>14455</v>
      </c>
      <c r="AB20" s="44">
        <v>15519</v>
      </c>
      <c r="AC20" s="44">
        <v>15153376.59</v>
      </c>
      <c r="AD20" s="44">
        <f t="shared" si="8"/>
        <v>15153</v>
      </c>
      <c r="AF20" s="43"/>
    </row>
    <row r="21" spans="1:32" ht="16.5" customHeight="1">
      <c r="A21" s="96" t="s">
        <v>198</v>
      </c>
      <c r="B21" s="143">
        <v>6927</v>
      </c>
      <c r="C21" s="138">
        <v>7191</v>
      </c>
      <c r="D21" s="138">
        <v>7314</v>
      </c>
      <c r="E21" s="144">
        <f t="shared" si="0"/>
        <v>101.7104714226116</v>
      </c>
      <c r="F21" s="143">
        <v>1236</v>
      </c>
      <c r="G21" s="138">
        <v>1938</v>
      </c>
      <c r="H21" s="138">
        <v>2026</v>
      </c>
      <c r="I21" s="144">
        <f t="shared" si="1"/>
        <v>104.54076367389061</v>
      </c>
      <c r="J21" s="143">
        <v>450</v>
      </c>
      <c r="K21" s="138">
        <v>1900</v>
      </c>
      <c r="L21" s="138">
        <v>1941</v>
      </c>
      <c r="M21" s="144">
        <f t="shared" si="9"/>
        <v>102.15789473684211</v>
      </c>
      <c r="N21" s="143">
        <v>100</v>
      </c>
      <c r="O21" s="138">
        <v>880</v>
      </c>
      <c r="P21" s="138">
        <v>1034</v>
      </c>
      <c r="Q21" s="144">
        <f t="shared" si="2"/>
        <v>117.5</v>
      </c>
      <c r="R21" s="143"/>
      <c r="S21" s="138">
        <v>10976</v>
      </c>
      <c r="T21" s="138">
        <v>10976</v>
      </c>
      <c r="U21" s="144">
        <f t="shared" si="3"/>
        <v>100</v>
      </c>
      <c r="V21" s="56">
        <f t="shared" si="5"/>
        <v>2499</v>
      </c>
      <c r="W21" s="48">
        <f t="shared" si="6"/>
        <v>2957</v>
      </c>
      <c r="X21" s="48">
        <f t="shared" si="7"/>
        <v>2975</v>
      </c>
      <c r="Y21" s="57">
        <f t="shared" si="4"/>
        <v>100.60872505918161</v>
      </c>
      <c r="AA21" s="44">
        <v>11212</v>
      </c>
      <c r="AB21" s="44">
        <v>25842</v>
      </c>
      <c r="AC21" s="44">
        <v>26265629.05</v>
      </c>
      <c r="AD21" s="44">
        <f t="shared" si="8"/>
        <v>26266</v>
      </c>
      <c r="AF21" s="43"/>
    </row>
    <row r="22" spans="1:32" ht="16.5" customHeight="1">
      <c r="A22" s="96" t="s">
        <v>199</v>
      </c>
      <c r="B22" s="143"/>
      <c r="C22" s="138"/>
      <c r="D22" s="138">
        <v>0</v>
      </c>
      <c r="E22" s="144"/>
      <c r="F22" s="143">
        <v>200</v>
      </c>
      <c r="G22" s="138">
        <v>262</v>
      </c>
      <c r="H22" s="138">
        <v>237</v>
      </c>
      <c r="I22" s="144">
        <f t="shared" si="1"/>
        <v>90.45801526717557</v>
      </c>
      <c r="J22" s="143">
        <v>30</v>
      </c>
      <c r="K22" s="138">
        <v>30</v>
      </c>
      <c r="L22" s="138">
        <v>19</v>
      </c>
      <c r="M22" s="144">
        <f t="shared" si="9"/>
        <v>63.33333333333333</v>
      </c>
      <c r="N22" s="143">
        <v>10</v>
      </c>
      <c r="O22" s="138">
        <v>123</v>
      </c>
      <c r="P22" s="138">
        <v>122</v>
      </c>
      <c r="Q22" s="144">
        <f t="shared" si="2"/>
        <v>99.1869918699187</v>
      </c>
      <c r="R22" s="143"/>
      <c r="S22" s="138">
        <v>397</v>
      </c>
      <c r="T22" s="138">
        <v>397</v>
      </c>
      <c r="U22" s="144">
        <f t="shared" si="3"/>
        <v>100</v>
      </c>
      <c r="V22" s="56">
        <f t="shared" si="5"/>
        <v>0</v>
      </c>
      <c r="W22" s="48">
        <f t="shared" si="6"/>
        <v>6</v>
      </c>
      <c r="X22" s="48">
        <f>ROUND(AC22/1000,0)-D22-H22-L22-P22-T22-1</f>
        <v>6</v>
      </c>
      <c r="Y22" s="57">
        <f t="shared" si="4"/>
        <v>100</v>
      </c>
      <c r="AA22" s="44">
        <v>240</v>
      </c>
      <c r="AB22" s="44">
        <v>818</v>
      </c>
      <c r="AC22" s="44">
        <v>781551.08</v>
      </c>
      <c r="AD22" s="44">
        <f t="shared" si="8"/>
        <v>782</v>
      </c>
      <c r="AF22" s="43"/>
    </row>
    <row r="23" spans="1:32" ht="16.5" customHeight="1">
      <c r="A23" s="96" t="s">
        <v>200</v>
      </c>
      <c r="B23" s="143">
        <v>80</v>
      </c>
      <c r="C23" s="138">
        <v>305</v>
      </c>
      <c r="D23" s="138">
        <v>299</v>
      </c>
      <c r="E23" s="144">
        <f t="shared" si="0"/>
        <v>98.0327868852459</v>
      </c>
      <c r="F23" s="143">
        <v>1200</v>
      </c>
      <c r="G23" s="138">
        <v>1200</v>
      </c>
      <c r="H23" s="138">
        <v>1037</v>
      </c>
      <c r="I23" s="144">
        <f t="shared" si="1"/>
        <v>86.41666666666666</v>
      </c>
      <c r="J23" s="143">
        <v>45</v>
      </c>
      <c r="K23" s="138">
        <v>100</v>
      </c>
      <c r="L23" s="138">
        <v>103</v>
      </c>
      <c r="M23" s="144">
        <f t="shared" si="9"/>
        <v>103</v>
      </c>
      <c r="N23" s="143">
        <v>50</v>
      </c>
      <c r="O23" s="138">
        <v>186</v>
      </c>
      <c r="P23" s="138">
        <v>177</v>
      </c>
      <c r="Q23" s="144">
        <f>P23/O23*100</f>
        <v>95.16129032258065</v>
      </c>
      <c r="R23" s="143"/>
      <c r="S23" s="138">
        <v>950</v>
      </c>
      <c r="T23" s="138">
        <f>S23</f>
        <v>950</v>
      </c>
      <c r="U23" s="144">
        <f t="shared" si="3"/>
        <v>100</v>
      </c>
      <c r="V23" s="56">
        <f t="shared" si="5"/>
        <v>0</v>
      </c>
      <c r="W23" s="48">
        <f t="shared" si="6"/>
        <v>465</v>
      </c>
      <c r="X23" s="48">
        <f t="shared" si="7"/>
        <v>459</v>
      </c>
      <c r="Y23" s="57">
        <f t="shared" si="4"/>
        <v>98.70967741935483</v>
      </c>
      <c r="AA23" s="44">
        <v>1375</v>
      </c>
      <c r="AB23" s="44">
        <v>3206</v>
      </c>
      <c r="AC23" s="44">
        <v>3024859.63</v>
      </c>
      <c r="AD23" s="44">
        <f t="shared" si="8"/>
        <v>3025</v>
      </c>
      <c r="AF23" s="43"/>
    </row>
    <row r="24" spans="1:32" ht="16.5" customHeight="1">
      <c r="A24" s="96" t="s">
        <v>201</v>
      </c>
      <c r="B24" s="143">
        <v>250</v>
      </c>
      <c r="C24" s="138">
        <v>343</v>
      </c>
      <c r="D24" s="138">
        <v>322</v>
      </c>
      <c r="E24" s="144">
        <f t="shared" si="0"/>
        <v>93.87755102040816</v>
      </c>
      <c r="F24" s="143">
        <v>1067</v>
      </c>
      <c r="G24" s="138">
        <v>1122</v>
      </c>
      <c r="H24" s="138">
        <v>1099</v>
      </c>
      <c r="I24" s="144">
        <f t="shared" si="1"/>
        <v>97.95008912655972</v>
      </c>
      <c r="J24" s="143">
        <v>100</v>
      </c>
      <c r="K24" s="138">
        <v>148</v>
      </c>
      <c r="L24" s="138">
        <v>143</v>
      </c>
      <c r="M24" s="144">
        <f t="shared" si="9"/>
        <v>96.62162162162163</v>
      </c>
      <c r="N24" s="143">
        <v>10</v>
      </c>
      <c r="O24" s="138">
        <v>10</v>
      </c>
      <c r="P24" s="138">
        <v>3</v>
      </c>
      <c r="Q24" s="144">
        <f>P24/O24*100</f>
        <v>30</v>
      </c>
      <c r="R24" s="143"/>
      <c r="S24" s="138">
        <v>472</v>
      </c>
      <c r="T24" s="138">
        <f>S24</f>
        <v>472</v>
      </c>
      <c r="U24" s="144">
        <f t="shared" si="3"/>
        <v>100</v>
      </c>
      <c r="V24" s="56">
        <f t="shared" si="5"/>
        <v>7</v>
      </c>
      <c r="W24" s="48">
        <f t="shared" si="6"/>
        <v>18</v>
      </c>
      <c r="X24" s="48">
        <f>ROUND(AC24/1000,0)-D24-H24-L24-P24-T24-1</f>
        <v>18</v>
      </c>
      <c r="Y24" s="57">
        <f t="shared" si="4"/>
        <v>100</v>
      </c>
      <c r="AA24" s="44">
        <v>1434</v>
      </c>
      <c r="AB24" s="44">
        <v>2113</v>
      </c>
      <c r="AC24" s="44">
        <v>2057773.11</v>
      </c>
      <c r="AD24" s="44">
        <f t="shared" si="8"/>
        <v>2058</v>
      </c>
      <c r="AF24" s="43"/>
    </row>
    <row r="25" spans="1:32" ht="16.5" customHeight="1">
      <c r="A25" s="96" t="s">
        <v>202</v>
      </c>
      <c r="B25" s="143">
        <v>155</v>
      </c>
      <c r="C25" s="138">
        <v>155</v>
      </c>
      <c r="D25" s="138">
        <v>142</v>
      </c>
      <c r="E25" s="144">
        <f t="shared" si="0"/>
        <v>91.61290322580645</v>
      </c>
      <c r="F25" s="143">
        <v>136</v>
      </c>
      <c r="G25" s="138">
        <v>339</v>
      </c>
      <c r="H25" s="138">
        <v>349</v>
      </c>
      <c r="I25" s="144">
        <f t="shared" si="1"/>
        <v>102.94985250737463</v>
      </c>
      <c r="J25" s="143">
        <v>25</v>
      </c>
      <c r="K25" s="138">
        <v>57</v>
      </c>
      <c r="L25" s="138">
        <v>56</v>
      </c>
      <c r="M25" s="144">
        <f t="shared" si="9"/>
        <v>98.24561403508771</v>
      </c>
      <c r="N25" s="143">
        <v>0</v>
      </c>
      <c r="O25" s="138">
        <v>464</v>
      </c>
      <c r="P25" s="138">
        <v>364</v>
      </c>
      <c r="Q25" s="144">
        <f>P25/O25*100</f>
        <v>78.44827586206897</v>
      </c>
      <c r="R25" s="143"/>
      <c r="S25" s="138">
        <v>643</v>
      </c>
      <c r="T25" s="138">
        <f>S25</f>
        <v>643</v>
      </c>
      <c r="U25" s="144">
        <f t="shared" si="3"/>
        <v>100</v>
      </c>
      <c r="V25" s="56">
        <f t="shared" si="5"/>
        <v>4</v>
      </c>
      <c r="W25" s="48">
        <f t="shared" si="6"/>
        <v>1208</v>
      </c>
      <c r="X25" s="48">
        <f t="shared" si="7"/>
        <v>1213</v>
      </c>
      <c r="Y25" s="57">
        <f t="shared" si="4"/>
        <v>100.41390728476823</v>
      </c>
      <c r="AA25" s="44">
        <v>320</v>
      </c>
      <c r="AB25" s="44">
        <v>2866</v>
      </c>
      <c r="AC25" s="44">
        <v>2766606.68</v>
      </c>
      <c r="AD25" s="44">
        <f t="shared" si="8"/>
        <v>2767</v>
      </c>
      <c r="AF25" s="43"/>
    </row>
    <row r="26" spans="1:32" ht="16.5" customHeight="1">
      <c r="A26" s="96" t="s">
        <v>203</v>
      </c>
      <c r="B26" s="143">
        <v>4127</v>
      </c>
      <c r="C26" s="138">
        <v>4266</v>
      </c>
      <c r="D26" s="138">
        <v>4471</v>
      </c>
      <c r="E26" s="144">
        <f t="shared" si="0"/>
        <v>104.80543834974215</v>
      </c>
      <c r="F26" s="143">
        <v>9468</v>
      </c>
      <c r="G26" s="138">
        <v>9239</v>
      </c>
      <c r="H26" s="138">
        <v>9469</v>
      </c>
      <c r="I26" s="144">
        <f t="shared" si="1"/>
        <v>102.48944690983872</v>
      </c>
      <c r="J26" s="143">
        <v>1300</v>
      </c>
      <c r="K26" s="138">
        <v>1797</v>
      </c>
      <c r="L26" s="138">
        <v>2127</v>
      </c>
      <c r="M26" s="144">
        <f t="shared" si="9"/>
        <v>118.36393989983304</v>
      </c>
      <c r="N26" s="143">
        <v>106</v>
      </c>
      <c r="O26" s="138">
        <v>157</v>
      </c>
      <c r="P26" s="138">
        <v>190</v>
      </c>
      <c r="Q26" s="144">
        <f>P26/O26*100</f>
        <v>121.01910828025477</v>
      </c>
      <c r="R26" s="143"/>
      <c r="S26" s="138">
        <v>6395</v>
      </c>
      <c r="T26" s="138">
        <v>6395</v>
      </c>
      <c r="U26" s="144">
        <f t="shared" si="3"/>
        <v>100</v>
      </c>
      <c r="V26" s="56">
        <f t="shared" si="5"/>
        <v>4451</v>
      </c>
      <c r="W26" s="48">
        <f t="shared" si="6"/>
        <v>5222</v>
      </c>
      <c r="X26" s="48">
        <f t="shared" si="7"/>
        <v>5257</v>
      </c>
      <c r="Y26" s="57">
        <f t="shared" si="4"/>
        <v>100.67024128686326</v>
      </c>
      <c r="AA26" s="44">
        <v>19452</v>
      </c>
      <c r="AB26" s="44">
        <v>27076</v>
      </c>
      <c r="AC26" s="44">
        <v>27908839.94</v>
      </c>
      <c r="AD26" s="44">
        <f t="shared" si="8"/>
        <v>27909</v>
      </c>
      <c r="AF26" s="43"/>
    </row>
    <row r="27" spans="1:32" ht="16.5" customHeight="1">
      <c r="A27" s="96" t="s">
        <v>204</v>
      </c>
      <c r="B27" s="143">
        <v>20</v>
      </c>
      <c r="C27" s="138">
        <v>20</v>
      </c>
      <c r="D27" s="138">
        <v>22</v>
      </c>
      <c r="E27" s="144">
        <f t="shared" si="0"/>
        <v>110.00000000000001</v>
      </c>
      <c r="F27" s="143">
        <v>356</v>
      </c>
      <c r="G27" s="138">
        <v>356</v>
      </c>
      <c r="H27" s="138">
        <v>396</v>
      </c>
      <c r="I27" s="144">
        <f t="shared" si="1"/>
        <v>111.23595505617978</v>
      </c>
      <c r="J27" s="143">
        <v>80</v>
      </c>
      <c r="K27" s="138">
        <v>80</v>
      </c>
      <c r="L27" s="138">
        <v>112</v>
      </c>
      <c r="M27" s="144">
        <f t="shared" si="9"/>
        <v>140</v>
      </c>
      <c r="N27" s="143">
        <v>40</v>
      </c>
      <c r="O27" s="138">
        <v>40</v>
      </c>
      <c r="P27" s="138">
        <v>64</v>
      </c>
      <c r="Q27" s="144">
        <f aca="true" t="shared" si="10" ref="Q27:Q34">P27/O27*100</f>
        <v>160</v>
      </c>
      <c r="R27" s="143"/>
      <c r="S27" s="138">
        <v>1141</v>
      </c>
      <c r="T27" s="138">
        <v>1129</v>
      </c>
      <c r="U27" s="144">
        <f t="shared" si="3"/>
        <v>98.94829097283086</v>
      </c>
      <c r="V27" s="56">
        <f t="shared" si="5"/>
        <v>4</v>
      </c>
      <c r="W27" s="48">
        <f t="shared" si="6"/>
        <v>4</v>
      </c>
      <c r="X27" s="48">
        <f t="shared" si="7"/>
        <v>33</v>
      </c>
      <c r="Y27" s="57">
        <f t="shared" si="4"/>
        <v>825</v>
      </c>
      <c r="AA27" s="44">
        <v>500</v>
      </c>
      <c r="AB27" s="44">
        <v>1641</v>
      </c>
      <c r="AC27" s="44">
        <v>1756334.01</v>
      </c>
      <c r="AD27" s="44">
        <f t="shared" si="8"/>
        <v>1756</v>
      </c>
      <c r="AF27" s="43"/>
    </row>
    <row r="28" spans="1:32" ht="16.5" customHeight="1">
      <c r="A28" s="96" t="s">
        <v>205</v>
      </c>
      <c r="B28" s="143">
        <v>4450</v>
      </c>
      <c r="C28" s="138">
        <v>4477</v>
      </c>
      <c r="D28" s="138">
        <v>4694</v>
      </c>
      <c r="E28" s="144">
        <f t="shared" si="0"/>
        <v>104.84699575608667</v>
      </c>
      <c r="F28" s="143">
        <v>2723</v>
      </c>
      <c r="G28" s="138">
        <v>2999</v>
      </c>
      <c r="H28" s="138">
        <v>3205</v>
      </c>
      <c r="I28" s="144">
        <f t="shared" si="1"/>
        <v>106.86895631877293</v>
      </c>
      <c r="J28" s="143">
        <v>150</v>
      </c>
      <c r="K28" s="138">
        <v>150</v>
      </c>
      <c r="L28" s="138">
        <v>209</v>
      </c>
      <c r="M28" s="144">
        <f t="shared" si="9"/>
        <v>139.33333333333334</v>
      </c>
      <c r="N28" s="143">
        <v>55</v>
      </c>
      <c r="O28" s="138">
        <v>55</v>
      </c>
      <c r="P28" s="138">
        <v>108</v>
      </c>
      <c r="Q28" s="144">
        <f t="shared" si="10"/>
        <v>196.36363636363637</v>
      </c>
      <c r="R28" s="143"/>
      <c r="S28" s="138">
        <v>4548</v>
      </c>
      <c r="T28" s="138">
        <v>4509</v>
      </c>
      <c r="U28" s="144">
        <f t="shared" si="3"/>
        <v>99.14248021108179</v>
      </c>
      <c r="V28" s="56">
        <f t="shared" si="5"/>
        <v>111</v>
      </c>
      <c r="W28" s="48">
        <f t="shared" si="6"/>
        <v>2221</v>
      </c>
      <c r="X28" s="48">
        <f t="shared" si="7"/>
        <v>2247</v>
      </c>
      <c r="Y28" s="57">
        <f t="shared" si="4"/>
        <v>101.17064385411976</v>
      </c>
      <c r="AA28" s="44">
        <v>7489</v>
      </c>
      <c r="AB28" s="44">
        <v>14450</v>
      </c>
      <c r="AC28" s="44">
        <v>14971768.25</v>
      </c>
      <c r="AD28" s="44">
        <f t="shared" si="8"/>
        <v>14972</v>
      </c>
      <c r="AF28" s="43"/>
    </row>
    <row r="29" spans="1:32" ht="16.5" customHeight="1">
      <c r="A29" s="96" t="s">
        <v>206</v>
      </c>
      <c r="B29" s="143">
        <v>40</v>
      </c>
      <c r="C29" s="138">
        <v>225</v>
      </c>
      <c r="D29" s="138">
        <v>236</v>
      </c>
      <c r="E29" s="144">
        <f t="shared" si="0"/>
        <v>104.8888888888889</v>
      </c>
      <c r="F29" s="143">
        <v>5481</v>
      </c>
      <c r="G29" s="138">
        <v>5481</v>
      </c>
      <c r="H29" s="138">
        <v>5479</v>
      </c>
      <c r="I29" s="144">
        <f t="shared" si="1"/>
        <v>99.9635103083379</v>
      </c>
      <c r="J29" s="143">
        <v>60</v>
      </c>
      <c r="K29" s="138">
        <v>173</v>
      </c>
      <c r="L29" s="138">
        <v>216</v>
      </c>
      <c r="M29" s="144">
        <f t="shared" si="9"/>
        <v>124.85549132947978</v>
      </c>
      <c r="N29" s="143">
        <v>30</v>
      </c>
      <c r="O29" s="138">
        <v>30</v>
      </c>
      <c r="P29" s="138">
        <v>19</v>
      </c>
      <c r="Q29" s="144">
        <f t="shared" si="10"/>
        <v>63.33333333333333</v>
      </c>
      <c r="R29" s="143"/>
      <c r="S29" s="138">
        <v>3334</v>
      </c>
      <c r="T29" s="138">
        <f>S29</f>
        <v>3334</v>
      </c>
      <c r="U29" s="144">
        <f t="shared" si="3"/>
        <v>100</v>
      </c>
      <c r="V29" s="56">
        <f t="shared" si="5"/>
        <v>20</v>
      </c>
      <c r="W29" s="48">
        <f t="shared" si="6"/>
        <v>149</v>
      </c>
      <c r="X29" s="48">
        <f t="shared" si="7"/>
        <v>164</v>
      </c>
      <c r="Y29" s="57">
        <f t="shared" si="4"/>
        <v>110.06711409395973</v>
      </c>
      <c r="AA29" s="44">
        <v>5631</v>
      </c>
      <c r="AB29" s="44">
        <v>9392</v>
      </c>
      <c r="AC29" s="44">
        <v>9447644.92</v>
      </c>
      <c r="AD29" s="44">
        <f t="shared" si="8"/>
        <v>9448</v>
      </c>
      <c r="AF29" s="43"/>
    </row>
    <row r="30" spans="1:32" ht="16.5" customHeight="1">
      <c r="A30" s="96" t="s">
        <v>207</v>
      </c>
      <c r="B30" s="143">
        <v>500</v>
      </c>
      <c r="C30" s="138">
        <v>500</v>
      </c>
      <c r="D30" s="138">
        <v>178</v>
      </c>
      <c r="E30" s="144">
        <f t="shared" si="0"/>
        <v>35.6</v>
      </c>
      <c r="F30" s="143">
        <v>6800</v>
      </c>
      <c r="G30" s="138">
        <v>6800</v>
      </c>
      <c r="H30" s="138">
        <v>6781</v>
      </c>
      <c r="I30" s="144">
        <f t="shared" si="1"/>
        <v>99.72058823529412</v>
      </c>
      <c r="J30" s="143">
        <v>200</v>
      </c>
      <c r="K30" s="138">
        <v>200</v>
      </c>
      <c r="L30" s="138">
        <v>785</v>
      </c>
      <c r="M30" s="144">
        <f t="shared" si="9"/>
        <v>392.5</v>
      </c>
      <c r="N30" s="143">
        <v>100</v>
      </c>
      <c r="O30" s="138">
        <v>100</v>
      </c>
      <c r="P30" s="138">
        <v>203</v>
      </c>
      <c r="Q30" s="144">
        <f t="shared" si="10"/>
        <v>202.99999999999997</v>
      </c>
      <c r="R30" s="143"/>
      <c r="S30" s="138">
        <v>2381</v>
      </c>
      <c r="T30" s="138">
        <f>S30</f>
        <v>2381</v>
      </c>
      <c r="U30" s="144">
        <f t="shared" si="3"/>
        <v>100</v>
      </c>
      <c r="V30" s="56">
        <f t="shared" si="5"/>
        <v>40</v>
      </c>
      <c r="W30" s="48">
        <f t="shared" si="6"/>
        <v>3120</v>
      </c>
      <c r="X30" s="48">
        <f t="shared" si="7"/>
        <v>3235</v>
      </c>
      <c r="Y30" s="57">
        <f t="shared" si="4"/>
        <v>103.68589743589745</v>
      </c>
      <c r="AA30" s="44">
        <v>7640</v>
      </c>
      <c r="AB30" s="44">
        <v>13101</v>
      </c>
      <c r="AC30" s="44">
        <v>13563129.75</v>
      </c>
      <c r="AD30" s="44">
        <f t="shared" si="8"/>
        <v>13563</v>
      </c>
      <c r="AF30" s="43"/>
    </row>
    <row r="31" spans="1:32" ht="16.5" customHeight="1">
      <c r="A31" s="96" t="s">
        <v>208</v>
      </c>
      <c r="B31" s="143">
        <v>2100</v>
      </c>
      <c r="C31" s="138">
        <v>2040</v>
      </c>
      <c r="D31" s="138">
        <v>1973</v>
      </c>
      <c r="E31" s="144">
        <f t="shared" si="0"/>
        <v>96.7156862745098</v>
      </c>
      <c r="F31" s="143">
        <v>4600</v>
      </c>
      <c r="G31" s="138">
        <v>4520</v>
      </c>
      <c r="H31" s="138">
        <v>4879</v>
      </c>
      <c r="I31" s="144">
        <f t="shared" si="1"/>
        <v>107.9424778761062</v>
      </c>
      <c r="J31" s="143">
        <v>250</v>
      </c>
      <c r="K31" s="138">
        <v>435</v>
      </c>
      <c r="L31" s="138">
        <v>444</v>
      </c>
      <c r="M31" s="144">
        <f t="shared" si="9"/>
        <v>102.06896551724138</v>
      </c>
      <c r="N31" s="143">
        <v>10</v>
      </c>
      <c r="O31" s="138">
        <v>154</v>
      </c>
      <c r="P31" s="138">
        <v>154</v>
      </c>
      <c r="Q31" s="144">
        <f t="shared" si="10"/>
        <v>100</v>
      </c>
      <c r="R31" s="143"/>
      <c r="S31" s="138">
        <v>3586</v>
      </c>
      <c r="T31" s="138">
        <f>S31</f>
        <v>3586</v>
      </c>
      <c r="U31" s="144">
        <f t="shared" si="3"/>
        <v>100</v>
      </c>
      <c r="V31" s="56">
        <f t="shared" si="5"/>
        <v>10</v>
      </c>
      <c r="W31" s="48">
        <f t="shared" si="6"/>
        <v>752</v>
      </c>
      <c r="X31" s="48">
        <f t="shared" si="7"/>
        <v>763</v>
      </c>
      <c r="Y31" s="57">
        <f t="shared" si="4"/>
        <v>101.4627659574468</v>
      </c>
      <c r="AA31" s="44">
        <v>6970</v>
      </c>
      <c r="AB31" s="44">
        <v>11487</v>
      </c>
      <c r="AC31" s="44">
        <v>11798883.59</v>
      </c>
      <c r="AD31" s="44">
        <f t="shared" si="8"/>
        <v>11799</v>
      </c>
      <c r="AF31" s="43"/>
    </row>
    <row r="32" spans="1:32" ht="16.5" customHeight="1">
      <c r="A32" s="96" t="s">
        <v>209</v>
      </c>
      <c r="B32" s="143">
        <v>1963</v>
      </c>
      <c r="C32" s="138">
        <v>2023</v>
      </c>
      <c r="D32" s="138">
        <v>1125</v>
      </c>
      <c r="E32" s="144">
        <f t="shared" si="0"/>
        <v>55.61047948591201</v>
      </c>
      <c r="F32" s="143">
        <v>8352</v>
      </c>
      <c r="G32" s="138">
        <v>8352</v>
      </c>
      <c r="H32" s="138">
        <v>10121</v>
      </c>
      <c r="I32" s="144">
        <f t="shared" si="1"/>
        <v>121.18055555555556</v>
      </c>
      <c r="J32" s="143">
        <v>150</v>
      </c>
      <c r="K32" s="138">
        <v>198</v>
      </c>
      <c r="L32" s="138">
        <v>496</v>
      </c>
      <c r="M32" s="144">
        <f t="shared" si="9"/>
        <v>250.50505050505052</v>
      </c>
      <c r="N32" s="143">
        <v>150</v>
      </c>
      <c r="O32" s="138">
        <v>180</v>
      </c>
      <c r="P32" s="138">
        <v>116</v>
      </c>
      <c r="Q32" s="144">
        <f t="shared" si="10"/>
        <v>64.44444444444444</v>
      </c>
      <c r="R32" s="143"/>
      <c r="S32" s="138">
        <v>3012</v>
      </c>
      <c r="T32" s="138">
        <v>3012</v>
      </c>
      <c r="U32" s="144">
        <f t="shared" si="3"/>
        <v>100</v>
      </c>
      <c r="V32" s="56">
        <f t="shared" si="5"/>
        <v>251</v>
      </c>
      <c r="W32" s="48">
        <f t="shared" si="6"/>
        <v>778</v>
      </c>
      <c r="X32" s="48">
        <f t="shared" si="7"/>
        <v>692</v>
      </c>
      <c r="Y32" s="57">
        <f t="shared" si="4"/>
        <v>88.94601542416453</v>
      </c>
      <c r="AA32" s="44">
        <v>10866</v>
      </c>
      <c r="AB32" s="44">
        <v>14543</v>
      </c>
      <c r="AC32" s="44">
        <v>15562463.01</v>
      </c>
      <c r="AD32" s="44">
        <f t="shared" si="8"/>
        <v>15562</v>
      </c>
      <c r="AF32" s="43"/>
    </row>
    <row r="33" spans="1:32" ht="16.5" customHeight="1">
      <c r="A33" s="96" t="s">
        <v>210</v>
      </c>
      <c r="B33" s="143">
        <v>127</v>
      </c>
      <c r="C33" s="138">
        <v>127</v>
      </c>
      <c r="D33" s="138">
        <v>144</v>
      </c>
      <c r="E33" s="144">
        <f aca="true" t="shared" si="11" ref="E33:E41">D33/C33*100</f>
        <v>113.38582677165354</v>
      </c>
      <c r="F33" s="143">
        <v>2118</v>
      </c>
      <c r="G33" s="138">
        <v>2170</v>
      </c>
      <c r="H33" s="138">
        <v>2001</v>
      </c>
      <c r="I33" s="144">
        <f t="shared" si="1"/>
        <v>92.21198156682028</v>
      </c>
      <c r="J33" s="143">
        <v>170</v>
      </c>
      <c r="K33" s="138">
        <v>230</v>
      </c>
      <c r="L33" s="138">
        <v>250</v>
      </c>
      <c r="M33" s="144">
        <f t="shared" si="9"/>
        <v>108.69565217391303</v>
      </c>
      <c r="N33" s="143">
        <v>120</v>
      </c>
      <c r="O33" s="138">
        <v>120</v>
      </c>
      <c r="P33" s="138">
        <v>85</v>
      </c>
      <c r="Q33" s="144">
        <f t="shared" si="10"/>
        <v>70.83333333333334</v>
      </c>
      <c r="R33" s="143"/>
      <c r="S33" s="138">
        <v>1374</v>
      </c>
      <c r="T33" s="138">
        <f>S33</f>
        <v>1374</v>
      </c>
      <c r="U33" s="144">
        <f t="shared" si="3"/>
        <v>100</v>
      </c>
      <c r="V33" s="56">
        <f t="shared" si="5"/>
        <v>220</v>
      </c>
      <c r="W33" s="48">
        <f t="shared" si="6"/>
        <v>314</v>
      </c>
      <c r="X33" s="48">
        <f t="shared" si="7"/>
        <v>346</v>
      </c>
      <c r="Y33" s="57">
        <f t="shared" si="4"/>
        <v>110.19108280254777</v>
      </c>
      <c r="AA33" s="44">
        <v>2755</v>
      </c>
      <c r="AB33" s="44">
        <v>4335</v>
      </c>
      <c r="AC33" s="44">
        <v>4199501.03</v>
      </c>
      <c r="AD33" s="44">
        <f t="shared" si="8"/>
        <v>4200</v>
      </c>
      <c r="AF33" s="43"/>
    </row>
    <row r="34" spans="1:32" ht="16.5" customHeight="1">
      <c r="A34" s="96" t="s">
        <v>211</v>
      </c>
      <c r="B34" s="143">
        <v>70</v>
      </c>
      <c r="C34" s="138">
        <v>114</v>
      </c>
      <c r="D34" s="138">
        <v>79</v>
      </c>
      <c r="E34" s="144">
        <f t="shared" si="11"/>
        <v>69.2982456140351</v>
      </c>
      <c r="F34" s="143">
        <v>2222</v>
      </c>
      <c r="G34" s="138">
        <v>2286</v>
      </c>
      <c r="H34" s="138">
        <v>2383</v>
      </c>
      <c r="I34" s="144">
        <f t="shared" si="1"/>
        <v>104.2432195975503</v>
      </c>
      <c r="J34" s="143">
        <v>100</v>
      </c>
      <c r="K34" s="138">
        <v>100</v>
      </c>
      <c r="L34" s="138">
        <v>65</v>
      </c>
      <c r="M34" s="144">
        <f t="shared" si="9"/>
        <v>65</v>
      </c>
      <c r="N34" s="143">
        <v>0</v>
      </c>
      <c r="O34" s="138">
        <v>107</v>
      </c>
      <c r="P34" s="138">
        <v>107</v>
      </c>
      <c r="Q34" s="144">
        <f t="shared" si="10"/>
        <v>100</v>
      </c>
      <c r="R34" s="143"/>
      <c r="S34" s="138">
        <v>1093</v>
      </c>
      <c r="T34" s="138">
        <f>S34</f>
        <v>1093</v>
      </c>
      <c r="U34" s="144">
        <f t="shared" si="3"/>
        <v>100</v>
      </c>
      <c r="V34" s="56">
        <f t="shared" si="5"/>
        <v>100</v>
      </c>
      <c r="W34" s="48">
        <f t="shared" si="6"/>
        <v>143</v>
      </c>
      <c r="X34" s="48">
        <f t="shared" si="7"/>
        <v>94</v>
      </c>
      <c r="Y34" s="57">
        <f t="shared" si="4"/>
        <v>65.73426573426573</v>
      </c>
      <c r="AA34" s="44">
        <v>2492</v>
      </c>
      <c r="AB34" s="44">
        <v>3843</v>
      </c>
      <c r="AC34" s="44">
        <v>3820673.53</v>
      </c>
      <c r="AD34" s="44">
        <f t="shared" si="8"/>
        <v>3821</v>
      </c>
      <c r="AF34" s="43"/>
    </row>
    <row r="35" spans="1:32" ht="16.5" customHeight="1">
      <c r="A35" s="96" t="s">
        <v>212</v>
      </c>
      <c r="B35" s="143">
        <v>60</v>
      </c>
      <c r="C35" s="138">
        <v>120</v>
      </c>
      <c r="D35" s="138">
        <v>103</v>
      </c>
      <c r="E35" s="144">
        <f t="shared" si="11"/>
        <v>85.83333333333333</v>
      </c>
      <c r="F35" s="143">
        <v>600</v>
      </c>
      <c r="G35" s="138">
        <v>944</v>
      </c>
      <c r="H35" s="138">
        <f>931+1</f>
        <v>932</v>
      </c>
      <c r="I35" s="144">
        <f t="shared" si="1"/>
        <v>98.72881355932203</v>
      </c>
      <c r="J35" s="143">
        <v>50</v>
      </c>
      <c r="K35" s="138">
        <v>55</v>
      </c>
      <c r="L35" s="138">
        <v>48</v>
      </c>
      <c r="M35" s="144">
        <f t="shared" si="9"/>
        <v>87.27272727272727</v>
      </c>
      <c r="N35" s="143"/>
      <c r="O35" s="138"/>
      <c r="P35" s="138"/>
      <c r="Q35" s="144"/>
      <c r="R35" s="143"/>
      <c r="S35" s="138">
        <v>655</v>
      </c>
      <c r="T35" s="138">
        <f>S35</f>
        <v>655</v>
      </c>
      <c r="U35" s="144">
        <f t="shared" si="3"/>
        <v>100</v>
      </c>
      <c r="V35" s="56">
        <f t="shared" si="5"/>
        <v>90</v>
      </c>
      <c r="W35" s="48">
        <f t="shared" si="6"/>
        <v>104</v>
      </c>
      <c r="X35" s="48">
        <f t="shared" si="7"/>
        <v>98</v>
      </c>
      <c r="Y35" s="57">
        <f t="shared" si="4"/>
        <v>94.23076923076923</v>
      </c>
      <c r="AA35" s="44">
        <v>800</v>
      </c>
      <c r="AB35" s="44">
        <v>1878</v>
      </c>
      <c r="AC35" s="44">
        <v>1836475.44</v>
      </c>
      <c r="AD35" s="44">
        <f t="shared" si="8"/>
        <v>1836</v>
      </c>
      <c r="AF35" s="43"/>
    </row>
    <row r="36" spans="1:32" ht="16.5" customHeight="1">
      <c r="A36" s="96" t="s">
        <v>213</v>
      </c>
      <c r="B36" s="143">
        <v>2609</v>
      </c>
      <c r="C36" s="138">
        <v>2499</v>
      </c>
      <c r="D36" s="138">
        <v>2478</v>
      </c>
      <c r="E36" s="144">
        <f t="shared" si="11"/>
        <v>99.15966386554622</v>
      </c>
      <c r="F36" s="143">
        <v>4970</v>
      </c>
      <c r="G36" s="138">
        <v>8082</v>
      </c>
      <c r="H36" s="138">
        <v>8086</v>
      </c>
      <c r="I36" s="144">
        <f t="shared" si="1"/>
        <v>100.04949269982677</v>
      </c>
      <c r="J36" s="143">
        <v>700</v>
      </c>
      <c r="K36" s="138">
        <v>1491</v>
      </c>
      <c r="L36" s="138">
        <v>1505</v>
      </c>
      <c r="M36" s="144">
        <f t="shared" si="9"/>
        <v>100.93896713615023</v>
      </c>
      <c r="N36" s="143">
        <v>160</v>
      </c>
      <c r="O36" s="138">
        <v>412</v>
      </c>
      <c r="P36" s="138">
        <v>409</v>
      </c>
      <c r="Q36" s="144">
        <f>P36/O36*100</f>
        <v>99.27184466019418</v>
      </c>
      <c r="R36" s="143"/>
      <c r="S36" s="138">
        <v>29099</v>
      </c>
      <c r="T36" s="138">
        <v>29099</v>
      </c>
      <c r="U36" s="144">
        <f t="shared" si="3"/>
        <v>100</v>
      </c>
      <c r="V36" s="56">
        <f t="shared" si="5"/>
        <v>3126</v>
      </c>
      <c r="W36" s="48">
        <f t="shared" si="6"/>
        <v>4568</v>
      </c>
      <c r="X36" s="48">
        <f t="shared" si="7"/>
        <v>4533</v>
      </c>
      <c r="Y36" s="57">
        <f t="shared" si="4"/>
        <v>99.2338003502627</v>
      </c>
      <c r="AA36" s="44">
        <v>11565</v>
      </c>
      <c r="AB36" s="44">
        <v>46151</v>
      </c>
      <c r="AC36" s="44">
        <v>46110366.27</v>
      </c>
      <c r="AD36" s="44">
        <f t="shared" si="8"/>
        <v>46110</v>
      </c>
      <c r="AF36" s="43"/>
    </row>
    <row r="37" spans="1:32" ht="16.5" customHeight="1">
      <c r="A37" s="96" t="s">
        <v>214</v>
      </c>
      <c r="B37" s="143">
        <v>897</v>
      </c>
      <c r="C37" s="138">
        <v>897</v>
      </c>
      <c r="D37" s="138">
        <v>225</v>
      </c>
      <c r="E37" s="144">
        <f t="shared" si="11"/>
        <v>25.08361204013378</v>
      </c>
      <c r="F37" s="143">
        <v>400</v>
      </c>
      <c r="G37" s="138">
        <v>452</v>
      </c>
      <c r="H37" s="138">
        <v>533</v>
      </c>
      <c r="I37" s="144">
        <f t="shared" si="1"/>
        <v>117.92035398230087</v>
      </c>
      <c r="J37" s="143">
        <v>20</v>
      </c>
      <c r="K37" s="138">
        <v>45</v>
      </c>
      <c r="L37" s="138">
        <v>39</v>
      </c>
      <c r="M37" s="144">
        <f t="shared" si="9"/>
        <v>86.66666666666667</v>
      </c>
      <c r="N37" s="143"/>
      <c r="O37" s="138">
        <v>0</v>
      </c>
      <c r="P37" s="138">
        <v>0</v>
      </c>
      <c r="Q37" s="144"/>
      <c r="R37" s="143"/>
      <c r="S37" s="138">
        <v>709</v>
      </c>
      <c r="T37" s="138">
        <f aca="true" t="shared" si="12" ref="T37:T42">S37</f>
        <v>709</v>
      </c>
      <c r="U37" s="144">
        <f t="shared" si="3"/>
        <v>100</v>
      </c>
      <c r="V37" s="56">
        <f t="shared" si="5"/>
        <v>74</v>
      </c>
      <c r="W37" s="48">
        <f t="shared" si="6"/>
        <v>74</v>
      </c>
      <c r="X37" s="48">
        <f t="shared" si="7"/>
        <v>78</v>
      </c>
      <c r="Y37" s="57">
        <f t="shared" si="4"/>
        <v>105.40540540540539</v>
      </c>
      <c r="AA37" s="44">
        <v>1391</v>
      </c>
      <c r="AB37" s="44">
        <v>2177</v>
      </c>
      <c r="AC37" s="44">
        <v>1583854.77</v>
      </c>
      <c r="AD37" s="44">
        <f t="shared" si="8"/>
        <v>1584</v>
      </c>
      <c r="AF37" s="43"/>
    </row>
    <row r="38" spans="1:32" ht="16.5" customHeight="1">
      <c r="A38" s="96" t="s">
        <v>215</v>
      </c>
      <c r="B38" s="143">
        <v>254</v>
      </c>
      <c r="C38" s="138">
        <v>254</v>
      </c>
      <c r="D38" s="138">
        <v>215</v>
      </c>
      <c r="E38" s="144">
        <f t="shared" si="11"/>
        <v>84.64566929133859</v>
      </c>
      <c r="F38" s="143">
        <v>3660</v>
      </c>
      <c r="G38" s="138">
        <v>3660</v>
      </c>
      <c r="H38" s="138">
        <v>4125</v>
      </c>
      <c r="I38" s="144">
        <f t="shared" si="1"/>
        <v>112.70491803278688</v>
      </c>
      <c r="J38" s="143">
        <v>300</v>
      </c>
      <c r="K38" s="138">
        <v>300</v>
      </c>
      <c r="L38" s="138">
        <v>548</v>
      </c>
      <c r="M38" s="144">
        <f t="shared" si="9"/>
        <v>182.66666666666666</v>
      </c>
      <c r="N38" s="143">
        <v>140</v>
      </c>
      <c r="O38" s="138">
        <v>140</v>
      </c>
      <c r="P38" s="138">
        <v>230</v>
      </c>
      <c r="Q38" s="144">
        <f>P38/O38*100</f>
        <v>164.28571428571428</v>
      </c>
      <c r="R38" s="143"/>
      <c r="S38" s="138">
        <v>2001</v>
      </c>
      <c r="T38" s="138">
        <f t="shared" si="12"/>
        <v>2001</v>
      </c>
      <c r="U38" s="144">
        <f t="shared" si="3"/>
        <v>100</v>
      </c>
      <c r="V38" s="56">
        <f t="shared" si="5"/>
        <v>1727</v>
      </c>
      <c r="W38" s="48">
        <f t="shared" si="6"/>
        <v>1932</v>
      </c>
      <c r="X38" s="48">
        <f t="shared" si="7"/>
        <v>1699</v>
      </c>
      <c r="Y38" s="57">
        <f t="shared" si="4"/>
        <v>87.93995859213251</v>
      </c>
      <c r="AA38" s="44">
        <v>6081</v>
      </c>
      <c r="AB38" s="44">
        <v>8287</v>
      </c>
      <c r="AC38" s="44">
        <v>8817516.79</v>
      </c>
      <c r="AD38" s="44">
        <f t="shared" si="8"/>
        <v>8818</v>
      </c>
      <c r="AF38" s="43"/>
    </row>
    <row r="39" spans="1:32" ht="16.5" customHeight="1">
      <c r="A39" s="96" t="s">
        <v>216</v>
      </c>
      <c r="B39" s="143">
        <v>101</v>
      </c>
      <c r="C39" s="138">
        <v>76</v>
      </c>
      <c r="D39" s="138">
        <v>57</v>
      </c>
      <c r="E39" s="144">
        <f t="shared" si="11"/>
        <v>75</v>
      </c>
      <c r="F39" s="143">
        <v>147</v>
      </c>
      <c r="G39" s="138">
        <v>140</v>
      </c>
      <c r="H39" s="138">
        <v>139</v>
      </c>
      <c r="I39" s="144">
        <f t="shared" si="1"/>
        <v>99.28571428571429</v>
      </c>
      <c r="J39" s="143">
        <v>15</v>
      </c>
      <c r="K39" s="138">
        <v>20</v>
      </c>
      <c r="L39" s="138">
        <f>15+1</f>
        <v>16</v>
      </c>
      <c r="M39" s="144">
        <f t="shared" si="9"/>
        <v>80</v>
      </c>
      <c r="N39" s="143">
        <v>60</v>
      </c>
      <c r="O39" s="138">
        <v>170</v>
      </c>
      <c r="P39" s="138">
        <v>166</v>
      </c>
      <c r="Q39" s="144">
        <f>P39/O39*100</f>
        <v>97.6470588235294</v>
      </c>
      <c r="R39" s="143"/>
      <c r="S39" s="138">
        <v>175</v>
      </c>
      <c r="T39" s="138">
        <f t="shared" si="12"/>
        <v>175</v>
      </c>
      <c r="U39" s="144">
        <f t="shared" si="3"/>
        <v>100</v>
      </c>
      <c r="V39" s="56">
        <f t="shared" si="5"/>
        <v>130</v>
      </c>
      <c r="W39" s="48">
        <f t="shared" si="6"/>
        <v>196</v>
      </c>
      <c r="X39" s="48">
        <f t="shared" si="7"/>
        <v>178</v>
      </c>
      <c r="Y39" s="57">
        <f t="shared" si="4"/>
        <v>90.81632653061224</v>
      </c>
      <c r="AA39" s="44">
        <v>453</v>
      </c>
      <c r="AB39" s="44">
        <v>777</v>
      </c>
      <c r="AC39" s="44">
        <v>730676</v>
      </c>
      <c r="AD39" s="44">
        <f t="shared" si="8"/>
        <v>731</v>
      </c>
      <c r="AF39" s="43"/>
    </row>
    <row r="40" spans="1:32" ht="16.5" customHeight="1">
      <c r="A40" s="96" t="s">
        <v>217</v>
      </c>
      <c r="B40" s="143">
        <v>101</v>
      </c>
      <c r="C40" s="138">
        <v>151</v>
      </c>
      <c r="D40" s="138">
        <v>150</v>
      </c>
      <c r="E40" s="144">
        <f t="shared" si="11"/>
        <v>99.33774834437085</v>
      </c>
      <c r="F40" s="143">
        <v>332</v>
      </c>
      <c r="G40" s="138">
        <v>332</v>
      </c>
      <c r="H40" s="138">
        <v>279</v>
      </c>
      <c r="I40" s="144">
        <f t="shared" si="1"/>
        <v>84.03614457831326</v>
      </c>
      <c r="J40" s="143">
        <v>5</v>
      </c>
      <c r="K40" s="138">
        <v>10</v>
      </c>
      <c r="L40" s="138">
        <v>8</v>
      </c>
      <c r="M40" s="144">
        <f t="shared" si="9"/>
        <v>80</v>
      </c>
      <c r="N40" s="143"/>
      <c r="O40" s="138"/>
      <c r="P40" s="138"/>
      <c r="Q40" s="144"/>
      <c r="R40" s="143"/>
      <c r="S40" s="138">
        <v>238</v>
      </c>
      <c r="T40" s="138">
        <f t="shared" si="12"/>
        <v>238</v>
      </c>
      <c r="U40" s="144">
        <f t="shared" si="3"/>
        <v>100</v>
      </c>
      <c r="V40" s="56">
        <f t="shared" si="5"/>
        <v>0</v>
      </c>
      <c r="W40" s="48">
        <f t="shared" si="6"/>
        <v>112</v>
      </c>
      <c r="X40" s="48">
        <f t="shared" si="7"/>
        <v>111</v>
      </c>
      <c r="Y40" s="57">
        <f t="shared" si="4"/>
        <v>99.10714285714286</v>
      </c>
      <c r="AA40" s="44">
        <v>438</v>
      </c>
      <c r="AB40" s="44">
        <v>843</v>
      </c>
      <c r="AC40" s="44">
        <v>786479.11</v>
      </c>
      <c r="AD40" s="44">
        <f t="shared" si="8"/>
        <v>786</v>
      </c>
      <c r="AF40" s="43"/>
    </row>
    <row r="41" spans="1:32" ht="15" customHeight="1">
      <c r="A41" s="96" t="s">
        <v>218</v>
      </c>
      <c r="B41" s="143">
        <v>10</v>
      </c>
      <c r="C41" s="138">
        <v>26</v>
      </c>
      <c r="D41" s="138">
        <v>25</v>
      </c>
      <c r="E41" s="144">
        <f t="shared" si="11"/>
        <v>96.15384615384616</v>
      </c>
      <c r="F41" s="143">
        <v>35</v>
      </c>
      <c r="G41" s="138">
        <v>47</v>
      </c>
      <c r="H41" s="138">
        <v>46</v>
      </c>
      <c r="I41" s="144">
        <f t="shared" si="1"/>
        <v>97.87234042553192</v>
      </c>
      <c r="J41" s="143">
        <v>0</v>
      </c>
      <c r="K41" s="138">
        <v>5</v>
      </c>
      <c r="L41" s="138">
        <v>5</v>
      </c>
      <c r="M41" s="144">
        <f t="shared" si="9"/>
        <v>100</v>
      </c>
      <c r="N41" s="143"/>
      <c r="O41" s="138"/>
      <c r="P41" s="138"/>
      <c r="Q41" s="144"/>
      <c r="R41" s="143"/>
      <c r="S41" s="138">
        <v>132</v>
      </c>
      <c r="T41" s="138">
        <f t="shared" si="12"/>
        <v>132</v>
      </c>
      <c r="U41" s="144">
        <f t="shared" si="3"/>
        <v>100</v>
      </c>
      <c r="V41" s="56">
        <f t="shared" si="5"/>
        <v>0</v>
      </c>
      <c r="W41" s="48">
        <f t="shared" si="6"/>
        <v>0</v>
      </c>
      <c r="X41" s="48">
        <f t="shared" si="7"/>
        <v>0</v>
      </c>
      <c r="Y41" s="57"/>
      <c r="AA41" s="44">
        <v>45</v>
      </c>
      <c r="AB41" s="44">
        <v>210</v>
      </c>
      <c r="AC41" s="44">
        <v>208312.96</v>
      </c>
      <c r="AD41" s="44">
        <f t="shared" si="8"/>
        <v>208</v>
      </c>
      <c r="AF41" s="43"/>
    </row>
    <row r="42" spans="1:32" ht="15" customHeight="1" thickBot="1">
      <c r="A42" s="97" t="s">
        <v>219</v>
      </c>
      <c r="B42" s="157"/>
      <c r="C42" s="159">
        <v>0</v>
      </c>
      <c r="D42" s="159">
        <v>0</v>
      </c>
      <c r="E42" s="158"/>
      <c r="F42" s="157">
        <v>65</v>
      </c>
      <c r="G42" s="159">
        <v>119</v>
      </c>
      <c r="H42" s="159">
        <v>119</v>
      </c>
      <c r="I42" s="158">
        <f t="shared" si="1"/>
        <v>100</v>
      </c>
      <c r="J42" s="157">
        <v>1</v>
      </c>
      <c r="K42" s="159">
        <v>12</v>
      </c>
      <c r="L42" s="62">
        <v>12</v>
      </c>
      <c r="M42" s="158">
        <f t="shared" si="9"/>
        <v>100</v>
      </c>
      <c r="N42" s="157">
        <v>0</v>
      </c>
      <c r="O42" s="159">
        <v>1</v>
      </c>
      <c r="P42" s="159">
        <v>1</v>
      </c>
      <c r="Q42" s="158">
        <f>P42/O42*100</f>
        <v>100</v>
      </c>
      <c r="R42" s="157"/>
      <c r="S42" s="159">
        <v>82</v>
      </c>
      <c r="T42" s="159">
        <f t="shared" si="12"/>
        <v>82</v>
      </c>
      <c r="U42" s="158">
        <f t="shared" si="3"/>
        <v>100</v>
      </c>
      <c r="V42" s="61">
        <f t="shared" si="5"/>
        <v>0</v>
      </c>
      <c r="W42" s="62">
        <f t="shared" si="6"/>
        <v>1</v>
      </c>
      <c r="X42" s="62">
        <f t="shared" si="7"/>
        <v>1</v>
      </c>
      <c r="Y42" s="63">
        <f t="shared" si="4"/>
        <v>100</v>
      </c>
      <c r="AA42" s="44">
        <v>66</v>
      </c>
      <c r="AB42" s="44">
        <v>215</v>
      </c>
      <c r="AC42" s="44">
        <v>214809.51</v>
      </c>
      <c r="AD42" s="44">
        <f t="shared" si="8"/>
        <v>215</v>
      </c>
      <c r="AF42" s="43"/>
    </row>
    <row r="43" spans="1:25" ht="16.5" customHeight="1" thickBot="1">
      <c r="A43" s="98"/>
      <c r="B43" s="145"/>
      <c r="C43" s="148"/>
      <c r="D43" s="148"/>
      <c r="E43" s="146"/>
      <c r="F43" s="145"/>
      <c r="G43" s="148"/>
      <c r="H43" s="148"/>
      <c r="I43" s="146"/>
      <c r="J43" s="145"/>
      <c r="K43" s="148"/>
      <c r="L43" s="59"/>
      <c r="M43" s="146"/>
      <c r="N43" s="145"/>
      <c r="O43" s="148"/>
      <c r="P43" s="148"/>
      <c r="Q43" s="146"/>
      <c r="R43" s="145"/>
      <c r="S43" s="148"/>
      <c r="T43" s="148"/>
      <c r="U43" s="146"/>
      <c r="V43" s="58"/>
      <c r="W43" s="59"/>
      <c r="X43" s="59"/>
      <c r="Y43" s="60"/>
    </row>
    <row r="44" spans="1:30" s="82" customFormat="1" ht="18" customHeight="1" thickBot="1">
      <c r="A44" s="99" t="s">
        <v>245</v>
      </c>
      <c r="B44" s="149">
        <f>SUM(B14:B42)</f>
        <v>35221</v>
      </c>
      <c r="C44" s="151">
        <f>SUM(C14:C42)</f>
        <v>36967</v>
      </c>
      <c r="D44" s="151">
        <f>SUM(D14:D42)</f>
        <v>35352</v>
      </c>
      <c r="E44" s="174">
        <f>D44/C44*100</f>
        <v>95.63123867232937</v>
      </c>
      <c r="F44" s="149">
        <f>SUM(F14:F42)</f>
        <v>85996</v>
      </c>
      <c r="G44" s="151">
        <f>SUM(G14:G42)</f>
        <v>91202</v>
      </c>
      <c r="H44" s="101">
        <f>SUM(H14:H42)</f>
        <v>87850</v>
      </c>
      <c r="I44" s="174">
        <f>H44/G44*100</f>
        <v>96.32464200346483</v>
      </c>
      <c r="J44" s="149">
        <f>SUM(J14:J42)</f>
        <v>6516</v>
      </c>
      <c r="K44" s="151">
        <f>SUM(K14:K42)</f>
        <v>11144</v>
      </c>
      <c r="L44" s="101">
        <f>SUM(L14:L42)</f>
        <v>14594</v>
      </c>
      <c r="M44" s="174">
        <f>L44/K44*100</f>
        <v>130.9583632447954</v>
      </c>
      <c r="N44" s="149">
        <f>SUM(N14:N42)</f>
        <v>3877</v>
      </c>
      <c r="O44" s="151">
        <f>SUM(O14:O42)</f>
        <v>6200</v>
      </c>
      <c r="P44" s="151">
        <f>SUM(P14:P42)</f>
        <v>6323</v>
      </c>
      <c r="Q44" s="174">
        <f>P44/O44*100</f>
        <v>101.98387096774194</v>
      </c>
      <c r="R44" s="149"/>
      <c r="S44" s="151">
        <f>SUM(S14:S43)</f>
        <v>108751</v>
      </c>
      <c r="T44" s="151">
        <f>SUM(T14:T42)</f>
        <v>108641</v>
      </c>
      <c r="U44" s="174">
        <f>T44/S44*100</f>
        <v>99.89885150481375</v>
      </c>
      <c r="V44" s="100">
        <f>SUM(V14:V43)</f>
        <v>19683</v>
      </c>
      <c r="W44" s="101">
        <f>SUM(W14:W43)</f>
        <v>32472</v>
      </c>
      <c r="X44" s="101">
        <f>SUM(X14:X42)</f>
        <v>37617</v>
      </c>
      <c r="Y44" s="124">
        <f>X44/W44*100</f>
        <v>115.84441980783444</v>
      </c>
      <c r="AA44" s="82">
        <f>SUM(AA14:AA42)</f>
        <v>151293</v>
      </c>
      <c r="AB44" s="82">
        <f>SUM(AB14:AB42)</f>
        <v>286736</v>
      </c>
      <c r="AC44" s="82">
        <f>SUM(AC14:AC42)</f>
        <v>290377089.30999994</v>
      </c>
      <c r="AD44" s="82">
        <f>SUM(AD14:AD42)</f>
        <v>290379</v>
      </c>
    </row>
    <row r="45" ht="15.75" customHeight="1"/>
    <row r="46" spans="1:25" s="125" customFormat="1" ht="19.5" customHeight="1">
      <c r="A46" s="162">
        <v>2012</v>
      </c>
      <c r="B46" s="125">
        <v>35221</v>
      </c>
      <c r="C46" s="125">
        <v>36967</v>
      </c>
      <c r="D46" s="125">
        <v>35352</v>
      </c>
      <c r="F46" s="125">
        <v>85996</v>
      </c>
      <c r="G46" s="125">
        <v>91202</v>
      </c>
      <c r="H46" s="125">
        <v>87850</v>
      </c>
      <c r="J46" s="125">
        <v>6516</v>
      </c>
      <c r="K46" s="125">
        <v>11144</v>
      </c>
      <c r="L46" s="125">
        <v>14594</v>
      </c>
      <c r="N46" s="125">
        <v>3877</v>
      </c>
      <c r="O46" s="125">
        <v>6200</v>
      </c>
      <c r="P46" s="125">
        <v>6323</v>
      </c>
      <c r="S46" s="125">
        <v>108751</v>
      </c>
      <c r="T46" s="125">
        <v>108641</v>
      </c>
      <c r="V46" s="47">
        <f>2700+16983</f>
        <v>19683</v>
      </c>
      <c r="W46" s="47">
        <f>10915+22557</f>
        <v>33472</v>
      </c>
      <c r="X46" s="47">
        <f>10909+26708</f>
        <v>37617</v>
      </c>
      <c r="Y46" s="47"/>
    </row>
    <row r="47" spans="1:29" s="125" customFormat="1" ht="15.75" customHeight="1">
      <c r="A47" s="162">
        <v>2011</v>
      </c>
      <c r="B47" s="125">
        <v>33919</v>
      </c>
      <c r="C47" s="125">
        <v>34885</v>
      </c>
      <c r="D47" s="125">
        <v>36087</v>
      </c>
      <c r="F47" s="125">
        <v>84951</v>
      </c>
      <c r="G47" s="125">
        <v>87665</v>
      </c>
      <c r="H47" s="125">
        <v>89549</v>
      </c>
      <c r="J47" s="125">
        <v>6529</v>
      </c>
      <c r="K47" s="125">
        <v>9064</v>
      </c>
      <c r="L47" s="125">
        <v>11142</v>
      </c>
      <c r="N47" s="125">
        <v>3373</v>
      </c>
      <c r="O47" s="125">
        <v>6593</v>
      </c>
      <c r="P47" s="125">
        <v>6669</v>
      </c>
      <c r="S47" s="125">
        <v>169617</v>
      </c>
      <c r="T47" s="125">
        <v>169617</v>
      </c>
      <c r="V47" s="47">
        <v>16951</v>
      </c>
      <c r="W47" s="47">
        <v>25144</v>
      </c>
      <c r="X47" s="47">
        <v>26247</v>
      </c>
      <c r="Y47" s="47"/>
      <c r="AA47" s="125">
        <v>151293</v>
      </c>
      <c r="AB47" s="125">
        <v>22557</v>
      </c>
      <c r="AC47" s="125">
        <v>290377</v>
      </c>
    </row>
    <row r="48" ht="15.75" customHeight="1"/>
    <row r="49" ht="15.75" customHeight="1"/>
    <row r="51" spans="4:24" ht="15.75">
      <c r="D51" s="44">
        <f>D46-D47</f>
        <v>-735</v>
      </c>
      <c r="E51" s="44">
        <f aca="true" t="shared" si="13" ref="E51:W51">E47-E49</f>
        <v>0</v>
      </c>
      <c r="F51" s="44">
        <f t="shared" si="13"/>
        <v>84951</v>
      </c>
      <c r="G51" s="44">
        <f t="shared" si="13"/>
        <v>87665</v>
      </c>
      <c r="H51" s="44">
        <f>H46-H47</f>
        <v>-1699</v>
      </c>
      <c r="I51" s="44">
        <f t="shared" si="13"/>
        <v>0</v>
      </c>
      <c r="J51" s="44">
        <f t="shared" si="13"/>
        <v>6529</v>
      </c>
      <c r="K51" s="44">
        <f t="shared" si="13"/>
        <v>9064</v>
      </c>
      <c r="L51" s="44">
        <f>L46-L47</f>
        <v>3452</v>
      </c>
      <c r="M51" s="44">
        <f t="shared" si="13"/>
        <v>0</v>
      </c>
      <c r="N51" s="44">
        <f t="shared" si="13"/>
        <v>3373</v>
      </c>
      <c r="O51" s="44">
        <f t="shared" si="13"/>
        <v>6593</v>
      </c>
      <c r="P51" s="44">
        <f>P46-P47</f>
        <v>-346</v>
      </c>
      <c r="Q51" s="44">
        <f t="shared" si="13"/>
        <v>0</v>
      </c>
      <c r="R51" s="44">
        <f t="shared" si="13"/>
        <v>0</v>
      </c>
      <c r="T51" s="44">
        <f>T46-T47</f>
        <v>-60976</v>
      </c>
      <c r="U51" s="44">
        <f t="shared" si="13"/>
        <v>0</v>
      </c>
      <c r="V51" s="40">
        <f t="shared" si="13"/>
        <v>16951</v>
      </c>
      <c r="W51" s="40">
        <f t="shared" si="13"/>
        <v>25144</v>
      </c>
      <c r="X51" s="40">
        <f>X46-X47</f>
        <v>11370</v>
      </c>
    </row>
    <row r="52" spans="2:24" ht="15.75">
      <c r="B52" s="44" t="s">
        <v>235</v>
      </c>
      <c r="D52" s="44">
        <f>D51/D47*100</f>
        <v>-2.03674453404273</v>
      </c>
      <c r="F52" s="44" t="s">
        <v>225</v>
      </c>
      <c r="H52" s="44">
        <f>H51/H47*100</f>
        <v>-1.8972852851511464</v>
      </c>
      <c r="L52" s="44">
        <f>L51/L47*100</f>
        <v>30.981870400287203</v>
      </c>
      <c r="P52" s="44">
        <f>P51/P47*100</f>
        <v>-5.188184135552556</v>
      </c>
      <c r="T52" s="44">
        <f>T51/T47*100</f>
        <v>-35.94922678740928</v>
      </c>
      <c r="X52" s="40">
        <f>X51/X47*100</f>
        <v>43.31923648416962</v>
      </c>
    </row>
    <row r="53" ht="15.75">
      <c r="H53" s="44" t="e">
        <f>H47/H49*100</f>
        <v>#DIV/0!</v>
      </c>
    </row>
  </sheetData>
  <sheetProtection/>
  <mergeCells count="36">
    <mergeCell ref="A3:U3"/>
    <mergeCell ref="R12:U12"/>
    <mergeCell ref="N12:Q12"/>
    <mergeCell ref="J12:M12"/>
    <mergeCell ref="F12:I12"/>
    <mergeCell ref="B12:E12"/>
    <mergeCell ref="A8:A10"/>
    <mergeCell ref="B8:E8"/>
    <mergeCell ref="F8:I8"/>
    <mergeCell ref="J8:M8"/>
    <mergeCell ref="N8:Q8"/>
    <mergeCell ref="O9:O10"/>
    <mergeCell ref="P9:P10"/>
    <mergeCell ref="T9:T10"/>
    <mergeCell ref="R8:U8"/>
    <mergeCell ref="W9:W10"/>
    <mergeCell ref="X9:X10"/>
    <mergeCell ref="AA12:AC12"/>
    <mergeCell ref="AA9:AC9"/>
    <mergeCell ref="V12:Y12"/>
    <mergeCell ref="V8:Y8"/>
    <mergeCell ref="R9:R10"/>
    <mergeCell ref="S9:S10"/>
    <mergeCell ref="A2:Y2"/>
    <mergeCell ref="A4:Y4"/>
    <mergeCell ref="H9:H10"/>
    <mergeCell ref="J9:J10"/>
    <mergeCell ref="K9:K10"/>
    <mergeCell ref="L9:L10"/>
    <mergeCell ref="N9:N10"/>
    <mergeCell ref="B9:B10"/>
    <mergeCell ref="C9:C10"/>
    <mergeCell ref="D9:D10"/>
    <mergeCell ref="F9:F10"/>
    <mergeCell ref="G9:G10"/>
    <mergeCell ref="V9:V10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S48"/>
  <sheetViews>
    <sheetView showZeros="0" view="pageBreakPreview" zoomScale="60" zoomScaleNormal="85" zoomScalePageLayoutView="0" workbookViewId="0" topLeftCell="A1">
      <pane xSplit="1" ySplit="10" topLeftCell="B11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F8" sqref="F8:F9"/>
    </sheetView>
  </sheetViews>
  <sheetFormatPr defaultColWidth="9.796875" defaultRowHeight="15"/>
  <cols>
    <col min="1" max="1" width="28.69921875" style="82" customWidth="1"/>
    <col min="2" max="4" width="17.8984375" style="44" customWidth="1"/>
    <col min="5" max="5" width="11" style="44" customWidth="1"/>
    <col min="6" max="8" width="17.8984375" style="44" customWidth="1"/>
    <col min="9" max="9" width="10.796875" style="44" customWidth="1"/>
    <col min="10" max="10" width="4.19921875" style="44" customWidth="1"/>
    <col min="11" max="11" width="11.796875" style="44" customWidth="1"/>
    <col min="12" max="12" width="9.19921875" style="44" customWidth="1"/>
    <col min="13" max="13" width="9.69921875" style="44" customWidth="1"/>
    <col min="14" max="14" width="3.59765625" style="44" customWidth="1"/>
    <col min="15" max="16" width="7.796875" style="44" customWidth="1"/>
    <col min="17" max="17" width="10.8984375" style="44" bestFit="1" customWidth="1"/>
    <col min="18" max="18" width="12.69921875" style="44" customWidth="1"/>
    <col min="19" max="19" width="9.796875" style="44" customWidth="1"/>
    <col min="20" max="20" width="16.796875" style="44" customWidth="1"/>
    <col min="21" max="28" width="12.796875" style="44" customWidth="1"/>
    <col min="29" max="16384" width="9.796875" style="44" customWidth="1"/>
  </cols>
  <sheetData>
    <row r="1" ht="17.25" customHeight="1"/>
    <row r="2" spans="1:9" ht="24" customHeight="1">
      <c r="A2" s="293" t="s">
        <v>236</v>
      </c>
      <c r="B2" s="293"/>
      <c r="C2" s="293"/>
      <c r="D2" s="293"/>
      <c r="E2" s="293"/>
      <c r="F2" s="293"/>
      <c r="G2" s="293"/>
      <c r="H2" s="293"/>
      <c r="I2" s="293"/>
    </row>
    <row r="3" spans="1:9" ht="15" customHeight="1">
      <c r="A3" s="131"/>
      <c r="B3" s="131"/>
      <c r="C3" s="131"/>
      <c r="D3" s="131"/>
      <c r="E3" s="131"/>
      <c r="F3" s="131"/>
      <c r="G3" s="131"/>
      <c r="H3" s="131"/>
      <c r="I3" s="131"/>
    </row>
    <row r="4" spans="1:9" ht="21" customHeight="1">
      <c r="A4" s="293" t="s">
        <v>74</v>
      </c>
      <c r="B4" s="293"/>
      <c r="C4" s="293"/>
      <c r="D4" s="293"/>
      <c r="E4" s="293"/>
      <c r="F4" s="293"/>
      <c r="G4" s="293"/>
      <c r="H4" s="293"/>
      <c r="I4" s="293"/>
    </row>
    <row r="5" ht="22.5" customHeight="1">
      <c r="I5" s="132" t="s">
        <v>249</v>
      </c>
    </row>
    <row r="6" spans="9:17" ht="22.5" customHeight="1" thickBot="1">
      <c r="I6" s="132" t="s">
        <v>1</v>
      </c>
      <c r="O6" s="337" t="s">
        <v>148</v>
      </c>
      <c r="P6" s="337"/>
      <c r="Q6" s="337"/>
    </row>
    <row r="7" spans="1:17" s="82" customFormat="1" ht="18" customHeight="1" thickBot="1">
      <c r="A7" s="346" t="s">
        <v>229</v>
      </c>
      <c r="B7" s="352" t="s">
        <v>118</v>
      </c>
      <c r="C7" s="353"/>
      <c r="D7" s="353"/>
      <c r="E7" s="354"/>
      <c r="F7" s="352" t="s">
        <v>261</v>
      </c>
      <c r="G7" s="353"/>
      <c r="H7" s="353"/>
      <c r="I7" s="354"/>
      <c r="L7" s="82" t="s">
        <v>147</v>
      </c>
      <c r="O7" s="358" t="s">
        <v>149</v>
      </c>
      <c r="P7" s="358"/>
      <c r="Q7" s="358"/>
    </row>
    <row r="8" spans="1:13" ht="18" customHeight="1">
      <c r="A8" s="347"/>
      <c r="B8" s="328" t="s">
        <v>242</v>
      </c>
      <c r="C8" s="320" t="s">
        <v>244</v>
      </c>
      <c r="D8" s="320" t="s">
        <v>243</v>
      </c>
      <c r="E8" s="161" t="s">
        <v>0</v>
      </c>
      <c r="F8" s="328" t="s">
        <v>242</v>
      </c>
      <c r="G8" s="320" t="s">
        <v>244</v>
      </c>
      <c r="H8" s="320" t="s">
        <v>243</v>
      </c>
      <c r="I8" s="161" t="s">
        <v>0</v>
      </c>
      <c r="K8" s="337" t="s">
        <v>187</v>
      </c>
      <c r="L8" s="337"/>
      <c r="M8" s="337"/>
    </row>
    <row r="9" spans="1:17" ht="18" customHeight="1" thickBot="1">
      <c r="A9" s="348"/>
      <c r="B9" s="290"/>
      <c r="C9" s="292"/>
      <c r="D9" s="292"/>
      <c r="E9" s="89" t="s">
        <v>11</v>
      </c>
      <c r="F9" s="290"/>
      <c r="G9" s="292"/>
      <c r="H9" s="292"/>
      <c r="I9" s="89" t="s">
        <v>11</v>
      </c>
      <c r="O9" s="44" t="s">
        <v>12</v>
      </c>
      <c r="P9" s="44" t="s">
        <v>13</v>
      </c>
      <c r="Q9" s="44" t="s">
        <v>92</v>
      </c>
    </row>
    <row r="10" spans="1:13" ht="17.25" customHeight="1">
      <c r="A10" s="98"/>
      <c r="B10" s="355" t="s">
        <v>75</v>
      </c>
      <c r="C10" s="356"/>
      <c r="D10" s="356"/>
      <c r="E10" s="357"/>
      <c r="F10" s="355" t="s">
        <v>76</v>
      </c>
      <c r="G10" s="356"/>
      <c r="H10" s="356"/>
      <c r="I10" s="357"/>
      <c r="K10" s="44" t="s">
        <v>12</v>
      </c>
      <c r="L10" s="44" t="s">
        <v>13</v>
      </c>
      <c r="M10" s="44" t="s">
        <v>21</v>
      </c>
    </row>
    <row r="11" spans="1:9" ht="16.5" customHeight="1" thickBot="1">
      <c r="A11" s="98"/>
      <c r="B11" s="141"/>
      <c r="C11" s="147"/>
      <c r="D11" s="147"/>
      <c r="E11" s="142"/>
      <c r="F11" s="141"/>
      <c r="G11" s="147"/>
      <c r="H11" s="147"/>
      <c r="I11" s="146"/>
    </row>
    <row r="12" spans="1:19" ht="16.5" customHeight="1">
      <c r="A12" s="95" t="s">
        <v>191</v>
      </c>
      <c r="B12" s="154"/>
      <c r="C12" s="156"/>
      <c r="D12" s="156">
        <v>32</v>
      </c>
      <c r="E12" s="155"/>
      <c r="F12" s="154"/>
      <c r="G12" s="156"/>
      <c r="H12" s="156"/>
      <c r="I12" s="155"/>
      <c r="K12" s="44">
        <f aca="true" t="shared" si="0" ref="K12:K40">SUM(B12+F12)</f>
        <v>0</v>
      </c>
      <c r="L12" s="44">
        <f aca="true" t="shared" si="1" ref="L12:L40">SUM(C12+G12)</f>
        <v>0</v>
      </c>
      <c r="M12" s="44">
        <f aca="true" t="shared" si="2" ref="M12:M40">SUM(D12+H12)</f>
        <v>32</v>
      </c>
      <c r="O12" s="44">
        <f>'Příjmy '!B11+'Příjmy '!H11+'Příjmy '!L11</f>
        <v>87268</v>
      </c>
      <c r="P12" s="44">
        <f>'Příjmy '!C11+'Příjmy '!I11+'Příjmy '!M11</f>
        <v>153864</v>
      </c>
      <c r="Q12" s="44">
        <f>'Příjmy '!D11+'Příjmy '!J11+'Příjmy '!N11</f>
        <v>147051</v>
      </c>
      <c r="R12" s="44">
        <v>136597078</v>
      </c>
      <c r="S12" s="44">
        <f>(R12/1000)-Q12</f>
        <v>-10453.921999999991</v>
      </c>
    </row>
    <row r="13" spans="1:19" ht="16.5" customHeight="1">
      <c r="A13" s="96" t="s">
        <v>192</v>
      </c>
      <c r="B13" s="143"/>
      <c r="C13" s="138"/>
      <c r="D13" s="138"/>
      <c r="E13" s="144"/>
      <c r="F13" s="143"/>
      <c r="G13" s="138"/>
      <c r="H13" s="138"/>
      <c r="I13" s="144"/>
      <c r="K13" s="44">
        <f t="shared" si="0"/>
        <v>0</v>
      </c>
      <c r="L13" s="44">
        <f t="shared" si="1"/>
        <v>0</v>
      </c>
      <c r="M13" s="44">
        <f t="shared" si="2"/>
        <v>0</v>
      </c>
      <c r="O13" s="44">
        <f>'Příjmy '!B12+'Příjmy '!H12+'Příjmy '!L12</f>
        <v>9671</v>
      </c>
      <c r="P13" s="44">
        <f>'Příjmy '!C12+'Příjmy '!I12+'Příjmy '!M12</f>
        <v>13260</v>
      </c>
      <c r="Q13" s="44">
        <f>'Příjmy '!D12+'Příjmy '!J12+'Příjmy '!N12</f>
        <v>13070</v>
      </c>
      <c r="R13" s="44">
        <v>14702981</v>
      </c>
      <c r="S13" s="44">
        <f aca="true" t="shared" si="3" ref="S13:S40">(R13/1000)-Q13</f>
        <v>1632.9809999999998</v>
      </c>
    </row>
    <row r="14" spans="1:19" ht="16.5" customHeight="1">
      <c r="A14" s="96" t="s">
        <v>193</v>
      </c>
      <c r="B14" s="143"/>
      <c r="C14" s="138">
        <v>31</v>
      </c>
      <c r="D14" s="138">
        <v>31</v>
      </c>
      <c r="E14" s="144">
        <f>D14/C14*100</f>
        <v>100</v>
      </c>
      <c r="F14" s="143"/>
      <c r="G14" s="138"/>
      <c r="H14" s="138"/>
      <c r="I14" s="144"/>
      <c r="K14" s="44">
        <f t="shared" si="0"/>
        <v>0</v>
      </c>
      <c r="L14" s="44">
        <f t="shared" si="1"/>
        <v>31</v>
      </c>
      <c r="M14" s="44">
        <f t="shared" si="2"/>
        <v>31</v>
      </c>
      <c r="O14" s="44">
        <f>'Příjmy '!B13+'Příjmy '!H13+'Příjmy '!L13</f>
        <v>13226</v>
      </c>
      <c r="P14" s="44">
        <f>'Příjmy '!C13+'Příjmy '!I13+'Příjmy '!M13</f>
        <v>17218</v>
      </c>
      <c r="Q14" s="44">
        <f>'Příjmy '!D13+'Příjmy '!J13+'Příjmy '!N13</f>
        <v>17284</v>
      </c>
      <c r="R14" s="44">
        <v>17330772</v>
      </c>
      <c r="S14" s="44">
        <f t="shared" si="3"/>
        <v>46.772000000000844</v>
      </c>
    </row>
    <row r="15" spans="1:19" ht="16.5" customHeight="1">
      <c r="A15" s="96" t="s">
        <v>194</v>
      </c>
      <c r="B15" s="143"/>
      <c r="C15" s="138"/>
      <c r="D15" s="138"/>
      <c r="E15" s="144"/>
      <c r="F15" s="143"/>
      <c r="G15" s="138"/>
      <c r="H15" s="138"/>
      <c r="I15" s="144"/>
      <c r="K15" s="44">
        <f t="shared" si="0"/>
        <v>0</v>
      </c>
      <c r="L15" s="44">
        <f t="shared" si="1"/>
        <v>0</v>
      </c>
      <c r="M15" s="44">
        <f t="shared" si="2"/>
        <v>0</v>
      </c>
      <c r="O15" s="44">
        <f>'Příjmy '!B14+'Příjmy '!H14+'Příjmy '!L14</f>
        <v>2399</v>
      </c>
      <c r="P15" s="44">
        <f>'Příjmy '!C14+'Příjmy '!I14+'Příjmy '!M14</f>
        <v>10450</v>
      </c>
      <c r="Q15" s="44">
        <f>'Příjmy '!D14+'Příjmy '!J14+'Příjmy '!N14</f>
        <v>11071</v>
      </c>
      <c r="R15" s="44">
        <v>8681708</v>
      </c>
      <c r="S15" s="44">
        <f t="shared" si="3"/>
        <v>-2389.2919999999995</v>
      </c>
    </row>
    <row r="16" spans="1:19" ht="16.5" customHeight="1">
      <c r="A16" s="96" t="s">
        <v>195</v>
      </c>
      <c r="B16" s="143"/>
      <c r="C16" s="138"/>
      <c r="D16" s="138"/>
      <c r="E16" s="144"/>
      <c r="F16" s="143"/>
      <c r="G16" s="138"/>
      <c r="H16" s="138"/>
      <c r="I16" s="144"/>
      <c r="K16" s="44">
        <f t="shared" si="0"/>
        <v>0</v>
      </c>
      <c r="L16" s="44">
        <f t="shared" si="1"/>
        <v>0</v>
      </c>
      <c r="M16" s="44">
        <f t="shared" si="2"/>
        <v>0</v>
      </c>
      <c r="O16" s="44">
        <f>'Příjmy '!B15+'Příjmy '!H15+'Příjmy '!L15</f>
        <v>7023</v>
      </c>
      <c r="P16" s="44">
        <f>'Příjmy '!C15+'Příjmy '!I15+'Příjmy '!M15</f>
        <v>15627</v>
      </c>
      <c r="Q16" s="44">
        <f>'Příjmy '!D15+'Příjmy '!J15+'Příjmy '!N15</f>
        <v>15796</v>
      </c>
      <c r="R16" s="44">
        <v>10822968</v>
      </c>
      <c r="S16" s="44">
        <f t="shared" si="3"/>
        <v>-4973.031999999999</v>
      </c>
    </row>
    <row r="17" spans="1:19" ht="16.5" customHeight="1">
      <c r="A17" s="96" t="s">
        <v>196</v>
      </c>
      <c r="B17" s="143"/>
      <c r="C17" s="138"/>
      <c r="D17" s="138"/>
      <c r="E17" s="144"/>
      <c r="F17" s="143"/>
      <c r="G17" s="138"/>
      <c r="H17" s="138"/>
      <c r="I17" s="144"/>
      <c r="K17" s="44">
        <f t="shared" si="0"/>
        <v>0</v>
      </c>
      <c r="L17" s="44">
        <f t="shared" si="1"/>
        <v>0</v>
      </c>
      <c r="M17" s="44">
        <f t="shared" si="2"/>
        <v>0</v>
      </c>
      <c r="O17" s="44">
        <f>'Příjmy '!B16+'Příjmy '!H16+'Příjmy '!L16</f>
        <v>4028</v>
      </c>
      <c r="P17" s="44">
        <f>'Příjmy '!C16+'Příjmy '!I16+'Příjmy '!M16</f>
        <v>5204</v>
      </c>
      <c r="Q17" s="44">
        <f>'Příjmy '!D16+'Příjmy '!J16+'Příjmy '!N16</f>
        <v>5240</v>
      </c>
      <c r="R17" s="44">
        <v>4218021</v>
      </c>
      <c r="S17" s="44">
        <f t="shared" si="3"/>
        <v>-1021.9790000000003</v>
      </c>
    </row>
    <row r="18" spans="1:19" ht="16.5" customHeight="1">
      <c r="A18" s="96" t="s">
        <v>197</v>
      </c>
      <c r="B18" s="143"/>
      <c r="C18" s="138"/>
      <c r="D18" s="138"/>
      <c r="E18" s="144"/>
      <c r="F18" s="143"/>
      <c r="G18" s="138"/>
      <c r="H18" s="138"/>
      <c r="I18" s="144"/>
      <c r="K18" s="44">
        <f t="shared" si="0"/>
        <v>0</v>
      </c>
      <c r="L18" s="44">
        <f t="shared" si="1"/>
        <v>0</v>
      </c>
      <c r="M18" s="44">
        <f t="shared" si="2"/>
        <v>0</v>
      </c>
      <c r="O18" s="44">
        <f>'Příjmy '!B17+'Příjmy '!H17+'Příjmy '!L17</f>
        <v>26275</v>
      </c>
      <c r="P18" s="44">
        <f>'Příjmy '!C17+'Příjmy '!I17+'Příjmy '!M17</f>
        <v>31852</v>
      </c>
      <c r="Q18" s="44">
        <f>'Příjmy '!D17+'Příjmy '!J17+'Příjmy '!N17</f>
        <v>31114</v>
      </c>
      <c r="R18" s="44">
        <v>22513258</v>
      </c>
      <c r="S18" s="44">
        <f t="shared" si="3"/>
        <v>-8600.741999999998</v>
      </c>
    </row>
    <row r="19" spans="1:19" ht="16.5" customHeight="1">
      <c r="A19" s="96" t="s">
        <v>198</v>
      </c>
      <c r="B19" s="143"/>
      <c r="C19" s="138"/>
      <c r="D19" s="138"/>
      <c r="E19" s="144"/>
      <c r="F19" s="143"/>
      <c r="G19" s="138"/>
      <c r="H19" s="138"/>
      <c r="I19" s="144"/>
      <c r="K19" s="44">
        <f t="shared" si="0"/>
        <v>0</v>
      </c>
      <c r="L19" s="44">
        <f t="shared" si="1"/>
        <v>0</v>
      </c>
      <c r="M19" s="44">
        <f t="shared" si="2"/>
        <v>0</v>
      </c>
      <c r="O19" s="44">
        <f>'Příjmy '!B18+'Příjmy '!H18+'Příjmy '!L18</f>
        <v>14832</v>
      </c>
      <c r="P19" s="44">
        <f>'Příjmy '!C18+'Příjmy '!I18+'Příjmy '!M18</f>
        <v>37963</v>
      </c>
      <c r="Q19" s="44">
        <f>'Příjmy '!D18+'Příjmy '!J18+'Příjmy '!N18</f>
        <v>38640</v>
      </c>
      <c r="R19" s="44">
        <v>35131312</v>
      </c>
      <c r="S19" s="44">
        <f t="shared" si="3"/>
        <v>-3508.688000000002</v>
      </c>
    </row>
    <row r="20" spans="1:19" ht="16.5" customHeight="1">
      <c r="A20" s="96" t="s">
        <v>199</v>
      </c>
      <c r="B20" s="143"/>
      <c r="C20" s="138"/>
      <c r="D20" s="138"/>
      <c r="E20" s="144"/>
      <c r="F20" s="143"/>
      <c r="G20" s="138"/>
      <c r="H20" s="138"/>
      <c r="I20" s="144"/>
      <c r="K20" s="44">
        <f t="shared" si="0"/>
        <v>0</v>
      </c>
      <c r="L20" s="44">
        <f t="shared" si="1"/>
        <v>0</v>
      </c>
      <c r="M20" s="44">
        <f t="shared" si="2"/>
        <v>0</v>
      </c>
      <c r="O20" s="44">
        <f>'Příjmy '!B19+'Příjmy '!H19+'Příjmy '!L19</f>
        <v>400</v>
      </c>
      <c r="P20" s="44">
        <f>'Příjmy '!C19+'Příjmy '!I19+'Příjmy '!M19</f>
        <v>1052</v>
      </c>
      <c r="Q20" s="44">
        <f>'Příjmy '!D19+'Příjmy '!J19+'Příjmy '!N19</f>
        <v>934</v>
      </c>
      <c r="R20" s="44">
        <v>808187</v>
      </c>
      <c r="S20" s="44">
        <f t="shared" si="3"/>
        <v>-125.81299999999999</v>
      </c>
    </row>
    <row r="21" spans="1:19" ht="16.5" customHeight="1">
      <c r="A21" s="96" t="s">
        <v>200</v>
      </c>
      <c r="B21" s="143"/>
      <c r="C21" s="138"/>
      <c r="D21" s="138"/>
      <c r="E21" s="144"/>
      <c r="F21" s="143"/>
      <c r="G21" s="138"/>
      <c r="H21" s="138"/>
      <c r="I21" s="144"/>
      <c r="K21" s="44">
        <f t="shared" si="0"/>
        <v>0</v>
      </c>
      <c r="L21" s="44">
        <f t="shared" si="1"/>
        <v>0</v>
      </c>
      <c r="M21" s="44">
        <f t="shared" si="2"/>
        <v>0</v>
      </c>
      <c r="O21" s="44">
        <f>'Příjmy '!B20+'Příjmy '!H20+'Příjmy '!L20</f>
        <v>2642</v>
      </c>
      <c r="P21" s="44">
        <f>'Příjmy '!C20+'Příjmy '!I20+'Příjmy '!M20</f>
        <v>5505</v>
      </c>
      <c r="Q21" s="44">
        <f>'Příjmy '!D20+'Příjmy '!J20+'Příjmy '!N20</f>
        <v>5267</v>
      </c>
      <c r="R21" s="44">
        <v>5231534</v>
      </c>
      <c r="S21" s="44">
        <f t="shared" si="3"/>
        <v>-35.46600000000035</v>
      </c>
    </row>
    <row r="22" spans="1:19" ht="16.5" customHeight="1">
      <c r="A22" s="96" t="s">
        <v>201</v>
      </c>
      <c r="B22" s="143"/>
      <c r="C22" s="138"/>
      <c r="D22" s="138"/>
      <c r="E22" s="144"/>
      <c r="F22" s="143"/>
      <c r="G22" s="138">
        <v>47</v>
      </c>
      <c r="H22" s="138">
        <v>47</v>
      </c>
      <c r="I22" s="144">
        <f>H22/G22*100</f>
        <v>100</v>
      </c>
      <c r="K22" s="44">
        <f t="shared" si="0"/>
        <v>0</v>
      </c>
      <c r="L22" s="44">
        <f t="shared" si="1"/>
        <v>47</v>
      </c>
      <c r="M22" s="44">
        <f t="shared" si="2"/>
        <v>47</v>
      </c>
      <c r="O22" s="44">
        <f>'Příjmy '!B21+'Příjmy '!H21+'Příjmy '!L21</f>
        <v>3328</v>
      </c>
      <c r="P22" s="44">
        <f>'Příjmy '!C21+'Příjmy '!I21+'Příjmy '!M21</f>
        <v>4507</v>
      </c>
      <c r="Q22" s="44">
        <f>'Příjmy '!D21+'Příjmy '!J21+'Příjmy '!N21</f>
        <v>4172</v>
      </c>
      <c r="R22" s="44">
        <v>5725258</v>
      </c>
      <c r="S22" s="44">
        <f t="shared" si="3"/>
        <v>1553.2579999999998</v>
      </c>
    </row>
    <row r="23" spans="1:19" ht="16.5" customHeight="1">
      <c r="A23" s="96" t="s">
        <v>202</v>
      </c>
      <c r="B23" s="143"/>
      <c r="C23" s="138">
        <v>226</v>
      </c>
      <c r="D23" s="138">
        <v>226</v>
      </c>
      <c r="E23" s="144">
        <f>D23/C23*100</f>
        <v>100</v>
      </c>
      <c r="F23" s="143"/>
      <c r="G23" s="138"/>
      <c r="H23" s="138"/>
      <c r="I23" s="144"/>
      <c r="K23" s="44">
        <f t="shared" si="0"/>
        <v>0</v>
      </c>
      <c r="L23" s="44">
        <f t="shared" si="1"/>
        <v>226</v>
      </c>
      <c r="M23" s="44">
        <f t="shared" si="2"/>
        <v>226</v>
      </c>
      <c r="O23" s="44">
        <f>'Příjmy '!B22+'Příjmy '!H22+'Příjmy '!L22</f>
        <v>984</v>
      </c>
      <c r="P23" s="44">
        <f>'Příjmy '!C22+'Příjmy '!I22+'Příjmy '!M22</f>
        <v>4116</v>
      </c>
      <c r="Q23" s="44">
        <f>'Příjmy '!D22+'Příjmy '!J22+'Příjmy '!N22</f>
        <v>3926</v>
      </c>
      <c r="R23" s="44">
        <v>2225522</v>
      </c>
      <c r="S23" s="44">
        <f t="shared" si="3"/>
        <v>-1700.478</v>
      </c>
    </row>
    <row r="24" spans="1:19" ht="16.5" customHeight="1">
      <c r="A24" s="96" t="s">
        <v>203</v>
      </c>
      <c r="B24" s="143"/>
      <c r="C24" s="138">
        <v>24</v>
      </c>
      <c r="D24" s="138">
        <v>24</v>
      </c>
      <c r="E24" s="144">
        <f>D24/C24*100</f>
        <v>100</v>
      </c>
      <c r="F24" s="143"/>
      <c r="G24" s="138"/>
      <c r="H24" s="138"/>
      <c r="I24" s="144"/>
      <c r="K24" s="44">
        <f t="shared" si="0"/>
        <v>0</v>
      </c>
      <c r="L24" s="44">
        <f t="shared" si="1"/>
        <v>24</v>
      </c>
      <c r="M24" s="44">
        <f t="shared" si="2"/>
        <v>24</v>
      </c>
      <c r="O24" s="44">
        <f>'Příjmy '!B23+'Příjmy '!H23+'Příjmy '!L23</f>
        <v>24907</v>
      </c>
      <c r="P24" s="44">
        <f>'Příjmy '!C23+'Příjmy '!I23+'Příjmy '!M23</f>
        <v>58248</v>
      </c>
      <c r="Q24" s="44">
        <f>'Příjmy '!D23+'Příjmy '!J23+'Příjmy '!N23</f>
        <v>59114</v>
      </c>
      <c r="R24" s="44">
        <v>31613514</v>
      </c>
      <c r="S24" s="44">
        <f t="shared" si="3"/>
        <v>-27500.486</v>
      </c>
    </row>
    <row r="25" spans="1:19" ht="16.5" customHeight="1">
      <c r="A25" s="96" t="s">
        <v>204</v>
      </c>
      <c r="B25" s="143"/>
      <c r="C25" s="138"/>
      <c r="D25" s="138"/>
      <c r="E25" s="144"/>
      <c r="F25" s="143"/>
      <c r="G25" s="138"/>
      <c r="H25" s="138"/>
      <c r="I25" s="144"/>
      <c r="K25" s="44">
        <f t="shared" si="0"/>
        <v>0</v>
      </c>
      <c r="L25" s="44">
        <f t="shared" si="1"/>
        <v>0</v>
      </c>
      <c r="M25" s="44">
        <f t="shared" si="2"/>
        <v>0</v>
      </c>
      <c r="O25" s="44">
        <f>'Příjmy '!B24+'Příjmy '!H24+'Příjmy '!L24</f>
        <v>1477</v>
      </c>
      <c r="P25" s="44">
        <f>'Příjmy '!C24+'Příjmy '!I24+'Příjmy '!M24</f>
        <v>2782</v>
      </c>
      <c r="Q25" s="44">
        <f>'Příjmy '!D24+'Příjmy '!J24+'Příjmy '!N24</f>
        <v>2778</v>
      </c>
      <c r="R25" s="44">
        <v>2525950</v>
      </c>
      <c r="S25" s="44">
        <f t="shared" si="3"/>
        <v>-252.05000000000018</v>
      </c>
    </row>
    <row r="26" spans="1:19" ht="16.5" customHeight="1">
      <c r="A26" s="96" t="s">
        <v>205</v>
      </c>
      <c r="B26" s="143">
        <v>55</v>
      </c>
      <c r="C26" s="138">
        <v>40</v>
      </c>
      <c r="D26" s="138"/>
      <c r="E26" s="144">
        <f>D26/C26*100</f>
        <v>0</v>
      </c>
      <c r="F26" s="143"/>
      <c r="G26" s="138"/>
      <c r="H26" s="138"/>
      <c r="I26" s="144"/>
      <c r="K26" s="44">
        <f t="shared" si="0"/>
        <v>55</v>
      </c>
      <c r="L26" s="44">
        <f t="shared" si="1"/>
        <v>40</v>
      </c>
      <c r="M26" s="44">
        <f t="shared" si="2"/>
        <v>0</v>
      </c>
      <c r="O26" s="44">
        <f>'Příjmy '!B25+'Příjmy '!H25+'Příjmy '!L25</f>
        <v>25168</v>
      </c>
      <c r="P26" s="44">
        <f>'Příjmy '!C25+'Příjmy '!I25+'Příjmy '!M25</f>
        <v>30944</v>
      </c>
      <c r="Q26" s="44">
        <f>'Příjmy '!D25+'Příjmy '!J25+'Příjmy '!N25</f>
        <v>31516</v>
      </c>
      <c r="R26" s="44">
        <v>29404151</v>
      </c>
      <c r="S26" s="44">
        <f t="shared" si="3"/>
        <v>-2111.8489999999983</v>
      </c>
    </row>
    <row r="27" spans="1:19" ht="16.5" customHeight="1">
      <c r="A27" s="96" t="s">
        <v>206</v>
      </c>
      <c r="B27" s="143"/>
      <c r="C27" s="138">
        <v>16</v>
      </c>
      <c r="D27" s="138">
        <v>16</v>
      </c>
      <c r="E27" s="144">
        <f>D27/C27*100</f>
        <v>100</v>
      </c>
      <c r="F27" s="143"/>
      <c r="G27" s="138"/>
      <c r="H27" s="138"/>
      <c r="I27" s="144"/>
      <c r="K27" s="44">
        <f t="shared" si="0"/>
        <v>0</v>
      </c>
      <c r="L27" s="44">
        <f t="shared" si="1"/>
        <v>16</v>
      </c>
      <c r="M27" s="44">
        <f t="shared" si="2"/>
        <v>16</v>
      </c>
      <c r="O27" s="44">
        <f>'Příjmy '!B26+'Příjmy '!H26+'Příjmy '!L26</f>
        <v>7516</v>
      </c>
      <c r="P27" s="44">
        <f>'Příjmy '!C26+'Příjmy '!I26+'Příjmy '!M26</f>
        <v>17094</v>
      </c>
      <c r="Q27" s="44">
        <f>'Příjmy '!D26+'Příjmy '!J26+'Příjmy '!N26</f>
        <v>16556</v>
      </c>
      <c r="R27" s="44">
        <v>17273660</v>
      </c>
      <c r="S27" s="44">
        <f t="shared" si="3"/>
        <v>717.6599999999999</v>
      </c>
    </row>
    <row r="28" spans="1:19" ht="16.5" customHeight="1">
      <c r="A28" s="96" t="s">
        <v>207</v>
      </c>
      <c r="B28" s="143"/>
      <c r="C28" s="138"/>
      <c r="D28" s="138">
        <v>1</v>
      </c>
      <c r="E28" s="144"/>
      <c r="F28" s="143"/>
      <c r="G28" s="138">
        <v>150</v>
      </c>
      <c r="H28" s="138">
        <v>150</v>
      </c>
      <c r="I28" s="144">
        <f>H28/G28*100</f>
        <v>100</v>
      </c>
      <c r="K28" s="44">
        <f t="shared" si="0"/>
        <v>0</v>
      </c>
      <c r="L28" s="44">
        <f t="shared" si="1"/>
        <v>150</v>
      </c>
      <c r="M28" s="44">
        <f t="shared" si="2"/>
        <v>151</v>
      </c>
      <c r="O28" s="44">
        <f>'Příjmy '!B27+'Příjmy '!H27+'Příjmy '!L27</f>
        <v>11670</v>
      </c>
      <c r="P28" s="44">
        <f>'Příjmy '!C27+'Příjmy '!I27+'Příjmy '!M27</f>
        <v>21336</v>
      </c>
      <c r="Q28" s="44">
        <f>'Příjmy '!D27+'Příjmy '!J27+'Příjmy '!N27</f>
        <v>21958</v>
      </c>
      <c r="R28" s="44">
        <v>19064233</v>
      </c>
      <c r="S28" s="44">
        <f t="shared" si="3"/>
        <v>-2893.767</v>
      </c>
    </row>
    <row r="29" spans="1:19" ht="16.5" customHeight="1">
      <c r="A29" s="96" t="s">
        <v>208</v>
      </c>
      <c r="B29" s="143">
        <v>40</v>
      </c>
      <c r="C29" s="138">
        <v>65</v>
      </c>
      <c r="D29" s="138">
        <v>65</v>
      </c>
      <c r="E29" s="144">
        <f>D29/C29*100</f>
        <v>100</v>
      </c>
      <c r="F29" s="143"/>
      <c r="G29" s="138">
        <v>100</v>
      </c>
      <c r="H29" s="138">
        <v>100</v>
      </c>
      <c r="I29" s="144">
        <f>H29/G29*100</f>
        <v>100</v>
      </c>
      <c r="K29" s="44">
        <f t="shared" si="0"/>
        <v>40</v>
      </c>
      <c r="L29" s="44">
        <f t="shared" si="1"/>
        <v>165</v>
      </c>
      <c r="M29" s="44">
        <f t="shared" si="2"/>
        <v>165</v>
      </c>
      <c r="O29" s="44">
        <f>'Příjmy '!B28+'Příjmy '!H28+'Příjmy '!L28</f>
        <v>9910</v>
      </c>
      <c r="P29" s="44">
        <f>'Příjmy '!C28+'Příjmy '!I28+'Příjmy '!M28</f>
        <v>19834</v>
      </c>
      <c r="Q29" s="44">
        <f>'Příjmy '!D28+'Příjmy '!J28+'Příjmy '!N28</f>
        <v>20109</v>
      </c>
      <c r="R29" s="44">
        <v>25410425</v>
      </c>
      <c r="S29" s="44">
        <f t="shared" si="3"/>
        <v>5301.424999999999</v>
      </c>
    </row>
    <row r="30" spans="1:19" ht="16.5" customHeight="1">
      <c r="A30" s="96" t="s">
        <v>209</v>
      </c>
      <c r="B30" s="143"/>
      <c r="C30" s="138"/>
      <c r="D30" s="138"/>
      <c r="E30" s="144"/>
      <c r="F30" s="143"/>
      <c r="G30" s="138"/>
      <c r="H30" s="138"/>
      <c r="I30" s="144"/>
      <c r="K30" s="44">
        <f t="shared" si="0"/>
        <v>0</v>
      </c>
      <c r="L30" s="44">
        <f t="shared" si="1"/>
        <v>0</v>
      </c>
      <c r="M30" s="44">
        <f t="shared" si="2"/>
        <v>0</v>
      </c>
      <c r="O30" s="44">
        <f>'Příjmy '!B29+'Příjmy '!H29+'Příjmy '!L29</f>
        <v>21099</v>
      </c>
      <c r="P30" s="44">
        <f>'Příjmy '!C29+'Příjmy '!I29+'Příjmy '!M29</f>
        <v>35951</v>
      </c>
      <c r="Q30" s="44">
        <f>'Příjmy '!D29+'Příjmy '!J29+'Příjmy '!N29</f>
        <v>37713</v>
      </c>
      <c r="R30" s="44">
        <v>36104781</v>
      </c>
      <c r="S30" s="44">
        <f t="shared" si="3"/>
        <v>-1608.2189999999973</v>
      </c>
    </row>
    <row r="31" spans="1:19" ht="16.5" customHeight="1">
      <c r="A31" s="96" t="s">
        <v>210</v>
      </c>
      <c r="B31" s="143">
        <v>40</v>
      </c>
      <c r="C31" s="138"/>
      <c r="D31" s="138"/>
      <c r="E31" s="144"/>
      <c r="F31" s="143"/>
      <c r="G31" s="138"/>
      <c r="H31" s="138"/>
      <c r="I31" s="144"/>
      <c r="K31" s="44">
        <f t="shared" si="0"/>
        <v>40</v>
      </c>
      <c r="L31" s="44">
        <f t="shared" si="1"/>
        <v>0</v>
      </c>
      <c r="M31" s="44">
        <f t="shared" si="2"/>
        <v>0</v>
      </c>
      <c r="O31" s="44">
        <f>'Příjmy '!B30+'Příjmy '!H30+'Příjmy '!L30</f>
        <v>8167</v>
      </c>
      <c r="P31" s="44">
        <f>'Příjmy '!C30+'Příjmy '!I30+'Příjmy '!M30</f>
        <v>10871</v>
      </c>
      <c r="Q31" s="44">
        <f>'Příjmy '!D30+'Příjmy '!J30+'Příjmy '!N30</f>
        <v>10713</v>
      </c>
      <c r="R31" s="44">
        <v>11431324</v>
      </c>
      <c r="S31" s="44">
        <f t="shared" si="3"/>
        <v>718.3240000000005</v>
      </c>
    </row>
    <row r="32" spans="1:19" ht="16.5" customHeight="1">
      <c r="A32" s="96" t="s">
        <v>211</v>
      </c>
      <c r="B32" s="143"/>
      <c r="C32" s="138"/>
      <c r="D32" s="138"/>
      <c r="E32" s="144"/>
      <c r="F32" s="143"/>
      <c r="G32" s="138"/>
      <c r="H32" s="138"/>
      <c r="I32" s="144"/>
      <c r="K32" s="44">
        <f t="shared" si="0"/>
        <v>0</v>
      </c>
      <c r="L32" s="44">
        <f t="shared" si="1"/>
        <v>0</v>
      </c>
      <c r="M32" s="44">
        <f t="shared" si="2"/>
        <v>0</v>
      </c>
      <c r="O32" s="44">
        <f>'Příjmy '!B31+'Příjmy '!H31+'Příjmy '!L31</f>
        <v>3540</v>
      </c>
      <c r="P32" s="44">
        <f>'Příjmy '!C31+'Příjmy '!I31+'Příjmy '!M31</f>
        <v>5606</v>
      </c>
      <c r="Q32" s="44">
        <f>'Příjmy '!D31+'Příjmy '!J31+'Příjmy '!N31</f>
        <v>5559</v>
      </c>
      <c r="R32" s="44">
        <v>5164500</v>
      </c>
      <c r="S32" s="44">
        <f t="shared" si="3"/>
        <v>-394.5</v>
      </c>
    </row>
    <row r="33" spans="1:19" ht="16.5" customHeight="1">
      <c r="A33" s="96" t="s">
        <v>212</v>
      </c>
      <c r="B33" s="143"/>
      <c r="C33" s="138"/>
      <c r="D33" s="138"/>
      <c r="E33" s="144"/>
      <c r="F33" s="143"/>
      <c r="G33" s="138"/>
      <c r="H33" s="138"/>
      <c r="I33" s="144"/>
      <c r="K33" s="44">
        <f t="shared" si="0"/>
        <v>0</v>
      </c>
      <c r="L33" s="44">
        <f t="shared" si="1"/>
        <v>0</v>
      </c>
      <c r="M33" s="44">
        <f t="shared" si="2"/>
        <v>0</v>
      </c>
      <c r="O33" s="44">
        <f>'Příjmy '!B32+'Příjmy '!H32+'Příjmy '!L32</f>
        <v>1294</v>
      </c>
      <c r="P33" s="44">
        <f>'Příjmy '!C32+'Příjmy '!I32+'Příjmy '!M32</f>
        <v>2850</v>
      </c>
      <c r="Q33" s="44">
        <f>'Příjmy '!D32+'Příjmy '!J32+'Příjmy '!N32</f>
        <v>2593</v>
      </c>
      <c r="R33" s="44">
        <v>2754345</v>
      </c>
      <c r="S33" s="44">
        <f t="shared" si="3"/>
        <v>161.3449999999998</v>
      </c>
    </row>
    <row r="34" spans="1:19" ht="16.5" customHeight="1">
      <c r="A34" s="96" t="s">
        <v>213</v>
      </c>
      <c r="B34" s="143">
        <v>100</v>
      </c>
      <c r="C34" s="138">
        <v>110</v>
      </c>
      <c r="D34" s="138">
        <v>110</v>
      </c>
      <c r="E34" s="144">
        <f>D34/C34*100</f>
        <v>100</v>
      </c>
      <c r="F34" s="143"/>
      <c r="G34" s="138"/>
      <c r="H34" s="138"/>
      <c r="I34" s="144"/>
      <c r="K34" s="44">
        <f t="shared" si="0"/>
        <v>100</v>
      </c>
      <c r="L34" s="44">
        <f t="shared" si="1"/>
        <v>110</v>
      </c>
      <c r="M34" s="44">
        <f t="shared" si="2"/>
        <v>110</v>
      </c>
      <c r="O34" s="44">
        <f>'Příjmy '!B33+'Příjmy '!H33+'Příjmy '!L33</f>
        <v>42745</v>
      </c>
      <c r="P34" s="44">
        <f>'Příjmy '!C33+'Příjmy '!I33+'Příjmy '!M33</f>
        <v>91379</v>
      </c>
      <c r="Q34" s="44">
        <f>'Příjmy '!D33+'Příjmy '!J33+'Příjmy '!N33</f>
        <v>91896</v>
      </c>
      <c r="R34" s="44">
        <v>64095880</v>
      </c>
      <c r="S34" s="44">
        <f t="shared" si="3"/>
        <v>-27800.120000000003</v>
      </c>
    </row>
    <row r="35" spans="1:19" ht="16.5" customHeight="1">
      <c r="A35" s="96" t="s">
        <v>214</v>
      </c>
      <c r="B35" s="143"/>
      <c r="C35" s="138"/>
      <c r="D35" s="138"/>
      <c r="E35" s="144"/>
      <c r="F35" s="143"/>
      <c r="G35" s="138"/>
      <c r="H35" s="138"/>
      <c r="I35" s="144"/>
      <c r="K35" s="44">
        <f t="shared" si="0"/>
        <v>0</v>
      </c>
      <c r="L35" s="44">
        <f t="shared" si="1"/>
        <v>0</v>
      </c>
      <c r="M35" s="44">
        <f t="shared" si="2"/>
        <v>0</v>
      </c>
      <c r="O35" s="44">
        <f>'Příjmy '!B34+'Příjmy '!H34+'Příjmy '!L34</f>
        <v>3446</v>
      </c>
      <c r="P35" s="44">
        <f>'Příjmy '!C34+'Příjmy '!I34+'Příjmy '!M34</f>
        <v>4923</v>
      </c>
      <c r="Q35" s="44">
        <f>'Příjmy '!D34+'Příjmy '!J34+'Příjmy '!N34</f>
        <v>4244</v>
      </c>
      <c r="R35" s="44">
        <v>4014889</v>
      </c>
      <c r="S35" s="44">
        <f t="shared" si="3"/>
        <v>-229.11099999999988</v>
      </c>
    </row>
    <row r="36" spans="1:19" ht="16.5" customHeight="1">
      <c r="A36" s="96" t="s">
        <v>215</v>
      </c>
      <c r="B36" s="143"/>
      <c r="C36" s="138"/>
      <c r="D36" s="138"/>
      <c r="E36" s="144"/>
      <c r="F36" s="143">
        <v>5</v>
      </c>
      <c r="G36" s="138">
        <v>5</v>
      </c>
      <c r="H36" s="138">
        <v>15</v>
      </c>
      <c r="I36" s="144">
        <f>H36/G36*100</f>
        <v>300</v>
      </c>
      <c r="K36" s="44">
        <f t="shared" si="0"/>
        <v>5</v>
      </c>
      <c r="L36" s="44">
        <f t="shared" si="1"/>
        <v>5</v>
      </c>
      <c r="M36" s="44">
        <f t="shared" si="2"/>
        <v>15</v>
      </c>
      <c r="O36" s="44">
        <f>'Příjmy '!B35+'Příjmy '!H35+'Příjmy '!L35</f>
        <v>11271</v>
      </c>
      <c r="P36" s="44">
        <f>'Příjmy '!C35+'Příjmy '!I35+'Příjmy '!M35</f>
        <v>15178</v>
      </c>
      <c r="Q36" s="44">
        <f>'Příjmy '!D35+'Příjmy '!J35+'Příjmy '!N35</f>
        <v>15587</v>
      </c>
      <c r="R36" s="44">
        <v>15736057</v>
      </c>
      <c r="S36" s="44">
        <f t="shared" si="3"/>
        <v>149.0570000000007</v>
      </c>
    </row>
    <row r="37" spans="1:19" ht="16.5" customHeight="1">
      <c r="A37" s="96" t="s">
        <v>216</v>
      </c>
      <c r="B37" s="143"/>
      <c r="C37" s="138"/>
      <c r="D37" s="138"/>
      <c r="E37" s="144"/>
      <c r="F37" s="143"/>
      <c r="G37" s="138"/>
      <c r="H37" s="138"/>
      <c r="I37" s="144"/>
      <c r="K37" s="44">
        <f t="shared" si="0"/>
        <v>0</v>
      </c>
      <c r="L37" s="44">
        <f t="shared" si="1"/>
        <v>0</v>
      </c>
      <c r="M37" s="44">
        <f t="shared" si="2"/>
        <v>0</v>
      </c>
      <c r="O37" s="44">
        <f>'Příjmy '!B36+'Příjmy '!H36+'Příjmy '!L36</f>
        <v>597</v>
      </c>
      <c r="P37" s="44">
        <f>'Příjmy '!C36+'Příjmy '!I36+'Příjmy '!M36</f>
        <v>1010</v>
      </c>
      <c r="Q37" s="44">
        <f>'Příjmy '!D36+'Příjmy '!J36+'Příjmy '!N36</f>
        <v>953</v>
      </c>
      <c r="R37" s="44">
        <v>657156</v>
      </c>
      <c r="S37" s="44">
        <f t="shared" si="3"/>
        <v>-295.84400000000005</v>
      </c>
    </row>
    <row r="38" spans="1:19" ht="16.5" customHeight="1">
      <c r="A38" s="96" t="s">
        <v>217</v>
      </c>
      <c r="B38" s="143"/>
      <c r="C38" s="138"/>
      <c r="D38" s="138"/>
      <c r="E38" s="144"/>
      <c r="F38" s="143"/>
      <c r="G38" s="138">
        <v>100</v>
      </c>
      <c r="H38" s="138">
        <v>100</v>
      </c>
      <c r="I38" s="144">
        <f>H38/G38*100</f>
        <v>100</v>
      </c>
      <c r="K38" s="44">
        <f t="shared" si="0"/>
        <v>0</v>
      </c>
      <c r="L38" s="44">
        <f t="shared" si="1"/>
        <v>100</v>
      </c>
      <c r="M38" s="44">
        <f t="shared" si="2"/>
        <v>100</v>
      </c>
      <c r="O38" s="44">
        <f>'Příjmy '!B37+'Příjmy '!H37+'Příjmy '!L37</f>
        <v>472</v>
      </c>
      <c r="P38" s="44">
        <f>'Příjmy '!C37+'Příjmy '!I37+'Příjmy '!M37</f>
        <v>1055</v>
      </c>
      <c r="Q38" s="44">
        <f>'Příjmy '!D37+'Příjmy '!J37+'Příjmy '!N37</f>
        <v>997</v>
      </c>
      <c r="R38" s="44">
        <v>632521</v>
      </c>
      <c r="S38" s="44">
        <f t="shared" si="3"/>
        <v>-364.47900000000004</v>
      </c>
    </row>
    <row r="39" spans="1:19" ht="16.5" customHeight="1">
      <c r="A39" s="96" t="s">
        <v>218</v>
      </c>
      <c r="B39" s="143"/>
      <c r="C39" s="138"/>
      <c r="D39" s="138"/>
      <c r="E39" s="144"/>
      <c r="F39" s="143"/>
      <c r="G39" s="138"/>
      <c r="H39" s="138"/>
      <c r="I39" s="144"/>
      <c r="K39" s="44">
        <f t="shared" si="0"/>
        <v>0</v>
      </c>
      <c r="L39" s="44">
        <f t="shared" si="1"/>
        <v>0</v>
      </c>
      <c r="M39" s="44">
        <f t="shared" si="2"/>
        <v>0</v>
      </c>
      <c r="O39" s="44">
        <f>'Příjmy '!B38+'Příjmy '!H38+'Příjmy '!L38</f>
        <v>68</v>
      </c>
      <c r="P39" s="44">
        <f>'Příjmy '!C38+'Příjmy '!I38+'Příjmy '!M38</f>
        <v>252</v>
      </c>
      <c r="Q39" s="44">
        <f>'Příjmy '!D38+'Příjmy '!J38+'Příjmy '!N38</f>
        <v>251</v>
      </c>
      <c r="R39" s="44">
        <v>248420</v>
      </c>
      <c r="S39" s="44">
        <f t="shared" si="3"/>
        <v>-2.5800000000000125</v>
      </c>
    </row>
    <row r="40" spans="1:19" ht="16.5" customHeight="1" thickBot="1">
      <c r="A40" s="97" t="s">
        <v>219</v>
      </c>
      <c r="B40" s="157"/>
      <c r="C40" s="159"/>
      <c r="D40" s="159"/>
      <c r="E40" s="158"/>
      <c r="F40" s="157"/>
      <c r="G40" s="159"/>
      <c r="H40" s="159"/>
      <c r="I40" s="158"/>
      <c r="K40" s="44">
        <f t="shared" si="0"/>
        <v>0</v>
      </c>
      <c r="L40" s="44">
        <f t="shared" si="1"/>
        <v>0</v>
      </c>
      <c r="M40" s="44">
        <f t="shared" si="2"/>
        <v>0</v>
      </c>
      <c r="O40" s="44">
        <f>'Příjmy '!B39+'Příjmy '!H39+'Příjmy '!L39</f>
        <v>106</v>
      </c>
      <c r="P40" s="44">
        <f>'Příjmy '!C39+'Příjmy '!I39+'Příjmy '!M39</f>
        <v>282</v>
      </c>
      <c r="Q40" s="44">
        <f>'Příjmy '!D39+'Příjmy '!J39+'Příjmy '!N39</f>
        <v>282</v>
      </c>
      <c r="R40" s="44">
        <v>305399</v>
      </c>
      <c r="S40" s="44">
        <f t="shared" si="3"/>
        <v>23.399</v>
      </c>
    </row>
    <row r="41" spans="1:9" ht="15" customHeight="1" thickBot="1">
      <c r="A41" s="98"/>
      <c r="B41" s="145"/>
      <c r="C41" s="148"/>
      <c r="D41" s="148"/>
      <c r="E41" s="146"/>
      <c r="F41" s="145"/>
      <c r="G41" s="148"/>
      <c r="H41" s="148"/>
      <c r="I41" s="146"/>
    </row>
    <row r="42" spans="1:18" s="82" customFormat="1" ht="18" customHeight="1" thickBot="1">
      <c r="A42" s="99" t="s">
        <v>254</v>
      </c>
      <c r="B42" s="149">
        <f>SUM(B12:B40)</f>
        <v>235</v>
      </c>
      <c r="C42" s="151">
        <f>SUM(C11:C40)</f>
        <v>512</v>
      </c>
      <c r="D42" s="101">
        <f>SUM(D12:D40)</f>
        <v>505</v>
      </c>
      <c r="E42" s="150">
        <f>D42/C42*100</f>
        <v>98.6328125</v>
      </c>
      <c r="F42" s="149">
        <f>SUM(F11:F40)</f>
        <v>5</v>
      </c>
      <c r="G42" s="151">
        <f>SUM(G11:G40)</f>
        <v>402</v>
      </c>
      <c r="H42" s="151">
        <f>SUM(H11:H40)</f>
        <v>412</v>
      </c>
      <c r="I42" s="150">
        <f>H42/G42*100</f>
        <v>102.48756218905473</v>
      </c>
      <c r="K42" s="82">
        <f aca="true" t="shared" si="4" ref="K42:R42">SUM(K12:K41)</f>
        <v>240</v>
      </c>
      <c r="L42" s="82">
        <f t="shared" si="4"/>
        <v>914</v>
      </c>
      <c r="M42" s="82">
        <f t="shared" si="4"/>
        <v>917</v>
      </c>
      <c r="N42" s="82">
        <f t="shared" si="4"/>
        <v>0</v>
      </c>
      <c r="O42" s="82">
        <f t="shared" si="4"/>
        <v>345529</v>
      </c>
      <c r="P42" s="82">
        <f t="shared" si="4"/>
        <v>620213</v>
      </c>
      <c r="Q42" s="82">
        <f t="shared" si="4"/>
        <v>616384</v>
      </c>
      <c r="R42" s="82">
        <f t="shared" si="4"/>
        <v>530425804</v>
      </c>
    </row>
    <row r="43" spans="5:9" ht="15.75">
      <c r="E43" s="137"/>
      <c r="I43" s="137"/>
    </row>
    <row r="44" spans="5:17" ht="15.75">
      <c r="E44" s="137"/>
      <c r="O44" s="44">
        <v>365965</v>
      </c>
      <c r="P44" s="44">
        <v>523605</v>
      </c>
      <c r="Q44" s="44">
        <v>530426</v>
      </c>
    </row>
    <row r="46" spans="1:8" ht="15.75">
      <c r="A46" s="82">
        <v>2012</v>
      </c>
      <c r="B46" s="44">
        <v>235</v>
      </c>
      <c r="C46" s="44">
        <v>512</v>
      </c>
      <c r="D46" s="44">
        <v>505</v>
      </c>
      <c r="F46" s="44">
        <v>5</v>
      </c>
      <c r="G46" s="44">
        <v>402</v>
      </c>
      <c r="H46" s="44">
        <v>412</v>
      </c>
    </row>
    <row r="48" spans="1:8" ht="15.75">
      <c r="A48" s="82">
        <v>2011</v>
      </c>
      <c r="B48" s="44">
        <v>100</v>
      </c>
      <c r="C48" s="44">
        <v>336</v>
      </c>
      <c r="D48" s="44">
        <v>2734</v>
      </c>
      <c r="F48" s="44">
        <v>10</v>
      </c>
      <c r="G48" s="44">
        <v>688</v>
      </c>
      <c r="H48" s="44">
        <v>685</v>
      </c>
    </row>
  </sheetData>
  <sheetProtection/>
  <mergeCells count="16">
    <mergeCell ref="B10:E10"/>
    <mergeCell ref="F10:I10"/>
    <mergeCell ref="F7:I7"/>
    <mergeCell ref="O7:Q7"/>
    <mergeCell ref="O6:Q6"/>
    <mergeCell ref="K8:M8"/>
    <mergeCell ref="A4:I4"/>
    <mergeCell ref="A2:I2"/>
    <mergeCell ref="A7:A9"/>
    <mergeCell ref="B7:E7"/>
    <mergeCell ref="B8:B9"/>
    <mergeCell ref="C8:C9"/>
    <mergeCell ref="D8:D9"/>
    <mergeCell ref="F8:F9"/>
    <mergeCell ref="G8:G9"/>
    <mergeCell ref="H8:H9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U55"/>
  <sheetViews>
    <sheetView showZeros="0" view="pageBreakPreview" zoomScale="70" zoomScaleNormal="70" zoomScaleSheetLayoutView="70" zoomScalePageLayoutView="0" workbookViewId="0" topLeftCell="F1">
      <selection activeCell="C20" sqref="C20"/>
    </sheetView>
  </sheetViews>
  <sheetFormatPr defaultColWidth="8.796875" defaultRowHeight="15"/>
  <cols>
    <col min="1" max="1" width="27.296875" style="82" customWidth="1"/>
    <col min="2" max="3" width="9.19921875" style="44" customWidth="1"/>
    <col min="4" max="4" width="9.69921875" style="44" customWidth="1"/>
    <col min="5" max="5" width="7.3984375" style="44" customWidth="1"/>
    <col min="6" max="7" width="9.19921875" style="44" customWidth="1"/>
    <col min="8" max="8" width="9.8984375" style="44" customWidth="1"/>
    <col min="9" max="9" width="7.3984375" style="44" customWidth="1"/>
    <col min="10" max="11" width="9.19921875" style="44" customWidth="1"/>
    <col min="12" max="12" width="9.8984375" style="44" customWidth="1"/>
    <col min="13" max="13" width="7.3984375" style="44" customWidth="1"/>
    <col min="14" max="15" width="9.19921875" style="44" customWidth="1"/>
    <col min="16" max="16" width="9.59765625" style="44" customWidth="1"/>
    <col min="17" max="17" width="7.3984375" style="44" customWidth="1"/>
    <col min="18" max="19" width="9" style="44" customWidth="1"/>
    <col min="20" max="20" width="10" style="44" customWidth="1"/>
    <col min="21" max="21" width="7.296875" style="44" customWidth="1"/>
    <col min="22" max="23" width="9.796875" style="44" customWidth="1"/>
    <col min="24" max="26" width="8.796875" style="44" customWidth="1"/>
    <col min="27" max="27" width="6.796875" style="44" customWidth="1"/>
    <col min="28" max="30" width="8.796875" style="44" customWidth="1"/>
    <col min="31" max="31" width="6.796875" style="44" customWidth="1"/>
    <col min="32" max="34" width="8.796875" style="44" customWidth="1"/>
    <col min="35" max="35" width="6.796875" style="44" customWidth="1"/>
    <col min="36" max="38" width="8.796875" style="44" customWidth="1"/>
    <col min="39" max="39" width="6.796875" style="44" customWidth="1"/>
    <col min="40" max="42" width="8.796875" style="44" customWidth="1"/>
    <col min="43" max="43" width="6.796875" style="44" customWidth="1"/>
    <col min="44" max="44" width="9.796875" style="44" customWidth="1"/>
    <col min="45" max="16384" width="8.8984375" style="44" customWidth="1"/>
  </cols>
  <sheetData>
    <row r="1" ht="17.25" customHeight="1"/>
    <row r="2" spans="1:21" s="110" customFormat="1" ht="24" customHeight="1">
      <c r="A2" s="293" t="s">
        <v>237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="110" customFormat="1" ht="15" customHeight="1">
      <c r="A3" s="126"/>
    </row>
    <row r="4" spans="1:21" s="110" customFormat="1" ht="21" customHeight="1">
      <c r="A4" s="293" t="s">
        <v>232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</row>
    <row r="5" ht="22.5" customHeight="1">
      <c r="U5" s="132" t="s">
        <v>247</v>
      </c>
    </row>
    <row r="6" ht="22.5" customHeight="1" thickBot="1">
      <c r="U6" s="132" t="s">
        <v>246</v>
      </c>
    </row>
    <row r="7" spans="1:21" ht="18" customHeight="1" thickBot="1">
      <c r="A7" s="346" t="s">
        <v>229</v>
      </c>
      <c r="B7" s="353" t="s">
        <v>159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64" t="s">
        <v>89</v>
      </c>
      <c r="S7" s="365"/>
      <c r="T7" s="365"/>
      <c r="U7" s="366"/>
    </row>
    <row r="8" spans="1:21" ht="16.5" customHeight="1" thickBot="1">
      <c r="A8" s="359"/>
      <c r="B8" s="361" t="s">
        <v>77</v>
      </c>
      <c r="C8" s="362"/>
      <c r="D8" s="362"/>
      <c r="E8" s="170"/>
      <c r="F8" s="361" t="s">
        <v>78</v>
      </c>
      <c r="G8" s="362"/>
      <c r="H8" s="362"/>
      <c r="I8" s="363"/>
      <c r="J8" s="361" t="s">
        <v>79</v>
      </c>
      <c r="K8" s="362"/>
      <c r="L8" s="362"/>
      <c r="M8" s="363"/>
      <c r="N8" s="361" t="s">
        <v>144</v>
      </c>
      <c r="O8" s="362"/>
      <c r="P8" s="362"/>
      <c r="Q8" s="363"/>
      <c r="R8" s="367" t="s">
        <v>91</v>
      </c>
      <c r="S8" s="368"/>
      <c r="T8" s="368"/>
      <c r="U8" s="369"/>
    </row>
    <row r="9" spans="1:21" ht="16.5" customHeight="1">
      <c r="A9" s="359"/>
      <c r="B9" s="333" t="s">
        <v>242</v>
      </c>
      <c r="C9" s="335" t="s">
        <v>244</v>
      </c>
      <c r="D9" s="335" t="s">
        <v>243</v>
      </c>
      <c r="E9" s="171" t="s">
        <v>0</v>
      </c>
      <c r="F9" s="333" t="s">
        <v>242</v>
      </c>
      <c r="G9" s="335" t="s">
        <v>244</v>
      </c>
      <c r="H9" s="335" t="s">
        <v>243</v>
      </c>
      <c r="I9" s="171" t="s">
        <v>0</v>
      </c>
      <c r="J9" s="333" t="s">
        <v>242</v>
      </c>
      <c r="K9" s="335" t="s">
        <v>244</v>
      </c>
      <c r="L9" s="335" t="s">
        <v>243</v>
      </c>
      <c r="M9" s="171" t="s">
        <v>0</v>
      </c>
      <c r="N9" s="333" t="s">
        <v>242</v>
      </c>
      <c r="O9" s="335" t="s">
        <v>244</v>
      </c>
      <c r="P9" s="335" t="s">
        <v>243</v>
      </c>
      <c r="Q9" s="171" t="s">
        <v>0</v>
      </c>
      <c r="R9" s="333" t="s">
        <v>242</v>
      </c>
      <c r="S9" s="335" t="s">
        <v>244</v>
      </c>
      <c r="T9" s="335" t="s">
        <v>243</v>
      </c>
      <c r="U9" s="171" t="s">
        <v>0</v>
      </c>
    </row>
    <row r="10" spans="1:21" ht="16.5" customHeight="1" thickBot="1">
      <c r="A10" s="360"/>
      <c r="B10" s="334"/>
      <c r="C10" s="336"/>
      <c r="D10" s="336"/>
      <c r="E10" s="173" t="s">
        <v>11</v>
      </c>
      <c r="F10" s="334"/>
      <c r="G10" s="336"/>
      <c r="H10" s="336"/>
      <c r="I10" s="173" t="s">
        <v>11</v>
      </c>
      <c r="J10" s="334"/>
      <c r="K10" s="336"/>
      <c r="L10" s="336"/>
      <c r="M10" s="173" t="s">
        <v>11</v>
      </c>
      <c r="N10" s="334"/>
      <c r="O10" s="336"/>
      <c r="P10" s="336"/>
      <c r="Q10" s="173" t="s">
        <v>11</v>
      </c>
      <c r="R10" s="334"/>
      <c r="S10" s="336"/>
      <c r="T10" s="336"/>
      <c r="U10" s="173" t="s">
        <v>11</v>
      </c>
    </row>
    <row r="11" spans="1:21" ht="16.5" customHeight="1">
      <c r="A11" s="165"/>
      <c r="B11" s="355" t="s">
        <v>80</v>
      </c>
      <c r="C11" s="356"/>
      <c r="D11" s="356"/>
      <c r="E11" s="357"/>
      <c r="F11" s="355" t="s">
        <v>81</v>
      </c>
      <c r="G11" s="356"/>
      <c r="H11" s="356"/>
      <c r="I11" s="357"/>
      <c r="J11" s="355" t="s">
        <v>82</v>
      </c>
      <c r="K11" s="356"/>
      <c r="L11" s="356"/>
      <c r="M11" s="357"/>
      <c r="N11" s="355" t="s">
        <v>83</v>
      </c>
      <c r="O11" s="356"/>
      <c r="P11" s="356"/>
      <c r="Q11" s="357"/>
      <c r="R11" s="355" t="s">
        <v>88</v>
      </c>
      <c r="S11" s="356"/>
      <c r="T11" s="356"/>
      <c r="U11" s="357"/>
    </row>
    <row r="12" spans="1:21" ht="16.5" customHeight="1" thickBot="1">
      <c r="A12" s="165"/>
      <c r="B12" s="141"/>
      <c r="C12" s="147"/>
      <c r="D12" s="147"/>
      <c r="E12" s="142"/>
      <c r="F12" s="141"/>
      <c r="G12" s="147"/>
      <c r="H12" s="147"/>
      <c r="I12" s="142"/>
      <c r="J12" s="141"/>
      <c r="K12" s="147"/>
      <c r="L12" s="147"/>
      <c r="M12" s="142"/>
      <c r="N12" s="141"/>
      <c r="O12" s="147"/>
      <c r="P12" s="147"/>
      <c r="Q12" s="142"/>
      <c r="R12" s="141"/>
      <c r="S12" s="147"/>
      <c r="T12" s="147"/>
      <c r="U12" s="142"/>
    </row>
    <row r="13" spans="1:21" ht="16.5" customHeight="1">
      <c r="A13" s="190" t="s">
        <v>191</v>
      </c>
      <c r="B13" s="154">
        <v>0</v>
      </c>
      <c r="C13" s="156">
        <v>8050</v>
      </c>
      <c r="D13" s="156">
        <v>8050</v>
      </c>
      <c r="E13" s="155">
        <f aca="true" t="shared" si="0" ref="E13:E41">D13/C13*100</f>
        <v>100</v>
      </c>
      <c r="F13" s="154">
        <v>48567</v>
      </c>
      <c r="G13" s="156">
        <v>48410</v>
      </c>
      <c r="H13" s="156">
        <v>48410</v>
      </c>
      <c r="I13" s="155">
        <f aca="true" t="shared" si="1" ref="I13:I41">H13/G13*100</f>
        <v>100</v>
      </c>
      <c r="J13" s="154"/>
      <c r="K13" s="156"/>
      <c r="L13" s="156"/>
      <c r="M13" s="155"/>
      <c r="N13" s="154">
        <v>0</v>
      </c>
      <c r="O13" s="156">
        <v>6653</v>
      </c>
      <c r="P13" s="156">
        <v>6366</v>
      </c>
      <c r="Q13" s="155">
        <f aca="true" t="shared" si="2" ref="Q13:Q20">P13/O13*100</f>
        <v>95.68615662107321</v>
      </c>
      <c r="R13" s="154">
        <v>50000</v>
      </c>
      <c r="S13" s="156">
        <v>84216</v>
      </c>
      <c r="T13" s="156">
        <v>78434</v>
      </c>
      <c r="U13" s="155">
        <f>T13/S13*100</f>
        <v>93.1343212691175</v>
      </c>
    </row>
    <row r="14" spans="1:21" ht="16.5" customHeight="1">
      <c r="A14" s="191" t="s">
        <v>192</v>
      </c>
      <c r="B14" s="143">
        <v>0</v>
      </c>
      <c r="C14" s="138">
        <f>1364</f>
        <v>1364</v>
      </c>
      <c r="D14" s="138">
        <f>1365-1</f>
        <v>1364</v>
      </c>
      <c r="E14" s="144">
        <f t="shared" si="0"/>
        <v>100</v>
      </c>
      <c r="F14" s="143">
        <v>8809</v>
      </c>
      <c r="G14" s="138">
        <v>8863</v>
      </c>
      <c r="H14" s="138">
        <v>8863</v>
      </c>
      <c r="I14" s="144">
        <f t="shared" si="1"/>
        <v>100</v>
      </c>
      <c r="J14" s="143"/>
      <c r="K14" s="138"/>
      <c r="L14" s="138"/>
      <c r="M14" s="144"/>
      <c r="N14" s="143"/>
      <c r="O14" s="138"/>
      <c r="P14" s="138"/>
      <c r="Q14" s="144"/>
      <c r="R14" s="143">
        <v>1000</v>
      </c>
      <c r="S14" s="138">
        <v>1000</v>
      </c>
      <c r="T14" s="138">
        <v>1000</v>
      </c>
      <c r="U14" s="144">
        <f>T14/S14*100</f>
        <v>100</v>
      </c>
    </row>
    <row r="15" spans="1:21" ht="16.5" customHeight="1">
      <c r="A15" s="191" t="s">
        <v>193</v>
      </c>
      <c r="B15" s="143">
        <v>0</v>
      </c>
      <c r="C15" s="138">
        <v>1296</v>
      </c>
      <c r="D15" s="138">
        <v>1296</v>
      </c>
      <c r="E15" s="144">
        <f t="shared" si="0"/>
        <v>100</v>
      </c>
      <c r="F15" s="143">
        <v>8388</v>
      </c>
      <c r="G15" s="138">
        <v>8293</v>
      </c>
      <c r="H15" s="138">
        <v>8293</v>
      </c>
      <c r="I15" s="144">
        <f t="shared" si="1"/>
        <v>100</v>
      </c>
      <c r="J15" s="143"/>
      <c r="K15" s="138"/>
      <c r="L15" s="138"/>
      <c r="M15" s="144"/>
      <c r="N15" s="143"/>
      <c r="O15" s="138"/>
      <c r="P15" s="138"/>
      <c r="Q15" s="144"/>
      <c r="R15" s="143">
        <v>63030</v>
      </c>
      <c r="S15" s="138">
        <v>93468</v>
      </c>
      <c r="T15" s="138">
        <v>92659</v>
      </c>
      <c r="U15" s="144">
        <f>T15/S15*100</f>
        <v>99.13446313176702</v>
      </c>
    </row>
    <row r="16" spans="1:21" ht="16.5" customHeight="1">
      <c r="A16" s="191" t="s">
        <v>194</v>
      </c>
      <c r="B16" s="143">
        <v>0</v>
      </c>
      <c r="C16" s="138">
        <v>756</v>
      </c>
      <c r="D16" s="138">
        <v>756</v>
      </c>
      <c r="E16" s="144">
        <f t="shared" si="0"/>
        <v>100</v>
      </c>
      <c r="F16" s="143">
        <v>6704</v>
      </c>
      <c r="G16" s="138">
        <v>6717</v>
      </c>
      <c r="H16" s="138">
        <v>6717</v>
      </c>
      <c r="I16" s="144">
        <f t="shared" si="1"/>
        <v>100</v>
      </c>
      <c r="J16" s="143">
        <v>0</v>
      </c>
      <c r="K16" s="138">
        <v>2036</v>
      </c>
      <c r="L16" s="138">
        <v>2036</v>
      </c>
      <c r="M16" s="144">
        <f>L16/K16*100</f>
        <v>100</v>
      </c>
      <c r="N16" s="143">
        <v>0</v>
      </c>
      <c r="O16" s="138">
        <v>46</v>
      </c>
      <c r="P16" s="138">
        <v>46</v>
      </c>
      <c r="Q16" s="144">
        <f t="shared" si="2"/>
        <v>100</v>
      </c>
      <c r="R16" s="143">
        <v>23744</v>
      </c>
      <c r="S16" s="138">
        <v>37710</v>
      </c>
      <c r="T16" s="138">
        <f>37710+1</f>
        <v>37711</v>
      </c>
      <c r="U16" s="144">
        <f>T16/S16*100</f>
        <v>100.0026518164943</v>
      </c>
    </row>
    <row r="17" spans="1:21" ht="16.5" customHeight="1">
      <c r="A17" s="191" t="s">
        <v>195</v>
      </c>
      <c r="B17" s="143">
        <v>0</v>
      </c>
      <c r="C17" s="138">
        <v>1170</v>
      </c>
      <c r="D17" s="138">
        <v>1170</v>
      </c>
      <c r="E17" s="144">
        <f t="shared" si="0"/>
        <v>100</v>
      </c>
      <c r="F17" s="143">
        <v>7759</v>
      </c>
      <c r="G17" s="138">
        <v>7743</v>
      </c>
      <c r="H17" s="138">
        <v>7743</v>
      </c>
      <c r="I17" s="144">
        <f t="shared" si="1"/>
        <v>100</v>
      </c>
      <c r="J17" s="143">
        <v>0</v>
      </c>
      <c r="K17" s="138">
        <v>1471</v>
      </c>
      <c r="L17" s="138">
        <v>1471</v>
      </c>
      <c r="M17" s="144">
        <f>L17/K17*100</f>
        <v>100</v>
      </c>
      <c r="N17" s="143"/>
      <c r="O17" s="138"/>
      <c r="P17" s="138"/>
      <c r="Q17" s="144"/>
      <c r="R17" s="143">
        <v>12302</v>
      </c>
      <c r="S17" s="138">
        <v>19102</v>
      </c>
      <c r="T17" s="138">
        <v>19102</v>
      </c>
      <c r="U17" s="144">
        <f>T17/S17*100</f>
        <v>100</v>
      </c>
    </row>
    <row r="18" spans="1:21" ht="16.5" customHeight="1">
      <c r="A18" s="191" t="s">
        <v>196</v>
      </c>
      <c r="B18" s="143">
        <v>0</v>
      </c>
      <c r="C18" s="138">
        <v>144</v>
      </c>
      <c r="D18" s="138">
        <v>144</v>
      </c>
      <c r="E18" s="144">
        <f t="shared" si="0"/>
        <v>100</v>
      </c>
      <c r="F18" s="143">
        <v>1419</v>
      </c>
      <c r="G18" s="138">
        <v>1415</v>
      </c>
      <c r="H18" s="138">
        <v>1415</v>
      </c>
      <c r="I18" s="144">
        <f t="shared" si="1"/>
        <v>100</v>
      </c>
      <c r="J18" s="143"/>
      <c r="K18" s="138"/>
      <c r="L18" s="138"/>
      <c r="M18" s="144"/>
      <c r="N18" s="143">
        <v>0</v>
      </c>
      <c r="O18" s="138">
        <v>10</v>
      </c>
      <c r="P18" s="138">
        <v>10</v>
      </c>
      <c r="Q18" s="144">
        <f t="shared" si="2"/>
        <v>100</v>
      </c>
      <c r="R18" s="143"/>
      <c r="S18" s="138"/>
      <c r="T18" s="138"/>
      <c r="U18" s="144"/>
    </row>
    <row r="19" spans="1:21" ht="16.5" customHeight="1">
      <c r="A19" s="191" t="s">
        <v>197</v>
      </c>
      <c r="B19" s="143">
        <v>0</v>
      </c>
      <c r="C19" s="138">
        <v>2108</v>
      </c>
      <c r="D19" s="138">
        <f>2109-1</f>
        <v>2108</v>
      </c>
      <c r="E19" s="144">
        <f t="shared" si="0"/>
        <v>100</v>
      </c>
      <c r="F19" s="143">
        <v>13170</v>
      </c>
      <c r="G19" s="138">
        <v>13125</v>
      </c>
      <c r="H19" s="138">
        <v>13125</v>
      </c>
      <c r="I19" s="144">
        <f t="shared" si="1"/>
        <v>100</v>
      </c>
      <c r="J19" s="143"/>
      <c r="K19" s="138"/>
      <c r="L19" s="138"/>
      <c r="M19" s="144"/>
      <c r="N19" s="143">
        <v>0</v>
      </c>
      <c r="O19" s="138">
        <v>1938</v>
      </c>
      <c r="P19" s="138">
        <v>1938</v>
      </c>
      <c r="Q19" s="144">
        <f t="shared" si="2"/>
        <v>100</v>
      </c>
      <c r="R19" s="143">
        <v>13791</v>
      </c>
      <c r="S19" s="138">
        <v>41827</v>
      </c>
      <c r="T19" s="138">
        <v>41658</v>
      </c>
      <c r="U19" s="144">
        <f>T19/S19*100</f>
        <v>99.5959547660602</v>
      </c>
    </row>
    <row r="20" spans="1:21" ht="16.5" customHeight="1">
      <c r="A20" s="191" t="s">
        <v>198</v>
      </c>
      <c r="B20" s="143">
        <v>0</v>
      </c>
      <c r="C20" s="138">
        <v>3086</v>
      </c>
      <c r="D20" s="138">
        <v>3086</v>
      </c>
      <c r="E20" s="144">
        <f t="shared" si="0"/>
        <v>100</v>
      </c>
      <c r="F20" s="143">
        <v>14636</v>
      </c>
      <c r="G20" s="138">
        <v>14673</v>
      </c>
      <c r="H20" s="138">
        <v>14673</v>
      </c>
      <c r="I20" s="144">
        <f t="shared" si="1"/>
        <v>100</v>
      </c>
      <c r="J20" s="143">
        <v>0</v>
      </c>
      <c r="K20" s="138">
        <v>569</v>
      </c>
      <c r="L20" s="138">
        <v>569</v>
      </c>
      <c r="M20" s="144">
        <f>L20/K20*100</f>
        <v>100</v>
      </c>
      <c r="N20" s="143">
        <v>0</v>
      </c>
      <c r="O20" s="138">
        <v>1955</v>
      </c>
      <c r="P20" s="138">
        <v>1955</v>
      </c>
      <c r="Q20" s="144">
        <f t="shared" si="2"/>
        <v>100</v>
      </c>
      <c r="R20" s="143">
        <v>46000</v>
      </c>
      <c r="S20" s="138">
        <v>53661</v>
      </c>
      <c r="T20" s="138">
        <f>53661+1</f>
        <v>53662</v>
      </c>
      <c r="U20" s="144">
        <f>T20/S20*100</f>
        <v>100.00186355080972</v>
      </c>
    </row>
    <row r="21" spans="1:21" ht="16.5" customHeight="1">
      <c r="A21" s="191" t="s">
        <v>199</v>
      </c>
      <c r="B21" s="143">
        <v>0</v>
      </c>
      <c r="C21" s="138">
        <v>71</v>
      </c>
      <c r="D21" s="138">
        <v>71</v>
      </c>
      <c r="E21" s="144">
        <f t="shared" si="0"/>
        <v>100</v>
      </c>
      <c r="F21" s="143">
        <v>544</v>
      </c>
      <c r="G21" s="138">
        <v>542</v>
      </c>
      <c r="H21" s="138">
        <v>542</v>
      </c>
      <c r="I21" s="144">
        <f t="shared" si="1"/>
        <v>100</v>
      </c>
      <c r="J21" s="143"/>
      <c r="K21" s="138"/>
      <c r="L21" s="138"/>
      <c r="M21" s="144"/>
      <c r="N21" s="143"/>
      <c r="O21" s="138"/>
      <c r="P21" s="138"/>
      <c r="Q21" s="144"/>
      <c r="R21" s="143"/>
      <c r="S21" s="138"/>
      <c r="T21" s="138"/>
      <c r="U21" s="144"/>
    </row>
    <row r="22" spans="1:21" ht="16.5" customHeight="1">
      <c r="A22" s="191" t="s">
        <v>200</v>
      </c>
      <c r="B22" s="143">
        <v>0</v>
      </c>
      <c r="C22" s="138">
        <v>559</v>
      </c>
      <c r="D22" s="138">
        <v>559</v>
      </c>
      <c r="E22" s="144">
        <f t="shared" si="0"/>
        <v>100</v>
      </c>
      <c r="F22" s="143">
        <v>4473</v>
      </c>
      <c r="G22" s="138">
        <v>4485</v>
      </c>
      <c r="H22" s="138">
        <v>4485</v>
      </c>
      <c r="I22" s="144">
        <f t="shared" si="1"/>
        <v>100</v>
      </c>
      <c r="J22" s="143"/>
      <c r="K22" s="138"/>
      <c r="L22" s="138"/>
      <c r="M22" s="144"/>
      <c r="N22" s="143">
        <v>0</v>
      </c>
      <c r="O22" s="138">
        <v>77</v>
      </c>
      <c r="P22" s="138">
        <v>77</v>
      </c>
      <c r="Q22" s="144">
        <f aca="true" t="shared" si="3" ref="Q22:Q36">P22/O22*100</f>
        <v>100</v>
      </c>
      <c r="R22" s="143">
        <v>1200</v>
      </c>
      <c r="S22" s="138">
        <v>1200</v>
      </c>
      <c r="T22" s="138">
        <v>2079</v>
      </c>
      <c r="U22" s="144">
        <f>T22/S22*100</f>
        <v>173.25</v>
      </c>
    </row>
    <row r="23" spans="1:21" ht="16.5" customHeight="1">
      <c r="A23" s="191" t="s">
        <v>201</v>
      </c>
      <c r="B23" s="143">
        <v>0</v>
      </c>
      <c r="C23" s="138">
        <v>262</v>
      </c>
      <c r="D23" s="138">
        <v>262</v>
      </c>
      <c r="E23" s="144">
        <f t="shared" si="0"/>
        <v>100</v>
      </c>
      <c r="F23" s="143">
        <v>2389</v>
      </c>
      <c r="G23" s="138">
        <v>2414</v>
      </c>
      <c r="H23" s="138">
        <v>2414</v>
      </c>
      <c r="I23" s="144">
        <f t="shared" si="1"/>
        <v>100</v>
      </c>
      <c r="J23" s="143"/>
      <c r="K23" s="138"/>
      <c r="L23" s="138"/>
      <c r="M23" s="144"/>
      <c r="N23" s="143"/>
      <c r="O23" s="138"/>
      <c r="P23" s="138"/>
      <c r="Q23" s="144"/>
      <c r="R23" s="143">
        <v>4000</v>
      </c>
      <c r="S23" s="138">
        <v>4000</v>
      </c>
      <c r="T23" s="138">
        <v>1943</v>
      </c>
      <c r="U23" s="144">
        <f>T23/S23*100</f>
        <v>48.575</v>
      </c>
    </row>
    <row r="24" spans="1:21" ht="16.5" customHeight="1">
      <c r="A24" s="191" t="s">
        <v>202</v>
      </c>
      <c r="B24" s="143">
        <v>0</v>
      </c>
      <c r="C24" s="138">
        <v>240</v>
      </c>
      <c r="D24" s="138">
        <v>240</v>
      </c>
      <c r="E24" s="144">
        <f t="shared" si="0"/>
        <v>100</v>
      </c>
      <c r="F24" s="143">
        <v>2035</v>
      </c>
      <c r="G24" s="138">
        <v>2085</v>
      </c>
      <c r="H24" s="138">
        <v>2085</v>
      </c>
      <c r="I24" s="144">
        <f t="shared" si="1"/>
        <v>100</v>
      </c>
      <c r="J24" s="143"/>
      <c r="K24" s="138"/>
      <c r="L24" s="138"/>
      <c r="M24" s="144"/>
      <c r="N24" s="143">
        <v>0</v>
      </c>
      <c r="O24" s="138">
        <v>36</v>
      </c>
      <c r="P24" s="138">
        <v>36</v>
      </c>
      <c r="Q24" s="144">
        <f t="shared" si="3"/>
        <v>100</v>
      </c>
      <c r="R24" s="143"/>
      <c r="S24" s="138"/>
      <c r="T24" s="138"/>
      <c r="U24" s="144"/>
    </row>
    <row r="25" spans="1:21" ht="16.5" customHeight="1">
      <c r="A25" s="191" t="s">
        <v>203</v>
      </c>
      <c r="B25" s="143">
        <v>0</v>
      </c>
      <c r="C25" s="138">
        <v>4904</v>
      </c>
      <c r="D25" s="138">
        <f>4905-1</f>
        <v>4904</v>
      </c>
      <c r="E25" s="144">
        <f t="shared" si="0"/>
        <v>100</v>
      </c>
      <c r="F25" s="143">
        <v>28558</v>
      </c>
      <c r="G25" s="138">
        <v>28565</v>
      </c>
      <c r="H25" s="138">
        <v>28565</v>
      </c>
      <c r="I25" s="144">
        <f t="shared" si="1"/>
        <v>100</v>
      </c>
      <c r="J25" s="143">
        <v>69</v>
      </c>
      <c r="K25" s="138">
        <v>69</v>
      </c>
      <c r="L25" s="138">
        <v>62</v>
      </c>
      <c r="M25" s="144">
        <f>L25/K25*100</f>
        <v>89.85507246376811</v>
      </c>
      <c r="N25" s="143">
        <v>2261</v>
      </c>
      <c r="O25" s="138">
        <v>5878</v>
      </c>
      <c r="P25" s="138">
        <v>4714</v>
      </c>
      <c r="Q25" s="144">
        <f t="shared" si="3"/>
        <v>80.19734603606669</v>
      </c>
      <c r="R25" s="143">
        <v>52400</v>
      </c>
      <c r="S25" s="138">
        <v>97165</v>
      </c>
      <c r="T25" s="138">
        <v>97165</v>
      </c>
      <c r="U25" s="144">
        <f aca="true" t="shared" si="4" ref="U25:U32">T25/S25*100</f>
        <v>100</v>
      </c>
    </row>
    <row r="26" spans="1:21" ht="16.5" customHeight="1">
      <c r="A26" s="191" t="s">
        <v>204</v>
      </c>
      <c r="B26" s="143">
        <v>0</v>
      </c>
      <c r="C26" s="138">
        <v>706</v>
      </c>
      <c r="D26" s="138">
        <v>706</v>
      </c>
      <c r="E26" s="144">
        <f t="shared" si="0"/>
        <v>100</v>
      </c>
      <c r="F26" s="143">
        <v>3188</v>
      </c>
      <c r="G26" s="138">
        <v>3178</v>
      </c>
      <c r="H26" s="138">
        <v>3178</v>
      </c>
      <c r="I26" s="144">
        <f t="shared" si="1"/>
        <v>100</v>
      </c>
      <c r="J26" s="143"/>
      <c r="K26" s="138"/>
      <c r="L26" s="138"/>
      <c r="M26" s="144"/>
      <c r="N26" s="143">
        <v>0</v>
      </c>
      <c r="O26" s="138">
        <v>190</v>
      </c>
      <c r="P26" s="138">
        <v>175</v>
      </c>
      <c r="Q26" s="144">
        <f t="shared" si="3"/>
        <v>92.10526315789474</v>
      </c>
      <c r="R26" s="143">
        <v>382</v>
      </c>
      <c r="S26" s="138">
        <v>382</v>
      </c>
      <c r="T26" s="138">
        <v>382</v>
      </c>
      <c r="U26" s="144">
        <f t="shared" si="4"/>
        <v>100</v>
      </c>
    </row>
    <row r="27" spans="1:21" ht="15.75" customHeight="1">
      <c r="A27" s="191" t="s">
        <v>205</v>
      </c>
      <c r="B27" s="143">
        <v>0</v>
      </c>
      <c r="C27" s="138">
        <v>2231</v>
      </c>
      <c r="D27" s="138">
        <f>2232-1</f>
        <v>2231</v>
      </c>
      <c r="E27" s="144">
        <f t="shared" si="0"/>
        <v>100</v>
      </c>
      <c r="F27" s="143">
        <v>13621</v>
      </c>
      <c r="G27" s="138">
        <v>13599</v>
      </c>
      <c r="H27" s="138">
        <v>13599</v>
      </c>
      <c r="I27" s="144">
        <f t="shared" si="1"/>
        <v>100</v>
      </c>
      <c r="J27" s="143">
        <v>0</v>
      </c>
      <c r="K27" s="138">
        <v>889</v>
      </c>
      <c r="L27" s="138">
        <v>889</v>
      </c>
      <c r="M27" s="144">
        <f>L27/K27*100</f>
        <v>100</v>
      </c>
      <c r="N27" s="143">
        <v>0</v>
      </c>
      <c r="O27" s="138">
        <v>1770</v>
      </c>
      <c r="P27" s="138">
        <v>1740</v>
      </c>
      <c r="Q27" s="144">
        <f t="shared" si="3"/>
        <v>98.30508474576271</v>
      </c>
      <c r="R27" s="143">
        <v>60235</v>
      </c>
      <c r="S27" s="138">
        <v>56549</v>
      </c>
      <c r="T27" s="138">
        <v>56549</v>
      </c>
      <c r="U27" s="144">
        <f t="shared" si="4"/>
        <v>100</v>
      </c>
    </row>
    <row r="28" spans="1:21" ht="16.5" customHeight="1">
      <c r="A28" s="191" t="s">
        <v>206</v>
      </c>
      <c r="B28" s="143">
        <v>0</v>
      </c>
      <c r="C28" s="138">
        <v>426</v>
      </c>
      <c r="D28" s="138">
        <v>426</v>
      </c>
      <c r="E28" s="144">
        <f t="shared" si="0"/>
        <v>100</v>
      </c>
      <c r="F28" s="143">
        <v>4827</v>
      </c>
      <c r="G28" s="138">
        <v>4815</v>
      </c>
      <c r="H28" s="138">
        <v>4815</v>
      </c>
      <c r="I28" s="144">
        <f t="shared" si="1"/>
        <v>100</v>
      </c>
      <c r="J28" s="143">
        <v>194</v>
      </c>
      <c r="K28" s="138">
        <v>194</v>
      </c>
      <c r="L28" s="138">
        <v>193</v>
      </c>
      <c r="M28" s="144">
        <f>L28/K28*100</f>
        <v>99.48453608247422</v>
      </c>
      <c r="N28" s="143">
        <v>0</v>
      </c>
      <c r="O28" s="138">
        <v>36</v>
      </c>
      <c r="P28" s="138">
        <v>36</v>
      </c>
      <c r="Q28" s="144">
        <f t="shared" si="3"/>
        <v>100</v>
      </c>
      <c r="R28" s="143">
        <v>19663</v>
      </c>
      <c r="S28" s="138">
        <v>21926</v>
      </c>
      <c r="T28" s="138">
        <v>23215</v>
      </c>
      <c r="U28" s="144">
        <f t="shared" si="4"/>
        <v>105.87886527410379</v>
      </c>
    </row>
    <row r="29" spans="1:21" ht="16.5" customHeight="1">
      <c r="A29" s="191" t="s">
        <v>207</v>
      </c>
      <c r="B29" s="143">
        <v>0</v>
      </c>
      <c r="C29" s="138">
        <f>727</f>
        <v>727</v>
      </c>
      <c r="D29" s="138">
        <f>728-1</f>
        <v>727</v>
      </c>
      <c r="E29" s="144">
        <f t="shared" si="0"/>
        <v>100</v>
      </c>
      <c r="F29" s="143">
        <v>5747</v>
      </c>
      <c r="G29" s="138">
        <v>5705</v>
      </c>
      <c r="H29" s="138">
        <v>5705</v>
      </c>
      <c r="I29" s="144">
        <f t="shared" si="1"/>
        <v>100</v>
      </c>
      <c r="J29" s="143"/>
      <c r="K29" s="138"/>
      <c r="L29" s="138"/>
      <c r="M29" s="144"/>
      <c r="N29" s="143"/>
      <c r="O29" s="138"/>
      <c r="P29" s="138"/>
      <c r="Q29" s="144"/>
      <c r="R29" s="143">
        <v>13000</v>
      </c>
      <c r="S29" s="138">
        <v>13000</v>
      </c>
      <c r="T29" s="138">
        <v>13018</v>
      </c>
      <c r="U29" s="144">
        <f t="shared" si="4"/>
        <v>100.13846153846153</v>
      </c>
    </row>
    <row r="30" spans="1:21" ht="16.5" customHeight="1">
      <c r="A30" s="191" t="s">
        <v>208</v>
      </c>
      <c r="B30" s="143">
        <v>0</v>
      </c>
      <c r="C30" s="138">
        <v>839</v>
      </c>
      <c r="D30" s="138">
        <v>839</v>
      </c>
      <c r="E30" s="144">
        <f t="shared" si="0"/>
        <v>100</v>
      </c>
      <c r="F30" s="143">
        <v>7534</v>
      </c>
      <c r="G30" s="138">
        <v>7526</v>
      </c>
      <c r="H30" s="138">
        <v>7526</v>
      </c>
      <c r="I30" s="144">
        <f t="shared" si="1"/>
        <v>100</v>
      </c>
      <c r="J30" s="143">
        <v>2215</v>
      </c>
      <c r="K30" s="138">
        <v>2215</v>
      </c>
      <c r="L30" s="138">
        <v>2214</v>
      </c>
      <c r="M30" s="144">
        <f>L30/K30*100</f>
        <v>99.9548532731377</v>
      </c>
      <c r="N30" s="143"/>
      <c r="O30" s="138"/>
      <c r="P30" s="138"/>
      <c r="Q30" s="144"/>
      <c r="R30" s="143">
        <v>12000</v>
      </c>
      <c r="S30" s="138">
        <v>23289</v>
      </c>
      <c r="T30" s="138">
        <v>23739</v>
      </c>
      <c r="U30" s="144">
        <f t="shared" si="4"/>
        <v>101.93224268968181</v>
      </c>
    </row>
    <row r="31" spans="1:21" ht="16.5" customHeight="1">
      <c r="A31" s="191" t="s">
        <v>209</v>
      </c>
      <c r="B31" s="143">
        <v>0</v>
      </c>
      <c r="C31" s="138">
        <v>1766</v>
      </c>
      <c r="D31" s="138">
        <v>1766</v>
      </c>
      <c r="E31" s="144">
        <f t="shared" si="0"/>
        <v>100</v>
      </c>
      <c r="F31" s="143">
        <v>17116</v>
      </c>
      <c r="G31" s="138">
        <v>17091</v>
      </c>
      <c r="H31" s="138">
        <v>17091</v>
      </c>
      <c r="I31" s="144">
        <f t="shared" si="1"/>
        <v>100</v>
      </c>
      <c r="J31" s="143"/>
      <c r="K31" s="138"/>
      <c r="L31" s="138"/>
      <c r="M31" s="144"/>
      <c r="N31" s="143"/>
      <c r="O31" s="138"/>
      <c r="P31" s="138"/>
      <c r="Q31" s="144"/>
      <c r="R31" s="143">
        <v>40120</v>
      </c>
      <c r="S31" s="138">
        <v>49115</v>
      </c>
      <c r="T31" s="138">
        <v>49115</v>
      </c>
      <c r="U31" s="144">
        <f t="shared" si="4"/>
        <v>100</v>
      </c>
    </row>
    <row r="32" spans="1:21" ht="16.5" customHeight="1">
      <c r="A32" s="191" t="s">
        <v>210</v>
      </c>
      <c r="B32" s="143">
        <v>0</v>
      </c>
      <c r="C32" s="138">
        <v>710</v>
      </c>
      <c r="D32" s="138">
        <v>710</v>
      </c>
      <c r="E32" s="144">
        <f t="shared" si="0"/>
        <v>100</v>
      </c>
      <c r="F32" s="143">
        <v>5764</v>
      </c>
      <c r="G32" s="138">
        <v>5809</v>
      </c>
      <c r="H32" s="138">
        <v>5809</v>
      </c>
      <c r="I32" s="144">
        <f t="shared" si="1"/>
        <v>100</v>
      </c>
      <c r="J32" s="143">
        <v>1801</v>
      </c>
      <c r="K32" s="138">
        <v>1801</v>
      </c>
      <c r="L32" s="138">
        <v>1801</v>
      </c>
      <c r="M32" s="144">
        <f>L32/K32*100</f>
        <v>100</v>
      </c>
      <c r="N32" s="143"/>
      <c r="O32" s="138"/>
      <c r="P32" s="138"/>
      <c r="Q32" s="144"/>
      <c r="R32" s="143">
        <v>13048</v>
      </c>
      <c r="S32" s="138">
        <v>16243</v>
      </c>
      <c r="T32" s="138">
        <v>19502</v>
      </c>
      <c r="U32" s="144">
        <f t="shared" si="4"/>
        <v>120.06402758111186</v>
      </c>
    </row>
    <row r="33" spans="1:21" ht="16.5" customHeight="1">
      <c r="A33" s="191" t="s">
        <v>211</v>
      </c>
      <c r="B33" s="143">
        <v>0</v>
      </c>
      <c r="C33" s="138">
        <v>366</v>
      </c>
      <c r="D33" s="138">
        <f>367-1</f>
        <v>366</v>
      </c>
      <c r="E33" s="144">
        <f t="shared" si="0"/>
        <v>100</v>
      </c>
      <c r="F33" s="143">
        <v>3713</v>
      </c>
      <c r="G33" s="138">
        <v>3677</v>
      </c>
      <c r="H33" s="138">
        <v>3677</v>
      </c>
      <c r="I33" s="144">
        <f t="shared" si="1"/>
        <v>100</v>
      </c>
      <c r="J33" s="143"/>
      <c r="K33" s="138"/>
      <c r="L33" s="138"/>
      <c r="M33" s="144"/>
      <c r="N33" s="143"/>
      <c r="O33" s="138"/>
      <c r="P33" s="138"/>
      <c r="Q33" s="144"/>
      <c r="R33" s="143"/>
      <c r="S33" s="138"/>
      <c r="T33" s="138"/>
      <c r="U33" s="144"/>
    </row>
    <row r="34" spans="1:21" ht="16.5" customHeight="1">
      <c r="A34" s="191" t="s">
        <v>212</v>
      </c>
      <c r="B34" s="143">
        <v>0</v>
      </c>
      <c r="C34" s="138">
        <v>232</v>
      </c>
      <c r="D34" s="138">
        <v>232</v>
      </c>
      <c r="E34" s="144">
        <f t="shared" si="0"/>
        <v>100</v>
      </c>
      <c r="F34" s="143">
        <v>2359</v>
      </c>
      <c r="G34" s="138">
        <v>2372</v>
      </c>
      <c r="H34" s="138">
        <v>2372</v>
      </c>
      <c r="I34" s="144">
        <f t="shared" si="1"/>
        <v>100</v>
      </c>
      <c r="J34" s="143"/>
      <c r="K34" s="138"/>
      <c r="L34" s="138"/>
      <c r="M34" s="144"/>
      <c r="N34" s="143"/>
      <c r="O34" s="138"/>
      <c r="P34" s="138"/>
      <c r="Q34" s="144"/>
      <c r="R34" s="143"/>
      <c r="S34" s="138"/>
      <c r="T34" s="138"/>
      <c r="U34" s="144"/>
    </row>
    <row r="35" spans="1:21" ht="16.5" customHeight="1">
      <c r="A35" s="191" t="s">
        <v>213</v>
      </c>
      <c r="B35" s="143">
        <v>0</v>
      </c>
      <c r="C35" s="138">
        <v>3447</v>
      </c>
      <c r="D35" s="138">
        <v>3447</v>
      </c>
      <c r="E35" s="144">
        <f t="shared" si="0"/>
        <v>100</v>
      </c>
      <c r="F35" s="143">
        <v>16935</v>
      </c>
      <c r="G35" s="138">
        <v>17010</v>
      </c>
      <c r="H35" s="138">
        <v>17010</v>
      </c>
      <c r="I35" s="144">
        <f t="shared" si="1"/>
        <v>100</v>
      </c>
      <c r="J35" s="143">
        <v>0</v>
      </c>
      <c r="K35" s="138">
        <v>787</v>
      </c>
      <c r="L35" s="138">
        <f>787-1</f>
        <v>786</v>
      </c>
      <c r="M35" s="144">
        <f>L35/K35*100</f>
        <v>99.87293519695044</v>
      </c>
      <c r="N35" s="143">
        <v>0</v>
      </c>
      <c r="O35" s="138">
        <v>1334</v>
      </c>
      <c r="P35" s="138">
        <v>1334</v>
      </c>
      <c r="Q35" s="144">
        <f t="shared" si="3"/>
        <v>100</v>
      </c>
      <c r="R35" s="143">
        <v>25000</v>
      </c>
      <c r="S35" s="138">
        <v>25007</v>
      </c>
      <c r="T35" s="138">
        <v>25007</v>
      </c>
      <c r="U35" s="144">
        <f>T35/S35*100</f>
        <v>100</v>
      </c>
    </row>
    <row r="36" spans="1:21" ht="16.5" customHeight="1">
      <c r="A36" s="191" t="s">
        <v>214</v>
      </c>
      <c r="B36" s="143">
        <v>0</v>
      </c>
      <c r="C36" s="138">
        <v>976</v>
      </c>
      <c r="D36" s="138">
        <v>976</v>
      </c>
      <c r="E36" s="144">
        <f t="shared" si="0"/>
        <v>100</v>
      </c>
      <c r="F36" s="143">
        <v>3431</v>
      </c>
      <c r="G36" s="138">
        <v>3435</v>
      </c>
      <c r="H36" s="138">
        <v>3435</v>
      </c>
      <c r="I36" s="144">
        <f t="shared" si="1"/>
        <v>100</v>
      </c>
      <c r="J36" s="143"/>
      <c r="K36" s="138"/>
      <c r="L36" s="138"/>
      <c r="M36" s="144"/>
      <c r="N36" s="143">
        <v>18</v>
      </c>
      <c r="O36" s="138">
        <v>36</v>
      </c>
      <c r="P36" s="138">
        <v>36</v>
      </c>
      <c r="Q36" s="144">
        <f t="shared" si="3"/>
        <v>100</v>
      </c>
      <c r="R36" s="143">
        <v>0</v>
      </c>
      <c r="S36" s="138">
        <v>724</v>
      </c>
      <c r="T36" s="138">
        <v>724</v>
      </c>
      <c r="U36" s="144">
        <f>T36/S36*100</f>
        <v>100</v>
      </c>
    </row>
    <row r="37" spans="1:21" ht="16.5" customHeight="1">
      <c r="A37" s="191" t="s">
        <v>215</v>
      </c>
      <c r="B37" s="143">
        <v>0</v>
      </c>
      <c r="C37" s="138">
        <v>1456</v>
      </c>
      <c r="D37" s="138">
        <f>1457-1</f>
        <v>1456</v>
      </c>
      <c r="E37" s="144">
        <f t="shared" si="0"/>
        <v>100</v>
      </c>
      <c r="F37" s="143">
        <v>9514</v>
      </c>
      <c r="G37" s="138">
        <v>9449</v>
      </c>
      <c r="H37" s="138">
        <v>9449</v>
      </c>
      <c r="I37" s="144">
        <f t="shared" si="1"/>
        <v>100</v>
      </c>
      <c r="J37" s="143"/>
      <c r="K37" s="138"/>
      <c r="L37" s="138"/>
      <c r="M37" s="144"/>
      <c r="N37" s="143"/>
      <c r="O37" s="138"/>
      <c r="P37" s="138"/>
      <c r="Q37" s="144"/>
      <c r="R37" s="143">
        <v>5000</v>
      </c>
      <c r="S37" s="138">
        <v>6006</v>
      </c>
      <c r="T37" s="138">
        <v>6006</v>
      </c>
      <c r="U37" s="144">
        <f>T37/S37*100</f>
        <v>100</v>
      </c>
    </row>
    <row r="38" spans="1:21" ht="16.5" customHeight="1">
      <c r="A38" s="191" t="s">
        <v>216</v>
      </c>
      <c r="B38" s="143"/>
      <c r="C38" s="138">
        <v>101</v>
      </c>
      <c r="D38" s="138">
        <v>101</v>
      </c>
      <c r="E38" s="144">
        <f t="shared" si="0"/>
        <v>100</v>
      </c>
      <c r="F38" s="143">
        <v>820</v>
      </c>
      <c r="G38" s="138">
        <v>819</v>
      </c>
      <c r="H38" s="138">
        <v>819</v>
      </c>
      <c r="I38" s="144">
        <f t="shared" si="1"/>
        <v>100</v>
      </c>
      <c r="J38" s="143"/>
      <c r="K38" s="138"/>
      <c r="L38" s="138"/>
      <c r="M38" s="144"/>
      <c r="N38" s="143">
        <v>54</v>
      </c>
      <c r="O38" s="138">
        <v>239</v>
      </c>
      <c r="P38" s="138">
        <v>217</v>
      </c>
      <c r="Q38" s="144">
        <f>P38/O38*100</f>
        <v>90.7949790794979</v>
      </c>
      <c r="R38" s="143"/>
      <c r="S38" s="138"/>
      <c r="T38" s="138"/>
      <c r="U38" s="144"/>
    </row>
    <row r="39" spans="1:21" ht="16.5" customHeight="1">
      <c r="A39" s="191" t="s">
        <v>217</v>
      </c>
      <c r="B39" s="143">
        <v>0</v>
      </c>
      <c r="C39" s="138">
        <v>71</v>
      </c>
      <c r="D39" s="138">
        <v>71</v>
      </c>
      <c r="E39" s="144">
        <f t="shared" si="0"/>
        <v>100</v>
      </c>
      <c r="F39" s="143">
        <v>833</v>
      </c>
      <c r="G39" s="138">
        <v>820</v>
      </c>
      <c r="H39" s="138">
        <v>820</v>
      </c>
      <c r="I39" s="144">
        <f t="shared" si="1"/>
        <v>100</v>
      </c>
      <c r="J39" s="143"/>
      <c r="K39" s="138"/>
      <c r="L39" s="138"/>
      <c r="M39" s="144"/>
      <c r="N39" s="143"/>
      <c r="O39" s="138"/>
      <c r="P39" s="138"/>
      <c r="Q39" s="144"/>
      <c r="R39" s="143"/>
      <c r="S39" s="138"/>
      <c r="T39" s="138"/>
      <c r="U39" s="144"/>
    </row>
    <row r="40" spans="1:21" ht="16.5" customHeight="1">
      <c r="A40" s="191" t="s">
        <v>218</v>
      </c>
      <c r="B40" s="143">
        <v>0</v>
      </c>
      <c r="C40" s="138">
        <v>71</v>
      </c>
      <c r="D40" s="138">
        <v>71</v>
      </c>
      <c r="E40" s="144">
        <f t="shared" si="0"/>
        <v>100</v>
      </c>
      <c r="F40" s="143">
        <v>276</v>
      </c>
      <c r="G40" s="138">
        <v>310</v>
      </c>
      <c r="H40" s="138">
        <v>310</v>
      </c>
      <c r="I40" s="144">
        <f t="shared" si="1"/>
        <v>100</v>
      </c>
      <c r="J40" s="143">
        <v>0</v>
      </c>
      <c r="K40" s="138">
        <v>234</v>
      </c>
      <c r="L40" s="138">
        <v>234</v>
      </c>
      <c r="M40" s="144">
        <f>L40/K40*100</f>
        <v>100</v>
      </c>
      <c r="N40" s="143">
        <v>0</v>
      </c>
      <c r="O40" s="138">
        <f>75+1</f>
        <v>76</v>
      </c>
      <c r="P40" s="138">
        <v>75</v>
      </c>
      <c r="Q40" s="144">
        <f>P40/O40*100</f>
        <v>98.68421052631578</v>
      </c>
      <c r="R40" s="143"/>
      <c r="S40" s="138"/>
      <c r="T40" s="138"/>
      <c r="U40" s="144"/>
    </row>
    <row r="41" spans="1:21" ht="15" customHeight="1" thickBot="1">
      <c r="A41" s="192" t="s">
        <v>219</v>
      </c>
      <c r="B41" s="157">
        <v>0</v>
      </c>
      <c r="C41" s="159">
        <v>71</v>
      </c>
      <c r="D41" s="159">
        <v>71</v>
      </c>
      <c r="E41" s="158">
        <f t="shared" si="0"/>
        <v>100</v>
      </c>
      <c r="F41" s="157">
        <v>370</v>
      </c>
      <c r="G41" s="159">
        <v>370</v>
      </c>
      <c r="H41" s="159">
        <v>370</v>
      </c>
      <c r="I41" s="158">
        <f t="shared" si="1"/>
        <v>100</v>
      </c>
      <c r="J41" s="157"/>
      <c r="K41" s="159"/>
      <c r="L41" s="159"/>
      <c r="M41" s="158"/>
      <c r="N41" s="157">
        <v>0</v>
      </c>
      <c r="O41" s="159">
        <v>18</v>
      </c>
      <c r="P41" s="159">
        <v>18</v>
      </c>
      <c r="Q41" s="158">
        <f>P41/O41*100</f>
        <v>100</v>
      </c>
      <c r="R41" s="157"/>
      <c r="S41" s="159"/>
      <c r="T41" s="159"/>
      <c r="U41" s="158"/>
    </row>
    <row r="42" spans="1:21" ht="15" customHeight="1" thickBot="1">
      <c r="A42" s="165"/>
      <c r="B42" s="145"/>
      <c r="C42" s="148"/>
      <c r="D42" s="148"/>
      <c r="E42" s="146"/>
      <c r="F42" s="145"/>
      <c r="G42" s="148"/>
      <c r="H42" s="148"/>
      <c r="I42" s="146"/>
      <c r="J42" s="145"/>
      <c r="K42" s="148"/>
      <c r="L42" s="148"/>
      <c r="M42" s="146"/>
      <c r="N42" s="145"/>
      <c r="O42" s="148"/>
      <c r="P42" s="148"/>
      <c r="Q42" s="146"/>
      <c r="R42" s="145"/>
      <c r="S42" s="148"/>
      <c r="T42" s="148"/>
      <c r="U42" s="146"/>
    </row>
    <row r="43" spans="1:21" s="82" customFormat="1" ht="18" customHeight="1" thickBot="1">
      <c r="A43" s="193" t="s">
        <v>245</v>
      </c>
      <c r="B43" s="149"/>
      <c r="C43" s="151">
        <f>SUM(C13:C42)</f>
        <v>38206</v>
      </c>
      <c r="D43" s="151">
        <f>SUM(D13:D41)</f>
        <v>38206</v>
      </c>
      <c r="E43" s="150">
        <f>D43/C43*100</f>
        <v>100</v>
      </c>
      <c r="F43" s="149">
        <f>SUM(F13:F41)</f>
        <v>243499</v>
      </c>
      <c r="G43" s="151">
        <f>SUM(G13:G41)</f>
        <v>243315</v>
      </c>
      <c r="H43" s="151">
        <f>SUM(H13:H41)</f>
        <v>243315</v>
      </c>
      <c r="I43" s="150">
        <f>H43/G43*100</f>
        <v>100</v>
      </c>
      <c r="J43" s="149">
        <f>SUM(J13:J41)</f>
        <v>4279</v>
      </c>
      <c r="K43" s="151">
        <f>SUM(K13:K42)</f>
        <v>10265</v>
      </c>
      <c r="L43" s="101">
        <f>SUM(L13:L42)</f>
        <v>10255</v>
      </c>
      <c r="M43" s="150">
        <f>L43/K43*100</f>
        <v>99.90258158792011</v>
      </c>
      <c r="N43" s="149">
        <f>SUM(N13:N41)</f>
        <v>2333</v>
      </c>
      <c r="O43" s="151">
        <f>SUM(O13:O41)</f>
        <v>20292</v>
      </c>
      <c r="P43" s="151">
        <f>SUM(P13:P41)</f>
        <v>18773</v>
      </c>
      <c r="Q43" s="150">
        <f>P43/O43*100</f>
        <v>92.51429134634338</v>
      </c>
      <c r="R43" s="149">
        <f>SUM(R13:R41)</f>
        <v>455915</v>
      </c>
      <c r="S43" s="151">
        <f>SUM(S13:S41)</f>
        <v>645590</v>
      </c>
      <c r="T43" s="101">
        <f>SUM(T13:T41)</f>
        <v>642670</v>
      </c>
      <c r="U43" s="150">
        <f>T43/S43*100</f>
        <v>99.54770055298255</v>
      </c>
    </row>
    <row r="44" ht="16.5" customHeight="1"/>
    <row r="45" ht="16.5" customHeight="1"/>
    <row r="46" spans="1:21" ht="31.5" customHeight="1">
      <c r="A46" s="82">
        <v>2012</v>
      </c>
      <c r="B46" s="44">
        <v>0</v>
      </c>
      <c r="C46" s="125">
        <v>38205</v>
      </c>
      <c r="D46" s="125">
        <v>38206</v>
      </c>
      <c r="E46" s="125"/>
      <c r="F46" s="125">
        <v>243499</v>
      </c>
      <c r="G46" s="125">
        <v>243315</v>
      </c>
      <c r="H46" s="125">
        <v>243315</v>
      </c>
      <c r="I46" s="125"/>
      <c r="J46" s="125">
        <v>4279.48</v>
      </c>
      <c r="K46" s="125">
        <v>10264.75</v>
      </c>
      <c r="L46" s="125">
        <v>10255</v>
      </c>
      <c r="M46" s="125"/>
      <c r="N46" s="125">
        <v>2333</v>
      </c>
      <c r="O46" s="125">
        <v>20291.78</v>
      </c>
      <c r="P46" s="125">
        <v>18773</v>
      </c>
      <c r="Q46" s="125"/>
      <c r="R46" s="125">
        <v>455915</v>
      </c>
      <c r="S46" s="125">
        <v>645590</v>
      </c>
      <c r="T46" s="125">
        <v>642670</v>
      </c>
      <c r="U46" s="125"/>
    </row>
    <row r="47" spans="3:21" ht="15.75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ht="22.5" customHeight="1">
      <c r="A48" s="82">
        <v>2011</v>
      </c>
      <c r="C48" s="125">
        <v>28150</v>
      </c>
      <c r="D48" s="125">
        <v>28150</v>
      </c>
      <c r="E48" s="125"/>
      <c r="F48" s="125">
        <v>243860</v>
      </c>
      <c r="G48" s="125">
        <v>244037</v>
      </c>
      <c r="H48" s="125">
        <v>244037</v>
      </c>
      <c r="I48" s="125"/>
      <c r="J48" s="125">
        <v>4964</v>
      </c>
      <c r="K48" s="125">
        <v>10848</v>
      </c>
      <c r="L48" s="125">
        <v>10848</v>
      </c>
      <c r="M48" s="125"/>
      <c r="N48" s="125">
        <v>7627</v>
      </c>
      <c r="O48" s="125">
        <v>157924</v>
      </c>
      <c r="P48" s="125">
        <v>153633</v>
      </c>
      <c r="Q48" s="125"/>
      <c r="R48" s="125">
        <v>436236</v>
      </c>
      <c r="S48" s="125">
        <v>514357</v>
      </c>
      <c r="T48" s="125">
        <v>478010</v>
      </c>
      <c r="U48" s="125"/>
    </row>
    <row r="49" spans="2:4" ht="15.75">
      <c r="B49" s="125">
        <f>D48+H48+L48+P48</f>
        <v>436668</v>
      </c>
      <c r="C49" s="125">
        <f>D49-B49</f>
        <v>-126119</v>
      </c>
      <c r="D49" s="44">
        <f>D43+H43+L43+P43</f>
        <v>310549</v>
      </c>
    </row>
    <row r="50" spans="3:4" ht="15.75">
      <c r="C50" s="44">
        <f>C49/B49*100</f>
        <v>-28.88212555076168</v>
      </c>
      <c r="D50" s="44">
        <f>D49/'Příjmy '!R41*100</f>
        <v>14.549832223097834</v>
      </c>
    </row>
    <row r="52" spans="4:20" ht="15.75">
      <c r="D52" s="44">
        <v>45023</v>
      </c>
      <c r="H52" s="44">
        <v>268014</v>
      </c>
      <c r="L52" s="44">
        <v>11350</v>
      </c>
      <c r="P52" s="44">
        <v>149901</v>
      </c>
      <c r="T52" s="44">
        <v>515165</v>
      </c>
    </row>
    <row r="54" spans="4:20" ht="15.75">
      <c r="D54" s="125">
        <f>D46-D48</f>
        <v>10056</v>
      </c>
      <c r="H54" s="125">
        <f>H46-H48</f>
        <v>-722</v>
      </c>
      <c r="L54" s="125">
        <f>L46-L48</f>
        <v>-593</v>
      </c>
      <c r="P54" s="125">
        <f>P46-P48</f>
        <v>-134860</v>
      </c>
      <c r="T54" s="125">
        <f>T46-T48</f>
        <v>164660</v>
      </c>
    </row>
    <row r="55" spans="4:20" ht="15.75">
      <c r="D55" s="44">
        <f>D54/D48*100</f>
        <v>35.72291296625222</v>
      </c>
      <c r="H55" s="44">
        <f>H54/H48*100</f>
        <v>-0.2958567758167819</v>
      </c>
      <c r="L55" s="44">
        <f>L54/L48*100</f>
        <v>-5.466445427728614</v>
      </c>
      <c r="P55" s="44">
        <f>P54/P48*100</f>
        <v>-87.780620049078</v>
      </c>
      <c r="T55" s="44">
        <f>T54/T48*100</f>
        <v>34.44697809669254</v>
      </c>
    </row>
  </sheetData>
  <sheetProtection/>
  <mergeCells count="30">
    <mergeCell ref="R11:U11"/>
    <mergeCell ref="R7:U7"/>
    <mergeCell ref="R8:U8"/>
    <mergeCell ref="N8:Q8"/>
    <mergeCell ref="B7:Q7"/>
    <mergeCell ref="B11:E11"/>
    <mergeCell ref="F11:I11"/>
    <mergeCell ref="J11:M11"/>
    <mergeCell ref="O9:O10"/>
    <mergeCell ref="P9:P10"/>
    <mergeCell ref="R9:R10"/>
    <mergeCell ref="S9:S10"/>
    <mergeCell ref="T9:T10"/>
    <mergeCell ref="N11:Q11"/>
    <mergeCell ref="A2:U2"/>
    <mergeCell ref="A4:U4"/>
    <mergeCell ref="A7:A10"/>
    <mergeCell ref="B8:D8"/>
    <mergeCell ref="F8:I8"/>
    <mergeCell ref="J8:M8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N9:N10"/>
  </mergeCells>
  <printOptions horizontalCentered="1" verticalCentered="1"/>
  <pageMargins left="0.3937007874015748" right="0.3937007874015748" top="0.7480314960629921" bottom="0.7480314960629921" header="0.5118110236220472" footer="0.5118110236220472"/>
  <pageSetup horizontalDpi="180" verticalDpi="180" orientation="landscape" paperSize="9" scale="56" r:id="rId3"/>
  <rowBreaks count="1" manualBreakCount="1">
    <brk id="43" max="2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showZeros="0" view="pageBreakPreview" zoomScale="70" zoomScaleNormal="70" zoomScaleSheetLayoutView="70" zoomScalePageLayoutView="0" workbookViewId="0" topLeftCell="A1">
      <pane xSplit="1" ySplit="13" topLeftCell="I14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H21" sqref="H21"/>
    </sheetView>
  </sheetViews>
  <sheetFormatPr defaultColWidth="8.796875" defaultRowHeight="15"/>
  <cols>
    <col min="1" max="1" width="28.09765625" style="82" customWidth="1"/>
    <col min="2" max="3" width="9.19921875" style="44" customWidth="1"/>
    <col min="4" max="4" width="10.296875" style="44" customWidth="1"/>
    <col min="5" max="5" width="5.69921875" style="44" customWidth="1"/>
    <col min="6" max="7" width="9.796875" style="44" customWidth="1"/>
    <col min="8" max="8" width="10.59765625" style="44" customWidth="1"/>
    <col min="9" max="9" width="5.796875" style="40" customWidth="1"/>
    <col min="10" max="11" width="8.69921875" style="40" customWidth="1"/>
    <col min="12" max="12" width="10.296875" style="40" customWidth="1"/>
    <col min="13" max="13" width="6.796875" style="40" customWidth="1"/>
    <col min="14" max="14" width="8.796875" style="40" customWidth="1"/>
    <col min="15" max="15" width="8.3984375" style="44" customWidth="1"/>
    <col min="16" max="16" width="9.8984375" style="44" customWidth="1"/>
    <col min="17" max="17" width="5.796875" style="44" customWidth="1"/>
    <col min="18" max="18" width="8.3984375" style="44" customWidth="1"/>
    <col min="19" max="19" width="8.19921875" style="44" customWidth="1"/>
    <col min="20" max="20" width="10.09765625" style="44" customWidth="1"/>
    <col min="21" max="21" width="6" style="44" customWidth="1"/>
    <col min="22" max="22" width="8" style="44" hidden="1" customWidth="1"/>
    <col min="23" max="23" width="7.796875" style="44" hidden="1" customWidth="1"/>
    <col min="24" max="24" width="10.19921875" style="44" hidden="1" customWidth="1"/>
    <col min="25" max="25" width="6" style="44" hidden="1" customWidth="1"/>
    <col min="26" max="26" width="7.59765625" style="44" hidden="1" customWidth="1"/>
    <col min="27" max="27" width="8.3984375" style="44" hidden="1" customWidth="1"/>
    <col min="28" max="28" width="9.8984375" style="44" hidden="1" customWidth="1"/>
    <col min="29" max="29" width="5.796875" style="44" hidden="1" customWidth="1"/>
    <col min="30" max="30" width="8.8984375" style="44" customWidth="1"/>
    <col min="31" max="31" width="11" style="44" customWidth="1"/>
    <col min="32" max="32" width="10.59765625" style="44" customWidth="1"/>
    <col min="33" max="33" width="10.796875" style="44" customWidth="1"/>
    <col min="34" max="34" width="16.8984375" style="44" bestFit="1" customWidth="1"/>
    <col min="35" max="35" width="13" style="44" customWidth="1"/>
    <col min="36" max="36" width="12.296875" style="44" customWidth="1"/>
    <col min="37" max="16384" width="8.8984375" style="44" customWidth="1"/>
  </cols>
  <sheetData>
    <row r="1" spans="1:13" ht="17.25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25" ht="24" customHeight="1">
      <c r="A2" s="293" t="s">
        <v>236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1:25" ht="15" customHeight="1">
      <c r="A3" s="293" t="s">
        <v>170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</row>
    <row r="4" spans="1:25" ht="21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21:29" ht="22.5" customHeight="1">
      <c r="U5" s="132" t="s">
        <v>188</v>
      </c>
      <c r="AC5" s="44" t="s">
        <v>188</v>
      </c>
    </row>
    <row r="6" spans="21:29" ht="22.5" customHeight="1" thickBot="1">
      <c r="U6" s="132" t="s">
        <v>1</v>
      </c>
      <c r="AC6" s="44" t="s">
        <v>1</v>
      </c>
    </row>
    <row r="7" spans="1:29" ht="18.75" customHeight="1" thickBot="1">
      <c r="A7" s="349" t="s">
        <v>229</v>
      </c>
      <c r="B7" s="352" t="s">
        <v>140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4"/>
      <c r="N7" s="352" t="s">
        <v>119</v>
      </c>
      <c r="O7" s="353"/>
      <c r="P7" s="353"/>
      <c r="Q7" s="354"/>
      <c r="R7" s="353" t="s">
        <v>137</v>
      </c>
      <c r="S7" s="353"/>
      <c r="T7" s="353"/>
      <c r="U7" s="354"/>
      <c r="V7" s="337" t="s">
        <v>90</v>
      </c>
      <c r="W7" s="337"/>
      <c r="X7" s="337"/>
      <c r="Y7" s="337"/>
      <c r="Z7" s="337"/>
      <c r="AA7" s="337"/>
      <c r="AB7" s="337"/>
      <c r="AC7" s="337"/>
    </row>
    <row r="8" spans="1:29" ht="18.75" customHeight="1" thickBot="1">
      <c r="A8" s="359"/>
      <c r="B8" s="201"/>
      <c r="C8" s="195"/>
      <c r="D8" s="195"/>
      <c r="E8" s="195"/>
      <c r="F8" s="371" t="s">
        <v>84</v>
      </c>
      <c r="G8" s="371"/>
      <c r="H8" s="371"/>
      <c r="I8" s="371"/>
      <c r="J8" s="199"/>
      <c r="K8" s="195"/>
      <c r="L8" s="195"/>
      <c r="M8" s="202"/>
      <c r="N8" s="204"/>
      <c r="O8" s="196"/>
      <c r="P8" s="196"/>
      <c r="Q8" s="197"/>
      <c r="R8" s="196"/>
      <c r="S8" s="196"/>
      <c r="T8" s="196"/>
      <c r="U8" s="197"/>
      <c r="Z8" s="337"/>
      <c r="AA8" s="337"/>
      <c r="AB8" s="337"/>
      <c r="AC8" s="337"/>
    </row>
    <row r="9" spans="1:29" ht="19.5" customHeight="1" thickBot="1">
      <c r="A9" s="359"/>
      <c r="B9" s="141"/>
      <c r="C9" s="147"/>
      <c r="D9" s="147"/>
      <c r="E9" s="147"/>
      <c r="F9" s="352" t="s">
        <v>85</v>
      </c>
      <c r="G9" s="353"/>
      <c r="H9" s="353"/>
      <c r="I9" s="354"/>
      <c r="J9" s="332" t="s">
        <v>136</v>
      </c>
      <c r="K9" s="332"/>
      <c r="L9" s="332"/>
      <c r="M9" s="305"/>
      <c r="N9" s="53"/>
      <c r="O9" s="147"/>
      <c r="P9" s="147"/>
      <c r="Q9" s="142"/>
      <c r="R9" s="147"/>
      <c r="S9" s="147"/>
      <c r="T9" s="147"/>
      <c r="U9" s="142"/>
      <c r="Z9" s="337"/>
      <c r="AA9" s="337"/>
      <c r="AB9" s="337"/>
      <c r="AC9" s="337"/>
    </row>
    <row r="10" spans="1:33" ht="15.75">
      <c r="A10" s="359"/>
      <c r="B10" s="333" t="s">
        <v>242</v>
      </c>
      <c r="C10" s="335" t="s">
        <v>244</v>
      </c>
      <c r="D10" s="335" t="s">
        <v>243</v>
      </c>
      <c r="E10" s="171" t="s">
        <v>0</v>
      </c>
      <c r="F10" s="333" t="s">
        <v>242</v>
      </c>
      <c r="G10" s="335" t="s">
        <v>244</v>
      </c>
      <c r="H10" s="335" t="s">
        <v>243</v>
      </c>
      <c r="I10" s="171" t="s">
        <v>0</v>
      </c>
      <c r="J10" s="374" t="s">
        <v>242</v>
      </c>
      <c r="K10" s="335" t="s">
        <v>244</v>
      </c>
      <c r="L10" s="335" t="s">
        <v>243</v>
      </c>
      <c r="M10" s="171" t="s">
        <v>0</v>
      </c>
      <c r="N10" s="333" t="s">
        <v>242</v>
      </c>
      <c r="O10" s="335" t="s">
        <v>244</v>
      </c>
      <c r="P10" s="335" t="s">
        <v>243</v>
      </c>
      <c r="Q10" s="171" t="s">
        <v>0</v>
      </c>
      <c r="R10" s="374" t="s">
        <v>242</v>
      </c>
      <c r="S10" s="335" t="s">
        <v>244</v>
      </c>
      <c r="T10" s="335" t="s">
        <v>243</v>
      </c>
      <c r="U10" s="171" t="s">
        <v>0</v>
      </c>
      <c r="V10" s="44" t="s">
        <v>32</v>
      </c>
      <c r="X10" s="44" t="s">
        <v>2</v>
      </c>
      <c r="Y10" s="44" t="s">
        <v>0</v>
      </c>
      <c r="Z10" s="44" t="s">
        <v>32</v>
      </c>
      <c r="AB10" s="44" t="s">
        <v>2</v>
      </c>
      <c r="AC10" s="44" t="s">
        <v>0</v>
      </c>
      <c r="AE10" s="337" t="s">
        <v>151</v>
      </c>
      <c r="AF10" s="337"/>
      <c r="AG10" s="337"/>
    </row>
    <row r="11" spans="1:29" ht="16.5" thickBot="1">
      <c r="A11" s="360"/>
      <c r="B11" s="334"/>
      <c r="C11" s="336"/>
      <c r="D11" s="336"/>
      <c r="E11" s="173" t="s">
        <v>11</v>
      </c>
      <c r="F11" s="334"/>
      <c r="G11" s="336"/>
      <c r="H11" s="336"/>
      <c r="I11" s="173" t="s">
        <v>11</v>
      </c>
      <c r="J11" s="375"/>
      <c r="K11" s="336"/>
      <c r="L11" s="336"/>
      <c r="M11" s="173" t="s">
        <v>11</v>
      </c>
      <c r="N11" s="334"/>
      <c r="O11" s="336"/>
      <c r="P11" s="336"/>
      <c r="Q11" s="173" t="s">
        <v>11</v>
      </c>
      <c r="R11" s="375"/>
      <c r="S11" s="336"/>
      <c r="T11" s="336"/>
      <c r="U11" s="173" t="s">
        <v>11</v>
      </c>
      <c r="V11" s="44" t="s">
        <v>34</v>
      </c>
      <c r="W11" s="44" t="s">
        <v>35</v>
      </c>
      <c r="X11" s="44" t="s">
        <v>167</v>
      </c>
      <c r="Y11" s="44" t="s">
        <v>11</v>
      </c>
      <c r="Z11" s="44" t="s">
        <v>34</v>
      </c>
      <c r="AA11" s="44" t="s">
        <v>35</v>
      </c>
      <c r="AB11" s="44" t="s">
        <v>190</v>
      </c>
      <c r="AC11" s="44" t="s">
        <v>11</v>
      </c>
    </row>
    <row r="12" spans="1:34" ht="15.75">
      <c r="A12" s="165"/>
      <c r="B12" s="355" t="s">
        <v>86</v>
      </c>
      <c r="C12" s="356"/>
      <c r="D12" s="356"/>
      <c r="E12" s="357"/>
      <c r="F12" s="141"/>
      <c r="G12" s="147"/>
      <c r="H12" s="147"/>
      <c r="I12" s="55"/>
      <c r="J12" s="372"/>
      <c r="K12" s="372"/>
      <c r="L12" s="372"/>
      <c r="M12" s="373"/>
      <c r="N12" s="355" t="s">
        <v>120</v>
      </c>
      <c r="O12" s="356"/>
      <c r="P12" s="356"/>
      <c r="Q12" s="357"/>
      <c r="R12" s="355" t="s">
        <v>138</v>
      </c>
      <c r="S12" s="356"/>
      <c r="T12" s="356"/>
      <c r="U12" s="357"/>
      <c r="V12" s="337" t="s">
        <v>93</v>
      </c>
      <c r="W12" s="337"/>
      <c r="X12" s="337"/>
      <c r="Y12" s="337"/>
      <c r="Z12" s="337" t="s">
        <v>178</v>
      </c>
      <c r="AA12" s="337"/>
      <c r="AB12" s="337"/>
      <c r="AC12" s="337"/>
      <c r="AE12" s="44" t="s">
        <v>12</v>
      </c>
      <c r="AF12" s="44" t="s">
        <v>13</v>
      </c>
      <c r="AG12" s="337" t="s">
        <v>92</v>
      </c>
      <c r="AH12" s="337"/>
    </row>
    <row r="13" spans="1:34" ht="16.5" thickBot="1">
      <c r="A13" s="165"/>
      <c r="B13" s="141"/>
      <c r="C13" s="147"/>
      <c r="D13" s="147"/>
      <c r="E13" s="142"/>
      <c r="F13" s="141"/>
      <c r="G13" s="147"/>
      <c r="H13" s="147"/>
      <c r="I13" s="55"/>
      <c r="J13" s="54"/>
      <c r="K13" s="54"/>
      <c r="L13" s="54"/>
      <c r="M13" s="55"/>
      <c r="N13" s="53"/>
      <c r="O13" s="147"/>
      <c r="P13" s="147"/>
      <c r="Q13" s="142"/>
      <c r="R13" s="147"/>
      <c r="S13" s="147"/>
      <c r="T13" s="147"/>
      <c r="U13" s="142"/>
      <c r="AH13" s="44" t="s">
        <v>220</v>
      </c>
    </row>
    <row r="14" spans="1:34" ht="15.75">
      <c r="A14" s="190" t="s">
        <v>191</v>
      </c>
      <c r="B14" s="154">
        <v>159269</v>
      </c>
      <c r="C14" s="156">
        <v>163350</v>
      </c>
      <c r="D14" s="156">
        <v>163250</v>
      </c>
      <c r="E14" s="155">
        <f aca="true" t="shared" si="0" ref="E14:E42">D14/C14*100</f>
        <v>99.93878175696358</v>
      </c>
      <c r="F14" s="154">
        <f aca="true" t="shared" si="1" ref="F14:F42">SUM(B14-J14)</f>
        <v>159269</v>
      </c>
      <c r="G14" s="156">
        <f aca="true" t="shared" si="2" ref="G14:G42">SUM(C14-K14)</f>
        <v>163350</v>
      </c>
      <c r="H14" s="156">
        <f aca="true" t="shared" si="3" ref="H14:H42">SUM(D14-L14)</f>
        <v>163250</v>
      </c>
      <c r="I14" s="76">
        <f aca="true" t="shared" si="4" ref="I14:I42">H14/G14*100</f>
        <v>99.93878175696358</v>
      </c>
      <c r="J14" s="180"/>
      <c r="K14" s="74"/>
      <c r="L14" s="74"/>
      <c r="M14" s="76"/>
      <c r="N14" s="73"/>
      <c r="O14" s="156"/>
      <c r="P14" s="156">
        <f>O14</f>
        <v>0</v>
      </c>
      <c r="Q14" s="155"/>
      <c r="R14" s="167"/>
      <c r="S14" s="156"/>
      <c r="T14" s="156"/>
      <c r="U14" s="155"/>
      <c r="AD14" s="44">
        <f aca="true" t="shared" si="5" ref="AD14:AD28">AH14-AG14</f>
        <v>15827.29892999999</v>
      </c>
      <c r="AE14" s="44" t="e">
        <f>'Transfery neinvestiční 2.5'!B13+'Transfery neinvestiční 2.5'!F13+'Transfery neinvestiční 2.5'!J13+'Transfery neinvestiční 2.5'!N13+'Transfery nein.2.5a'!B14+'Transfery nein.2.5a'!N14+'Transfery nein.2.5a'!V14+'Transfery nein.2.5a'!R14+'Transfery neinvestiční 2.5'!R13+'Transfery investiční'!#REF!+'Transfery investiční'!E13+'Transfery investiční'!I13+'Transfery investiční'!M13+'Transfery investiční'!Q13+'Transfery investiční'!U13+Z14+'Transfery investiční'!Y13</f>
        <v>#REF!</v>
      </c>
      <c r="AF14" s="44">
        <f>'Transfery neinvestiční 2.5'!C13+'Transfery neinvestiční 2.5'!G13+'Transfery neinvestiční 2.5'!K13+'Transfery neinvestiční 2.5'!O13+'Transfery nein.2.5a'!C14+'Transfery nein.2.5a'!O14+'Transfery nein.2.5a'!W14+'Transfery nein.2.5a'!S14+'Transfery neinvestiční 2.5'!S13+'Transfery investiční'!B13+'Transfery investiční'!F13+'Transfery investiční'!J13+'Transfery investiční'!N13+'Transfery investiční'!R13+'Transfery investiční'!V13+AA14+'Transfery investiční'!Z13</f>
        <v>342028</v>
      </c>
      <c r="AG14" s="44">
        <f>'Transfery neinvestiční 2.5'!D13+'Transfery neinvestiční 2.5'!H13+'Transfery neinvestiční 2.5'!L13+'Transfery neinvestiční 2.5'!P13+'Transfery nein.2.5a'!D14+'Transfery nein.2.5a'!P14+'Transfery nein.2.5a'!X14+'Transfery nein.2.5a'!T14+'Transfery neinvestiční 2.5'!T13+'Transfery investiční'!C13+'Transfery investiční'!G13+'Transfery investiční'!K13+'Transfery investiční'!O13+'Transfery investiční'!S13+'Transfery investiční'!W13+AB14+'Transfery investiční'!AA13</f>
        <v>335859</v>
      </c>
      <c r="AH14" s="44">
        <f>'Transfery investiční'!AD13/1000*-1</f>
        <v>351686.29893</v>
      </c>
    </row>
    <row r="15" spans="1:34" ht="15.75">
      <c r="A15" s="191" t="s">
        <v>192</v>
      </c>
      <c r="B15" s="143">
        <v>32242</v>
      </c>
      <c r="C15" s="138">
        <v>33114</v>
      </c>
      <c r="D15" s="138">
        <v>33114</v>
      </c>
      <c r="E15" s="144">
        <f t="shared" si="0"/>
        <v>100</v>
      </c>
      <c r="F15" s="143">
        <f t="shared" si="1"/>
        <v>32242</v>
      </c>
      <c r="G15" s="138">
        <f t="shared" si="2"/>
        <v>33073</v>
      </c>
      <c r="H15" s="138">
        <f t="shared" si="3"/>
        <v>33073</v>
      </c>
      <c r="I15" s="57">
        <f t="shared" si="4"/>
        <v>100</v>
      </c>
      <c r="J15" s="153"/>
      <c r="K15" s="48">
        <v>41</v>
      </c>
      <c r="L15" s="48">
        <v>41</v>
      </c>
      <c r="M15" s="57">
        <f>L15/K15*100</f>
        <v>100</v>
      </c>
      <c r="N15" s="56">
        <v>0</v>
      </c>
      <c r="O15" s="138">
        <v>212</v>
      </c>
      <c r="P15" s="138">
        <v>212</v>
      </c>
      <c r="Q15" s="144">
        <f>P15/O15*100</f>
        <v>100</v>
      </c>
      <c r="R15" s="139"/>
      <c r="S15" s="138"/>
      <c r="T15" s="138"/>
      <c r="U15" s="144"/>
      <c r="AD15" s="44">
        <f t="shared" si="5"/>
        <v>3322.7350000000006</v>
      </c>
      <c r="AE15" s="44" t="e">
        <f>'Transfery neinvestiční 2.5'!B14+'Transfery neinvestiční 2.5'!F14+'Transfery neinvestiční 2.5'!J14+'Transfery neinvestiční 2.5'!N14+'Transfery nein.2.5a'!B15+'Transfery nein.2.5a'!N15+'Transfery nein.2.5a'!V15+'Transfery nein.2.5a'!R15+'Transfery neinvestiční 2.5'!R14+'Transfery investiční'!#REF!+'Transfery investiční'!E14+'Transfery investiční'!I14+'Transfery investiční'!M14+'Transfery investiční'!Q14+'Transfery investiční'!U14+Z15+'Transfery investiční'!Y14</f>
        <v>#REF!</v>
      </c>
      <c r="AF15" s="44">
        <f>'Transfery neinvestiční 2.5'!C14+'Transfery neinvestiční 2.5'!G14+'Transfery neinvestiční 2.5'!K14+'Transfery neinvestiční 2.5'!O14+'Transfery nein.2.5a'!C15+'Transfery nein.2.5a'!O15+'Transfery nein.2.5a'!W15+'Transfery nein.2.5a'!S15+'Transfery neinvestiční 2.5'!S14+'Transfery investiční'!B14+'Transfery investiční'!F14+'Transfery investiční'!J14+'Transfery investiční'!N14+'Transfery investiční'!R14+'Transfery investiční'!V14+AA15+'Transfery investiční'!Z14</f>
        <v>51633</v>
      </c>
      <c r="AG15" s="44">
        <f>'Transfery neinvestiční 2.5'!D14+'Transfery neinvestiční 2.5'!H14+'Transfery neinvestiční 2.5'!L14+'Transfery neinvestiční 2.5'!P14+'Transfery nein.2.5a'!D15+'Transfery nein.2.5a'!P15+'Transfery nein.2.5a'!X15+'Transfery nein.2.5a'!T15+'Transfery neinvestiční 2.5'!T14+'Transfery investiční'!C14+'Transfery investiční'!G14+'Transfery investiční'!K14+'Transfery investiční'!O14+'Transfery investiční'!S14+'Transfery investiční'!W14+AB15+'Transfery investiční'!AA14</f>
        <v>51633</v>
      </c>
      <c r="AH15" s="44">
        <f>'Transfery investiční'!AD14/1000*-1</f>
        <v>54955.735</v>
      </c>
    </row>
    <row r="16" spans="1:34" ht="15.75">
      <c r="A16" s="191" t="s">
        <v>193</v>
      </c>
      <c r="B16" s="143">
        <v>30043</v>
      </c>
      <c r="C16" s="138">
        <v>29998</v>
      </c>
      <c r="D16" s="138">
        <v>29998</v>
      </c>
      <c r="E16" s="144">
        <f t="shared" si="0"/>
        <v>100</v>
      </c>
      <c r="F16" s="143">
        <f t="shared" si="1"/>
        <v>29868</v>
      </c>
      <c r="G16" s="138">
        <f t="shared" si="2"/>
        <v>29779</v>
      </c>
      <c r="H16" s="138">
        <f t="shared" si="3"/>
        <v>29779</v>
      </c>
      <c r="I16" s="57">
        <f t="shared" si="4"/>
        <v>100</v>
      </c>
      <c r="J16" s="153">
        <v>175</v>
      </c>
      <c r="K16" s="48">
        <v>219</v>
      </c>
      <c r="L16" s="48">
        <v>219</v>
      </c>
      <c r="M16" s="57">
        <f>L16/K16*100</f>
        <v>100</v>
      </c>
      <c r="N16" s="56"/>
      <c r="O16" s="138"/>
      <c r="P16" s="138">
        <f>O16</f>
        <v>0</v>
      </c>
      <c r="Q16" s="144"/>
      <c r="R16" s="139"/>
      <c r="S16" s="138"/>
      <c r="T16" s="138"/>
      <c r="U16" s="144"/>
      <c r="AD16" s="44">
        <f t="shared" si="5"/>
        <v>-110391.95832</v>
      </c>
      <c r="AE16" s="44" t="e">
        <f>'Transfery neinvestiční 2.5'!B15+'Transfery neinvestiční 2.5'!F15+'Transfery neinvestiční 2.5'!J15+'Transfery neinvestiční 2.5'!N15+'Transfery nein.2.5a'!B16+'Transfery nein.2.5a'!N16+'Transfery nein.2.5a'!V16+'Transfery nein.2.5a'!R16+'Transfery neinvestiční 2.5'!R15+'Transfery investiční'!#REF!+'Transfery investiční'!E15+'Transfery investiční'!I15+'Transfery investiční'!M15+'Transfery investiční'!Q15+'Transfery investiční'!U15+Z16+'Transfery investiční'!Y15</f>
        <v>#REF!</v>
      </c>
      <c r="AF16" s="44">
        <f>'Transfery neinvestiční 2.5'!C15+'Transfery neinvestiční 2.5'!G15+'Transfery neinvestiční 2.5'!K15+'Transfery neinvestiční 2.5'!O15+'Transfery nein.2.5a'!C16+'Transfery nein.2.5a'!O16+'Transfery nein.2.5a'!W16+'Transfery nein.2.5a'!S16+'Transfery neinvestiční 2.5'!S15+'Transfery investiční'!B15+'Transfery investiční'!F15+'Transfery investiční'!J15+'Transfery investiční'!N15+'Transfery investiční'!R15+'Transfery investiční'!V15+AA16+'Transfery investiční'!Z15</f>
        <v>171415</v>
      </c>
      <c r="AG16" s="44">
        <f>'Transfery neinvestiční 2.5'!D15+'Transfery neinvestiční 2.5'!H15+'Transfery neinvestiční 2.5'!L15+'Transfery neinvestiční 2.5'!P15+'Transfery nein.2.5a'!D16+'Transfery nein.2.5a'!P16+'Transfery nein.2.5a'!X16+'Transfery nein.2.5a'!T16+'Transfery neinvestiční 2.5'!T15+'Transfery investiční'!C15+'Transfery investiční'!G15+'Transfery investiční'!K15+'Transfery investiční'!O15+'Transfery investiční'!S15+'Transfery investiční'!W15+AB16+'Transfery investiční'!AA15</f>
        <v>170606</v>
      </c>
      <c r="AH16" s="44">
        <f>'Transfery investiční'!AD15/1000*-1</f>
        <v>60214.04168</v>
      </c>
    </row>
    <row r="17" spans="1:34" ht="15.75">
      <c r="A17" s="191" t="s">
        <v>194</v>
      </c>
      <c r="B17" s="143">
        <v>22739</v>
      </c>
      <c r="C17" s="138">
        <v>23032</v>
      </c>
      <c r="D17" s="138">
        <v>22942</v>
      </c>
      <c r="E17" s="144">
        <f t="shared" si="0"/>
        <v>99.60923931920806</v>
      </c>
      <c r="F17" s="143">
        <f t="shared" si="1"/>
        <v>22739</v>
      </c>
      <c r="G17" s="138">
        <f t="shared" si="2"/>
        <v>22942</v>
      </c>
      <c r="H17" s="138">
        <f t="shared" si="3"/>
        <v>22942</v>
      </c>
      <c r="I17" s="57">
        <f t="shared" si="4"/>
        <v>100</v>
      </c>
      <c r="J17" s="153"/>
      <c r="K17" s="48">
        <v>90</v>
      </c>
      <c r="L17" s="48">
        <v>0</v>
      </c>
      <c r="M17" s="57"/>
      <c r="N17" s="56"/>
      <c r="O17" s="138"/>
      <c r="P17" s="138">
        <f>O17</f>
        <v>0</v>
      </c>
      <c r="Q17" s="144"/>
      <c r="R17" s="139"/>
      <c r="S17" s="138">
        <v>532</v>
      </c>
      <c r="T17" s="138">
        <v>532</v>
      </c>
      <c r="U17" s="144">
        <f>T17/S17*100</f>
        <v>100</v>
      </c>
      <c r="AD17" s="44">
        <f t="shared" si="5"/>
        <v>-15640.372750000002</v>
      </c>
      <c r="AE17" s="44" t="e">
        <f>'Transfery neinvestiční 2.5'!B16+'Transfery neinvestiční 2.5'!F16+'Transfery neinvestiční 2.5'!J16+'Transfery neinvestiční 2.5'!N16+'Transfery nein.2.5a'!B17+'Transfery nein.2.5a'!N17+'Transfery nein.2.5a'!V17+'Transfery nein.2.5a'!R17+'Transfery neinvestiční 2.5'!R16+'Transfery investiční'!#REF!+'Transfery investiční'!E16+'Transfery investiční'!I16+'Transfery investiční'!M16+'Transfery investiční'!Q16+'Transfery investiční'!U16+Z17+'Transfery investiční'!Y16</f>
        <v>#REF!</v>
      </c>
      <c r="AF17" s="44">
        <f>'Transfery neinvestiční 2.5'!C16+'Transfery neinvestiční 2.5'!G16+'Transfery neinvestiční 2.5'!K16+'Transfery neinvestiční 2.5'!O16+'Transfery nein.2.5a'!C17+'Transfery nein.2.5a'!O17+'Transfery nein.2.5a'!W17+'Transfery nein.2.5a'!S17+'Transfery neinvestiční 2.5'!S16+'Transfery investiční'!B16+'Transfery investiční'!F16+'Transfery investiční'!J16+'Transfery investiční'!N16+'Transfery investiční'!R16+'Transfery investiční'!V16+AA17+'Transfery investiční'!Z16</f>
        <v>78765</v>
      </c>
      <c r="AG17" s="44">
        <f>'Transfery neinvestiční 2.5'!D16+'Transfery neinvestiční 2.5'!H16+'Transfery neinvestiční 2.5'!L16+'Transfery neinvestiční 2.5'!P16+'Transfery nein.2.5a'!D17+'Transfery nein.2.5a'!P17+'Transfery nein.2.5a'!X17+'Transfery nein.2.5a'!T17+'Transfery neinvestiční 2.5'!T16+'Transfery investiční'!C16+'Transfery investiční'!G16+'Transfery investiční'!K16+'Transfery investiční'!O16+'Transfery investiční'!S16+'Transfery investiční'!W16+AB17+'Transfery investiční'!AA16</f>
        <v>78676</v>
      </c>
      <c r="AH17" s="44">
        <f>'Transfery investiční'!AD16/1000*-1</f>
        <v>63035.62725</v>
      </c>
    </row>
    <row r="18" spans="1:34" ht="15.75">
      <c r="A18" s="191" t="s">
        <v>195</v>
      </c>
      <c r="B18" s="143">
        <v>27900</v>
      </c>
      <c r="C18" s="138">
        <v>27977</v>
      </c>
      <c r="D18" s="138">
        <v>27977</v>
      </c>
      <c r="E18" s="144">
        <f t="shared" si="0"/>
        <v>100</v>
      </c>
      <c r="F18" s="143">
        <f t="shared" si="1"/>
        <v>27900</v>
      </c>
      <c r="G18" s="138">
        <f t="shared" si="2"/>
        <v>27977</v>
      </c>
      <c r="H18" s="138">
        <f t="shared" si="3"/>
        <v>27977</v>
      </c>
      <c r="I18" s="57">
        <f t="shared" si="4"/>
        <v>100</v>
      </c>
      <c r="J18" s="153"/>
      <c r="K18" s="48"/>
      <c r="L18" s="48"/>
      <c r="M18" s="57"/>
      <c r="N18" s="56"/>
      <c r="O18" s="138"/>
      <c r="P18" s="138">
        <f>O18</f>
        <v>0</v>
      </c>
      <c r="Q18" s="144"/>
      <c r="R18" s="139"/>
      <c r="S18" s="138"/>
      <c r="T18" s="138"/>
      <c r="U18" s="144"/>
      <c r="AD18" s="44">
        <f t="shared" si="5"/>
        <v>-4061.5670000000027</v>
      </c>
      <c r="AE18" s="44" t="e">
        <f>'Transfery neinvestiční 2.5'!B17+'Transfery neinvestiční 2.5'!F17+'Transfery neinvestiční 2.5'!J17+'Transfery neinvestiční 2.5'!N17+'Transfery nein.2.5a'!B18+'Transfery nein.2.5a'!N18+'Transfery nein.2.5a'!V18+'Transfery nein.2.5a'!R18+'Transfery neinvestiční 2.5'!R17+'Transfery investiční'!#REF!+'Transfery investiční'!E17+'Transfery investiční'!I17+'Transfery investiční'!M17+'Transfery investiční'!Q17+'Transfery investiční'!U17+Z18+'Transfery investiční'!Y17</f>
        <v>#REF!</v>
      </c>
      <c r="AF18" s="44">
        <f>'Transfery neinvestiční 2.5'!C17+'Transfery neinvestiční 2.5'!G17+'Transfery neinvestiční 2.5'!K17+'Transfery neinvestiční 2.5'!O17+'Transfery nein.2.5a'!C18+'Transfery nein.2.5a'!O18+'Transfery nein.2.5a'!W18+'Transfery nein.2.5a'!S18+'Transfery neinvestiční 2.5'!S17+'Transfery investiční'!B17+'Transfery investiční'!F17+'Transfery investiční'!J17+'Transfery investiční'!N17+'Transfery investiční'!R17+'Transfery investiční'!V17+AA18+'Transfery investiční'!Z17</f>
        <v>58309</v>
      </c>
      <c r="AG18" s="44">
        <f>'Transfery neinvestiční 2.5'!D17+'Transfery neinvestiční 2.5'!H17+'Transfery neinvestiční 2.5'!L17+'Transfery neinvestiční 2.5'!P17+'Transfery nein.2.5a'!D18+'Transfery nein.2.5a'!P18+'Transfery nein.2.5a'!X18+'Transfery nein.2.5a'!T18+'Transfery neinvestiční 2.5'!T17+'Transfery investiční'!C17+'Transfery investiční'!G17+'Transfery investiční'!K17+'Transfery investiční'!O17+'Transfery investiční'!S17+'Transfery investiční'!W17+AB18+'Transfery investiční'!AA17</f>
        <v>58309</v>
      </c>
      <c r="AH18" s="44">
        <f>'Transfery investiční'!AD17/1000*-1</f>
        <v>54247.433</v>
      </c>
    </row>
    <row r="19" spans="1:34" ht="15.75">
      <c r="A19" s="191" t="s">
        <v>196</v>
      </c>
      <c r="B19" s="143">
        <v>8325</v>
      </c>
      <c r="C19" s="138">
        <v>8252</v>
      </c>
      <c r="D19" s="138">
        <v>8252</v>
      </c>
      <c r="E19" s="144">
        <f t="shared" si="0"/>
        <v>100</v>
      </c>
      <c r="F19" s="143">
        <f t="shared" si="1"/>
        <v>8325</v>
      </c>
      <c r="G19" s="138">
        <f t="shared" si="2"/>
        <v>8252</v>
      </c>
      <c r="H19" s="138">
        <f t="shared" si="3"/>
        <v>8252</v>
      </c>
      <c r="I19" s="57">
        <f t="shared" si="4"/>
        <v>100</v>
      </c>
      <c r="J19" s="153"/>
      <c r="K19" s="48"/>
      <c r="L19" s="48"/>
      <c r="M19" s="57"/>
      <c r="N19" s="56"/>
      <c r="O19" s="138"/>
      <c r="P19" s="138">
        <f>O19</f>
        <v>0</v>
      </c>
      <c r="Q19" s="144"/>
      <c r="R19" s="139"/>
      <c r="S19" s="138"/>
      <c r="T19" s="138"/>
      <c r="U19" s="144"/>
      <c r="AD19" s="44">
        <f t="shared" si="5"/>
        <v>1008.1939999999995</v>
      </c>
      <c r="AE19" s="44" t="e">
        <f>'Transfery neinvestiční 2.5'!B18+'Transfery neinvestiční 2.5'!F18+'Transfery neinvestiční 2.5'!J18+'Transfery neinvestiční 2.5'!N18+'Transfery nein.2.5a'!B19+'Transfery nein.2.5a'!N19+'Transfery nein.2.5a'!V19+'Transfery nein.2.5a'!R19+'Transfery neinvestiční 2.5'!R18+'Transfery investiční'!#REF!+'Transfery investiční'!E18+'Transfery investiční'!I18+'Transfery investiční'!M18+'Transfery investiční'!Q18+'Transfery investiční'!U18+Z19+'Transfery investiční'!Y18</f>
        <v>#REF!</v>
      </c>
      <c r="AF19" s="44">
        <f>'Transfery neinvestiční 2.5'!C18+'Transfery neinvestiční 2.5'!G18+'Transfery neinvestiční 2.5'!K18+'Transfery neinvestiční 2.5'!O18+'Transfery nein.2.5a'!C19+'Transfery nein.2.5a'!O19+'Transfery nein.2.5a'!W19+'Transfery nein.2.5a'!S19+'Transfery neinvestiční 2.5'!S18+'Transfery investiční'!B18+'Transfery investiční'!F18+'Transfery investiční'!J18+'Transfery investiční'!N18+'Transfery investiční'!R18+'Transfery investiční'!V18+AA19+'Transfery investiční'!Z18</f>
        <v>9821</v>
      </c>
      <c r="AG19" s="44">
        <f>'Transfery neinvestiční 2.5'!D18+'Transfery neinvestiční 2.5'!H18+'Transfery neinvestiční 2.5'!L18+'Transfery neinvestiční 2.5'!P18+'Transfery nein.2.5a'!D19+'Transfery nein.2.5a'!P19+'Transfery nein.2.5a'!X19+'Transfery nein.2.5a'!T19+'Transfery neinvestiční 2.5'!T18+'Transfery investiční'!C18+'Transfery investiční'!G18+'Transfery investiční'!K18+'Transfery investiční'!O18+'Transfery investiční'!S18+'Transfery investiční'!W18+AB19+'Transfery investiční'!AA18</f>
        <v>9821</v>
      </c>
      <c r="AH19" s="44">
        <f>'Transfery investiční'!AD18/1000*-1</f>
        <v>10829.194</v>
      </c>
    </row>
    <row r="20" spans="1:34" ht="15.75">
      <c r="A20" s="191" t="s">
        <v>197</v>
      </c>
      <c r="B20" s="143">
        <v>57493</v>
      </c>
      <c r="C20" s="138">
        <v>63328</v>
      </c>
      <c r="D20" s="138">
        <v>63328</v>
      </c>
      <c r="E20" s="144">
        <f t="shared" si="0"/>
        <v>100</v>
      </c>
      <c r="F20" s="143">
        <f t="shared" si="1"/>
        <v>57493</v>
      </c>
      <c r="G20" s="138">
        <f t="shared" si="2"/>
        <v>63259</v>
      </c>
      <c r="H20" s="138">
        <f t="shared" si="3"/>
        <v>63259</v>
      </c>
      <c r="I20" s="57">
        <f t="shared" si="4"/>
        <v>100</v>
      </c>
      <c r="J20" s="153"/>
      <c r="K20" s="48">
        <v>69</v>
      </c>
      <c r="L20" s="48">
        <v>69</v>
      </c>
      <c r="M20" s="57">
        <f>L20/K20*100</f>
        <v>100</v>
      </c>
      <c r="N20" s="56"/>
      <c r="O20" s="138"/>
      <c r="P20" s="138">
        <f>O20</f>
        <v>0</v>
      </c>
      <c r="Q20" s="144"/>
      <c r="R20" s="139"/>
      <c r="S20" s="138"/>
      <c r="T20" s="138"/>
      <c r="U20" s="144"/>
      <c r="AD20" s="44">
        <f t="shared" si="5"/>
        <v>-30793.44429</v>
      </c>
      <c r="AE20" s="44" t="e">
        <f>'Transfery neinvestiční 2.5'!B19+'Transfery neinvestiční 2.5'!F19+'Transfery neinvestiční 2.5'!J19+'Transfery neinvestiční 2.5'!N19+'Transfery nein.2.5a'!B20+'Transfery nein.2.5a'!N20+'Transfery nein.2.5a'!V20+'Transfery nein.2.5a'!R20+'Transfery neinvestiční 2.5'!R19+'Transfery investiční'!#REF!+'Transfery investiční'!E19+'Transfery investiční'!I19+'Transfery investiční'!M19+'Transfery investiční'!Q19+'Transfery investiční'!U19+Z20+'Transfery investiční'!Y19</f>
        <v>#REF!</v>
      </c>
      <c r="AF20" s="44">
        <f>'Transfery neinvestiční 2.5'!C19+'Transfery neinvestiční 2.5'!G19+'Transfery neinvestiční 2.5'!K19+'Transfery neinvestiční 2.5'!O19+'Transfery nein.2.5a'!C20+'Transfery nein.2.5a'!O20+'Transfery nein.2.5a'!W20+'Transfery nein.2.5a'!S20+'Transfery neinvestiční 2.5'!S19+'Transfery investiční'!B19+'Transfery investiční'!F19+'Transfery investiční'!J19+'Transfery investiční'!N19+'Transfery investiční'!R19+'Transfery investiční'!V19+AA20+'Transfery investiční'!Z19</f>
        <v>122576</v>
      </c>
      <c r="AG20" s="44">
        <f>'Transfery neinvestiční 2.5'!D19+'Transfery neinvestiční 2.5'!H19+'Transfery neinvestiční 2.5'!L19+'Transfery neinvestiční 2.5'!P19+'Transfery nein.2.5a'!D20+'Transfery nein.2.5a'!P20+'Transfery nein.2.5a'!X20+'Transfery nein.2.5a'!T20+'Transfery neinvestiční 2.5'!T19+'Transfery investiční'!C19+'Transfery investiční'!G19+'Transfery investiční'!K19+'Transfery investiční'!O19+'Transfery investiční'!S19+'Transfery investiční'!W19+AB20+'Transfery investiční'!AA19</f>
        <v>122407</v>
      </c>
      <c r="AH20" s="44">
        <f>'Transfery investiční'!AD19/1000*-1</f>
        <v>91613.55571</v>
      </c>
    </row>
    <row r="21" spans="1:34" ht="15.75">
      <c r="A21" s="191" t="s">
        <v>198</v>
      </c>
      <c r="B21" s="143">
        <v>68847</v>
      </c>
      <c r="C21" s="138">
        <v>70372</v>
      </c>
      <c r="D21" s="138">
        <v>70372</v>
      </c>
      <c r="E21" s="144">
        <f t="shared" si="0"/>
        <v>100</v>
      </c>
      <c r="F21" s="143">
        <f t="shared" si="1"/>
        <v>68697</v>
      </c>
      <c r="G21" s="138">
        <f t="shared" si="2"/>
        <v>70005</v>
      </c>
      <c r="H21" s="138">
        <f t="shared" si="3"/>
        <v>70005</v>
      </c>
      <c r="I21" s="57">
        <f t="shared" si="4"/>
        <v>100</v>
      </c>
      <c r="J21" s="153">
        <v>150</v>
      </c>
      <c r="K21" s="48">
        <v>367</v>
      </c>
      <c r="L21" s="48">
        <v>367</v>
      </c>
      <c r="M21" s="57">
        <f>L21/K21*100</f>
        <v>100</v>
      </c>
      <c r="N21" s="56"/>
      <c r="O21" s="138"/>
      <c r="P21" s="138">
        <f>O21</f>
        <v>0</v>
      </c>
      <c r="Q21" s="144"/>
      <c r="R21" s="139"/>
      <c r="S21" s="138"/>
      <c r="T21" s="138"/>
      <c r="U21" s="144"/>
      <c r="AD21" s="44">
        <f t="shared" si="5"/>
        <v>11575.435129999998</v>
      </c>
      <c r="AE21" s="44" t="e">
        <f>'Transfery neinvestiční 2.5'!B20+'Transfery neinvestiční 2.5'!F20+'Transfery neinvestiční 2.5'!J20+'Transfery neinvestiční 2.5'!N20+'Transfery nein.2.5a'!B21+'Transfery nein.2.5a'!N21+'Transfery nein.2.5a'!V21+'Transfery nein.2.5a'!R21+'Transfery neinvestiční 2.5'!R20+'Transfery investiční'!#REF!+'Transfery investiční'!E20+'Transfery investiční'!I20+'Transfery investiční'!M20+'Transfery investiční'!Q20+'Transfery investiční'!U20+Z21+'Transfery investiční'!Y20</f>
        <v>#REF!</v>
      </c>
      <c r="AF21" s="44">
        <f>'Transfery neinvestiční 2.5'!C20+'Transfery neinvestiční 2.5'!G20+'Transfery neinvestiční 2.5'!K20+'Transfery neinvestiční 2.5'!O20+'Transfery nein.2.5a'!C21+'Transfery nein.2.5a'!O21+'Transfery nein.2.5a'!W21+'Transfery nein.2.5a'!S21+'Transfery neinvestiční 2.5'!S20+'Transfery investiční'!B20+'Transfery investiční'!F20+'Transfery investiční'!J20+'Transfery investiční'!N20+'Transfery investiční'!R20+'Transfery investiční'!V20+AA21+'Transfery investiční'!Z20</f>
        <v>166979</v>
      </c>
      <c r="AG21" s="44">
        <f>'Transfery neinvestiční 2.5'!D20+'Transfery neinvestiční 2.5'!H20+'Transfery neinvestiční 2.5'!L20+'Transfery neinvestiční 2.5'!P20+'Transfery nein.2.5a'!D21+'Transfery nein.2.5a'!P21+'Transfery nein.2.5a'!X21+'Transfery nein.2.5a'!T21+'Transfery neinvestiční 2.5'!T20+'Transfery investiční'!C20+'Transfery investiční'!G20+'Transfery investiční'!K20+'Transfery investiční'!O20+'Transfery investiční'!S20+'Transfery investiční'!W20+AB21+'Transfery investiční'!AA20</f>
        <v>166980</v>
      </c>
      <c r="AH21" s="44">
        <f>'Transfery investiční'!AD20/1000*-1</f>
        <v>178555.43513</v>
      </c>
    </row>
    <row r="22" spans="1:34" ht="15.75">
      <c r="A22" s="191" t="s">
        <v>199</v>
      </c>
      <c r="B22" s="143">
        <v>7971</v>
      </c>
      <c r="C22" s="138">
        <v>7944</v>
      </c>
      <c r="D22" s="138">
        <v>7944</v>
      </c>
      <c r="E22" s="144">
        <f t="shared" si="0"/>
        <v>100</v>
      </c>
      <c r="F22" s="143">
        <f t="shared" si="1"/>
        <v>7971</v>
      </c>
      <c r="G22" s="138">
        <f t="shared" si="2"/>
        <v>7944</v>
      </c>
      <c r="H22" s="138">
        <f t="shared" si="3"/>
        <v>7944</v>
      </c>
      <c r="I22" s="57">
        <f t="shared" si="4"/>
        <v>100</v>
      </c>
      <c r="J22" s="153"/>
      <c r="K22" s="48"/>
      <c r="L22" s="48"/>
      <c r="M22" s="57"/>
      <c r="N22" s="56"/>
      <c r="O22" s="138"/>
      <c r="P22" s="138">
        <f>O22</f>
        <v>0</v>
      </c>
      <c r="Q22" s="144"/>
      <c r="R22" s="139"/>
      <c r="S22" s="138"/>
      <c r="T22" s="138"/>
      <c r="U22" s="144"/>
      <c r="AD22" s="44">
        <f t="shared" si="5"/>
        <v>1260</v>
      </c>
      <c r="AE22" s="44" t="e">
        <f>'Transfery neinvestiční 2.5'!B21+'Transfery neinvestiční 2.5'!F21+'Transfery neinvestiční 2.5'!J21+'Transfery neinvestiční 2.5'!N21+'Transfery nein.2.5a'!B22+'Transfery nein.2.5a'!N22+'Transfery nein.2.5a'!V22+'Transfery nein.2.5a'!R22+'Transfery neinvestiční 2.5'!R21+'Transfery investiční'!#REF!+'Transfery investiční'!E21+'Transfery investiční'!I21+'Transfery investiční'!M21+'Transfery investiční'!Q21+'Transfery investiční'!U21+Z22+'Transfery investiční'!Y21</f>
        <v>#REF!</v>
      </c>
      <c r="AF22" s="44">
        <f>'Transfery neinvestiční 2.5'!C21+'Transfery neinvestiční 2.5'!G21+'Transfery neinvestiční 2.5'!K21+'Transfery neinvestiční 2.5'!O21+'Transfery nein.2.5a'!C22+'Transfery nein.2.5a'!O22+'Transfery nein.2.5a'!W22+'Transfery nein.2.5a'!S22+'Transfery neinvestiční 2.5'!S21+'Transfery investiční'!B21+'Transfery investiční'!F21+'Transfery investiční'!J21+'Transfery investiční'!N21+'Transfery investiční'!R21+'Transfery investiční'!V21+AA22+'Transfery investiční'!Z21</f>
        <v>8557</v>
      </c>
      <c r="AG22" s="44">
        <f>'Transfery neinvestiční 2.5'!D21+'Transfery neinvestiční 2.5'!H21+'Transfery neinvestiční 2.5'!L21+'Transfery neinvestiční 2.5'!P21+'Transfery nein.2.5a'!D22+'Transfery nein.2.5a'!P22+'Transfery nein.2.5a'!X22+'Transfery nein.2.5a'!T22+'Transfery neinvestiční 2.5'!T21+'Transfery investiční'!C21+'Transfery investiční'!G21+'Transfery investiční'!K21+'Transfery investiční'!O21+'Transfery investiční'!S21+'Transfery investiční'!W21+AB22+'Transfery investiční'!AA21</f>
        <v>8557</v>
      </c>
      <c r="AH22" s="44">
        <f>'Transfery investiční'!AD21/1000*-1</f>
        <v>9817</v>
      </c>
    </row>
    <row r="23" spans="1:34" ht="15.75">
      <c r="A23" s="191" t="s">
        <v>200</v>
      </c>
      <c r="B23" s="143">
        <v>19220</v>
      </c>
      <c r="C23" s="138">
        <v>19818</v>
      </c>
      <c r="D23" s="138">
        <v>19818</v>
      </c>
      <c r="E23" s="144">
        <f t="shared" si="0"/>
        <v>100</v>
      </c>
      <c r="F23" s="143">
        <f t="shared" si="1"/>
        <v>19196</v>
      </c>
      <c r="G23" s="138">
        <f t="shared" si="2"/>
        <v>19794</v>
      </c>
      <c r="H23" s="138">
        <f t="shared" si="3"/>
        <v>19794</v>
      </c>
      <c r="I23" s="57">
        <f t="shared" si="4"/>
        <v>100</v>
      </c>
      <c r="J23" s="153">
        <v>24</v>
      </c>
      <c r="K23" s="48">
        <v>24</v>
      </c>
      <c r="L23" s="48">
        <v>24</v>
      </c>
      <c r="M23" s="57">
        <f>L23/K23*100</f>
        <v>100</v>
      </c>
      <c r="N23" s="56">
        <v>0</v>
      </c>
      <c r="O23" s="138">
        <v>20</v>
      </c>
      <c r="P23" s="138">
        <v>20</v>
      </c>
      <c r="Q23" s="144">
        <f aca="true" t="shared" si="6" ref="Q23:Q32">P23/O23*100</f>
        <v>100</v>
      </c>
      <c r="R23" s="139"/>
      <c r="S23" s="138"/>
      <c r="T23" s="138"/>
      <c r="U23" s="144"/>
      <c r="AD23" s="44">
        <f t="shared" si="5"/>
        <v>9322.845179999997</v>
      </c>
      <c r="AE23" s="44" t="e">
        <f>'Transfery neinvestiční 2.5'!B22+'Transfery neinvestiční 2.5'!F22+'Transfery neinvestiční 2.5'!J22+'Transfery neinvestiční 2.5'!N22+'Transfery nein.2.5a'!B23+'Transfery nein.2.5a'!N23+'Transfery nein.2.5a'!V23+'Transfery nein.2.5a'!R23+'Transfery neinvestiční 2.5'!R22+'Transfery investiční'!#REF!+'Transfery investiční'!E22+'Transfery investiční'!I22+'Transfery investiční'!M22+'Transfery investiční'!Q22+'Transfery investiční'!U22+Z23+'Transfery investiční'!Y22</f>
        <v>#REF!</v>
      </c>
      <c r="AF23" s="44">
        <f>'Transfery neinvestiční 2.5'!C22+'Transfery neinvestiční 2.5'!G22+'Transfery neinvestiční 2.5'!K22+'Transfery neinvestiční 2.5'!O22+'Transfery nein.2.5a'!C23+'Transfery nein.2.5a'!O23+'Transfery nein.2.5a'!W23+'Transfery nein.2.5a'!S23+'Transfery neinvestiční 2.5'!S22+'Transfery investiční'!B22+'Transfery investiční'!F22+'Transfery investiční'!J22+'Transfery investiční'!N22+'Transfery investiční'!R22+'Transfery investiční'!V22+AA23+'Transfery investiční'!Z22</f>
        <v>34859</v>
      </c>
      <c r="AG23" s="44">
        <f>'Transfery neinvestiční 2.5'!D22+'Transfery neinvestiční 2.5'!H22+'Transfery neinvestiční 2.5'!L22+'Transfery neinvestiční 2.5'!P22+'Transfery nein.2.5a'!D23+'Transfery nein.2.5a'!P23+'Transfery nein.2.5a'!X23+'Transfery nein.2.5a'!T23+'Transfery neinvestiční 2.5'!T22+'Transfery investiční'!C22+'Transfery investiční'!G22+'Transfery investiční'!K22+'Transfery investiční'!O22+'Transfery investiční'!S22+'Transfery investiční'!W22+AB23+'Transfery investiční'!AA22</f>
        <v>35738</v>
      </c>
      <c r="AH23" s="44">
        <f>'Transfery investiční'!AD22/1000*-1</f>
        <v>45060.84518</v>
      </c>
    </row>
    <row r="24" spans="1:34" ht="15.75">
      <c r="A24" s="191" t="s">
        <v>201</v>
      </c>
      <c r="B24" s="143">
        <v>9710</v>
      </c>
      <c r="C24" s="138">
        <v>9967</v>
      </c>
      <c r="D24" s="138">
        <v>9967</v>
      </c>
      <c r="E24" s="144">
        <f t="shared" si="0"/>
        <v>100</v>
      </c>
      <c r="F24" s="143">
        <f t="shared" si="1"/>
        <v>9710</v>
      </c>
      <c r="G24" s="138">
        <f t="shared" si="2"/>
        <v>9967</v>
      </c>
      <c r="H24" s="138">
        <f t="shared" si="3"/>
        <v>9967</v>
      </c>
      <c r="I24" s="57">
        <f t="shared" si="4"/>
        <v>100</v>
      </c>
      <c r="J24" s="153"/>
      <c r="K24" s="48"/>
      <c r="L24" s="48"/>
      <c r="M24" s="57"/>
      <c r="N24" s="56">
        <v>0</v>
      </c>
      <c r="O24" s="138">
        <v>1</v>
      </c>
      <c r="P24" s="138">
        <v>1</v>
      </c>
      <c r="Q24" s="144">
        <f t="shared" si="6"/>
        <v>100</v>
      </c>
      <c r="R24" s="139"/>
      <c r="S24" s="138"/>
      <c r="T24" s="138"/>
      <c r="U24" s="144"/>
      <c r="AD24" s="44">
        <f t="shared" si="5"/>
        <v>-4242.889999999999</v>
      </c>
      <c r="AE24" s="44" t="e">
        <f>'Transfery neinvestiční 2.5'!B23+'Transfery neinvestiční 2.5'!F23+'Transfery neinvestiční 2.5'!J23+'Transfery neinvestiční 2.5'!N23+'Transfery nein.2.5a'!B24+'Transfery nein.2.5a'!N24+'Transfery nein.2.5a'!V24+'Transfery nein.2.5a'!R24+'Transfery neinvestiční 2.5'!R23+'Transfery investiční'!#REF!+'Transfery investiční'!E23+'Transfery investiční'!I23+'Transfery investiční'!M23+'Transfery investiční'!Q23+'Transfery investiční'!U23+Z24+'Transfery investiční'!Y23</f>
        <v>#REF!</v>
      </c>
      <c r="AF24" s="44">
        <f>'Transfery neinvestiční 2.5'!C23+'Transfery neinvestiční 2.5'!G23+'Transfery neinvestiční 2.5'!K23+'Transfery neinvestiční 2.5'!O23+'Transfery nein.2.5a'!C24+'Transfery nein.2.5a'!O24+'Transfery nein.2.5a'!W24+'Transfery nein.2.5a'!S24+'Transfery neinvestiční 2.5'!S23+'Transfery investiční'!B23+'Transfery investiční'!F23+'Transfery investiční'!J23+'Transfery investiční'!N23+'Transfery investiční'!R23+'Transfery investiční'!V23+AA24+'Transfery investiční'!Z23</f>
        <v>22388</v>
      </c>
      <c r="AG24" s="44">
        <f>'Transfery neinvestiční 2.5'!D23+'Transfery neinvestiční 2.5'!H23+'Transfery neinvestiční 2.5'!L23+'Transfery neinvestiční 2.5'!P23+'Transfery nein.2.5a'!D24+'Transfery nein.2.5a'!P24+'Transfery nein.2.5a'!X24+'Transfery nein.2.5a'!T24+'Transfery neinvestiční 2.5'!T23+'Transfery investiční'!C23+'Transfery investiční'!G23+'Transfery investiční'!K23+'Transfery investiční'!O23+'Transfery investiční'!S23+'Transfery investiční'!W23+AB24+'Transfery investiční'!AA23</f>
        <v>20331</v>
      </c>
      <c r="AH24" s="44">
        <f>'Transfery investiční'!AD23/1000*-1</f>
        <v>16088.11</v>
      </c>
    </row>
    <row r="25" spans="1:34" ht="15.75">
      <c r="A25" s="191" t="s">
        <v>202</v>
      </c>
      <c r="B25" s="143">
        <v>12827</v>
      </c>
      <c r="C25" s="138">
        <v>13189</v>
      </c>
      <c r="D25" s="138">
        <v>13189</v>
      </c>
      <c r="E25" s="144">
        <f t="shared" si="0"/>
        <v>100</v>
      </c>
      <c r="F25" s="143">
        <f t="shared" si="1"/>
        <v>12827</v>
      </c>
      <c r="G25" s="138">
        <f t="shared" si="2"/>
        <v>13189</v>
      </c>
      <c r="H25" s="138">
        <f t="shared" si="3"/>
        <v>13189</v>
      </c>
      <c r="I25" s="57">
        <f t="shared" si="4"/>
        <v>100</v>
      </c>
      <c r="J25" s="153"/>
      <c r="K25" s="48"/>
      <c r="L25" s="48"/>
      <c r="M25" s="57"/>
      <c r="N25" s="56">
        <v>0</v>
      </c>
      <c r="O25" s="138">
        <v>1</v>
      </c>
      <c r="P25" s="138">
        <v>1</v>
      </c>
      <c r="Q25" s="144">
        <f t="shared" si="6"/>
        <v>100</v>
      </c>
      <c r="R25" s="139"/>
      <c r="S25" s="138"/>
      <c r="T25" s="138"/>
      <c r="U25" s="144"/>
      <c r="AD25" s="44">
        <f t="shared" si="5"/>
        <v>7661.145</v>
      </c>
      <c r="AE25" s="44" t="e">
        <f>'Transfery neinvestiční 2.5'!B24+'Transfery neinvestiční 2.5'!F24+'Transfery neinvestiční 2.5'!J24+'Transfery neinvestiční 2.5'!N24+'Transfery nein.2.5a'!B25+'Transfery nein.2.5a'!N25+'Transfery nein.2.5a'!V25+'Transfery nein.2.5a'!R25+'Transfery neinvestiční 2.5'!R24+'Transfery investiční'!#REF!+'Transfery investiční'!E24+'Transfery investiční'!I24+'Transfery investiční'!M24+'Transfery investiční'!Q24+'Transfery investiční'!U24+Z25+'Transfery investiční'!Y24</f>
        <v>#REF!</v>
      </c>
      <c r="AF25" s="44">
        <f>'Transfery neinvestiční 2.5'!C24+'Transfery neinvestiční 2.5'!G24+'Transfery neinvestiční 2.5'!K24+'Transfery neinvestiční 2.5'!O24+'Transfery nein.2.5a'!C25+'Transfery nein.2.5a'!O25+'Transfery nein.2.5a'!W25+'Transfery nein.2.5a'!S25+'Transfery neinvestiční 2.5'!S24+'Transfery investiční'!B24+'Transfery investiční'!F24+'Transfery investiční'!J24+'Transfery investiční'!N24+'Transfery investiční'!R24+'Transfery investiční'!V24+AA25+'Transfery investiční'!Z24</f>
        <v>15951</v>
      </c>
      <c r="AG25" s="44">
        <f>'Transfery neinvestiční 2.5'!D24+'Transfery neinvestiční 2.5'!H24+'Transfery neinvestiční 2.5'!L24+'Transfery neinvestiční 2.5'!P24+'Transfery nein.2.5a'!D25+'Transfery nein.2.5a'!P25+'Transfery nein.2.5a'!X25+'Transfery nein.2.5a'!T25+'Transfery neinvestiční 2.5'!T24+'Transfery investiční'!C24+'Transfery investiční'!G24+'Transfery investiční'!K24+'Transfery investiční'!O24+'Transfery investiční'!S24+'Transfery investiční'!W24+AB25+'Transfery investiční'!AA24</f>
        <v>15951</v>
      </c>
      <c r="AH25" s="44">
        <f>'Transfery investiční'!AD24/1000*-1</f>
        <v>23612.145</v>
      </c>
    </row>
    <row r="26" spans="1:34" ht="15.75">
      <c r="A26" s="191" t="s">
        <v>203</v>
      </c>
      <c r="B26" s="143">
        <v>114728</v>
      </c>
      <c r="C26" s="138">
        <v>115879</v>
      </c>
      <c r="D26" s="138">
        <v>115879</v>
      </c>
      <c r="E26" s="144">
        <f t="shared" si="0"/>
        <v>100</v>
      </c>
      <c r="F26" s="143">
        <f t="shared" si="1"/>
        <v>114528</v>
      </c>
      <c r="G26" s="138">
        <f t="shared" si="2"/>
        <v>115509</v>
      </c>
      <c r="H26" s="138">
        <f t="shared" si="3"/>
        <v>115509</v>
      </c>
      <c r="I26" s="57">
        <f t="shared" si="4"/>
        <v>100</v>
      </c>
      <c r="J26" s="153">
        <f>200</f>
        <v>200</v>
      </c>
      <c r="K26" s="48">
        <v>370</v>
      </c>
      <c r="L26" s="48">
        <v>370</v>
      </c>
      <c r="M26" s="57">
        <f>L26/K26*100</f>
        <v>100</v>
      </c>
      <c r="N26" s="56">
        <v>0</v>
      </c>
      <c r="O26" s="138">
        <v>2070</v>
      </c>
      <c r="P26" s="138">
        <v>2070</v>
      </c>
      <c r="Q26" s="144">
        <f t="shared" si="6"/>
        <v>100</v>
      </c>
      <c r="R26" s="139"/>
      <c r="S26" s="138"/>
      <c r="T26" s="138"/>
      <c r="U26" s="144"/>
      <c r="AD26" s="44">
        <f t="shared" si="5"/>
        <v>11987.236700000009</v>
      </c>
      <c r="AE26" s="44" t="e">
        <f>'Transfery neinvestiční 2.5'!B25+'Transfery neinvestiční 2.5'!F25+'Transfery neinvestiční 2.5'!J25+'Transfery neinvestiční 2.5'!N25+'Transfery nein.2.5a'!B26+'Transfery nein.2.5a'!N26+'Transfery nein.2.5a'!V26+'Transfery nein.2.5a'!R26+'Transfery neinvestiční 2.5'!R25+'Transfery investiční'!#REF!+'Transfery investiční'!E25+'Transfery investiční'!I25+'Transfery investiční'!M25+'Transfery investiční'!Q25+'Transfery investiční'!U25+Z26+'Transfery investiční'!Y25</f>
        <v>#REF!</v>
      </c>
      <c r="AF26" s="44">
        <f>'Transfery neinvestiční 2.5'!C25+'Transfery neinvestiční 2.5'!G25+'Transfery neinvestiční 2.5'!K25+'Transfery neinvestiční 2.5'!O25+'Transfery nein.2.5a'!C26+'Transfery nein.2.5a'!O26+'Transfery nein.2.5a'!W26+'Transfery nein.2.5a'!S26+'Transfery neinvestiční 2.5'!S25+'Transfery investiční'!B25+'Transfery investiční'!F25+'Transfery investiční'!J25+'Transfery investiční'!N25+'Transfery investiční'!R25+'Transfery investiční'!V25+AA26+'Transfery investiční'!Z25</f>
        <v>256090</v>
      </c>
      <c r="AG26" s="44">
        <f>'Transfery neinvestiční 2.5'!D25+'Transfery neinvestiční 2.5'!H25+'Transfery neinvestiční 2.5'!L25+'Transfery neinvestiční 2.5'!P25+'Transfery nein.2.5a'!D26+'Transfery nein.2.5a'!P26+'Transfery nein.2.5a'!X26+'Transfery nein.2.5a'!T26+'Transfery neinvestiční 2.5'!T25+'Transfery investiční'!C25+'Transfery investiční'!G25+'Transfery investiční'!K25+'Transfery investiční'!O25+'Transfery investiční'!S25+'Transfery investiční'!W25+AB26+'Transfery investiční'!AA25</f>
        <v>254919</v>
      </c>
      <c r="AH26" s="44">
        <f>'Transfery investiční'!AD25/1000*-1</f>
        <v>266906.2367</v>
      </c>
    </row>
    <row r="27" spans="1:34" ht="15.75">
      <c r="A27" s="191" t="s">
        <v>204</v>
      </c>
      <c r="B27" s="143">
        <v>19105</v>
      </c>
      <c r="C27" s="138">
        <v>19123</v>
      </c>
      <c r="D27" s="138">
        <v>19123</v>
      </c>
      <c r="E27" s="144">
        <f t="shared" si="0"/>
        <v>100</v>
      </c>
      <c r="F27" s="143">
        <f t="shared" si="1"/>
        <v>19105</v>
      </c>
      <c r="G27" s="138">
        <f t="shared" si="2"/>
        <v>19123</v>
      </c>
      <c r="H27" s="138">
        <f t="shared" si="3"/>
        <v>19123</v>
      </c>
      <c r="I27" s="57">
        <f t="shared" si="4"/>
        <v>100</v>
      </c>
      <c r="J27" s="153"/>
      <c r="K27" s="48"/>
      <c r="L27" s="48"/>
      <c r="M27" s="57"/>
      <c r="N27" s="56">
        <v>0</v>
      </c>
      <c r="O27" s="138">
        <v>2</v>
      </c>
      <c r="P27" s="138">
        <v>2</v>
      </c>
      <c r="Q27" s="144">
        <f t="shared" si="6"/>
        <v>100</v>
      </c>
      <c r="R27" s="139"/>
      <c r="S27" s="138"/>
      <c r="T27" s="138"/>
      <c r="U27" s="144"/>
      <c r="AD27" s="44">
        <f t="shared" si="5"/>
        <v>-314.5620000000017</v>
      </c>
      <c r="AE27" s="44" t="e">
        <f>'Transfery neinvestiční 2.5'!B26+'Transfery neinvestiční 2.5'!F26+'Transfery neinvestiční 2.5'!J26+'Transfery neinvestiční 2.5'!N26+'Transfery nein.2.5a'!B27+'Transfery nein.2.5a'!N27+'Transfery nein.2.5a'!V27+'Transfery nein.2.5a'!R27+'Transfery neinvestiční 2.5'!R26+'Transfery investiční'!#REF!+'Transfery investiční'!E26+'Transfery investiční'!I26+'Transfery investiční'!M26+'Transfery investiční'!Q26+'Transfery investiční'!U26+Z27+'Transfery investiční'!Y26</f>
        <v>#REF!</v>
      </c>
      <c r="AF27" s="44">
        <f>'Transfery neinvestiční 2.5'!C26+'Transfery neinvestiční 2.5'!G26+'Transfery neinvestiční 2.5'!K26+'Transfery neinvestiční 2.5'!O26+'Transfery nein.2.5a'!C27+'Transfery nein.2.5a'!O27+'Transfery nein.2.5a'!W27+'Transfery nein.2.5a'!S27+'Transfery neinvestiční 2.5'!S26+'Transfery investiční'!B26+'Transfery investiční'!F26+'Transfery investiční'!J26+'Transfery investiční'!N26+'Transfery investiční'!R26+'Transfery investiční'!V26+AA27+'Transfery investiční'!Z26</f>
        <v>26581</v>
      </c>
      <c r="AG27" s="44">
        <f>'Transfery neinvestiční 2.5'!D26+'Transfery neinvestiční 2.5'!H26+'Transfery neinvestiční 2.5'!L26+'Transfery neinvestiční 2.5'!P26+'Transfery nein.2.5a'!D27+'Transfery nein.2.5a'!P27+'Transfery nein.2.5a'!X27+'Transfery nein.2.5a'!T27+'Transfery neinvestiční 2.5'!T26+'Transfery investiční'!C26+'Transfery investiční'!G26+'Transfery investiční'!K26+'Transfery investiční'!O26+'Transfery investiční'!S26+'Transfery investiční'!W26+AB27+'Transfery investiční'!AA26</f>
        <v>26566</v>
      </c>
      <c r="AH27" s="44">
        <f>'Transfery investiční'!AD26/1000*-1</f>
        <v>26251.438</v>
      </c>
    </row>
    <row r="28" spans="1:34" ht="15.75">
      <c r="A28" s="191" t="s">
        <v>205</v>
      </c>
      <c r="B28" s="143">
        <v>63696</v>
      </c>
      <c r="C28" s="138">
        <v>66868</v>
      </c>
      <c r="D28" s="138">
        <v>66868</v>
      </c>
      <c r="E28" s="144">
        <f t="shared" si="0"/>
        <v>100</v>
      </c>
      <c r="F28" s="143">
        <f t="shared" si="1"/>
        <v>63696</v>
      </c>
      <c r="G28" s="138">
        <f t="shared" si="2"/>
        <v>66868</v>
      </c>
      <c r="H28" s="138">
        <f t="shared" si="3"/>
        <v>66868</v>
      </c>
      <c r="I28" s="57">
        <f t="shared" si="4"/>
        <v>100</v>
      </c>
      <c r="J28" s="153"/>
      <c r="K28" s="48"/>
      <c r="L28" s="48"/>
      <c r="M28" s="57"/>
      <c r="N28" s="56">
        <v>0</v>
      </c>
      <c r="O28" s="138">
        <v>114</v>
      </c>
      <c r="P28" s="138">
        <v>114</v>
      </c>
      <c r="Q28" s="144">
        <f t="shared" si="6"/>
        <v>100</v>
      </c>
      <c r="R28" s="139"/>
      <c r="S28" s="138"/>
      <c r="T28" s="138"/>
      <c r="U28" s="144"/>
      <c r="AD28" s="44">
        <f t="shared" si="5"/>
        <v>8326.419569999998</v>
      </c>
      <c r="AE28" s="44" t="e">
        <f>'Transfery neinvestiční 2.5'!B27+'Transfery neinvestiční 2.5'!F27+'Transfery neinvestiční 2.5'!J27+'Transfery neinvestiční 2.5'!N27+'Transfery nein.2.5a'!B28+'Transfery nein.2.5a'!N28+'Transfery nein.2.5a'!V28+'Transfery nein.2.5a'!R28+'Transfery neinvestiční 2.5'!R27+'Transfery investiční'!#REF!+'Transfery investiční'!E27+'Transfery investiční'!I27+'Transfery investiční'!M27+'Transfery investiční'!Q27+'Transfery investiční'!U27+Z28+'Transfery investiční'!Y27</f>
        <v>#REF!</v>
      </c>
      <c r="AF28" s="44">
        <f>'Transfery neinvestiční 2.5'!C27+'Transfery neinvestiční 2.5'!G27+'Transfery neinvestiční 2.5'!K27+'Transfery neinvestiční 2.5'!O27+'Transfery nein.2.5a'!C28+'Transfery nein.2.5a'!O28+'Transfery nein.2.5a'!W28+'Transfery nein.2.5a'!S28+'Transfery neinvestiční 2.5'!S27+'Transfery investiční'!B27+'Transfery investiční'!F27+'Transfery investiční'!J27+'Transfery investiční'!N27+'Transfery investiční'!R27+'Transfery investiční'!V27+AA28+'Transfery investiční'!Z27</f>
        <v>144470</v>
      </c>
      <c r="AG28" s="44">
        <f>'Transfery neinvestiční 2.5'!D27+'Transfery neinvestiční 2.5'!H27+'Transfery neinvestiční 2.5'!L27+'Transfery neinvestiční 2.5'!P27+'Transfery nein.2.5a'!D28+'Transfery nein.2.5a'!P28+'Transfery nein.2.5a'!X28+'Transfery nein.2.5a'!T28+'Transfery neinvestiční 2.5'!T27+'Transfery investiční'!C27+'Transfery investiční'!G27+'Transfery investiční'!K27+'Transfery investiční'!O27+'Transfery investiční'!S27+'Transfery investiční'!W27+AB28+'Transfery investiční'!AA27</f>
        <v>144440</v>
      </c>
      <c r="AH28" s="44">
        <f>'Transfery investiční'!AD27/1000*-1</f>
        <v>152766.41957</v>
      </c>
    </row>
    <row r="29" spans="1:34" ht="15.75">
      <c r="A29" s="191" t="s">
        <v>206</v>
      </c>
      <c r="B29" s="143">
        <v>20618</v>
      </c>
      <c r="C29" s="138">
        <v>20570</v>
      </c>
      <c r="D29" s="138">
        <v>20570</v>
      </c>
      <c r="E29" s="144">
        <f t="shared" si="0"/>
        <v>100</v>
      </c>
      <c r="F29" s="143">
        <f t="shared" si="1"/>
        <v>20618</v>
      </c>
      <c r="G29" s="138">
        <f t="shared" si="2"/>
        <v>20570</v>
      </c>
      <c r="H29" s="138">
        <f t="shared" si="3"/>
        <v>20570</v>
      </c>
      <c r="I29" s="57">
        <f t="shared" si="4"/>
        <v>100</v>
      </c>
      <c r="J29" s="153"/>
      <c r="K29" s="48"/>
      <c r="L29" s="48"/>
      <c r="M29" s="57"/>
      <c r="N29" s="56">
        <v>0</v>
      </c>
      <c r="O29" s="138">
        <v>50</v>
      </c>
      <c r="P29" s="138">
        <v>50</v>
      </c>
      <c r="Q29" s="144">
        <f t="shared" si="6"/>
        <v>100</v>
      </c>
      <c r="R29" s="139"/>
      <c r="S29" s="138"/>
      <c r="T29" s="138"/>
      <c r="U29" s="144"/>
      <c r="AD29" s="44">
        <f>AH29-AG29</f>
        <v>-4719.236830000002</v>
      </c>
      <c r="AE29" s="44" t="e">
        <f>'Transfery neinvestiční 2.5'!B28+'Transfery neinvestiční 2.5'!F28+'Transfery neinvestiční 2.5'!J28+'Transfery neinvestiční 2.5'!N28+'Transfery nein.2.5a'!B29+'Transfery nein.2.5a'!N29+'Transfery nein.2.5a'!V29+'Transfery nein.2.5a'!R29+'Transfery neinvestiční 2.5'!R28+'Transfery investiční'!#REF!+'Transfery investiční'!E28+'Transfery investiční'!I28+'Transfery investiční'!M28+'Transfery investiční'!Q28+'Transfery investiční'!U28+Z29+'Transfery investiční'!Y28</f>
        <v>#REF!</v>
      </c>
      <c r="AF29" s="44">
        <f>'Transfery neinvestiční 2.5'!C28+'Transfery neinvestiční 2.5'!G28+'Transfery neinvestiční 2.5'!K28+'Transfery neinvestiční 2.5'!O28+'Transfery nein.2.5a'!C29+'Transfery nein.2.5a'!O29+'Transfery nein.2.5a'!W29+'Transfery nein.2.5a'!S29+'Transfery neinvestiční 2.5'!S28+'Transfery investiční'!B28+'Transfery investiční'!F28+'Transfery investiční'!J28+'Transfery investiční'!N28+'Transfery investiční'!R28+'Transfery investiční'!V28+AA29+'Transfery investiční'!Z28</f>
        <v>52717</v>
      </c>
      <c r="AG29" s="44">
        <f>'Transfery neinvestiční 2.5'!D28+'Transfery neinvestiční 2.5'!H28+'Transfery neinvestiční 2.5'!L28+'Transfery neinvestiční 2.5'!P28+'Transfery nein.2.5a'!D29+'Transfery nein.2.5a'!P29+'Transfery nein.2.5a'!X29+'Transfery nein.2.5a'!T29+'Transfery neinvestiční 2.5'!T28+'Transfery investiční'!C28+'Transfery investiční'!G28+'Transfery investiční'!K28+'Transfery investiční'!O28+'Transfery investiční'!S28+'Transfery investiční'!W28+AB29+'Transfery investiční'!AA28</f>
        <v>54005</v>
      </c>
      <c r="AH29" s="44">
        <f>'Transfery investiční'!AD28/1000*-1</f>
        <v>49285.76317</v>
      </c>
    </row>
    <row r="30" spans="1:34" ht="15.75">
      <c r="A30" s="191" t="s">
        <v>207</v>
      </c>
      <c r="B30" s="143">
        <v>30855</v>
      </c>
      <c r="C30" s="138">
        <v>31057</v>
      </c>
      <c r="D30" s="138">
        <v>31057</v>
      </c>
      <c r="E30" s="144">
        <f t="shared" si="0"/>
        <v>100</v>
      </c>
      <c r="F30" s="143">
        <f t="shared" si="1"/>
        <v>30855</v>
      </c>
      <c r="G30" s="138">
        <f t="shared" si="2"/>
        <v>31057</v>
      </c>
      <c r="H30" s="138">
        <f t="shared" si="3"/>
        <v>31057</v>
      </c>
      <c r="I30" s="57">
        <f t="shared" si="4"/>
        <v>100</v>
      </c>
      <c r="J30" s="153"/>
      <c r="K30" s="48"/>
      <c r="L30" s="48"/>
      <c r="M30" s="57"/>
      <c r="N30" s="56">
        <v>0</v>
      </c>
      <c r="O30" s="138">
        <v>1</v>
      </c>
      <c r="P30" s="138">
        <v>1</v>
      </c>
      <c r="Q30" s="144">
        <f t="shared" si="6"/>
        <v>100</v>
      </c>
      <c r="R30" s="139"/>
      <c r="S30" s="138"/>
      <c r="T30" s="138"/>
      <c r="U30" s="144"/>
      <c r="AD30" s="44">
        <f aca="true" t="shared" si="7" ref="AD30:AD42">AH30-AG30</f>
        <v>10662.269639999999</v>
      </c>
      <c r="AE30" s="44" t="e">
        <f>'Transfery neinvestiční 2.5'!B29+'Transfery neinvestiční 2.5'!F29+'Transfery neinvestiční 2.5'!J29+'Transfery neinvestiční 2.5'!N29+'Transfery nein.2.5a'!B30+'Transfery nein.2.5a'!N30+'Transfery nein.2.5a'!V30+'Transfery nein.2.5a'!R30+'Transfery neinvestiční 2.5'!R29+'Transfery investiční'!#REF!+'Transfery investiční'!E29+'Transfery investiční'!I29+'Transfery investiční'!M29+'Transfery investiční'!Q29+'Transfery investiční'!U29+Z30+'Transfery investiční'!Y29</f>
        <v>#REF!</v>
      </c>
      <c r="AF30" s="44">
        <f>'Transfery neinvestiční 2.5'!C29+'Transfery neinvestiční 2.5'!G29+'Transfery neinvestiční 2.5'!K29+'Transfery neinvestiční 2.5'!O29+'Transfery nein.2.5a'!C30+'Transfery nein.2.5a'!O30+'Transfery nein.2.5a'!W30+'Transfery nein.2.5a'!S30+'Transfery neinvestiční 2.5'!S29+'Transfery investiční'!B29+'Transfery investiční'!F29+'Transfery investiční'!J29+'Transfery investiční'!N29+'Transfery investiční'!R29+'Transfery investiční'!V29+AA30+'Transfery investiční'!Z29</f>
        <v>56653</v>
      </c>
      <c r="AG30" s="44">
        <f>'Transfery neinvestiční 2.5'!D29+'Transfery neinvestiční 2.5'!H29+'Transfery neinvestiční 2.5'!L29+'Transfery neinvestiční 2.5'!P29+'Transfery nein.2.5a'!D30+'Transfery nein.2.5a'!P30+'Transfery nein.2.5a'!X30+'Transfery nein.2.5a'!T30+'Transfery neinvestiční 2.5'!T29+'Transfery investiční'!C29+'Transfery investiční'!G29+'Transfery investiční'!K29+'Transfery investiční'!O29+'Transfery investiční'!S29+'Transfery investiční'!W29+AB30+'Transfery investiční'!AA29</f>
        <v>56671</v>
      </c>
      <c r="AH30" s="44">
        <f>'Transfery investiční'!AD29/1000*-1</f>
        <v>67333.26964</v>
      </c>
    </row>
    <row r="31" spans="1:34" ht="15.75">
      <c r="A31" s="191" t="s">
        <v>208</v>
      </c>
      <c r="B31" s="143">
        <v>22219</v>
      </c>
      <c r="C31" s="138">
        <v>22184</v>
      </c>
      <c r="D31" s="138">
        <v>22184</v>
      </c>
      <c r="E31" s="144">
        <f t="shared" si="0"/>
        <v>100</v>
      </c>
      <c r="F31" s="143">
        <f t="shared" si="1"/>
        <v>22219</v>
      </c>
      <c r="G31" s="138">
        <f t="shared" si="2"/>
        <v>22184</v>
      </c>
      <c r="H31" s="138">
        <f t="shared" si="3"/>
        <v>22184</v>
      </c>
      <c r="I31" s="57">
        <f t="shared" si="4"/>
        <v>100</v>
      </c>
      <c r="J31" s="153"/>
      <c r="K31" s="48"/>
      <c r="L31" s="48"/>
      <c r="M31" s="57"/>
      <c r="N31" s="56">
        <v>0</v>
      </c>
      <c r="O31" s="138">
        <v>80</v>
      </c>
      <c r="P31" s="138">
        <v>80</v>
      </c>
      <c r="Q31" s="144">
        <f t="shared" si="6"/>
        <v>100</v>
      </c>
      <c r="R31" s="139"/>
      <c r="S31" s="138"/>
      <c r="T31" s="138"/>
      <c r="U31" s="144"/>
      <c r="AD31" s="44">
        <f t="shared" si="7"/>
        <v>3182.6270000000004</v>
      </c>
      <c r="AE31" s="44" t="e">
        <f>'Transfery neinvestiční 2.5'!B30+'Transfery neinvestiční 2.5'!F30+'Transfery neinvestiční 2.5'!J30+'Transfery neinvestiční 2.5'!N30+'Transfery nein.2.5a'!B31+'Transfery nein.2.5a'!N31+'Transfery nein.2.5a'!V31+'Transfery nein.2.5a'!R31+'Transfery neinvestiční 2.5'!R30+'Transfery investiční'!#REF!+'Transfery investiční'!E30+'Transfery investiční'!I30+'Transfery investiční'!M30+'Transfery investiční'!Q30+'Transfery investiční'!U30+Z31+'Transfery investiční'!Y30</f>
        <v>#REF!</v>
      </c>
      <c r="AF31" s="44">
        <f>'Transfery neinvestiční 2.5'!C30+'Transfery neinvestiční 2.5'!G30+'Transfery neinvestiční 2.5'!K30+'Transfery neinvestiční 2.5'!O30+'Transfery nein.2.5a'!C31+'Transfery nein.2.5a'!O31+'Transfery nein.2.5a'!W31+'Transfery nein.2.5a'!S31+'Transfery neinvestiční 2.5'!S30+'Transfery investiční'!B30+'Transfery investiční'!F30+'Transfery investiční'!J30+'Transfery investiční'!N30+'Transfery investiční'!R30+'Transfery investiční'!V30+AA31+'Transfery investiční'!Z30</f>
        <v>56133</v>
      </c>
      <c r="AG31" s="44">
        <f>'Transfery neinvestiční 2.5'!D30+'Transfery neinvestiční 2.5'!H30+'Transfery neinvestiční 2.5'!L30+'Transfery neinvestiční 2.5'!P30+'Transfery nein.2.5a'!D31+'Transfery nein.2.5a'!P31+'Transfery nein.2.5a'!X31+'Transfery nein.2.5a'!T31+'Transfery neinvestiční 2.5'!T30+'Transfery investiční'!C30+'Transfery investiční'!G30+'Transfery investiční'!K30+'Transfery investiční'!O30+'Transfery investiční'!S30+'Transfery investiční'!W30+AB31+'Transfery investiční'!AA30</f>
        <v>56582</v>
      </c>
      <c r="AH31" s="44">
        <f>'Transfery investiční'!AD30/1000*-1</f>
        <v>59764.627</v>
      </c>
    </row>
    <row r="32" spans="1:34" ht="15.75">
      <c r="A32" s="191" t="s">
        <v>209</v>
      </c>
      <c r="B32" s="143">
        <v>61926</v>
      </c>
      <c r="C32" s="138">
        <v>62188</v>
      </c>
      <c r="D32" s="138">
        <v>62182</v>
      </c>
      <c r="E32" s="144">
        <f t="shared" si="0"/>
        <v>99.99035183636714</v>
      </c>
      <c r="F32" s="143">
        <f t="shared" si="1"/>
        <v>61926</v>
      </c>
      <c r="G32" s="138">
        <f t="shared" si="2"/>
        <v>61809</v>
      </c>
      <c r="H32" s="138">
        <f t="shared" si="3"/>
        <v>61809</v>
      </c>
      <c r="I32" s="57">
        <f t="shared" si="4"/>
        <v>100</v>
      </c>
      <c r="J32" s="153"/>
      <c r="K32" s="48">
        <v>379</v>
      </c>
      <c r="L32" s="48">
        <v>373</v>
      </c>
      <c r="M32" s="57">
        <f>L32/K32*100</f>
        <v>98.41688654353563</v>
      </c>
      <c r="N32" s="56">
        <v>0</v>
      </c>
      <c r="O32" s="138">
        <v>60</v>
      </c>
      <c r="P32" s="138">
        <v>60</v>
      </c>
      <c r="Q32" s="144">
        <f t="shared" si="6"/>
        <v>100</v>
      </c>
      <c r="R32" s="139"/>
      <c r="S32" s="138"/>
      <c r="T32" s="138"/>
      <c r="U32" s="144"/>
      <c r="AD32" s="44">
        <f t="shared" si="7"/>
        <v>2535.3609099999885</v>
      </c>
      <c r="AE32" s="44" t="e">
        <f>'Transfery neinvestiční 2.5'!B31+'Transfery neinvestiční 2.5'!F31+'Transfery neinvestiční 2.5'!J31+'Transfery neinvestiční 2.5'!N31+'Transfery nein.2.5a'!B32+'Transfery nein.2.5a'!N32+'Transfery nein.2.5a'!V32+'Transfery nein.2.5a'!R32+'Transfery neinvestiční 2.5'!R31+'Transfery investiční'!#REF!+'Transfery investiční'!E31+'Transfery investiční'!I31+'Transfery investiční'!M31+'Transfery investiční'!Q31+'Transfery investiční'!U31+Z32+'Transfery investiční'!Y31</f>
        <v>#REF!</v>
      </c>
      <c r="AF32" s="44">
        <f>'Transfery neinvestiční 2.5'!C31+'Transfery neinvestiční 2.5'!G31+'Transfery neinvestiční 2.5'!K31+'Transfery neinvestiční 2.5'!O31+'Transfery nein.2.5a'!C32+'Transfery nein.2.5a'!O32+'Transfery nein.2.5a'!W32+'Transfery nein.2.5a'!S32+'Transfery neinvestiční 2.5'!S31+'Transfery investiční'!B31+'Transfery investiční'!F31+'Transfery investiční'!J31+'Transfery investiční'!N31+'Transfery investiční'!R31+'Transfery investiční'!V31+AA32+'Transfery investiční'!Z31</f>
        <v>130320</v>
      </c>
      <c r="AG32" s="44">
        <f>'Transfery neinvestiční 2.5'!D31+'Transfery neinvestiční 2.5'!H31+'Transfery neinvestiční 2.5'!L31+'Transfery neinvestiční 2.5'!P31+'Transfery nein.2.5a'!D32+'Transfery nein.2.5a'!P32+'Transfery nein.2.5a'!X32+'Transfery nein.2.5a'!T32+'Transfery neinvestiční 2.5'!T31+'Transfery investiční'!C31+'Transfery investiční'!G31+'Transfery investiční'!K31+'Transfery investiční'!O31+'Transfery investiční'!S31+'Transfery investiční'!W31+AB32+'Transfery investiční'!AA31</f>
        <v>130314</v>
      </c>
      <c r="AH32" s="44">
        <f>'Transfery investiční'!AD31/1000*-1</f>
        <v>132849.36091</v>
      </c>
    </row>
    <row r="33" spans="1:34" ht="15.75">
      <c r="A33" s="191" t="s">
        <v>210</v>
      </c>
      <c r="B33" s="143">
        <v>23213</v>
      </c>
      <c r="C33" s="138">
        <v>23975</v>
      </c>
      <c r="D33" s="138">
        <v>23975</v>
      </c>
      <c r="E33" s="144">
        <f t="shared" si="0"/>
        <v>100</v>
      </c>
      <c r="F33" s="143">
        <f t="shared" si="1"/>
        <v>23213</v>
      </c>
      <c r="G33" s="138">
        <f t="shared" si="2"/>
        <v>23594</v>
      </c>
      <c r="H33" s="138">
        <f t="shared" si="3"/>
        <v>23594</v>
      </c>
      <c r="I33" s="57">
        <f t="shared" si="4"/>
        <v>100</v>
      </c>
      <c r="J33" s="153"/>
      <c r="K33" s="48">
        <v>381</v>
      </c>
      <c r="L33" s="48">
        <v>381</v>
      </c>
      <c r="M33" s="57">
        <f>L33/K33*100</f>
        <v>100</v>
      </c>
      <c r="N33" s="56">
        <v>0</v>
      </c>
      <c r="O33" s="138">
        <f>8+1</f>
        <v>9</v>
      </c>
      <c r="P33" s="138">
        <f>8+1</f>
        <v>9</v>
      </c>
      <c r="Q33" s="144">
        <f>P33/O33*100</f>
        <v>100</v>
      </c>
      <c r="R33" s="139"/>
      <c r="S33" s="138"/>
      <c r="T33" s="138"/>
      <c r="U33" s="144"/>
      <c r="AD33" s="44">
        <f t="shared" si="7"/>
        <v>-4692.694240000004</v>
      </c>
      <c r="AE33" s="44" t="e">
        <f>'Transfery neinvestiční 2.5'!B32+'Transfery neinvestiční 2.5'!F32+'Transfery neinvestiční 2.5'!J32+'Transfery neinvestiční 2.5'!N32+'Transfery nein.2.5a'!B33+'Transfery nein.2.5a'!N33+'Transfery nein.2.5a'!V33+'Transfery nein.2.5a'!R33+'Transfery neinvestiční 2.5'!R32+'Transfery investiční'!#REF!+'Transfery investiční'!E32+'Transfery investiční'!I32+'Transfery investiční'!M32+'Transfery investiční'!Q32+'Transfery investiční'!U32+Z33+'Transfery investiční'!Y32</f>
        <v>#REF!</v>
      </c>
      <c r="AF33" s="44">
        <f>'Transfery neinvestiční 2.5'!C32+'Transfery neinvestiční 2.5'!G32+'Transfery neinvestiční 2.5'!K32+'Transfery neinvestiční 2.5'!O32+'Transfery nein.2.5a'!C33+'Transfery nein.2.5a'!O33+'Transfery nein.2.5a'!W33+'Transfery nein.2.5a'!S33+'Transfery neinvestiční 2.5'!S32+'Transfery investiční'!B32+'Transfery investiční'!F32+'Transfery investiční'!J32+'Transfery investiční'!N32+'Transfery investiční'!R32+'Transfery investiční'!V32+AA33+'Transfery investiční'!Z32</f>
        <v>61999</v>
      </c>
      <c r="AG33" s="44">
        <f>'Transfery neinvestiční 2.5'!D32+'Transfery neinvestiční 2.5'!H32+'Transfery neinvestiční 2.5'!L32+'Transfery neinvestiční 2.5'!P32+'Transfery nein.2.5a'!D33+'Transfery nein.2.5a'!P33+'Transfery nein.2.5a'!X33+'Transfery nein.2.5a'!T33+'Transfery neinvestiční 2.5'!T32+'Transfery investiční'!C32+'Transfery investiční'!G32+'Transfery investiční'!K32+'Transfery investiční'!O32+'Transfery investiční'!S32+'Transfery investiční'!W32+AB33+'Transfery investiční'!AA32</f>
        <v>65258</v>
      </c>
      <c r="AH33" s="44">
        <f>'Transfery investiční'!AD32/1000*-1</f>
        <v>60565.305759999996</v>
      </c>
    </row>
    <row r="34" spans="1:34" ht="15.75">
      <c r="A34" s="191" t="s">
        <v>211</v>
      </c>
      <c r="B34" s="143">
        <v>22860</v>
      </c>
      <c r="C34" s="138">
        <v>22837</v>
      </c>
      <c r="D34" s="138">
        <f>22832+1</f>
        <v>22833</v>
      </c>
      <c r="E34" s="144">
        <f t="shared" si="0"/>
        <v>99.9824845645225</v>
      </c>
      <c r="F34" s="143">
        <f t="shared" si="1"/>
        <v>22860</v>
      </c>
      <c r="G34" s="138">
        <f t="shared" si="2"/>
        <v>22652</v>
      </c>
      <c r="H34" s="138">
        <f t="shared" si="3"/>
        <v>22652</v>
      </c>
      <c r="I34" s="57">
        <f t="shared" si="4"/>
        <v>100</v>
      </c>
      <c r="J34" s="153"/>
      <c r="K34" s="48">
        <v>185</v>
      </c>
      <c r="L34" s="48">
        <f>175+5+1</f>
        <v>181</v>
      </c>
      <c r="M34" s="57">
        <f>L34/K34*100</f>
        <v>97.83783783783784</v>
      </c>
      <c r="N34" s="56">
        <v>0</v>
      </c>
      <c r="O34" s="138">
        <v>8</v>
      </c>
      <c r="P34" s="138">
        <v>8</v>
      </c>
      <c r="Q34" s="144">
        <f>P34/O34*100</f>
        <v>100</v>
      </c>
      <c r="R34" s="139"/>
      <c r="S34" s="138"/>
      <c r="T34" s="138"/>
      <c r="U34" s="144"/>
      <c r="AD34" s="44">
        <f t="shared" si="7"/>
        <v>6794.300000000003</v>
      </c>
      <c r="AE34" s="44" t="e">
        <f>'Transfery neinvestiční 2.5'!B33+'Transfery neinvestiční 2.5'!F33+'Transfery neinvestiční 2.5'!J33+'Transfery neinvestiční 2.5'!N33+'Transfery nein.2.5a'!B34+'Transfery nein.2.5a'!N34+'Transfery nein.2.5a'!V34+'Transfery nein.2.5a'!R34+'Transfery neinvestiční 2.5'!R33+'Transfery investiční'!#REF!+'Transfery investiční'!E33+'Transfery investiční'!I33+'Transfery investiční'!M33+'Transfery investiční'!Q33+'Transfery investiční'!U33+Z34+'Transfery investiční'!Y33</f>
        <v>#REF!</v>
      </c>
      <c r="AF34" s="44">
        <f>'Transfery neinvestiční 2.5'!C33+'Transfery neinvestiční 2.5'!G33+'Transfery neinvestiční 2.5'!K33+'Transfery neinvestiční 2.5'!O33+'Transfery nein.2.5a'!C34+'Transfery nein.2.5a'!O34+'Transfery nein.2.5a'!W34+'Transfery nein.2.5a'!S34+'Transfery neinvestiční 2.5'!S33+'Transfery investiční'!B33+'Transfery investiční'!F33+'Transfery investiční'!J33+'Transfery investiční'!N33+'Transfery investiční'!R33+'Transfery investiční'!V33+AA34+'Transfery investiční'!Z33</f>
        <v>29458</v>
      </c>
      <c r="AG34" s="44">
        <f>'Transfery neinvestiční 2.5'!D33+'Transfery neinvestiční 2.5'!H33+'Transfery neinvestiční 2.5'!L33+'Transfery neinvestiční 2.5'!P33+'Transfery nein.2.5a'!D34+'Transfery nein.2.5a'!P34+'Transfery nein.2.5a'!X34+'Transfery nein.2.5a'!T34+'Transfery neinvestiční 2.5'!T33+'Transfery investiční'!C33+'Transfery investiční'!G33+'Transfery investiční'!K33+'Transfery investiční'!O33+'Transfery investiční'!S33+'Transfery investiční'!W33+AB34+'Transfery investiční'!AA33</f>
        <v>29454</v>
      </c>
      <c r="AH34" s="44">
        <f>'Transfery investiční'!AD33/1000*-1</f>
        <v>36248.3</v>
      </c>
    </row>
    <row r="35" spans="1:34" ht="15.75">
      <c r="A35" s="191" t="s">
        <v>212</v>
      </c>
      <c r="B35" s="143">
        <v>12896</v>
      </c>
      <c r="C35" s="138">
        <v>13424</v>
      </c>
      <c r="D35" s="138">
        <v>13423</v>
      </c>
      <c r="E35" s="144">
        <f t="shared" si="0"/>
        <v>99.99255065554232</v>
      </c>
      <c r="F35" s="143">
        <f t="shared" si="1"/>
        <v>12896</v>
      </c>
      <c r="G35" s="138">
        <f t="shared" si="2"/>
        <v>12938</v>
      </c>
      <c r="H35" s="138">
        <f>SUM(D35-L35)</f>
        <v>12938</v>
      </c>
      <c r="I35" s="57">
        <f t="shared" si="4"/>
        <v>100</v>
      </c>
      <c r="J35" s="153"/>
      <c r="K35" s="48">
        <v>486</v>
      </c>
      <c r="L35" s="48">
        <v>485</v>
      </c>
      <c r="M35" s="57">
        <f>L35/K35*100</f>
        <v>99.79423868312757</v>
      </c>
      <c r="N35" s="56">
        <v>0</v>
      </c>
      <c r="O35" s="138">
        <v>68</v>
      </c>
      <c r="P35" s="138">
        <v>68</v>
      </c>
      <c r="Q35" s="144">
        <f>P35/O35*100</f>
        <v>100</v>
      </c>
      <c r="R35" s="139"/>
      <c r="S35" s="138"/>
      <c r="T35" s="138"/>
      <c r="U35" s="144"/>
      <c r="AD35" s="44">
        <f t="shared" si="7"/>
        <v>524.8220000000001</v>
      </c>
      <c r="AE35" s="44" t="e">
        <f>'Transfery neinvestiční 2.5'!B34+'Transfery neinvestiční 2.5'!F34+'Transfery neinvestiční 2.5'!J34+'Transfery neinvestiční 2.5'!N34+'Transfery nein.2.5a'!B35+'Transfery nein.2.5a'!N35+'Transfery nein.2.5a'!V35+'Transfery nein.2.5a'!R35+'Transfery neinvestiční 2.5'!R34+'Transfery investiční'!#REF!+'Transfery investiční'!E34+'Transfery investiční'!I34+'Transfery investiční'!M34+'Transfery investiční'!Q34+'Transfery investiční'!U34+Z35+'Transfery investiční'!Y34</f>
        <v>#REF!</v>
      </c>
      <c r="AF35" s="44">
        <f>'Transfery neinvestiční 2.5'!C34+'Transfery neinvestiční 2.5'!G34+'Transfery neinvestiční 2.5'!K34+'Transfery neinvestiční 2.5'!O34+'Transfery nein.2.5a'!C35+'Transfery nein.2.5a'!O35+'Transfery nein.2.5a'!W35+'Transfery nein.2.5a'!S35+'Transfery neinvestiční 2.5'!S34+'Transfery investiční'!B34+'Transfery investiční'!F34+'Transfery investiční'!J34+'Transfery investiční'!N34+'Transfery investiční'!R34+'Transfery investiční'!V34+AA35+'Transfery investiční'!Z34</f>
        <v>16516</v>
      </c>
      <c r="AG35" s="44">
        <f>'Transfery neinvestiční 2.5'!D34+'Transfery neinvestiční 2.5'!H34+'Transfery neinvestiční 2.5'!L34+'Transfery neinvestiční 2.5'!P34+'Transfery nein.2.5a'!D35+'Transfery nein.2.5a'!P35+'Transfery nein.2.5a'!X35+'Transfery nein.2.5a'!T35+'Transfery neinvestiční 2.5'!T34+'Transfery investiční'!C34+'Transfery investiční'!G34+'Transfery investiční'!K34+'Transfery investiční'!O34+'Transfery investiční'!S34+'Transfery investiční'!W34+AB35+'Transfery investiční'!AA34</f>
        <v>16515</v>
      </c>
      <c r="AH35" s="44">
        <f>'Transfery investiční'!AD34/1000*-1</f>
        <v>17039.822</v>
      </c>
    </row>
    <row r="36" spans="1:34" ht="15.75">
      <c r="A36" s="191" t="s">
        <v>213</v>
      </c>
      <c r="B36" s="143">
        <v>73512</v>
      </c>
      <c r="C36" s="138">
        <v>76055</v>
      </c>
      <c r="D36" s="138">
        <v>76006</v>
      </c>
      <c r="E36" s="144">
        <f t="shared" si="0"/>
        <v>99.93557294063507</v>
      </c>
      <c r="F36" s="143">
        <f t="shared" si="1"/>
        <v>73512</v>
      </c>
      <c r="G36" s="138">
        <f t="shared" si="2"/>
        <v>75933</v>
      </c>
      <c r="H36" s="138">
        <f t="shared" si="3"/>
        <v>75884</v>
      </c>
      <c r="I36" s="57">
        <f t="shared" si="4"/>
        <v>99.93546942699484</v>
      </c>
      <c r="J36" s="153"/>
      <c r="K36" s="48">
        <v>122</v>
      </c>
      <c r="L36" s="48">
        <v>122</v>
      </c>
      <c r="M36" s="57">
        <f>L36/K36*100</f>
        <v>100</v>
      </c>
      <c r="N36" s="56">
        <v>0</v>
      </c>
      <c r="O36" s="138">
        <v>469</v>
      </c>
      <c r="P36" s="138">
        <v>469</v>
      </c>
      <c r="Q36" s="144">
        <f>P36/O36*100</f>
        <v>100</v>
      </c>
      <c r="R36" s="139"/>
      <c r="S36" s="138"/>
      <c r="T36" s="138"/>
      <c r="U36" s="144"/>
      <c r="AD36" s="44">
        <f t="shared" si="7"/>
        <v>40173.1752</v>
      </c>
      <c r="AE36" s="44" t="e">
        <f>'Transfery neinvestiční 2.5'!B35+'Transfery neinvestiční 2.5'!F35+'Transfery neinvestiční 2.5'!J35+'Transfery neinvestiční 2.5'!N35+'Transfery nein.2.5a'!B36+'Transfery nein.2.5a'!N36+'Transfery nein.2.5a'!V36+'Transfery nein.2.5a'!R36+'Transfery neinvestiční 2.5'!R35+'Transfery investiční'!#REF!+'Transfery investiční'!E35+'Transfery investiční'!I35+'Transfery investiční'!M35+'Transfery investiční'!Q35+'Transfery investiční'!U35+Z36+'Transfery investiční'!Y35</f>
        <v>#REF!</v>
      </c>
      <c r="AF36" s="44">
        <f>'Transfery neinvestiční 2.5'!C35+'Transfery neinvestiční 2.5'!G35+'Transfery neinvestiční 2.5'!K35+'Transfery neinvestiční 2.5'!O35+'Transfery nein.2.5a'!C36+'Transfery nein.2.5a'!O36+'Transfery nein.2.5a'!W36+'Transfery nein.2.5a'!S36+'Transfery neinvestiční 2.5'!S35+'Transfery investiční'!B35+'Transfery investiční'!F35+'Transfery investiční'!J35+'Transfery investiční'!N35+'Transfery investiční'!R35+'Transfery investiční'!V35+AA36+'Transfery investiční'!Z35</f>
        <v>124309</v>
      </c>
      <c r="AG36" s="44">
        <f>'Transfery neinvestiční 2.5'!D35+'Transfery neinvestiční 2.5'!H35+'Transfery neinvestiční 2.5'!L35+'Transfery neinvestiční 2.5'!P35+'Transfery nein.2.5a'!D36+'Transfery nein.2.5a'!P36+'Transfery nein.2.5a'!X36+'Transfery nein.2.5a'!T36+'Transfery neinvestiční 2.5'!T35+'Transfery investiční'!C35+'Transfery investiční'!G35+'Transfery investiční'!K35+'Transfery investiční'!O35+'Transfery investiční'!S35+'Transfery investiční'!W35+AB36+'Transfery investiční'!AA35</f>
        <v>124259</v>
      </c>
      <c r="AH36" s="44">
        <f>'Transfery investiční'!AD35/1000*-1</f>
        <v>164432.1752</v>
      </c>
    </row>
    <row r="37" spans="1:34" ht="15.75">
      <c r="A37" s="191" t="s">
        <v>214</v>
      </c>
      <c r="B37" s="143">
        <v>13721</v>
      </c>
      <c r="C37" s="138">
        <v>13816</v>
      </c>
      <c r="D37" s="138">
        <v>13816</v>
      </c>
      <c r="E37" s="144">
        <f t="shared" si="0"/>
        <v>100</v>
      </c>
      <c r="F37" s="143">
        <f t="shared" si="1"/>
        <v>13721</v>
      </c>
      <c r="G37" s="138">
        <f t="shared" si="2"/>
        <v>13816</v>
      </c>
      <c r="H37" s="138">
        <f t="shared" si="3"/>
        <v>13816</v>
      </c>
      <c r="I37" s="57">
        <f t="shared" si="4"/>
        <v>100</v>
      </c>
      <c r="J37" s="153"/>
      <c r="K37" s="48"/>
      <c r="L37" s="48"/>
      <c r="M37" s="57"/>
      <c r="N37" s="56"/>
      <c r="O37" s="138"/>
      <c r="P37" s="138">
        <f>O37</f>
        <v>0</v>
      </c>
      <c r="Q37" s="144"/>
      <c r="R37" s="139"/>
      <c r="S37" s="138"/>
      <c r="T37" s="138"/>
      <c r="U37" s="144"/>
      <c r="AD37" s="44">
        <f t="shared" si="7"/>
        <v>4052.5099999999984</v>
      </c>
      <c r="AE37" s="44" t="e">
        <f>'Transfery neinvestiční 2.5'!B36+'Transfery neinvestiční 2.5'!F36+'Transfery neinvestiční 2.5'!J36+'Transfery neinvestiční 2.5'!N36+'Transfery nein.2.5a'!B37+'Transfery nein.2.5a'!N37+'Transfery nein.2.5a'!V37+'Transfery nein.2.5a'!R37+'Transfery neinvestiční 2.5'!R36+'Transfery investiční'!#REF!+'Transfery investiční'!E36+'Transfery investiční'!I36+'Transfery investiční'!M36+'Transfery investiční'!Q36+'Transfery investiční'!U36+Z37+'Transfery investiční'!Y36</f>
        <v>#REF!</v>
      </c>
      <c r="AF37" s="44">
        <f>'Transfery neinvestiční 2.5'!C36+'Transfery neinvestiční 2.5'!G36+'Transfery neinvestiční 2.5'!K36+'Transfery neinvestiční 2.5'!O36+'Transfery nein.2.5a'!C37+'Transfery nein.2.5a'!O37+'Transfery nein.2.5a'!W37+'Transfery nein.2.5a'!S37+'Transfery neinvestiční 2.5'!S36+'Transfery investiční'!B36+'Transfery investiční'!F36+'Transfery investiční'!J36+'Transfery investiční'!N36+'Transfery investiční'!R36+'Transfery investiční'!V36+AA37+'Transfery investiční'!Z36</f>
        <v>18987</v>
      </c>
      <c r="AG37" s="44">
        <f>'Transfery neinvestiční 2.5'!D36+'Transfery neinvestiční 2.5'!H36+'Transfery neinvestiční 2.5'!L36+'Transfery neinvestiční 2.5'!P36+'Transfery nein.2.5a'!D37+'Transfery nein.2.5a'!P37+'Transfery nein.2.5a'!X37+'Transfery nein.2.5a'!T37+'Transfery neinvestiční 2.5'!T36+'Transfery investiční'!C36+'Transfery investiční'!G36+'Transfery investiční'!K36+'Transfery investiční'!O36+'Transfery investiční'!S36+'Transfery investiční'!W36+AB37+'Transfery investiční'!AA36</f>
        <v>18987</v>
      </c>
      <c r="AH37" s="44">
        <f>'Transfery investiční'!AD36/1000*-1</f>
        <v>23039.51</v>
      </c>
    </row>
    <row r="38" spans="1:34" ht="15.75">
      <c r="A38" s="191" t="s">
        <v>215</v>
      </c>
      <c r="B38" s="143">
        <v>34550</v>
      </c>
      <c r="C38" s="138">
        <v>34372</v>
      </c>
      <c r="D38" s="138">
        <v>34372</v>
      </c>
      <c r="E38" s="144">
        <f t="shared" si="0"/>
        <v>100</v>
      </c>
      <c r="F38" s="143">
        <f t="shared" si="1"/>
        <v>34380</v>
      </c>
      <c r="G38" s="138">
        <f t="shared" si="2"/>
        <v>34202</v>
      </c>
      <c r="H38" s="138">
        <f t="shared" si="3"/>
        <v>34202</v>
      </c>
      <c r="I38" s="57">
        <f t="shared" si="4"/>
        <v>100</v>
      </c>
      <c r="J38" s="153">
        <v>170</v>
      </c>
      <c r="K38" s="48">
        <v>170</v>
      </c>
      <c r="L38" s="48">
        <v>170</v>
      </c>
      <c r="M38" s="57">
        <f>L38/K38*100</f>
        <v>100</v>
      </c>
      <c r="N38" s="56"/>
      <c r="O38" s="138"/>
      <c r="P38" s="138">
        <f>O38</f>
        <v>0</v>
      </c>
      <c r="Q38" s="144"/>
      <c r="R38" s="139"/>
      <c r="S38" s="138"/>
      <c r="T38" s="138"/>
      <c r="U38" s="144"/>
      <c r="AD38" s="44">
        <f t="shared" si="7"/>
        <v>8723.106</v>
      </c>
      <c r="AE38" s="44" t="e">
        <f>'Transfery neinvestiční 2.5'!B37+'Transfery neinvestiční 2.5'!F37+'Transfery neinvestiční 2.5'!J37+'Transfery neinvestiční 2.5'!N37+'Transfery nein.2.5a'!B38+'Transfery nein.2.5a'!N38+'Transfery nein.2.5a'!V38+'Transfery nein.2.5a'!R38+'Transfery neinvestiční 2.5'!R37+'Transfery investiční'!#REF!+'Transfery investiční'!E37+'Transfery investiční'!I37+'Transfery investiční'!M37+'Transfery investiční'!Q37+'Transfery investiční'!U37+Z38+'Transfery investiční'!Y37</f>
        <v>#REF!</v>
      </c>
      <c r="AF38" s="44">
        <f>'Transfery neinvestiční 2.5'!C37+'Transfery neinvestiční 2.5'!G37+'Transfery neinvestiční 2.5'!K37+'Transfery neinvestiční 2.5'!O37+'Transfery nein.2.5a'!C38+'Transfery nein.2.5a'!O38+'Transfery nein.2.5a'!W38+'Transfery nein.2.5a'!S38+'Transfery neinvestiční 2.5'!S37+'Transfery investiční'!B37+'Transfery investiční'!F37+'Transfery investiční'!J37+'Transfery investiční'!N37+'Transfery investiční'!R37+'Transfery investiční'!V37+AA38+'Transfery investiční'!Z37</f>
        <v>63973</v>
      </c>
      <c r="AG38" s="44">
        <f>'Transfery neinvestiční 2.5'!D37+'Transfery neinvestiční 2.5'!H37+'Transfery neinvestiční 2.5'!L37+'Transfery neinvestiční 2.5'!P37+'Transfery nein.2.5a'!D38+'Transfery nein.2.5a'!P38+'Transfery nein.2.5a'!X38+'Transfery nein.2.5a'!T38+'Transfery neinvestiční 2.5'!T37+'Transfery investiční'!C37+'Transfery investiční'!G37+'Transfery investiční'!K37+'Transfery investiční'!O37+'Transfery investiční'!S37+'Transfery investiční'!W37+AB38+'Transfery investiční'!AA37</f>
        <v>63973</v>
      </c>
      <c r="AH38" s="44">
        <f>'Transfery investiční'!AD37/1000*-1</f>
        <v>72696.106</v>
      </c>
    </row>
    <row r="39" spans="1:34" ht="15.75">
      <c r="A39" s="191" t="s">
        <v>216</v>
      </c>
      <c r="B39" s="143">
        <v>3538</v>
      </c>
      <c r="C39" s="138">
        <v>3864</v>
      </c>
      <c r="D39" s="138">
        <v>3864</v>
      </c>
      <c r="E39" s="144">
        <f t="shared" si="0"/>
        <v>100</v>
      </c>
      <c r="F39" s="143">
        <f t="shared" si="1"/>
        <v>3538</v>
      </c>
      <c r="G39" s="138">
        <f t="shared" si="2"/>
        <v>3864</v>
      </c>
      <c r="H39" s="138">
        <f t="shared" si="3"/>
        <v>3864</v>
      </c>
      <c r="I39" s="57">
        <f t="shared" si="4"/>
        <v>100</v>
      </c>
      <c r="J39" s="153"/>
      <c r="K39" s="48"/>
      <c r="L39" s="48"/>
      <c r="M39" s="57"/>
      <c r="N39" s="56"/>
      <c r="O39" s="138"/>
      <c r="P39" s="138">
        <f>O39</f>
        <v>0</v>
      </c>
      <c r="Q39" s="144"/>
      <c r="R39" s="139"/>
      <c r="S39" s="138"/>
      <c r="T39" s="138"/>
      <c r="U39" s="144"/>
      <c r="AD39" s="44">
        <f t="shared" si="7"/>
        <v>102.60999999999967</v>
      </c>
      <c r="AE39" s="44" t="e">
        <f>'Transfery neinvestiční 2.5'!B38+'Transfery neinvestiční 2.5'!F38+'Transfery neinvestiční 2.5'!J38+'Transfery neinvestiční 2.5'!N38+'Transfery nein.2.5a'!B39+'Transfery nein.2.5a'!N39+'Transfery nein.2.5a'!V39+'Transfery nein.2.5a'!R39+'Transfery neinvestiční 2.5'!R38+'Transfery investiční'!#REF!+'Transfery investiční'!E38+'Transfery investiční'!I38+'Transfery investiční'!M38+'Transfery investiční'!Q38+'Transfery investiční'!U38+Z39+'Transfery investiční'!Y38</f>
        <v>#REF!</v>
      </c>
      <c r="AF39" s="44">
        <f>'Transfery neinvestiční 2.5'!C38+'Transfery neinvestiční 2.5'!G38+'Transfery neinvestiční 2.5'!K38+'Transfery neinvestiční 2.5'!O38+'Transfery nein.2.5a'!C39+'Transfery nein.2.5a'!O39+'Transfery nein.2.5a'!W39+'Transfery nein.2.5a'!S39+'Transfery neinvestiční 2.5'!S38+'Transfery investiční'!B38+'Transfery investiční'!F38+'Transfery investiční'!J38+'Transfery investiční'!N38+'Transfery investiční'!R38+'Transfery investiční'!V38+AA39+'Transfery investiční'!Z38</f>
        <v>5373</v>
      </c>
      <c r="AG39" s="44">
        <f>'Transfery neinvestiční 2.5'!D38+'Transfery neinvestiční 2.5'!H38+'Transfery neinvestiční 2.5'!L38+'Transfery neinvestiční 2.5'!P38+'Transfery nein.2.5a'!D39+'Transfery nein.2.5a'!P39+'Transfery nein.2.5a'!X39+'Transfery nein.2.5a'!T39+'Transfery neinvestiční 2.5'!T38+'Transfery investiční'!C38+'Transfery investiční'!G38+'Transfery investiční'!K38+'Transfery investiční'!O38+'Transfery investiční'!S38+'Transfery investiční'!W38+AB39+'Transfery investiční'!AA38</f>
        <v>5351</v>
      </c>
      <c r="AH39" s="44">
        <f>'Transfery investiční'!AD38/1000*-1</f>
        <v>5453.61</v>
      </c>
    </row>
    <row r="40" spans="1:34" ht="15.75">
      <c r="A40" s="191" t="s">
        <v>217</v>
      </c>
      <c r="B40" s="143">
        <v>5013</v>
      </c>
      <c r="C40" s="138">
        <v>4935</v>
      </c>
      <c r="D40" s="138">
        <v>4935</v>
      </c>
      <c r="E40" s="144">
        <f t="shared" si="0"/>
        <v>100</v>
      </c>
      <c r="F40" s="143">
        <f t="shared" si="1"/>
        <v>5013</v>
      </c>
      <c r="G40" s="138">
        <f t="shared" si="2"/>
        <v>4935</v>
      </c>
      <c r="H40" s="138">
        <f t="shared" si="3"/>
        <v>4935</v>
      </c>
      <c r="I40" s="57">
        <f t="shared" si="4"/>
        <v>100</v>
      </c>
      <c r="J40" s="153"/>
      <c r="K40" s="48"/>
      <c r="L40" s="48"/>
      <c r="M40" s="57"/>
      <c r="N40" s="56">
        <v>0</v>
      </c>
      <c r="O40" s="138">
        <v>1</v>
      </c>
      <c r="P40" s="138">
        <v>1</v>
      </c>
      <c r="Q40" s="144">
        <f>P40/O40*100</f>
        <v>100</v>
      </c>
      <c r="R40" s="139"/>
      <c r="S40" s="138"/>
      <c r="T40" s="138"/>
      <c r="U40" s="144"/>
      <c r="AD40" s="44">
        <f t="shared" si="7"/>
        <v>640.7749999999996</v>
      </c>
      <c r="AE40" s="44" t="e">
        <f>'Transfery neinvestiční 2.5'!B39+'Transfery neinvestiční 2.5'!F39+'Transfery neinvestiční 2.5'!J39+'Transfery neinvestiční 2.5'!N39+'Transfery nein.2.5a'!B40+'Transfery nein.2.5a'!N40+'Transfery nein.2.5a'!V40+'Transfery nein.2.5a'!R40+'Transfery neinvestiční 2.5'!R39+'Transfery investiční'!#REF!+'Transfery investiční'!E39+'Transfery investiční'!I39+'Transfery investiční'!M39+'Transfery investiční'!Q39+'Transfery investiční'!U39+Z40+'Transfery investiční'!Y39</f>
        <v>#REF!</v>
      </c>
      <c r="AF40" s="44">
        <f>'Transfery neinvestiční 2.5'!C39+'Transfery neinvestiční 2.5'!G39+'Transfery neinvestiční 2.5'!K39+'Transfery neinvestiční 2.5'!O39+'Transfery nein.2.5a'!C40+'Transfery nein.2.5a'!O40+'Transfery nein.2.5a'!W40+'Transfery nein.2.5a'!S40+'Transfery neinvestiční 2.5'!S39+'Transfery investiční'!B39+'Transfery investiční'!F39+'Transfery investiční'!J39+'Transfery investiční'!N39+'Transfery investiční'!R39+'Transfery investiční'!V39+AA40+'Transfery investiční'!Z39</f>
        <v>5827</v>
      </c>
      <c r="AG40" s="44">
        <f>'Transfery neinvestiční 2.5'!D39+'Transfery neinvestiční 2.5'!H39+'Transfery neinvestiční 2.5'!L39+'Transfery neinvestiční 2.5'!P39+'Transfery nein.2.5a'!D40+'Transfery nein.2.5a'!P40+'Transfery nein.2.5a'!X40+'Transfery nein.2.5a'!T40+'Transfery neinvestiční 2.5'!T39+'Transfery investiční'!C39+'Transfery investiční'!G39+'Transfery investiční'!K39+'Transfery investiční'!O39+'Transfery investiční'!S39+'Transfery investiční'!W39+AB40+'Transfery investiční'!AA39</f>
        <v>5827</v>
      </c>
      <c r="AH40" s="44">
        <f>'Transfery investiční'!AD39/1000*-1</f>
        <v>6467.775</v>
      </c>
    </row>
    <row r="41" spans="1:34" ht="15" customHeight="1">
      <c r="A41" s="191" t="s">
        <v>218</v>
      </c>
      <c r="B41" s="143">
        <v>2513</v>
      </c>
      <c r="C41" s="138">
        <v>3123</v>
      </c>
      <c r="D41" s="138">
        <v>3123</v>
      </c>
      <c r="E41" s="144">
        <f t="shared" si="0"/>
        <v>100</v>
      </c>
      <c r="F41" s="143">
        <f t="shared" si="1"/>
        <v>2513</v>
      </c>
      <c r="G41" s="138">
        <f t="shared" si="2"/>
        <v>3123</v>
      </c>
      <c r="H41" s="138">
        <f t="shared" si="3"/>
        <v>3123</v>
      </c>
      <c r="I41" s="57">
        <f t="shared" si="4"/>
        <v>100</v>
      </c>
      <c r="J41" s="153"/>
      <c r="K41" s="48"/>
      <c r="L41" s="48"/>
      <c r="M41" s="57"/>
      <c r="N41" s="56">
        <v>0</v>
      </c>
      <c r="O41" s="138">
        <v>1</v>
      </c>
      <c r="P41" s="138">
        <v>1</v>
      </c>
      <c r="Q41" s="144">
        <f>P41/O41*100</f>
        <v>100</v>
      </c>
      <c r="R41" s="139"/>
      <c r="S41" s="138"/>
      <c r="T41" s="138"/>
      <c r="U41" s="144"/>
      <c r="AD41" s="44">
        <f t="shared" si="7"/>
        <v>3694.70618</v>
      </c>
      <c r="AE41" s="44" t="e">
        <f>'Transfery neinvestiční 2.5'!B40+'Transfery neinvestiční 2.5'!F40+'Transfery neinvestiční 2.5'!J40+'Transfery neinvestiční 2.5'!N40+'Transfery nein.2.5a'!B41+'Transfery nein.2.5a'!N41+'Transfery nein.2.5a'!V41+'Transfery nein.2.5a'!R41+'Transfery neinvestiční 2.5'!R40+'Transfery investiční'!#REF!+'Transfery investiční'!E40+'Transfery investiční'!I40+'Transfery investiční'!M40+'Transfery investiční'!Q40+'Transfery investiční'!U40+Z41+'Transfery investiční'!Y40</f>
        <v>#REF!</v>
      </c>
      <c r="AF41" s="44">
        <f>'Transfery neinvestiční 2.5'!C40+'Transfery neinvestiční 2.5'!G40+'Transfery neinvestiční 2.5'!K40+'Transfery neinvestiční 2.5'!O40+'Transfery nein.2.5a'!C41+'Transfery nein.2.5a'!O41+'Transfery nein.2.5a'!W41+'Transfery nein.2.5a'!S41+'Transfery neinvestiční 2.5'!S40+'Transfery investiční'!B40+'Transfery investiční'!F40+'Transfery investiční'!J40+'Transfery investiční'!N40+'Transfery investiční'!R40+'Transfery investiční'!V40+AA41+'Transfery investiční'!Z40</f>
        <v>3815</v>
      </c>
      <c r="AG41" s="44">
        <f>'Transfery neinvestiční 2.5'!D40+'Transfery neinvestiční 2.5'!H40+'Transfery neinvestiční 2.5'!L40+'Transfery neinvestiční 2.5'!P40+'Transfery nein.2.5a'!D41+'Transfery nein.2.5a'!P41+'Transfery nein.2.5a'!X41+'Transfery nein.2.5a'!T41+'Transfery neinvestiční 2.5'!T40+'Transfery investiční'!C40+'Transfery investiční'!G40+'Transfery investiční'!K40+'Transfery investiční'!O40+'Transfery investiční'!S40+'Transfery investiční'!W40+AB41+'Transfery investiční'!AA40</f>
        <v>3814</v>
      </c>
      <c r="AH41" s="44">
        <f>'Transfery investiční'!AD40/1000*-1</f>
        <v>7508.70618</v>
      </c>
    </row>
    <row r="42" spans="1:34" ht="15" customHeight="1" thickBot="1">
      <c r="A42" s="192" t="s">
        <v>219</v>
      </c>
      <c r="B42" s="157">
        <v>1765</v>
      </c>
      <c r="C42" s="159">
        <v>1770</v>
      </c>
      <c r="D42" s="159">
        <v>1770</v>
      </c>
      <c r="E42" s="158">
        <f t="shared" si="0"/>
        <v>100</v>
      </c>
      <c r="F42" s="157">
        <f t="shared" si="1"/>
        <v>1765</v>
      </c>
      <c r="G42" s="159">
        <f t="shared" si="2"/>
        <v>1770</v>
      </c>
      <c r="H42" s="159">
        <f t="shared" si="3"/>
        <v>1770</v>
      </c>
      <c r="I42" s="63">
        <f t="shared" si="4"/>
        <v>100</v>
      </c>
      <c r="J42" s="181"/>
      <c r="K42" s="62"/>
      <c r="L42" s="62"/>
      <c r="M42" s="63"/>
      <c r="N42" s="61"/>
      <c r="O42" s="159"/>
      <c r="P42" s="159">
        <f>O42</f>
        <v>0</v>
      </c>
      <c r="Q42" s="158"/>
      <c r="R42" s="168"/>
      <c r="S42" s="159"/>
      <c r="T42" s="159"/>
      <c r="U42" s="158"/>
      <c r="AD42" s="44">
        <f t="shared" si="7"/>
        <v>-281</v>
      </c>
      <c r="AE42" s="44" t="e">
        <f>'Transfery neinvestiční 2.5'!B41+'Transfery neinvestiční 2.5'!F41+'Transfery neinvestiční 2.5'!J41+'Transfery neinvestiční 2.5'!N41+'Transfery nein.2.5a'!B42+'Transfery nein.2.5a'!N42+'Transfery nein.2.5a'!V42+'Transfery nein.2.5a'!R42+'Transfery neinvestiční 2.5'!R41+'Transfery investiční'!#REF!+'Transfery investiční'!E41+'Transfery investiční'!I41+'Transfery investiční'!M41+'Transfery investiční'!Q41+'Transfery investiční'!U41+Z42+'Transfery investiční'!Y41</f>
        <v>#REF!</v>
      </c>
      <c r="AF42" s="44">
        <f>'Transfery neinvestiční 2.5'!C41+'Transfery neinvestiční 2.5'!G41+'Transfery neinvestiční 2.5'!K41+'Transfery neinvestiční 2.5'!O41+'Transfery nein.2.5a'!C42+'Transfery nein.2.5a'!O42+'Transfery nein.2.5a'!W42+'Transfery nein.2.5a'!S42+'Transfery neinvestiční 2.5'!S41+'Transfery investiční'!B41+'Transfery investiční'!F41+'Transfery investiční'!J41+'Transfery investiční'!N41+'Transfery investiční'!R41+'Transfery investiční'!V41+AA42+'Transfery investiční'!Z41</f>
        <v>2579</v>
      </c>
      <c r="AG42" s="44">
        <f>'Transfery neinvestiční 2.5'!D41+'Transfery neinvestiční 2.5'!H41+'Transfery neinvestiční 2.5'!L41+'Transfery neinvestiční 2.5'!P41+'Transfery nein.2.5a'!D42+'Transfery nein.2.5a'!P42+'Transfery nein.2.5a'!X42+'Transfery nein.2.5a'!T42+'Transfery neinvestiční 2.5'!T41+'Transfery investiční'!C41+'Transfery investiční'!G41+'Transfery investiční'!K41+'Transfery investiční'!O41+'Transfery investiční'!S41+'Transfery investiční'!W41+AB42+'Transfery investiční'!AA41</f>
        <v>2579</v>
      </c>
      <c r="AH42" s="44">
        <f>'Transfery investiční'!AD41/1000*-1</f>
        <v>2298</v>
      </c>
    </row>
    <row r="43" spans="1:33" ht="16.5" thickBot="1">
      <c r="A43" s="165"/>
      <c r="B43" s="145"/>
      <c r="C43" s="148"/>
      <c r="D43" s="148"/>
      <c r="E43" s="146"/>
      <c r="F43" s="145"/>
      <c r="G43" s="148"/>
      <c r="H43" s="148"/>
      <c r="I43" s="60"/>
      <c r="J43" s="59"/>
      <c r="K43" s="59"/>
      <c r="L43" s="59"/>
      <c r="M43" s="60"/>
      <c r="N43" s="58"/>
      <c r="O43" s="148"/>
      <c r="P43" s="148"/>
      <c r="Q43" s="146"/>
      <c r="R43" s="148"/>
      <c r="S43" s="148"/>
      <c r="T43" s="148"/>
      <c r="U43" s="146"/>
      <c r="AE43" s="44" t="e">
        <f>'Transfery neinvestiční 2.5'!#REF!+'Transfery neinvestiční 2.5'!#REF!+'Transfery neinvestiční 2.5'!#REF!+'Transfery neinvestiční 2.5'!#REF!+'Transfery nein.2.5a'!B43+'Transfery nein.2.5a'!N43+'Transfery nein.2.5a'!V43+'Transfery nein.2.5a'!R43+'Transfery neinvestiční 2.5'!#REF!+'Transfery investiční'!#REF!+'Transfery investiční'!E42+'Transfery investiční'!I42+'Transfery investiční'!M42+'Transfery investiční'!Q42</f>
        <v>#REF!</v>
      </c>
      <c r="AF43" s="44" t="e">
        <f>'Transfery neinvestiční 2.5'!#REF!+'Transfery neinvestiční 2.5'!#REF!+'Transfery neinvestiční 2.5'!#REF!+'Transfery neinvestiční 2.5'!#REF!+'Transfery nein.2.5a'!C43+'Transfery nein.2.5a'!O43+'Transfery nein.2.5a'!W43+'Transfery nein.2.5a'!S43+'Transfery nein.2.5a'!AA43+'Transfery neinvestiční 2.5'!#REF!+'Transfery investiční'!B42+'Transfery investiční'!F42+'Transfery investiční'!J42+'Transfery investiční'!N42+'Transfery investiční'!R42</f>
        <v>#REF!</v>
      </c>
      <c r="AG43" s="44" t="e">
        <f>'Transfery neinvestiční 2.5'!#REF!+'Transfery neinvestiční 2.5'!#REF!+'Transfery neinvestiční 2.5'!#REF!+'Transfery neinvestiční 2.5'!#REF!+'Transfery nein.2.5a'!D43+'Transfery nein.2.5a'!P43+'Transfery nein.2.5a'!X43+'Transfery nein.2.5a'!T43+'Transfery neinvestiční 2.5'!#REF!+'Transfery investiční'!C42+'Transfery investiční'!G42+'Transfery investiční'!K42+'Transfery investiční'!O42+'Transfery investiční'!S42+'Transfery investiční'!W42+AB43</f>
        <v>#REF!</v>
      </c>
    </row>
    <row r="44" spans="1:33" ht="16.5" thickBot="1">
      <c r="A44" s="193" t="s">
        <v>245</v>
      </c>
      <c r="B44" s="149">
        <f>SUM(B14:B42)</f>
        <v>983314</v>
      </c>
      <c r="C44" s="151">
        <f>SUM(C14:C42)</f>
        <v>1006381</v>
      </c>
      <c r="D44" s="151">
        <f>SUM(D14:D42)</f>
        <v>1006131</v>
      </c>
      <c r="E44" s="150">
        <f>D44/C44*100</f>
        <v>99.9751585135252</v>
      </c>
      <c r="F44" s="149">
        <f>SUM(F14:F42)</f>
        <v>982595</v>
      </c>
      <c r="G44" s="151">
        <f>SUM(G14:G42)</f>
        <v>1003478</v>
      </c>
      <c r="H44" s="151">
        <f>SUM(H14:H42)</f>
        <v>1003329</v>
      </c>
      <c r="I44" s="103">
        <f>H44/G44*100</f>
        <v>99.98515164258708</v>
      </c>
      <c r="J44" s="284">
        <f>SUM(J13:J42)</f>
        <v>719</v>
      </c>
      <c r="K44" s="101">
        <f>SUM(K13:K42)</f>
        <v>2903</v>
      </c>
      <c r="L44" s="101">
        <f>SUM(L13:L42)</f>
        <v>2802</v>
      </c>
      <c r="M44" s="103">
        <f>L44/K44*100</f>
        <v>96.52084050981743</v>
      </c>
      <c r="N44" s="100"/>
      <c r="O44" s="151">
        <f>SUM(O13:O42)</f>
        <v>3167</v>
      </c>
      <c r="P44" s="151">
        <f>SUM(P13:P42)</f>
        <v>3167</v>
      </c>
      <c r="Q44" s="150">
        <f>P44/O44*100</f>
        <v>100</v>
      </c>
      <c r="R44" s="285"/>
      <c r="S44" s="151">
        <f>SUM(S13:S42)</f>
        <v>532</v>
      </c>
      <c r="T44" s="151">
        <f>SUM(T13:T42)</f>
        <v>532</v>
      </c>
      <c r="U44" s="150">
        <f>T44/S44*100</f>
        <v>100</v>
      </c>
      <c r="W44" s="44">
        <f>SUM(W14:W42)</f>
        <v>0</v>
      </c>
      <c r="X44" s="44">
        <f>SUM(X14:X42)</f>
        <v>0</v>
      </c>
      <c r="AA44" s="44">
        <f>SUM(AA13:AA42)</f>
        <v>0</v>
      </c>
      <c r="AB44" s="44">
        <f>SUM(AB13:AB42)</f>
        <v>0</v>
      </c>
      <c r="AE44" s="44" t="e">
        <f>'Transfery neinvestiční 2.5'!B43+'Transfery neinvestiční 2.5'!F43+'Transfery neinvestiční 2.5'!J43+'Transfery neinvestiční 2.5'!N43+'Transfery nein.2.5a'!B44+'Transfery nein.2.5a'!N44+'Transfery nein.2.5a'!V44+'Transfery nein.2.5a'!R44+'Transfery neinvestiční 2.5'!R43+'Transfery investiční'!#REF!+'Transfery investiční'!E43+'Transfery investiční'!I43+'Transfery investiční'!M43+'Transfery investiční'!Q43+'Transfery investiční'!Y43</f>
        <v>#REF!</v>
      </c>
      <c r="AF44" s="44">
        <f>'Transfery neinvestiční 2.5'!C43+'Transfery neinvestiční 2.5'!G43+'Transfery neinvestiční 2.5'!K43+'Transfery neinvestiční 2.5'!O43+'Transfery nein.2.5a'!C44+'Transfery nein.2.5a'!O44+'Transfery nein.2.5a'!W44+'Transfery nein.2.5a'!S44+'Transfery neinvestiční 2.5'!S43+'Transfery investiční'!B43+'Transfery investiční'!F43+'Transfery investiční'!J43+'Transfery investiční'!N43+'Transfery investiční'!R43+'Transfery investiční'!Z43</f>
        <v>2139081</v>
      </c>
      <c r="AG44" s="44">
        <f>'Transfery neinvestiční 2.5'!D43+'Transfery neinvestiční 2.5'!H43+'Transfery neinvestiční 2.5'!L43+'Transfery neinvestiční 2.5'!P43+'Transfery nein.2.5a'!D44+'Transfery nein.2.5a'!P44+'Transfery nein.2.5a'!X44+'Transfery nein.2.5a'!T44+'Transfery neinvestiční 2.5'!T43+'Transfery investiční'!C43+'Transfery investiční'!G43+'Transfery investiční'!K43+'Transfery investiční'!O43+'Transfery investiční'!S43+'Transfery investiční'!AA43</f>
        <v>2134382</v>
      </c>
    </row>
    <row r="45" spans="31:34" ht="15.75">
      <c r="AE45" s="44" t="e">
        <f>SUM(AE14:AE42)</f>
        <v>#REF!</v>
      </c>
      <c r="AF45" s="44">
        <f>SUM(AF14:AF42)</f>
        <v>2139081</v>
      </c>
      <c r="AG45" s="44">
        <f>SUM(AG14:AG42)</f>
        <v>2134382</v>
      </c>
      <c r="AH45" s="44">
        <f>SUM(AH14:AH42)</f>
        <v>2110621.84601</v>
      </c>
    </row>
    <row r="47" spans="1:14" s="125" customFormat="1" ht="15.75">
      <c r="A47" s="162"/>
      <c r="I47" s="47"/>
      <c r="J47" s="47"/>
      <c r="K47" s="47"/>
      <c r="L47" s="47"/>
      <c r="M47" s="47"/>
      <c r="N47" s="47"/>
    </row>
    <row r="48" spans="1:33" s="125" customFormat="1" ht="15.75">
      <c r="A48" s="162">
        <v>2012</v>
      </c>
      <c r="B48" s="125">
        <v>983314</v>
      </c>
      <c r="C48" s="125">
        <v>1006382</v>
      </c>
      <c r="D48" s="125">
        <f>1003082+739+2310</f>
        <v>1006131</v>
      </c>
      <c r="F48" s="125">
        <v>982595</v>
      </c>
      <c r="G48" s="125">
        <v>1003478</v>
      </c>
      <c r="H48" s="125">
        <v>1003329</v>
      </c>
      <c r="I48" s="47"/>
      <c r="J48" s="47">
        <f>370+349</f>
        <v>719</v>
      </c>
      <c r="K48" s="47">
        <v>2904</v>
      </c>
      <c r="L48" s="47">
        <v>2802</v>
      </c>
      <c r="M48" s="47"/>
      <c r="N48" s="47">
        <v>0</v>
      </c>
      <c r="O48" s="125">
        <v>3166.93</v>
      </c>
      <c r="P48" s="125">
        <v>3167</v>
      </c>
      <c r="S48" s="125">
        <v>532</v>
      </c>
      <c r="T48" s="125">
        <v>533</v>
      </c>
      <c r="AE48" s="125">
        <v>1677171</v>
      </c>
      <c r="AF48" s="125">
        <v>2152021</v>
      </c>
      <c r="AG48" s="125">
        <v>2110622</v>
      </c>
    </row>
    <row r="49" spans="1:20" s="125" customFormat="1" ht="15.75">
      <c r="A49" s="162">
        <v>2011</v>
      </c>
      <c r="B49" s="125">
        <v>984484</v>
      </c>
      <c r="C49" s="125">
        <v>1015223</v>
      </c>
      <c r="D49" s="125">
        <v>1014529</v>
      </c>
      <c r="F49" s="125">
        <v>983750</v>
      </c>
      <c r="G49" s="125">
        <v>1012423</v>
      </c>
      <c r="H49" s="125">
        <v>1011743</v>
      </c>
      <c r="I49" s="47"/>
      <c r="J49" s="47">
        <f>385+349</f>
        <v>734</v>
      </c>
      <c r="K49" s="47">
        <v>2800</v>
      </c>
      <c r="L49" s="47">
        <v>2786</v>
      </c>
      <c r="M49" s="47"/>
      <c r="N49" s="47"/>
      <c r="O49" s="125">
        <v>4503</v>
      </c>
      <c r="P49" s="125">
        <v>4503</v>
      </c>
      <c r="S49" s="125">
        <v>875</v>
      </c>
      <c r="T49" s="125">
        <v>873</v>
      </c>
    </row>
    <row r="50" spans="13:14" ht="15.75">
      <c r="M50" s="370">
        <f>L44+P44</f>
        <v>5969</v>
      </c>
      <c r="N50" s="370"/>
    </row>
    <row r="51" spans="10:12" ht="15.75">
      <c r="J51" s="40">
        <f>370+349</f>
        <v>719</v>
      </c>
      <c r="K51" s="40">
        <f>830+2322</f>
        <v>3152</v>
      </c>
      <c r="L51" s="40">
        <f>2310+739</f>
        <v>3049</v>
      </c>
    </row>
    <row r="53" spans="8:12" ht="15.75">
      <c r="H53" s="44">
        <f>H44/'Příjmy '!R41*100</f>
        <v>47.00793953472247</v>
      </c>
      <c r="K53" s="47">
        <f>K48-K44</f>
        <v>1</v>
      </c>
      <c r="L53" s="47">
        <f>L48-L44</f>
        <v>0</v>
      </c>
    </row>
    <row r="58" spans="4:20" ht="15.75">
      <c r="D58" s="135">
        <f>D59/D49*100</f>
        <v>-0.8277732819860251</v>
      </c>
      <c r="H58" s="44">
        <f>H59/H49*100</f>
        <v>-0.8316341205227019</v>
      </c>
      <c r="L58" s="135">
        <f>L59/L49*100</f>
        <v>0.574300071787509</v>
      </c>
      <c r="P58" s="135">
        <f>P59/P49*100</f>
        <v>-29.66910948256718</v>
      </c>
      <c r="T58" s="135">
        <f>T59/T49*100</f>
        <v>-38.94616265750287</v>
      </c>
    </row>
    <row r="59" spans="4:20" ht="15.75">
      <c r="D59" s="125">
        <f>D48-D49</f>
        <v>-8398</v>
      </c>
      <c r="H59" s="125">
        <f>H48-H49</f>
        <v>-8414</v>
      </c>
      <c r="L59" s="125">
        <f>L48-L49</f>
        <v>16</v>
      </c>
      <c r="P59" s="125">
        <f>P48-P49</f>
        <v>-1336</v>
      </c>
      <c r="T59" s="125">
        <f>T48-T49</f>
        <v>-340</v>
      </c>
    </row>
  </sheetData>
  <sheetProtection/>
  <mergeCells count="36">
    <mergeCell ref="R10:R11"/>
    <mergeCell ref="A1:M1"/>
    <mergeCell ref="N7:Q7"/>
    <mergeCell ref="R7:U7"/>
    <mergeCell ref="A3:Y4"/>
    <mergeCell ref="A2:Y2"/>
    <mergeCell ref="A7:A11"/>
    <mergeCell ref="B10:B11"/>
    <mergeCell ref="C10:C11"/>
    <mergeCell ref="D10:D11"/>
    <mergeCell ref="F10:F11"/>
    <mergeCell ref="G10:G11"/>
    <mergeCell ref="H10:H11"/>
    <mergeCell ref="J10:J11"/>
    <mergeCell ref="B12:E12"/>
    <mergeCell ref="J12:M12"/>
    <mergeCell ref="N12:Q12"/>
    <mergeCell ref="R12:U12"/>
    <mergeCell ref="AG12:AH12"/>
    <mergeCell ref="Z12:AC12"/>
    <mergeCell ref="M50:N50"/>
    <mergeCell ref="F9:I9"/>
    <mergeCell ref="B7:M7"/>
    <mergeCell ref="J9:M9"/>
    <mergeCell ref="AE10:AG10"/>
    <mergeCell ref="Z7:AC9"/>
    <mergeCell ref="V7:Y7"/>
    <mergeCell ref="F8:I8"/>
    <mergeCell ref="S10:S11"/>
    <mergeCell ref="T10:T11"/>
    <mergeCell ref="K10:K11"/>
    <mergeCell ref="L10:L11"/>
    <mergeCell ref="N10:N11"/>
    <mergeCell ref="O10:O11"/>
    <mergeCell ref="P10:P11"/>
    <mergeCell ref="V12:Y12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600" verticalDpi="600" orientation="landscape" paperSize="9" scale="58" r:id="rId3"/>
  <colBreaks count="1" manualBreakCount="1">
    <brk id="29" max="4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D59"/>
  <sheetViews>
    <sheetView showZeros="0" view="pageBreakPreview" zoomScale="85" zoomScaleNormal="70" zoomScaleSheetLayoutView="85" zoomScalePageLayoutView="0" workbookViewId="0" topLeftCell="A1">
      <pane xSplit="1" ySplit="12" topLeftCell="B13" activePane="bottomRight" state="frozen"/>
      <selection pane="topLeft" activeCell="J54" sqref="J54:J55"/>
      <selection pane="topRight" activeCell="J54" sqref="J54:J55"/>
      <selection pane="bottomLeft" activeCell="J54" sqref="J54:J55"/>
      <selection pane="bottomRight" activeCell="A6" sqref="A6"/>
    </sheetView>
  </sheetViews>
  <sheetFormatPr defaultColWidth="8.796875" defaultRowHeight="15"/>
  <cols>
    <col min="1" max="1" width="27.59765625" style="82" customWidth="1"/>
    <col min="2" max="2" width="7.796875" style="44" hidden="1" customWidth="1"/>
    <col min="3" max="3" width="6.8984375" style="44" hidden="1" customWidth="1"/>
    <col min="4" max="4" width="5.796875" style="44" hidden="1" customWidth="1"/>
    <col min="5" max="6" width="9" style="44" customWidth="1"/>
    <col min="7" max="7" width="9.296875" style="44" customWidth="1"/>
    <col min="8" max="8" width="7.19921875" style="44" customWidth="1"/>
    <col min="9" max="10" width="9.09765625" style="44" customWidth="1"/>
    <col min="11" max="11" width="9.296875" style="44" customWidth="1"/>
    <col min="12" max="12" width="7.19921875" style="44" customWidth="1"/>
    <col min="13" max="14" width="9.09765625" style="44" customWidth="1"/>
    <col min="15" max="15" width="9.296875" style="44" customWidth="1"/>
    <col min="16" max="16" width="7.19921875" style="44" customWidth="1"/>
    <col min="17" max="18" width="9.19921875" style="44" customWidth="1"/>
    <col min="19" max="19" width="9.296875" style="44" customWidth="1"/>
    <col min="20" max="20" width="7.19921875" style="44" customWidth="1"/>
    <col min="21" max="23" width="7.796875" style="44" hidden="1" customWidth="1"/>
    <col min="24" max="24" width="6.19921875" style="44" hidden="1" customWidth="1"/>
    <col min="25" max="26" width="9.19921875" style="44" customWidth="1"/>
    <col min="27" max="27" width="9.296875" style="44" customWidth="1"/>
    <col min="28" max="28" width="7.19921875" style="44" customWidth="1"/>
    <col min="29" max="29" width="11.69921875" style="44" customWidth="1"/>
    <col min="30" max="30" width="14.8984375" style="44" customWidth="1"/>
    <col min="31" max="31" width="11.296875" style="44" customWidth="1"/>
    <col min="32" max="32" width="9.796875" style="44" customWidth="1"/>
    <col min="33" max="33" width="11" style="44" customWidth="1"/>
    <col min="34" max="38" width="9.796875" style="44" customWidth="1"/>
    <col min="39" max="16384" width="8.8984375" style="44" customWidth="1"/>
  </cols>
  <sheetData>
    <row r="1" ht="17.25" customHeight="1"/>
    <row r="2" spans="1:28" ht="24" customHeight="1">
      <c r="A2" s="297" t="s">
        <v>238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ht="15" customHeight="1"/>
    <row r="4" spans="1:28" ht="21" customHeight="1">
      <c r="A4" s="297" t="s">
        <v>231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</row>
    <row r="5" ht="22.5" customHeight="1">
      <c r="AB5" s="132" t="s">
        <v>189</v>
      </c>
    </row>
    <row r="6" ht="22.5" customHeight="1" thickBot="1">
      <c r="AB6" s="132" t="s">
        <v>87</v>
      </c>
    </row>
    <row r="7" spans="1:28" s="82" customFormat="1" ht="18" customHeight="1">
      <c r="A7" s="346" t="s">
        <v>229</v>
      </c>
      <c r="B7" s="358"/>
      <c r="C7" s="358"/>
      <c r="D7" s="358"/>
      <c r="E7" s="364" t="s">
        <v>150</v>
      </c>
      <c r="F7" s="365"/>
      <c r="G7" s="365"/>
      <c r="H7" s="366"/>
      <c r="I7" s="364" t="s">
        <v>123</v>
      </c>
      <c r="J7" s="365"/>
      <c r="K7" s="365"/>
      <c r="L7" s="366"/>
      <c r="M7" s="364" t="s">
        <v>160</v>
      </c>
      <c r="N7" s="365"/>
      <c r="O7" s="365"/>
      <c r="P7" s="366"/>
      <c r="Q7" s="364" t="s">
        <v>142</v>
      </c>
      <c r="R7" s="365"/>
      <c r="S7" s="365"/>
      <c r="T7" s="366"/>
      <c r="U7" s="358" t="s">
        <v>150</v>
      </c>
      <c r="V7" s="358"/>
      <c r="W7" s="358"/>
      <c r="X7" s="358"/>
      <c r="Y7" s="364" t="s">
        <v>150</v>
      </c>
      <c r="Z7" s="365"/>
      <c r="AA7" s="365"/>
      <c r="AB7" s="366"/>
    </row>
    <row r="8" spans="1:28" s="82" customFormat="1" ht="18" customHeight="1" thickBot="1">
      <c r="A8" s="347"/>
      <c r="B8" s="358"/>
      <c r="C8" s="358"/>
      <c r="D8" s="358"/>
      <c r="E8" s="367" t="s">
        <v>79</v>
      </c>
      <c r="F8" s="368"/>
      <c r="G8" s="368"/>
      <c r="H8" s="369"/>
      <c r="I8" s="367" t="s">
        <v>141</v>
      </c>
      <c r="J8" s="368"/>
      <c r="K8" s="368"/>
      <c r="L8" s="369"/>
      <c r="M8" s="367" t="s">
        <v>186</v>
      </c>
      <c r="N8" s="368"/>
      <c r="O8" s="368"/>
      <c r="P8" s="369"/>
      <c r="Q8" s="166"/>
      <c r="R8" s="206"/>
      <c r="S8" s="206"/>
      <c r="T8" s="207"/>
      <c r="U8" s="358" t="s">
        <v>166</v>
      </c>
      <c r="V8" s="358"/>
      <c r="W8" s="358"/>
      <c r="X8" s="358"/>
      <c r="Y8" s="367" t="s">
        <v>234</v>
      </c>
      <c r="Z8" s="368"/>
      <c r="AA8" s="368"/>
      <c r="AB8" s="369"/>
    </row>
    <row r="9" spans="1:28" ht="18.75" customHeight="1">
      <c r="A9" s="347"/>
      <c r="C9" s="44" t="s">
        <v>33</v>
      </c>
      <c r="D9" s="44" t="s">
        <v>0</v>
      </c>
      <c r="E9" s="333" t="s">
        <v>242</v>
      </c>
      <c r="F9" s="335" t="s">
        <v>244</v>
      </c>
      <c r="G9" s="335" t="s">
        <v>243</v>
      </c>
      <c r="H9" s="171" t="s">
        <v>0</v>
      </c>
      <c r="I9" s="333" t="s">
        <v>242</v>
      </c>
      <c r="J9" s="335" t="s">
        <v>244</v>
      </c>
      <c r="K9" s="335" t="s">
        <v>243</v>
      </c>
      <c r="L9" s="171" t="s">
        <v>0</v>
      </c>
      <c r="M9" s="333" t="s">
        <v>242</v>
      </c>
      <c r="N9" s="335" t="s">
        <v>244</v>
      </c>
      <c r="O9" s="335" t="s">
        <v>243</v>
      </c>
      <c r="P9" s="171" t="s">
        <v>0</v>
      </c>
      <c r="Q9" s="333" t="s">
        <v>242</v>
      </c>
      <c r="R9" s="335" t="s">
        <v>244</v>
      </c>
      <c r="S9" s="335" t="s">
        <v>243</v>
      </c>
      <c r="T9" s="171" t="s">
        <v>0</v>
      </c>
      <c r="U9" s="44" t="s">
        <v>32</v>
      </c>
      <c r="W9" s="44" t="s">
        <v>33</v>
      </c>
      <c r="X9" s="44" t="s">
        <v>0</v>
      </c>
      <c r="Y9" s="333" t="s">
        <v>242</v>
      </c>
      <c r="Z9" s="335" t="s">
        <v>244</v>
      </c>
      <c r="AA9" s="335" t="s">
        <v>243</v>
      </c>
      <c r="AB9" s="171" t="s">
        <v>0</v>
      </c>
    </row>
    <row r="10" spans="1:28" ht="18.75" customHeight="1" thickBot="1">
      <c r="A10" s="348"/>
      <c r="B10" s="44" t="s">
        <v>35</v>
      </c>
      <c r="C10" s="44" t="s">
        <v>168</v>
      </c>
      <c r="D10" s="44" t="s">
        <v>11</v>
      </c>
      <c r="E10" s="334"/>
      <c r="F10" s="336"/>
      <c r="G10" s="336"/>
      <c r="H10" s="173" t="s">
        <v>11</v>
      </c>
      <c r="I10" s="334"/>
      <c r="J10" s="336"/>
      <c r="K10" s="336"/>
      <c r="L10" s="173" t="s">
        <v>11</v>
      </c>
      <c r="M10" s="334"/>
      <c r="N10" s="336"/>
      <c r="O10" s="336"/>
      <c r="P10" s="173" t="s">
        <v>11</v>
      </c>
      <c r="Q10" s="334"/>
      <c r="R10" s="336"/>
      <c r="S10" s="336"/>
      <c r="T10" s="173" t="s">
        <v>11</v>
      </c>
      <c r="U10" s="44" t="s">
        <v>34</v>
      </c>
      <c r="V10" s="44" t="s">
        <v>35</v>
      </c>
      <c r="W10" s="44" t="s">
        <v>168</v>
      </c>
      <c r="X10" s="44" t="s">
        <v>11</v>
      </c>
      <c r="Y10" s="334"/>
      <c r="Z10" s="336"/>
      <c r="AA10" s="336"/>
      <c r="AB10" s="173" t="s">
        <v>11</v>
      </c>
    </row>
    <row r="11" spans="1:28" ht="16.5" customHeight="1">
      <c r="A11" s="211"/>
      <c r="B11" s="337"/>
      <c r="C11" s="337"/>
      <c r="D11" s="337"/>
      <c r="E11" s="355" t="s">
        <v>94</v>
      </c>
      <c r="F11" s="356"/>
      <c r="G11" s="356"/>
      <c r="H11" s="357"/>
      <c r="I11" s="355" t="s">
        <v>122</v>
      </c>
      <c r="J11" s="356"/>
      <c r="K11" s="356"/>
      <c r="L11" s="357"/>
      <c r="M11" s="355" t="s">
        <v>95</v>
      </c>
      <c r="N11" s="356"/>
      <c r="O11" s="356"/>
      <c r="P11" s="357"/>
      <c r="Q11" s="355" t="s">
        <v>121</v>
      </c>
      <c r="R11" s="356"/>
      <c r="S11" s="356"/>
      <c r="T11" s="357"/>
      <c r="U11" s="337" t="s">
        <v>165</v>
      </c>
      <c r="V11" s="337"/>
      <c r="W11" s="337"/>
      <c r="X11" s="337"/>
      <c r="Y11" s="355" t="s">
        <v>233</v>
      </c>
      <c r="Z11" s="356"/>
      <c r="AA11" s="356"/>
      <c r="AB11" s="357"/>
    </row>
    <row r="12" spans="1:30" ht="16.5" customHeight="1" thickBot="1">
      <c r="A12" s="169"/>
      <c r="E12" s="141"/>
      <c r="F12" s="147"/>
      <c r="G12" s="147"/>
      <c r="H12" s="142"/>
      <c r="I12" s="141"/>
      <c r="J12" s="147"/>
      <c r="K12" s="147"/>
      <c r="L12" s="142"/>
      <c r="M12" s="141"/>
      <c r="N12" s="147"/>
      <c r="O12" s="147"/>
      <c r="P12" s="142"/>
      <c r="Q12" s="141"/>
      <c r="R12" s="147"/>
      <c r="S12" s="147"/>
      <c r="T12" s="142"/>
      <c r="Y12" s="141"/>
      <c r="Z12" s="147"/>
      <c r="AA12" s="147"/>
      <c r="AB12" s="142"/>
      <c r="AD12" s="44" t="s">
        <v>221</v>
      </c>
    </row>
    <row r="13" spans="1:30" ht="16.5" customHeight="1">
      <c r="A13" s="95" t="s">
        <v>191</v>
      </c>
      <c r="B13" s="208"/>
      <c r="C13" s="163"/>
      <c r="D13" s="187" t="e">
        <f aca="true" t="shared" si="0" ref="D13:D39">C13/B13*100</f>
        <v>#DIV/0!</v>
      </c>
      <c r="E13" s="154">
        <v>0</v>
      </c>
      <c r="F13" s="156">
        <v>1920</v>
      </c>
      <c r="G13" s="156">
        <v>1920</v>
      </c>
      <c r="H13" s="155">
        <f>G13/F13*100</f>
        <v>100</v>
      </c>
      <c r="I13" s="154"/>
      <c r="J13" s="156"/>
      <c r="K13" s="156"/>
      <c r="L13" s="155"/>
      <c r="M13" s="154">
        <v>0</v>
      </c>
      <c r="N13" s="156">
        <v>29429</v>
      </c>
      <c r="O13" s="156">
        <v>29429</v>
      </c>
      <c r="P13" s="155">
        <f aca="true" t="shared" si="1" ref="P13:P20">O13/N13*100</f>
        <v>100</v>
      </c>
      <c r="Q13" s="154"/>
      <c r="R13" s="156"/>
      <c r="S13" s="156">
        <f aca="true" t="shared" si="2" ref="S13:S39">R13</f>
        <v>0</v>
      </c>
      <c r="T13" s="155"/>
      <c r="U13" s="208"/>
      <c r="V13" s="163"/>
      <c r="W13" s="163"/>
      <c r="X13" s="187"/>
      <c r="Y13" s="154"/>
      <c r="Z13" s="156"/>
      <c r="AA13" s="156">
        <f>Z13</f>
        <v>0</v>
      </c>
      <c r="AB13" s="155"/>
      <c r="AD13" s="44">
        <v>-351686298.93</v>
      </c>
    </row>
    <row r="14" spans="1:30" ht="16.5" customHeight="1">
      <c r="A14" s="96" t="s">
        <v>192</v>
      </c>
      <c r="B14" s="209"/>
      <c r="C14" s="50"/>
      <c r="D14" s="188" t="e">
        <f t="shared" si="0"/>
        <v>#DIV/0!</v>
      </c>
      <c r="E14" s="143"/>
      <c r="F14" s="138"/>
      <c r="G14" s="138"/>
      <c r="H14" s="144"/>
      <c r="I14" s="143">
        <v>0</v>
      </c>
      <c r="J14" s="138">
        <v>4000</v>
      </c>
      <c r="K14" s="138">
        <v>4000</v>
      </c>
      <c r="L14" s="144">
        <f>K14/J14*100</f>
        <v>100</v>
      </c>
      <c r="M14" s="143">
        <v>0</v>
      </c>
      <c r="N14" s="138">
        <v>3080</v>
      </c>
      <c r="O14" s="138">
        <v>3080</v>
      </c>
      <c r="P14" s="144">
        <f t="shared" si="1"/>
        <v>100</v>
      </c>
      <c r="Q14" s="143"/>
      <c r="R14" s="138"/>
      <c r="S14" s="138">
        <f t="shared" si="2"/>
        <v>0</v>
      </c>
      <c r="T14" s="144"/>
      <c r="U14" s="209"/>
      <c r="V14" s="50"/>
      <c r="W14" s="50"/>
      <c r="X14" s="188"/>
      <c r="Y14" s="143"/>
      <c r="Z14" s="138"/>
      <c r="AA14" s="138">
        <f>Z14</f>
        <v>0</v>
      </c>
      <c r="AB14" s="144"/>
      <c r="AD14" s="44">
        <v>-54955735</v>
      </c>
    </row>
    <row r="15" spans="1:30" ht="16.5" customHeight="1">
      <c r="A15" s="96" t="s">
        <v>193</v>
      </c>
      <c r="B15" s="209"/>
      <c r="C15" s="50"/>
      <c r="D15" s="188" t="e">
        <f t="shared" si="0"/>
        <v>#DIV/0!</v>
      </c>
      <c r="E15" s="143"/>
      <c r="F15" s="138"/>
      <c r="G15" s="138"/>
      <c r="H15" s="144"/>
      <c r="I15" s="143"/>
      <c r="J15" s="138"/>
      <c r="K15" s="138"/>
      <c r="L15" s="144"/>
      <c r="M15" s="143">
        <v>0</v>
      </c>
      <c r="N15" s="138">
        <v>38360</v>
      </c>
      <c r="O15" s="138">
        <v>38360</v>
      </c>
      <c r="P15" s="144">
        <f t="shared" si="1"/>
        <v>100</v>
      </c>
      <c r="Q15" s="143"/>
      <c r="R15" s="138"/>
      <c r="S15" s="138"/>
      <c r="T15" s="144"/>
      <c r="U15" s="209"/>
      <c r="V15" s="50"/>
      <c r="W15" s="50"/>
      <c r="X15" s="188"/>
      <c r="Y15" s="143"/>
      <c r="Z15" s="138"/>
      <c r="AA15" s="138"/>
      <c r="AB15" s="144"/>
      <c r="AD15" s="44">
        <v>-60214041.68</v>
      </c>
    </row>
    <row r="16" spans="1:30" ht="16.5" customHeight="1">
      <c r="A16" s="96" t="s">
        <v>194</v>
      </c>
      <c r="B16" s="209"/>
      <c r="C16" s="50"/>
      <c r="D16" s="188" t="e">
        <f t="shared" si="0"/>
        <v>#DIV/0!</v>
      </c>
      <c r="E16" s="143">
        <v>0</v>
      </c>
      <c r="F16" s="138">
        <f>5896-1</f>
        <v>5895</v>
      </c>
      <c r="G16" s="138">
        <f>5896-1</f>
        <v>5895</v>
      </c>
      <c r="H16" s="144">
        <f>G16/F16*100</f>
        <v>100</v>
      </c>
      <c r="I16" s="143"/>
      <c r="J16" s="138"/>
      <c r="K16" s="138"/>
      <c r="L16" s="144"/>
      <c r="M16" s="143">
        <v>0</v>
      </c>
      <c r="N16" s="138">
        <v>1880</v>
      </c>
      <c r="O16" s="138">
        <v>1880</v>
      </c>
      <c r="P16" s="144">
        <f t="shared" si="1"/>
        <v>100</v>
      </c>
      <c r="Q16" s="143"/>
      <c r="R16" s="138"/>
      <c r="S16" s="138">
        <f t="shared" si="2"/>
        <v>0</v>
      </c>
      <c r="T16" s="144"/>
      <c r="U16" s="209"/>
      <c r="V16" s="50"/>
      <c r="W16" s="50"/>
      <c r="X16" s="188"/>
      <c r="Y16" s="143">
        <v>0</v>
      </c>
      <c r="Z16" s="138">
        <v>161</v>
      </c>
      <c r="AA16" s="138">
        <v>161</v>
      </c>
      <c r="AB16" s="144">
        <f>AA16/Z16*100</f>
        <v>100</v>
      </c>
      <c r="AD16" s="44">
        <v>-63035627.25</v>
      </c>
    </row>
    <row r="17" spans="1:30" ht="16.5" customHeight="1">
      <c r="A17" s="96" t="s">
        <v>195</v>
      </c>
      <c r="B17" s="209"/>
      <c r="C17" s="50"/>
      <c r="D17" s="188" t="e">
        <f t="shared" si="0"/>
        <v>#DIV/0!</v>
      </c>
      <c r="E17" s="143">
        <v>0</v>
      </c>
      <c r="F17" s="138">
        <v>746</v>
      </c>
      <c r="G17" s="138">
        <v>746</v>
      </c>
      <c r="H17" s="144">
        <f>G17/F17*100</f>
        <v>100</v>
      </c>
      <c r="I17" s="143"/>
      <c r="J17" s="138"/>
      <c r="K17" s="138"/>
      <c r="L17" s="144"/>
      <c r="M17" s="143">
        <v>0</v>
      </c>
      <c r="N17" s="138">
        <v>100</v>
      </c>
      <c r="O17" s="138">
        <v>100</v>
      </c>
      <c r="P17" s="144">
        <f t="shared" si="1"/>
        <v>100</v>
      </c>
      <c r="Q17" s="143"/>
      <c r="R17" s="138"/>
      <c r="S17" s="138">
        <f t="shared" si="2"/>
        <v>0</v>
      </c>
      <c r="T17" s="144"/>
      <c r="U17" s="209"/>
      <c r="V17" s="50"/>
      <c r="W17" s="50"/>
      <c r="X17" s="188"/>
      <c r="Y17" s="143"/>
      <c r="Z17" s="138"/>
      <c r="AA17" s="138"/>
      <c r="AB17" s="144"/>
      <c r="AD17" s="44">
        <v>-54247433</v>
      </c>
    </row>
    <row r="18" spans="1:30" ht="16.5" customHeight="1">
      <c r="A18" s="96" t="s">
        <v>196</v>
      </c>
      <c r="B18" s="209"/>
      <c r="C18" s="50"/>
      <c r="D18" s="188" t="e">
        <f t="shared" si="0"/>
        <v>#DIV/0!</v>
      </c>
      <c r="E18" s="143"/>
      <c r="F18" s="138"/>
      <c r="G18" s="138"/>
      <c r="H18" s="144"/>
      <c r="I18" s="143"/>
      <c r="J18" s="138"/>
      <c r="K18" s="138"/>
      <c r="L18" s="144"/>
      <c r="M18" s="143"/>
      <c r="N18" s="138"/>
      <c r="O18" s="138"/>
      <c r="P18" s="144"/>
      <c r="Q18" s="143"/>
      <c r="R18" s="138"/>
      <c r="S18" s="138">
        <f t="shared" si="2"/>
        <v>0</v>
      </c>
      <c r="T18" s="144"/>
      <c r="U18" s="209"/>
      <c r="V18" s="50"/>
      <c r="W18" s="50"/>
      <c r="X18" s="188"/>
      <c r="Y18" s="143"/>
      <c r="Z18" s="138"/>
      <c r="AA18" s="138"/>
      <c r="AB18" s="144"/>
      <c r="AD18" s="44">
        <v>-10829194</v>
      </c>
    </row>
    <row r="19" spans="1:30" ht="16.5" customHeight="1">
      <c r="A19" s="96" t="s">
        <v>197</v>
      </c>
      <c r="B19" s="209"/>
      <c r="C19" s="50"/>
      <c r="D19" s="188" t="e">
        <f t="shared" si="0"/>
        <v>#DIV/0!</v>
      </c>
      <c r="E19" s="143"/>
      <c r="F19" s="138"/>
      <c r="G19" s="138"/>
      <c r="H19" s="144"/>
      <c r="I19" s="143"/>
      <c r="J19" s="138"/>
      <c r="K19" s="138"/>
      <c r="L19" s="144"/>
      <c r="M19" s="143"/>
      <c r="N19" s="138"/>
      <c r="O19" s="138"/>
      <c r="P19" s="144"/>
      <c r="Q19" s="143">
        <v>0</v>
      </c>
      <c r="R19" s="138">
        <v>250</v>
      </c>
      <c r="S19" s="138">
        <v>250</v>
      </c>
      <c r="T19" s="144">
        <f>S19/R19*100</f>
        <v>100</v>
      </c>
      <c r="U19" s="209"/>
      <c r="V19" s="50"/>
      <c r="W19" s="50"/>
      <c r="X19" s="188"/>
      <c r="Y19" s="143"/>
      <c r="Z19" s="138"/>
      <c r="AA19" s="138"/>
      <c r="AB19" s="144"/>
      <c r="AD19" s="44">
        <v>-91613555.71</v>
      </c>
    </row>
    <row r="20" spans="1:30" ht="16.5" customHeight="1">
      <c r="A20" s="96" t="s">
        <v>198</v>
      </c>
      <c r="B20" s="209"/>
      <c r="C20" s="50"/>
      <c r="D20" s="188" t="e">
        <f t="shared" si="0"/>
        <v>#DIV/0!</v>
      </c>
      <c r="E20" s="143">
        <v>0</v>
      </c>
      <c r="F20" s="138">
        <v>3113</v>
      </c>
      <c r="G20" s="138">
        <v>3113</v>
      </c>
      <c r="H20" s="144">
        <f>G20/F20*100</f>
        <v>100</v>
      </c>
      <c r="I20" s="143"/>
      <c r="J20" s="138"/>
      <c r="K20" s="138"/>
      <c r="L20" s="144"/>
      <c r="M20" s="143">
        <v>0</v>
      </c>
      <c r="N20" s="138">
        <v>19350</v>
      </c>
      <c r="O20" s="138">
        <v>19350</v>
      </c>
      <c r="P20" s="144">
        <f t="shared" si="1"/>
        <v>100</v>
      </c>
      <c r="Q20" s="143">
        <v>0</v>
      </c>
      <c r="R20" s="138">
        <v>200</v>
      </c>
      <c r="S20" s="138">
        <v>200</v>
      </c>
      <c r="T20" s="144">
        <f>S20/R20*100</f>
        <v>100</v>
      </c>
      <c r="U20" s="209"/>
      <c r="V20" s="50"/>
      <c r="W20" s="50"/>
      <c r="X20" s="188"/>
      <c r="Y20" s="143"/>
      <c r="Z20" s="138"/>
      <c r="AA20" s="138"/>
      <c r="AB20" s="144"/>
      <c r="AD20" s="44">
        <v>-178555435.13</v>
      </c>
    </row>
    <row r="21" spans="1:30" ht="16.5" customHeight="1">
      <c r="A21" s="96" t="s">
        <v>199</v>
      </c>
      <c r="B21" s="209"/>
      <c r="C21" s="50"/>
      <c r="D21" s="188" t="e">
        <f t="shared" si="0"/>
        <v>#DIV/0!</v>
      </c>
      <c r="E21" s="143"/>
      <c r="F21" s="138"/>
      <c r="G21" s="138"/>
      <c r="H21" s="144"/>
      <c r="I21" s="143"/>
      <c r="J21" s="138"/>
      <c r="K21" s="138"/>
      <c r="L21" s="144"/>
      <c r="M21" s="143"/>
      <c r="N21" s="138"/>
      <c r="O21" s="138"/>
      <c r="P21" s="144"/>
      <c r="Q21" s="143"/>
      <c r="R21" s="138"/>
      <c r="S21" s="138">
        <f t="shared" si="2"/>
        <v>0</v>
      </c>
      <c r="T21" s="144"/>
      <c r="U21" s="209"/>
      <c r="V21" s="50"/>
      <c r="W21" s="50"/>
      <c r="X21" s="188"/>
      <c r="Y21" s="143"/>
      <c r="Z21" s="138"/>
      <c r="AA21" s="138"/>
      <c r="AB21" s="144"/>
      <c r="AD21" s="44">
        <v>-9817000</v>
      </c>
    </row>
    <row r="22" spans="1:30" ht="16.5" customHeight="1">
      <c r="A22" s="96" t="s">
        <v>200</v>
      </c>
      <c r="B22" s="209"/>
      <c r="C22" s="50"/>
      <c r="D22" s="188" t="e">
        <f t="shared" si="0"/>
        <v>#DIV/0!</v>
      </c>
      <c r="E22" s="143"/>
      <c r="F22" s="138"/>
      <c r="G22" s="138"/>
      <c r="H22" s="144"/>
      <c r="I22" s="143"/>
      <c r="J22" s="138"/>
      <c r="K22" s="138"/>
      <c r="L22" s="144"/>
      <c r="M22" s="143">
        <v>0</v>
      </c>
      <c r="N22" s="138">
        <v>8700</v>
      </c>
      <c r="O22" s="138">
        <v>8700</v>
      </c>
      <c r="P22" s="144">
        <f aca="true" t="shared" si="3" ref="P22:P29">O22/N22*100</f>
        <v>100</v>
      </c>
      <c r="Q22" s="143"/>
      <c r="R22" s="138"/>
      <c r="S22" s="138"/>
      <c r="T22" s="144"/>
      <c r="U22" s="209"/>
      <c r="V22" s="50"/>
      <c r="W22" s="50"/>
      <c r="X22" s="188"/>
      <c r="Y22" s="143"/>
      <c r="Z22" s="138"/>
      <c r="AA22" s="138"/>
      <c r="AB22" s="144"/>
      <c r="AD22" s="44">
        <v>-45060845.18</v>
      </c>
    </row>
    <row r="23" spans="1:30" ht="16.5" customHeight="1">
      <c r="A23" s="96" t="s">
        <v>201</v>
      </c>
      <c r="B23" s="209"/>
      <c r="C23" s="50"/>
      <c r="D23" s="188" t="e">
        <f t="shared" si="0"/>
        <v>#DIV/0!</v>
      </c>
      <c r="E23" s="143"/>
      <c r="F23" s="138"/>
      <c r="G23" s="138"/>
      <c r="H23" s="144"/>
      <c r="I23" s="143"/>
      <c r="J23" s="138"/>
      <c r="K23" s="138"/>
      <c r="L23" s="144"/>
      <c r="M23" s="143">
        <v>0</v>
      </c>
      <c r="N23" s="138">
        <v>5744</v>
      </c>
      <c r="O23" s="138">
        <v>5744</v>
      </c>
      <c r="P23" s="144">
        <f t="shared" si="3"/>
        <v>100</v>
      </c>
      <c r="Q23" s="143"/>
      <c r="R23" s="138"/>
      <c r="S23" s="138">
        <f t="shared" si="2"/>
        <v>0</v>
      </c>
      <c r="T23" s="144"/>
      <c r="U23" s="209"/>
      <c r="V23" s="50"/>
      <c r="W23" s="50"/>
      <c r="X23" s="188"/>
      <c r="Y23" s="143"/>
      <c r="Z23" s="138"/>
      <c r="AA23" s="138"/>
      <c r="AB23" s="144"/>
      <c r="AD23" s="44">
        <v>-16088110</v>
      </c>
    </row>
    <row r="24" spans="1:30" ht="16.5" customHeight="1">
      <c r="A24" s="96" t="s">
        <v>202</v>
      </c>
      <c r="B24" s="209"/>
      <c r="C24" s="50"/>
      <c r="D24" s="188" t="e">
        <f t="shared" si="0"/>
        <v>#DIV/0!</v>
      </c>
      <c r="E24" s="143"/>
      <c r="F24" s="138"/>
      <c r="G24" s="138"/>
      <c r="H24" s="144"/>
      <c r="I24" s="143"/>
      <c r="J24" s="138"/>
      <c r="K24" s="138"/>
      <c r="L24" s="144"/>
      <c r="M24" s="143">
        <v>0</v>
      </c>
      <c r="N24" s="138">
        <v>400</v>
      </c>
      <c r="O24" s="138">
        <v>400</v>
      </c>
      <c r="P24" s="144">
        <f t="shared" si="3"/>
        <v>100</v>
      </c>
      <c r="Q24" s="143"/>
      <c r="R24" s="138"/>
      <c r="S24" s="138">
        <f t="shared" si="2"/>
        <v>0</v>
      </c>
      <c r="T24" s="144"/>
      <c r="U24" s="209"/>
      <c r="V24" s="50"/>
      <c r="W24" s="50"/>
      <c r="X24" s="188"/>
      <c r="Y24" s="143"/>
      <c r="Z24" s="138"/>
      <c r="AA24" s="138"/>
      <c r="AB24" s="144"/>
      <c r="AD24" s="44">
        <v>-23612145</v>
      </c>
    </row>
    <row r="25" spans="1:30" ht="16.5" customHeight="1">
      <c r="A25" s="96" t="s">
        <v>203</v>
      </c>
      <c r="B25" s="209"/>
      <c r="C25" s="50"/>
      <c r="D25" s="188" t="e">
        <f t="shared" si="0"/>
        <v>#DIV/0!</v>
      </c>
      <c r="E25" s="143"/>
      <c r="F25" s="138"/>
      <c r="G25" s="138"/>
      <c r="H25" s="144"/>
      <c r="I25" s="143"/>
      <c r="J25" s="138"/>
      <c r="K25" s="138"/>
      <c r="L25" s="144"/>
      <c r="M25" s="143">
        <v>0</v>
      </c>
      <c r="N25" s="138">
        <v>1500</v>
      </c>
      <c r="O25" s="138">
        <v>1500</v>
      </c>
      <c r="P25" s="144">
        <f t="shared" si="3"/>
        <v>100</v>
      </c>
      <c r="Q25" s="143">
        <v>0</v>
      </c>
      <c r="R25" s="138">
        <v>60</v>
      </c>
      <c r="S25" s="138">
        <v>60</v>
      </c>
      <c r="T25" s="144">
        <f>S25/R25*100</f>
        <v>100</v>
      </c>
      <c r="U25" s="209"/>
      <c r="V25" s="50"/>
      <c r="W25" s="50"/>
      <c r="X25" s="188"/>
      <c r="Y25" s="143"/>
      <c r="Z25" s="138"/>
      <c r="AA25" s="138"/>
      <c r="AB25" s="144"/>
      <c r="AD25" s="44">
        <v>-266906236.7</v>
      </c>
    </row>
    <row r="26" spans="1:30" ht="16.5" customHeight="1">
      <c r="A26" s="96" t="s">
        <v>204</v>
      </c>
      <c r="B26" s="209"/>
      <c r="C26" s="50"/>
      <c r="D26" s="188" t="e">
        <f t="shared" si="0"/>
        <v>#DIV/0!</v>
      </c>
      <c r="E26" s="143"/>
      <c r="F26" s="138"/>
      <c r="G26" s="138"/>
      <c r="H26" s="144"/>
      <c r="I26" s="143"/>
      <c r="J26" s="138"/>
      <c r="K26" s="138"/>
      <c r="L26" s="144"/>
      <c r="M26" s="143">
        <v>0</v>
      </c>
      <c r="N26" s="138">
        <v>3000</v>
      </c>
      <c r="O26" s="138">
        <v>3000</v>
      </c>
      <c r="P26" s="144">
        <f t="shared" si="3"/>
        <v>100</v>
      </c>
      <c r="Q26" s="143"/>
      <c r="R26" s="138"/>
      <c r="S26" s="138"/>
      <c r="T26" s="144"/>
      <c r="U26" s="209"/>
      <c r="V26" s="50"/>
      <c r="W26" s="50"/>
      <c r="X26" s="188"/>
      <c r="Y26" s="143"/>
      <c r="Z26" s="138"/>
      <c r="AA26" s="138"/>
      <c r="AB26" s="144"/>
      <c r="AD26" s="44">
        <v>-26251438</v>
      </c>
    </row>
    <row r="27" spans="1:30" ht="16.5" customHeight="1">
      <c r="A27" s="96" t="s">
        <v>205</v>
      </c>
      <c r="B27" s="209"/>
      <c r="C27" s="50"/>
      <c r="D27" s="188" t="e">
        <f t="shared" si="0"/>
        <v>#DIV/0!</v>
      </c>
      <c r="E27" s="143"/>
      <c r="F27" s="138"/>
      <c r="G27" s="138"/>
      <c r="H27" s="144"/>
      <c r="I27" s="143"/>
      <c r="J27" s="138"/>
      <c r="K27" s="138"/>
      <c r="L27" s="144"/>
      <c r="M27" s="143">
        <v>0</v>
      </c>
      <c r="N27" s="138">
        <v>1200</v>
      </c>
      <c r="O27" s="138">
        <v>1200</v>
      </c>
      <c r="P27" s="144">
        <f t="shared" si="3"/>
        <v>100</v>
      </c>
      <c r="Q27" s="143">
        <v>0</v>
      </c>
      <c r="R27" s="138">
        <v>200</v>
      </c>
      <c r="S27" s="138">
        <v>200</v>
      </c>
      <c r="T27" s="144">
        <f>S27/R27*100</f>
        <v>100</v>
      </c>
      <c r="U27" s="209"/>
      <c r="V27" s="50"/>
      <c r="W27" s="50"/>
      <c r="X27" s="188"/>
      <c r="Y27" s="143">
        <v>0</v>
      </c>
      <c r="Z27" s="138">
        <v>1050</v>
      </c>
      <c r="AA27" s="138">
        <v>1050</v>
      </c>
      <c r="AB27" s="144">
        <f>AA27/Z27*100</f>
        <v>100</v>
      </c>
      <c r="AD27" s="44">
        <v>-152766419.57</v>
      </c>
    </row>
    <row r="28" spans="1:30" ht="16.5" customHeight="1">
      <c r="A28" s="96" t="s">
        <v>206</v>
      </c>
      <c r="B28" s="209"/>
      <c r="C28" s="50"/>
      <c r="D28" s="188" t="e">
        <f t="shared" si="0"/>
        <v>#DIV/0!</v>
      </c>
      <c r="E28" s="143"/>
      <c r="F28" s="138"/>
      <c r="G28" s="138"/>
      <c r="H28" s="144"/>
      <c r="I28" s="143"/>
      <c r="J28" s="138"/>
      <c r="K28" s="138"/>
      <c r="L28" s="144"/>
      <c r="M28" s="143">
        <v>0</v>
      </c>
      <c r="N28" s="138">
        <v>4700</v>
      </c>
      <c r="O28" s="138">
        <v>4700</v>
      </c>
      <c r="P28" s="144">
        <f t="shared" si="3"/>
        <v>100</v>
      </c>
      <c r="Q28" s="143"/>
      <c r="R28" s="138"/>
      <c r="S28" s="138"/>
      <c r="T28" s="144"/>
      <c r="U28" s="209"/>
      <c r="V28" s="50"/>
      <c r="W28" s="50"/>
      <c r="X28" s="188"/>
      <c r="Y28" s="143"/>
      <c r="Z28" s="138"/>
      <c r="AA28" s="138"/>
      <c r="AB28" s="144"/>
      <c r="AD28" s="44">
        <v>-49285763.17</v>
      </c>
    </row>
    <row r="29" spans="1:30" ht="16.5" customHeight="1">
      <c r="A29" s="96" t="s">
        <v>207</v>
      </c>
      <c r="B29" s="209"/>
      <c r="C29" s="50"/>
      <c r="D29" s="188" t="e">
        <f t="shared" si="0"/>
        <v>#DIV/0!</v>
      </c>
      <c r="E29" s="143"/>
      <c r="F29" s="138"/>
      <c r="G29" s="138"/>
      <c r="H29" s="144"/>
      <c r="I29" s="143"/>
      <c r="J29" s="138"/>
      <c r="K29" s="138"/>
      <c r="L29" s="144"/>
      <c r="M29" s="143">
        <v>0</v>
      </c>
      <c r="N29" s="138">
        <v>6163</v>
      </c>
      <c r="O29" s="138">
        <v>6163</v>
      </c>
      <c r="P29" s="144">
        <f t="shared" si="3"/>
        <v>100</v>
      </c>
      <c r="Q29" s="143"/>
      <c r="R29" s="138"/>
      <c r="S29" s="138"/>
      <c r="T29" s="144"/>
      <c r="U29" s="209"/>
      <c r="V29" s="50"/>
      <c r="W29" s="50"/>
      <c r="X29" s="188"/>
      <c r="Y29" s="143"/>
      <c r="Z29" s="138"/>
      <c r="AA29" s="138"/>
      <c r="AB29" s="144"/>
      <c r="AD29" s="44">
        <v>-67333269.64</v>
      </c>
    </row>
    <row r="30" spans="1:30" ht="15" customHeight="1">
      <c r="A30" s="96" t="s">
        <v>208</v>
      </c>
      <c r="B30" s="209"/>
      <c r="C30" s="50"/>
      <c r="D30" s="188" t="e">
        <f t="shared" si="0"/>
        <v>#DIV/0!</v>
      </c>
      <c r="E30" s="143"/>
      <c r="F30" s="138"/>
      <c r="G30" s="138"/>
      <c r="H30" s="144"/>
      <c r="I30" s="143"/>
      <c r="J30" s="138"/>
      <c r="K30" s="138"/>
      <c r="L30" s="144"/>
      <c r="M30" s="143"/>
      <c r="N30" s="138"/>
      <c r="O30" s="138">
        <f>N30</f>
        <v>0</v>
      </c>
      <c r="P30" s="144"/>
      <c r="Q30" s="143"/>
      <c r="R30" s="138"/>
      <c r="S30" s="138"/>
      <c r="T30" s="144"/>
      <c r="U30" s="209"/>
      <c r="V30" s="50"/>
      <c r="W30" s="50"/>
      <c r="X30" s="188"/>
      <c r="Y30" s="143"/>
      <c r="Z30" s="138"/>
      <c r="AA30" s="138"/>
      <c r="AB30" s="144"/>
      <c r="AD30" s="44">
        <v>-59764627</v>
      </c>
    </row>
    <row r="31" spans="1:30" ht="16.5" customHeight="1">
      <c r="A31" s="96" t="s">
        <v>209</v>
      </c>
      <c r="B31" s="209"/>
      <c r="C31" s="50"/>
      <c r="D31" s="188" t="e">
        <f t="shared" si="0"/>
        <v>#DIV/0!</v>
      </c>
      <c r="E31" s="143"/>
      <c r="F31" s="138"/>
      <c r="G31" s="138"/>
      <c r="H31" s="144"/>
      <c r="I31" s="143"/>
      <c r="J31" s="138"/>
      <c r="K31" s="138"/>
      <c r="L31" s="144"/>
      <c r="M31" s="143">
        <v>0</v>
      </c>
      <c r="N31" s="138">
        <v>100</v>
      </c>
      <c r="O31" s="138">
        <v>100</v>
      </c>
      <c r="P31" s="144">
        <f aca="true" t="shared" si="4" ref="P31:P38">O31/N31*100</f>
        <v>100</v>
      </c>
      <c r="Q31" s="143"/>
      <c r="R31" s="138"/>
      <c r="S31" s="138"/>
      <c r="T31" s="144"/>
      <c r="U31" s="209"/>
      <c r="V31" s="50"/>
      <c r="W31" s="50"/>
      <c r="X31" s="188"/>
      <c r="Y31" s="143"/>
      <c r="Z31" s="138"/>
      <c r="AA31" s="138"/>
      <c r="AB31" s="144"/>
      <c r="AD31" s="44">
        <v>-132849360.91</v>
      </c>
    </row>
    <row r="32" spans="1:30" ht="16.5" customHeight="1">
      <c r="A32" s="96" t="s">
        <v>210</v>
      </c>
      <c r="B32" s="209"/>
      <c r="C32" s="50"/>
      <c r="D32" s="188" t="e">
        <f t="shared" si="0"/>
        <v>#DIV/0!</v>
      </c>
      <c r="E32" s="143">
        <v>1500</v>
      </c>
      <c r="F32" s="138">
        <v>5452</v>
      </c>
      <c r="G32" s="138">
        <v>5452</v>
      </c>
      <c r="H32" s="144">
        <f>G32/F32*100</f>
        <v>100</v>
      </c>
      <c r="I32" s="143"/>
      <c r="J32" s="138"/>
      <c r="K32" s="138"/>
      <c r="L32" s="144"/>
      <c r="M32" s="143">
        <v>0</v>
      </c>
      <c r="N32" s="138">
        <v>8000</v>
      </c>
      <c r="O32" s="138">
        <v>8000</v>
      </c>
      <c r="P32" s="144">
        <f t="shared" si="4"/>
        <v>100</v>
      </c>
      <c r="Q32" s="143"/>
      <c r="R32" s="138"/>
      <c r="S32" s="138"/>
      <c r="T32" s="144"/>
      <c r="U32" s="209"/>
      <c r="V32" s="50"/>
      <c r="W32" s="50"/>
      <c r="X32" s="188"/>
      <c r="Y32" s="143"/>
      <c r="Z32" s="138"/>
      <c r="AA32" s="138"/>
      <c r="AB32" s="144"/>
      <c r="AD32" s="44">
        <v>-60565305.76</v>
      </c>
    </row>
    <row r="33" spans="1:30" ht="16.5" customHeight="1">
      <c r="A33" s="96" t="s">
        <v>211</v>
      </c>
      <c r="B33" s="209"/>
      <c r="C33" s="50"/>
      <c r="D33" s="188" t="e">
        <f t="shared" si="0"/>
        <v>#DIV/0!</v>
      </c>
      <c r="E33" s="143"/>
      <c r="F33" s="138"/>
      <c r="G33" s="138"/>
      <c r="H33" s="144"/>
      <c r="I33" s="143"/>
      <c r="J33" s="138"/>
      <c r="K33" s="138"/>
      <c r="L33" s="144"/>
      <c r="M33" s="143">
        <v>0</v>
      </c>
      <c r="N33" s="138">
        <v>2570</v>
      </c>
      <c r="O33" s="138">
        <v>2570</v>
      </c>
      <c r="P33" s="144">
        <f t="shared" si="4"/>
        <v>100</v>
      </c>
      <c r="Q33" s="143"/>
      <c r="R33" s="138"/>
      <c r="S33" s="138"/>
      <c r="T33" s="144"/>
      <c r="U33" s="209"/>
      <c r="V33" s="50"/>
      <c r="W33" s="50"/>
      <c r="X33" s="188"/>
      <c r="Y33" s="143"/>
      <c r="Z33" s="138"/>
      <c r="AA33" s="138"/>
      <c r="AB33" s="144"/>
      <c r="AD33" s="44">
        <v>-36248300</v>
      </c>
    </row>
    <row r="34" spans="1:30" ht="16.5" customHeight="1">
      <c r="A34" s="96" t="s">
        <v>212</v>
      </c>
      <c r="B34" s="209"/>
      <c r="C34" s="50"/>
      <c r="D34" s="188" t="e">
        <f t="shared" si="0"/>
        <v>#DIV/0!</v>
      </c>
      <c r="E34" s="143"/>
      <c r="F34" s="138"/>
      <c r="G34" s="138"/>
      <c r="H34" s="144"/>
      <c r="I34" s="143"/>
      <c r="J34" s="138"/>
      <c r="K34" s="138"/>
      <c r="L34" s="144"/>
      <c r="M34" s="143">
        <v>0</v>
      </c>
      <c r="N34" s="138">
        <v>120</v>
      </c>
      <c r="O34" s="138">
        <v>120</v>
      </c>
      <c r="P34" s="144">
        <f t="shared" si="4"/>
        <v>100</v>
      </c>
      <c r="Q34" s="143">
        <v>0</v>
      </c>
      <c r="R34" s="138">
        <v>300</v>
      </c>
      <c r="S34" s="138">
        <v>300</v>
      </c>
      <c r="T34" s="144">
        <f>S34/R34*100</f>
        <v>100</v>
      </c>
      <c r="U34" s="209"/>
      <c r="V34" s="50"/>
      <c r="W34" s="50"/>
      <c r="X34" s="188"/>
      <c r="Y34" s="143"/>
      <c r="Z34" s="138"/>
      <c r="AA34" s="138"/>
      <c r="AB34" s="144"/>
      <c r="AD34" s="44">
        <v>-17039822</v>
      </c>
    </row>
    <row r="35" spans="1:30" ht="16.5" customHeight="1">
      <c r="A35" s="96" t="s">
        <v>213</v>
      </c>
      <c r="B35" s="209"/>
      <c r="C35" s="50"/>
      <c r="D35" s="188" t="e">
        <f t="shared" si="0"/>
        <v>#DIV/0!</v>
      </c>
      <c r="E35" s="143"/>
      <c r="F35" s="138"/>
      <c r="G35" s="138"/>
      <c r="H35" s="144"/>
      <c r="I35" s="143"/>
      <c r="J35" s="138"/>
      <c r="K35" s="138"/>
      <c r="L35" s="144"/>
      <c r="M35" s="143">
        <v>0</v>
      </c>
      <c r="N35" s="138">
        <v>200</v>
      </c>
      <c r="O35" s="138">
        <v>200</v>
      </c>
      <c r="P35" s="144">
        <f t="shared" si="4"/>
        <v>100</v>
      </c>
      <c r="Q35" s="143"/>
      <c r="R35" s="138"/>
      <c r="S35" s="138">
        <f t="shared" si="2"/>
        <v>0</v>
      </c>
      <c r="T35" s="144"/>
      <c r="U35" s="209"/>
      <c r="V35" s="50"/>
      <c r="W35" s="50"/>
      <c r="X35" s="188"/>
      <c r="Y35" s="143"/>
      <c r="Z35" s="138"/>
      <c r="AA35" s="138"/>
      <c r="AB35" s="144"/>
      <c r="AD35" s="44">
        <v>-164432175.2</v>
      </c>
    </row>
    <row r="36" spans="1:30" ht="16.5" customHeight="1">
      <c r="A36" s="96" t="s">
        <v>214</v>
      </c>
      <c r="B36" s="209"/>
      <c r="C36" s="50"/>
      <c r="D36" s="188" t="e">
        <f t="shared" si="0"/>
        <v>#DIV/0!</v>
      </c>
      <c r="E36" s="143"/>
      <c r="F36" s="138"/>
      <c r="G36" s="138"/>
      <c r="H36" s="144"/>
      <c r="I36" s="143"/>
      <c r="J36" s="138"/>
      <c r="K36" s="138"/>
      <c r="L36" s="144"/>
      <c r="M36" s="143"/>
      <c r="N36" s="138"/>
      <c r="O36" s="138">
        <f>N36</f>
        <v>0</v>
      </c>
      <c r="P36" s="144"/>
      <c r="Q36" s="143"/>
      <c r="R36" s="138"/>
      <c r="S36" s="138">
        <f t="shared" si="2"/>
        <v>0</v>
      </c>
      <c r="T36" s="144"/>
      <c r="U36" s="209"/>
      <c r="V36" s="50"/>
      <c r="W36" s="50"/>
      <c r="X36" s="188"/>
      <c r="Y36" s="143"/>
      <c r="Z36" s="138"/>
      <c r="AA36" s="138">
        <f>Z36</f>
        <v>0</v>
      </c>
      <c r="AB36" s="144"/>
      <c r="AD36" s="44">
        <v>-23039510</v>
      </c>
    </row>
    <row r="37" spans="1:30" ht="16.5" customHeight="1">
      <c r="A37" s="96" t="s">
        <v>215</v>
      </c>
      <c r="B37" s="209"/>
      <c r="C37" s="50"/>
      <c r="D37" s="188" t="e">
        <f t="shared" si="0"/>
        <v>#DIV/0!</v>
      </c>
      <c r="E37" s="143"/>
      <c r="F37" s="138"/>
      <c r="G37" s="138"/>
      <c r="H37" s="144"/>
      <c r="I37" s="143">
        <v>0</v>
      </c>
      <c r="J37" s="138">
        <v>3540</v>
      </c>
      <c r="K37" s="138">
        <v>3540</v>
      </c>
      <c r="L37" s="144">
        <f>K37/J37*100</f>
        <v>100</v>
      </c>
      <c r="M37" s="143">
        <v>0</v>
      </c>
      <c r="N37" s="138">
        <v>9150</v>
      </c>
      <c r="O37" s="138">
        <v>9150</v>
      </c>
      <c r="P37" s="144">
        <f t="shared" si="4"/>
        <v>100</v>
      </c>
      <c r="Q37" s="143"/>
      <c r="R37" s="138"/>
      <c r="S37" s="138">
        <f t="shared" si="2"/>
        <v>0</v>
      </c>
      <c r="T37" s="144"/>
      <c r="U37" s="209"/>
      <c r="V37" s="50"/>
      <c r="W37" s="50"/>
      <c r="X37" s="188"/>
      <c r="Y37" s="143"/>
      <c r="Z37" s="138"/>
      <c r="AA37" s="138">
        <f>Z37</f>
        <v>0</v>
      </c>
      <c r="AB37" s="144"/>
      <c r="AD37" s="44">
        <v>-72696106</v>
      </c>
    </row>
    <row r="38" spans="1:30" ht="16.5" customHeight="1">
      <c r="A38" s="96" t="s">
        <v>216</v>
      </c>
      <c r="B38" s="209"/>
      <c r="C38" s="50"/>
      <c r="D38" s="188" t="e">
        <f t="shared" si="0"/>
        <v>#DIV/0!</v>
      </c>
      <c r="E38" s="143"/>
      <c r="F38" s="138"/>
      <c r="G38" s="138"/>
      <c r="H38" s="144"/>
      <c r="I38" s="143"/>
      <c r="J38" s="138"/>
      <c r="K38" s="138"/>
      <c r="L38" s="144"/>
      <c r="M38" s="143">
        <v>0</v>
      </c>
      <c r="N38" s="138">
        <v>350</v>
      </c>
      <c r="O38" s="138">
        <v>350</v>
      </c>
      <c r="P38" s="144">
        <f t="shared" si="4"/>
        <v>100</v>
      </c>
      <c r="Q38" s="143"/>
      <c r="R38" s="138"/>
      <c r="S38" s="138">
        <f t="shared" si="2"/>
        <v>0</v>
      </c>
      <c r="T38" s="144"/>
      <c r="U38" s="209"/>
      <c r="V38" s="50"/>
      <c r="W38" s="50"/>
      <c r="X38" s="188"/>
      <c r="Y38" s="143"/>
      <c r="Z38" s="138"/>
      <c r="AA38" s="138">
        <f>Z38</f>
        <v>0</v>
      </c>
      <c r="AB38" s="144"/>
      <c r="AD38" s="44">
        <v>-5453610</v>
      </c>
    </row>
    <row r="39" spans="1:30" ht="16.5" customHeight="1">
      <c r="A39" s="96" t="s">
        <v>217</v>
      </c>
      <c r="B39" s="209"/>
      <c r="C39" s="50"/>
      <c r="D39" s="188" t="e">
        <f t="shared" si="0"/>
        <v>#DIV/0!</v>
      </c>
      <c r="E39" s="143"/>
      <c r="F39" s="138"/>
      <c r="G39" s="138"/>
      <c r="H39" s="144"/>
      <c r="I39" s="143"/>
      <c r="J39" s="138"/>
      <c r="K39" s="138"/>
      <c r="L39" s="144"/>
      <c r="M39" s="143"/>
      <c r="N39" s="138"/>
      <c r="O39" s="138"/>
      <c r="P39" s="144"/>
      <c r="Q39" s="143"/>
      <c r="R39" s="138"/>
      <c r="S39" s="138">
        <f t="shared" si="2"/>
        <v>0</v>
      </c>
      <c r="T39" s="144"/>
      <c r="U39" s="209"/>
      <c r="V39" s="50"/>
      <c r="W39" s="50"/>
      <c r="X39" s="188"/>
      <c r="Y39" s="143"/>
      <c r="Z39" s="138"/>
      <c r="AA39" s="138">
        <f>Z39</f>
        <v>0</v>
      </c>
      <c r="AB39" s="144"/>
      <c r="AD39" s="44">
        <v>-6467775</v>
      </c>
    </row>
    <row r="40" spans="1:30" ht="16.5" customHeight="1">
      <c r="A40" s="96" t="s">
        <v>218</v>
      </c>
      <c r="B40" s="209"/>
      <c r="C40" s="50"/>
      <c r="D40" s="188" t="e">
        <f>C40/B40*100</f>
        <v>#DIV/0!</v>
      </c>
      <c r="E40" s="143"/>
      <c r="F40" s="138"/>
      <c r="G40" s="138"/>
      <c r="H40" s="144"/>
      <c r="I40" s="143"/>
      <c r="J40" s="138"/>
      <c r="K40" s="138"/>
      <c r="L40" s="144"/>
      <c r="M40" s="143"/>
      <c r="N40" s="138"/>
      <c r="O40" s="138"/>
      <c r="P40" s="144"/>
      <c r="Q40" s="143"/>
      <c r="R40" s="138"/>
      <c r="S40" s="138">
        <f>R40</f>
        <v>0</v>
      </c>
      <c r="T40" s="144"/>
      <c r="U40" s="209"/>
      <c r="V40" s="50"/>
      <c r="W40" s="50"/>
      <c r="X40" s="188"/>
      <c r="Y40" s="143"/>
      <c r="Z40" s="138"/>
      <c r="AA40" s="138">
        <f>Z40</f>
        <v>0</v>
      </c>
      <c r="AB40" s="144"/>
      <c r="AD40" s="44">
        <v>-7508706.18</v>
      </c>
    </row>
    <row r="41" spans="1:30" ht="15" customHeight="1" thickBot="1">
      <c r="A41" s="97" t="s">
        <v>219</v>
      </c>
      <c r="B41" s="210"/>
      <c r="C41" s="164"/>
      <c r="D41" s="189" t="e">
        <f>C41/B41*100</f>
        <v>#DIV/0!</v>
      </c>
      <c r="E41" s="157"/>
      <c r="F41" s="159"/>
      <c r="G41" s="159"/>
      <c r="H41" s="158"/>
      <c r="I41" s="157"/>
      <c r="J41" s="159"/>
      <c r="K41" s="159"/>
      <c r="L41" s="158"/>
      <c r="M41" s="157"/>
      <c r="N41" s="159"/>
      <c r="O41" s="159"/>
      <c r="P41" s="158"/>
      <c r="Q41" s="157">
        <v>0</v>
      </c>
      <c r="R41" s="159">
        <v>350</v>
      </c>
      <c r="S41" s="159">
        <v>350</v>
      </c>
      <c r="T41" s="158">
        <f>S41/R41*100</f>
        <v>100</v>
      </c>
      <c r="U41" s="210"/>
      <c r="V41" s="164"/>
      <c r="W41" s="164"/>
      <c r="X41" s="189"/>
      <c r="Y41" s="157"/>
      <c r="Z41" s="159"/>
      <c r="AA41" s="159"/>
      <c r="AB41" s="158"/>
      <c r="AD41" s="44">
        <v>-2298000</v>
      </c>
    </row>
    <row r="42" spans="1:28" ht="19.5" customHeight="1" thickBot="1">
      <c r="A42" s="98"/>
      <c r="E42" s="145"/>
      <c r="F42" s="148"/>
      <c r="G42" s="148"/>
      <c r="H42" s="146"/>
      <c r="I42" s="145"/>
      <c r="J42" s="148"/>
      <c r="K42" s="148"/>
      <c r="L42" s="146"/>
      <c r="M42" s="145"/>
      <c r="N42" s="148"/>
      <c r="O42" s="148"/>
      <c r="P42" s="146"/>
      <c r="Q42" s="145"/>
      <c r="R42" s="148"/>
      <c r="S42" s="148"/>
      <c r="T42" s="146"/>
      <c r="Y42" s="145"/>
      <c r="Z42" s="148"/>
      <c r="AA42" s="148"/>
      <c r="AB42" s="146"/>
    </row>
    <row r="43" spans="1:30" s="82" customFormat="1" ht="18" customHeight="1" thickBot="1">
      <c r="A43" s="184" t="s">
        <v>245</v>
      </c>
      <c r="B43" s="194">
        <f>SUM(B12:B41)</f>
        <v>0</v>
      </c>
      <c r="C43" s="194">
        <f>SUM(C12:C41)</f>
        <v>0</v>
      </c>
      <c r="D43" s="212" t="e">
        <f>C43/B43*100</f>
        <v>#DIV/0!</v>
      </c>
      <c r="E43" s="149">
        <f>SUM(E12:E41)</f>
        <v>1500</v>
      </c>
      <c r="F43" s="151">
        <f>SUM(F12:F41)</f>
        <v>17126</v>
      </c>
      <c r="G43" s="101">
        <f>SUM(G12:G41)</f>
        <v>17126</v>
      </c>
      <c r="H43" s="150">
        <f>G43/F43*100</f>
        <v>100</v>
      </c>
      <c r="I43" s="149"/>
      <c r="J43" s="151">
        <f>SUM(J13:J41)</f>
        <v>7540</v>
      </c>
      <c r="K43" s="151">
        <f>SUM(K13:K41)</f>
        <v>7540</v>
      </c>
      <c r="L43" s="150">
        <f>K43/J43*100</f>
        <v>100</v>
      </c>
      <c r="M43" s="149"/>
      <c r="N43" s="151">
        <f>SUM(N12:N41)</f>
        <v>144096</v>
      </c>
      <c r="O43" s="151">
        <f>SUM(O12:O41)</f>
        <v>144096</v>
      </c>
      <c r="P43" s="150">
        <f>O43/N43*100</f>
        <v>100</v>
      </c>
      <c r="Q43" s="149"/>
      <c r="R43" s="151">
        <f>SUM(R13:R41)</f>
        <v>1360</v>
      </c>
      <c r="S43" s="151">
        <f>SUM(S13:S41)</f>
        <v>1360</v>
      </c>
      <c r="T43" s="150">
        <f>S43/R43*100</f>
        <v>100</v>
      </c>
      <c r="U43" s="213"/>
      <c r="V43" s="194">
        <f>SUM(V12:V41)</f>
        <v>0</v>
      </c>
      <c r="W43" s="194">
        <f>SUM(W12:W41)</f>
        <v>0</v>
      </c>
      <c r="X43" s="212"/>
      <c r="Y43" s="149"/>
      <c r="Z43" s="151">
        <f>SUM(Z13:Z41)</f>
        <v>1211</v>
      </c>
      <c r="AA43" s="151">
        <f>SUM(AA13:AA41)</f>
        <v>1211</v>
      </c>
      <c r="AB43" s="150">
        <f>AA43/Z43*100</f>
        <v>100</v>
      </c>
      <c r="AC43" s="82">
        <f>SUM(AC13:AC42)</f>
        <v>0</v>
      </c>
      <c r="AD43" s="82">
        <f>SUM(AD13:AD41)*-1</f>
        <v>2110621846.0100002</v>
      </c>
    </row>
    <row r="45" ht="15" customHeight="1"/>
    <row r="47" spans="1:28" ht="15.75">
      <c r="A47" s="82">
        <v>2012</v>
      </c>
      <c r="B47" s="44">
        <v>14900</v>
      </c>
      <c r="C47" s="44">
        <v>14900</v>
      </c>
      <c r="E47" s="125">
        <v>1500</v>
      </c>
      <c r="F47" s="125">
        <v>17125.87</v>
      </c>
      <c r="G47" s="125">
        <v>17125</v>
      </c>
      <c r="H47" s="125"/>
      <c r="I47" s="125">
        <v>0</v>
      </c>
      <c r="J47" s="125">
        <v>7540</v>
      </c>
      <c r="K47" s="125">
        <v>7540</v>
      </c>
      <c r="L47" s="125"/>
      <c r="M47" s="125">
        <v>0</v>
      </c>
      <c r="N47" s="125">
        <v>144096</v>
      </c>
      <c r="O47" s="125">
        <v>144096</v>
      </c>
      <c r="P47" s="125"/>
      <c r="Q47" s="125">
        <v>0</v>
      </c>
      <c r="R47" s="125">
        <v>1360</v>
      </c>
      <c r="S47" s="125">
        <v>1360</v>
      </c>
      <c r="T47" s="125"/>
      <c r="U47" s="125"/>
      <c r="V47" s="125"/>
      <c r="W47" s="125">
        <v>6930</v>
      </c>
      <c r="X47" s="125"/>
      <c r="Y47" s="125">
        <v>0</v>
      </c>
      <c r="Z47" s="125">
        <v>1211</v>
      </c>
      <c r="AA47" s="125">
        <v>1211</v>
      </c>
      <c r="AB47" s="125"/>
    </row>
    <row r="48" spans="1:28" ht="15.75">
      <c r="A48" s="82">
        <v>2011</v>
      </c>
      <c r="E48" s="125"/>
      <c r="F48" s="125">
        <v>1383</v>
      </c>
      <c r="G48" s="125">
        <v>1350</v>
      </c>
      <c r="H48" s="125"/>
      <c r="I48" s="125"/>
      <c r="J48" s="125">
        <v>2368</v>
      </c>
      <c r="K48" s="125">
        <v>2367</v>
      </c>
      <c r="L48" s="125"/>
      <c r="M48" s="125"/>
      <c r="N48" s="125">
        <v>169913</v>
      </c>
      <c r="O48" s="125">
        <v>169883</v>
      </c>
      <c r="P48" s="125"/>
      <c r="Q48" s="125"/>
      <c r="R48" s="125">
        <v>2089</v>
      </c>
      <c r="S48" s="125">
        <v>2089</v>
      </c>
      <c r="T48" s="125"/>
      <c r="U48" s="125"/>
      <c r="V48" s="125"/>
      <c r="W48" s="125"/>
      <c r="X48" s="125"/>
      <c r="Y48" s="125"/>
      <c r="Z48" s="125">
        <v>351</v>
      </c>
      <c r="AA48" s="125">
        <v>350</v>
      </c>
      <c r="AB48" s="125"/>
    </row>
    <row r="49" ht="15.75">
      <c r="R49" s="44">
        <f>R43-R47</f>
        <v>0</v>
      </c>
    </row>
    <row r="50" ht="15.75">
      <c r="O50" s="44">
        <f>O43/'Příjmy '!R41*100</f>
        <v>6.751181372406627</v>
      </c>
    </row>
    <row r="52" spans="7:15" ht="15.75">
      <c r="G52" s="125">
        <f>G47-G48</f>
        <v>15775</v>
      </c>
      <c r="O52" s="125">
        <f>O47-O48</f>
        <v>-25787</v>
      </c>
    </row>
    <row r="53" spans="7:15" ht="15.75">
      <c r="G53" s="44">
        <f>G52/G48*100</f>
        <v>1168.5185185185185</v>
      </c>
      <c r="O53" s="44">
        <f>O52/O48*100</f>
        <v>-15.179270439066887</v>
      </c>
    </row>
    <row r="54" spans="14:15" ht="15.75">
      <c r="N54" s="44">
        <v>2009</v>
      </c>
      <c r="O54" s="44">
        <v>169796</v>
      </c>
    </row>
    <row r="56" spans="1:5" ht="15.75">
      <c r="A56" s="82">
        <v>2011</v>
      </c>
      <c r="E56" s="125">
        <f>G48+K48+S48</f>
        <v>5806</v>
      </c>
    </row>
    <row r="57" spans="1:5" ht="15.75">
      <c r="A57" s="82">
        <v>2012</v>
      </c>
      <c r="E57" s="125">
        <f>G47+K47+S47</f>
        <v>26025</v>
      </c>
    </row>
    <row r="58" ht="15.75">
      <c r="E58" s="125">
        <f>E57-E56</f>
        <v>20219</v>
      </c>
    </row>
    <row r="59" ht="15.75">
      <c r="E59" s="44">
        <f>E58/E56*100</f>
        <v>348.24319669307613</v>
      </c>
    </row>
  </sheetData>
  <sheetProtection/>
  <mergeCells count="38">
    <mergeCell ref="A2:AB2"/>
    <mergeCell ref="A4:AB4"/>
    <mergeCell ref="E9:E10"/>
    <mergeCell ref="F9:F10"/>
    <mergeCell ref="G9:G10"/>
    <mergeCell ref="I9:I10"/>
    <mergeCell ref="J9:J10"/>
    <mergeCell ref="K9:K10"/>
    <mergeCell ref="M9:M10"/>
    <mergeCell ref="N9:N10"/>
    <mergeCell ref="O9:O10"/>
    <mergeCell ref="AA9:AA10"/>
    <mergeCell ref="A7:A10"/>
    <mergeCell ref="Q9:Q10"/>
    <mergeCell ref="R9:R10"/>
    <mergeCell ref="S9:S10"/>
    <mergeCell ref="B11:D11"/>
    <mergeCell ref="E11:H11"/>
    <mergeCell ref="I7:L7"/>
    <mergeCell ref="E7:H7"/>
    <mergeCell ref="Y7:AB7"/>
    <mergeCell ref="Y11:AB11"/>
    <mergeCell ref="Y8:AB8"/>
    <mergeCell ref="U7:X7"/>
    <mergeCell ref="I11:L11"/>
    <mergeCell ref="M11:P11"/>
    <mergeCell ref="Q11:T11"/>
    <mergeCell ref="U11:X11"/>
    <mergeCell ref="U8:X8"/>
    <mergeCell ref="M7:P7"/>
    <mergeCell ref="M8:P8"/>
    <mergeCell ref="I8:L8"/>
    <mergeCell ref="Y9:Y10"/>
    <mergeCell ref="Z9:Z10"/>
    <mergeCell ref="B7:D7"/>
    <mergeCell ref="Q7:T7"/>
    <mergeCell ref="E8:H8"/>
    <mergeCell ref="B8:D8"/>
  </mergeCells>
  <printOptions horizontalCentered="1" verticalCentered="1"/>
  <pageMargins left="0.3937007874015748" right="0.3937007874015748" top="0.7480314960629921" bottom="0.7480314960629921" header="0.5118110236220472" footer="0.5118110236220472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Petr Bauer</cp:lastModifiedBy>
  <cp:lastPrinted>2013-04-25T08:25:58Z</cp:lastPrinted>
  <dcterms:created xsi:type="dcterms:W3CDTF">1999-07-13T07:42:57Z</dcterms:created>
  <dcterms:modified xsi:type="dcterms:W3CDTF">2013-05-17T05:13:57Z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f188a33b-f32f-459f-91b8-ec86a0eee649</vt:lpwstr>
  </property>
  <property fmtid="{D5CDD505-2E9C-101B-9397-08002B2CF9AE}" pid="4" name="Plnění rozpočtu">
    <vt:lpwstr>4</vt:lpwstr>
  </property>
  <property fmtid="{D5CDD505-2E9C-101B-9397-08002B2CF9AE}" pid="5" name="Rok">
    <vt:lpwstr>1</vt:lpwstr>
  </property>
  <property fmtid="{D5CDD505-2E9C-101B-9397-08002B2CF9AE}" pid="6" name="_dlc_DocId">
    <vt:lpwstr>K6F56YJ4D42X-540-205</vt:lpwstr>
  </property>
  <property fmtid="{D5CDD505-2E9C-101B-9397-08002B2CF9AE}" pid="7" name="_dlc_DocIdUrl">
    <vt:lpwstr>http://project.brno.cz/ORF/RI/_layouts/DocIdRedir.aspx?ID=K6F56YJ4D42X-540-205, K6F56YJ4D42X-540-205</vt:lpwstr>
  </property>
</Properties>
</file>