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00" windowHeight="11640" tabRatio="807"/>
  </bookViews>
  <sheets>
    <sheet name="Daňové" sheetId="14" r:id="rId1"/>
    <sheet name="Nedaňové" sheetId="13" r:id="rId2"/>
    <sheet name="Kapitálové" sheetId="11" r:id="rId3"/>
    <sheet name="Transfery" sheetId="12" r:id="rId4"/>
    <sheet name="Provozní_výd" sheetId="8" r:id="rId5"/>
    <sheet name="PV-položky" sheetId="15" r:id="rId6"/>
    <sheet name="Kapitálové_výd" sheetId="7" r:id="rId7"/>
    <sheet name="Investice" sheetId="16" r:id="rId8"/>
  </sheets>
  <externalReferences>
    <externalReference r:id="rId9"/>
  </externalReferences>
  <definedNames>
    <definedName name="_1_">#REF!</definedName>
    <definedName name="_xlnm._FilterDatabase" localSheetId="0" hidden="1">Daňové!$A$1:$G$9</definedName>
    <definedName name="_xlnm._FilterDatabase" localSheetId="7" hidden="1">Investice!$A$1:$U$417</definedName>
    <definedName name="_xlnm._FilterDatabase" localSheetId="2" hidden="1">Kapitálové!$A$2:$I$2</definedName>
    <definedName name="_xlnm._FilterDatabase" localSheetId="6" hidden="1">Kapitálové_výd!$A$1:$D$1</definedName>
    <definedName name="_xlnm._FilterDatabase" localSheetId="1" hidden="1">Nedaňové!$A$1:$I$1</definedName>
    <definedName name="_xlnm._FilterDatabase" localSheetId="5" hidden="1">'PV-položky'!$A$1:$L$1030</definedName>
    <definedName name="_xlnm._FilterDatabase" localSheetId="3" hidden="1">Transfery!$A$2:$G$2</definedName>
    <definedName name="_xlnm._FilterDatabase">#REF!</definedName>
    <definedName name="_xlnm.Database">#REF!</definedName>
    <definedName name="_xlnm.Print_Titles" localSheetId="0">Daňové!$1:$1</definedName>
    <definedName name="_xlnm.Print_Titles" localSheetId="7">Investice!$1:$1</definedName>
    <definedName name="_xlnm.Print_Titles" localSheetId="2">Kapitálové!$2:$2</definedName>
    <definedName name="_xlnm.Print_Titles" localSheetId="6">Kapitálové_výd!$1:$1</definedName>
    <definedName name="_xlnm.Print_Titles" localSheetId="1">Nedaňové!$1:$1</definedName>
    <definedName name="_xlnm.Print_Titles" localSheetId="4">Provozní_výd!$1:$1</definedName>
    <definedName name="_xlnm.Print_Titles" localSheetId="5">'PV-položky'!$1:$1</definedName>
    <definedName name="_xlnm.Print_Titles" localSheetId="3">Transfery!$2:$2</definedName>
    <definedName name="_xlnm.Print_Area" localSheetId="0">Daňové!$A$1:$I$39</definedName>
    <definedName name="_xlnm.Print_Area" localSheetId="7">Investice!$A$1:$T$431</definedName>
    <definedName name="_xlnm.Print_Area" localSheetId="2">Kapitálové!$A$1:$K$16</definedName>
    <definedName name="_xlnm.Print_Area" localSheetId="6">Kapitálové_výd!$A$1:$H$134</definedName>
    <definedName name="_xlnm.Print_Area" localSheetId="1">Nedaňové!$A$1:$K$206</definedName>
    <definedName name="_xlnm.Print_Area" localSheetId="4">Provozní_výd!$A$1:$H$220</definedName>
    <definedName name="_xlnm.Print_Area" localSheetId="5">'PV-položky'!$A$1:$L$1031</definedName>
    <definedName name="_xlnm.Print_Area" localSheetId="3">Transfery!$A$1:$I$39</definedName>
    <definedName name="Print_Area">#REF!</definedName>
    <definedName name="Print_Titles">#REF!</definedName>
    <definedName name="Z_679A4BF4_13EF_4DF9_BD84_56D18F3ADD41_.wvu.Cols" localSheetId="7" hidden="1">Investice!#REF!</definedName>
    <definedName name="Z_679A4BF4_13EF_4DF9_BD84_56D18F3ADD41_.wvu.FilterData" localSheetId="7" hidden="1">Investice!$A$1:$T$407</definedName>
    <definedName name="Z_679A4BF4_13EF_4DF9_BD84_56D18F3ADD41_.wvu.PrintArea" localSheetId="7" hidden="1">Investice!$A$1:$T$431</definedName>
    <definedName name="Z_679A4BF4_13EF_4DF9_BD84_56D18F3ADD41_.wvu.PrintTitles" localSheetId="7" hidden="1">Investice!$1:$1</definedName>
  </definedNames>
  <calcPr calcId="125725"/>
</workbook>
</file>

<file path=xl/calcChain.xml><?xml version="1.0" encoding="utf-8"?>
<calcChain xmlns="http://schemas.openxmlformats.org/spreadsheetml/2006/main">
  <c r="J431" i="16"/>
  <c r="N430"/>
  <c r="O430" s="1"/>
  <c r="M430"/>
  <c r="L430"/>
  <c r="N429"/>
  <c r="O429" s="1"/>
  <c r="M429"/>
  <c r="L429"/>
  <c r="N428"/>
  <c r="O428" s="1"/>
  <c r="M428"/>
  <c r="L428"/>
  <c r="N427"/>
  <c r="O427" s="1"/>
  <c r="M427"/>
  <c r="L427"/>
  <c r="N426"/>
  <c r="O426" s="1"/>
  <c r="M426"/>
  <c r="L426"/>
  <c r="R417"/>
  <c r="Q417"/>
  <c r="P417"/>
  <c r="N417"/>
  <c r="M417"/>
  <c r="O417" s="1"/>
  <c r="L417"/>
  <c r="J417"/>
  <c r="I417"/>
  <c r="O416"/>
  <c r="K416"/>
  <c r="O415"/>
  <c r="K415"/>
  <c r="O414"/>
  <c r="K414"/>
  <c r="O413"/>
  <c r="K413"/>
  <c r="O412"/>
  <c r="O411"/>
  <c r="K411"/>
  <c r="O410"/>
  <c r="K410"/>
  <c r="O409"/>
  <c r="K409"/>
  <c r="K417" s="1"/>
  <c r="R408"/>
  <c r="Q408"/>
  <c r="P408"/>
  <c r="N408"/>
  <c r="M408"/>
  <c r="O408" s="1"/>
  <c r="L408"/>
  <c r="J408"/>
  <c r="I408"/>
  <c r="O407"/>
  <c r="K407"/>
  <c r="O406"/>
  <c r="K406"/>
  <c r="K408" s="1"/>
  <c r="R405"/>
  <c r="Q405"/>
  <c r="P405"/>
  <c r="N405"/>
  <c r="M405"/>
  <c r="O405" s="1"/>
  <c r="L405"/>
  <c r="J405"/>
  <c r="I405"/>
  <c r="O404"/>
  <c r="U403"/>
  <c r="O403"/>
  <c r="U402"/>
  <c r="O402"/>
  <c r="O401"/>
  <c r="O400"/>
  <c r="K400"/>
  <c r="O399"/>
  <c r="K399"/>
  <c r="O398"/>
  <c r="K398"/>
  <c r="U398" s="1"/>
  <c r="U397"/>
  <c r="O397"/>
  <c r="O396"/>
  <c r="K396"/>
  <c r="O395"/>
  <c r="K395"/>
  <c r="U395" s="1"/>
  <c r="O394"/>
  <c r="K394"/>
  <c r="O393"/>
  <c r="K393"/>
  <c r="K405" s="1"/>
  <c r="R392"/>
  <c r="Q392"/>
  <c r="P392"/>
  <c r="N392"/>
  <c r="M392"/>
  <c r="O392" s="1"/>
  <c r="L392"/>
  <c r="K392"/>
  <c r="J392"/>
  <c r="I392"/>
  <c r="U391"/>
  <c r="O391"/>
  <c r="U390"/>
  <c r="O390"/>
  <c r="R389"/>
  <c r="Q389"/>
  <c r="P389"/>
  <c r="N389"/>
  <c r="M389"/>
  <c r="O389" s="1"/>
  <c r="L389"/>
  <c r="J389"/>
  <c r="I389"/>
  <c r="O388"/>
  <c r="K388"/>
  <c r="K389" s="1"/>
  <c r="O387"/>
  <c r="R386"/>
  <c r="Q386"/>
  <c r="P386"/>
  <c r="N386"/>
  <c r="M386"/>
  <c r="O386" s="1"/>
  <c r="L386"/>
  <c r="J386"/>
  <c r="I386"/>
  <c r="O385"/>
  <c r="K385"/>
  <c r="O384"/>
  <c r="K384"/>
  <c r="O383"/>
  <c r="K383"/>
  <c r="K386" s="1"/>
  <c r="O382"/>
  <c r="U381"/>
  <c r="R380"/>
  <c r="Q380"/>
  <c r="P380"/>
  <c r="N380"/>
  <c r="M380"/>
  <c r="O380" s="1"/>
  <c r="L380"/>
  <c r="J380"/>
  <c r="I380"/>
  <c r="O379"/>
  <c r="K379"/>
  <c r="K380" s="1"/>
  <c r="R378"/>
  <c r="Q378"/>
  <c r="P378"/>
  <c r="N378"/>
  <c r="M378"/>
  <c r="O378" s="1"/>
  <c r="L378"/>
  <c r="J378"/>
  <c r="I378"/>
  <c r="O377"/>
  <c r="K377"/>
  <c r="K378" s="1"/>
  <c r="O376"/>
  <c r="R375"/>
  <c r="Q375"/>
  <c r="P375"/>
  <c r="N375"/>
  <c r="M375"/>
  <c r="O375" s="1"/>
  <c r="L375"/>
  <c r="K375"/>
  <c r="J375"/>
  <c r="I375"/>
  <c r="U374"/>
  <c r="O374"/>
  <c r="R373"/>
  <c r="Q373"/>
  <c r="P373"/>
  <c r="N373"/>
  <c r="M373"/>
  <c r="O373" s="1"/>
  <c r="L373"/>
  <c r="I373"/>
  <c r="O372"/>
  <c r="K372"/>
  <c r="K373" s="1"/>
  <c r="J372"/>
  <c r="J373" s="1"/>
  <c r="O371"/>
  <c r="O370"/>
  <c r="R369"/>
  <c r="Q369"/>
  <c r="P369"/>
  <c r="N369"/>
  <c r="M369"/>
  <c r="O369" s="1"/>
  <c r="L369"/>
  <c r="J369"/>
  <c r="I369"/>
  <c r="O368"/>
  <c r="K368"/>
  <c r="U368" s="1"/>
  <c r="O367"/>
  <c r="K367"/>
  <c r="U367" s="1"/>
  <c r="O366"/>
  <c r="K366"/>
  <c r="K369" s="1"/>
  <c r="R365"/>
  <c r="Q365"/>
  <c r="P365"/>
  <c r="N365"/>
  <c r="M365"/>
  <c r="O365" s="1"/>
  <c r="L365"/>
  <c r="J365"/>
  <c r="I365"/>
  <c r="O364"/>
  <c r="K364"/>
  <c r="K365" s="1"/>
  <c r="R363"/>
  <c r="Q363"/>
  <c r="P363"/>
  <c r="N363"/>
  <c r="M363"/>
  <c r="O363" s="1"/>
  <c r="L363"/>
  <c r="J363"/>
  <c r="I363"/>
  <c r="O362"/>
  <c r="O361"/>
  <c r="K361"/>
  <c r="U361" s="1"/>
  <c r="O360"/>
  <c r="K360"/>
  <c r="U360" s="1"/>
  <c r="U359"/>
  <c r="O359"/>
  <c r="O358"/>
  <c r="K358"/>
  <c r="O357"/>
  <c r="K357"/>
  <c r="O356"/>
  <c r="K356"/>
  <c r="U356" s="1"/>
  <c r="O355"/>
  <c r="K355"/>
  <c r="O354"/>
  <c r="O353"/>
  <c r="K353"/>
  <c r="K363" s="1"/>
  <c r="R352"/>
  <c r="Q352"/>
  <c r="P352"/>
  <c r="N352"/>
  <c r="M352"/>
  <c r="O352" s="1"/>
  <c r="L352"/>
  <c r="J352"/>
  <c r="I352"/>
  <c r="O351"/>
  <c r="K351"/>
  <c r="K352" s="1"/>
  <c r="R350"/>
  <c r="Q350"/>
  <c r="P350"/>
  <c r="N350"/>
  <c r="M350"/>
  <c r="O350" s="1"/>
  <c r="L350"/>
  <c r="K350"/>
  <c r="J350"/>
  <c r="I350"/>
  <c r="O349"/>
  <c r="R348"/>
  <c r="Q348"/>
  <c r="P348"/>
  <c r="N348"/>
  <c r="M348"/>
  <c r="O348" s="1"/>
  <c r="L348"/>
  <c r="K348"/>
  <c r="J348"/>
  <c r="I348"/>
  <c r="O347"/>
  <c r="R346"/>
  <c r="Q346"/>
  <c r="P346"/>
  <c r="N346"/>
  <c r="M346"/>
  <c r="O346" s="1"/>
  <c r="L346"/>
  <c r="J346"/>
  <c r="I346"/>
  <c r="O345"/>
  <c r="O344"/>
  <c r="O343"/>
  <c r="O342"/>
  <c r="K342"/>
  <c r="K346" s="1"/>
  <c r="O341"/>
  <c r="O340"/>
  <c r="O339"/>
  <c r="U338"/>
  <c r="O338"/>
  <c r="R337"/>
  <c r="Q337"/>
  <c r="P337"/>
  <c r="N337"/>
  <c r="M337"/>
  <c r="O337" s="1"/>
  <c r="L337"/>
  <c r="K337"/>
  <c r="J337"/>
  <c r="I337"/>
  <c r="O335"/>
  <c r="U334"/>
  <c r="O334"/>
  <c r="R333"/>
  <c r="Q333"/>
  <c r="P333"/>
  <c r="N333"/>
  <c r="M333"/>
  <c r="O333" s="1"/>
  <c r="L333"/>
  <c r="K333"/>
  <c r="J333"/>
  <c r="I333"/>
  <c r="O332"/>
  <c r="K332"/>
  <c r="R331"/>
  <c r="Q331"/>
  <c r="P331"/>
  <c r="N331"/>
  <c r="M331"/>
  <c r="O331" s="1"/>
  <c r="L331"/>
  <c r="K331"/>
  <c r="J331"/>
  <c r="I331"/>
  <c r="O330"/>
  <c r="R329"/>
  <c r="Q329"/>
  <c r="P329"/>
  <c r="N329"/>
  <c r="M329"/>
  <c r="O329" s="1"/>
  <c r="L329"/>
  <c r="J329"/>
  <c r="I329"/>
  <c r="O328"/>
  <c r="K328"/>
  <c r="K329" s="1"/>
  <c r="R327"/>
  <c r="Q327"/>
  <c r="P327"/>
  <c r="N327"/>
  <c r="M327"/>
  <c r="O327" s="1"/>
  <c r="L327"/>
  <c r="J327"/>
  <c r="I327"/>
  <c r="O326"/>
  <c r="K326"/>
  <c r="U326" s="1"/>
  <c r="U325"/>
  <c r="O325"/>
  <c r="O324"/>
  <c r="O323"/>
  <c r="K323"/>
  <c r="O322"/>
  <c r="K322"/>
  <c r="O321"/>
  <c r="K321"/>
  <c r="O320"/>
  <c r="K320"/>
  <c r="U320" s="1"/>
  <c r="O319"/>
  <c r="O317"/>
  <c r="K317"/>
  <c r="K327" s="1"/>
  <c r="O316"/>
  <c r="O315"/>
  <c r="R314"/>
  <c r="Q314"/>
  <c r="P314"/>
  <c r="N314"/>
  <c r="M314"/>
  <c r="O314" s="1"/>
  <c r="L314"/>
  <c r="K314"/>
  <c r="J314"/>
  <c r="I314"/>
  <c r="O313"/>
  <c r="R312"/>
  <c r="Q312"/>
  <c r="P312"/>
  <c r="N312"/>
  <c r="M312"/>
  <c r="O312" s="1"/>
  <c r="L312"/>
  <c r="K312"/>
  <c r="J312"/>
  <c r="I312"/>
  <c r="O311"/>
  <c r="O310"/>
  <c r="O309"/>
  <c r="R308"/>
  <c r="Q308"/>
  <c r="P308"/>
  <c r="N308"/>
  <c r="M308"/>
  <c r="O308" s="1"/>
  <c r="L308"/>
  <c r="K308"/>
  <c r="I308"/>
  <c r="O307"/>
  <c r="K307"/>
  <c r="J307"/>
  <c r="J308" s="1"/>
  <c r="R306"/>
  <c r="Q306"/>
  <c r="P306"/>
  <c r="N306"/>
  <c r="M306"/>
  <c r="O306" s="1"/>
  <c r="L306"/>
  <c r="J306"/>
  <c r="I306"/>
  <c r="O305"/>
  <c r="O304"/>
  <c r="K304"/>
  <c r="U304" s="1"/>
  <c r="O303"/>
  <c r="K303"/>
  <c r="U303" s="1"/>
  <c r="O302"/>
  <c r="K302"/>
  <c r="U302" s="1"/>
  <c r="O301"/>
  <c r="K301"/>
  <c r="U301" s="1"/>
  <c r="O300"/>
  <c r="K300"/>
  <c r="U300" s="1"/>
  <c r="O299"/>
  <c r="K299"/>
  <c r="U299" s="1"/>
  <c r="O298"/>
  <c r="K298"/>
  <c r="U298" s="1"/>
  <c r="O297"/>
  <c r="K297"/>
  <c r="U297" s="1"/>
  <c r="O296"/>
  <c r="K296"/>
  <c r="U296" s="1"/>
  <c r="O295"/>
  <c r="K295"/>
  <c r="U295" s="1"/>
  <c r="O294"/>
  <c r="K294"/>
  <c r="O293"/>
  <c r="O292"/>
  <c r="K292"/>
  <c r="U292" s="1"/>
  <c r="O291"/>
  <c r="K291"/>
  <c r="U291" s="1"/>
  <c r="O290"/>
  <c r="O289"/>
  <c r="K289"/>
  <c r="K306" s="1"/>
  <c r="O288"/>
  <c r="O287"/>
  <c r="O286"/>
  <c r="R285"/>
  <c r="Q285"/>
  <c r="P285"/>
  <c r="N285"/>
  <c r="M285"/>
  <c r="O285" s="1"/>
  <c r="L285"/>
  <c r="K285"/>
  <c r="J285"/>
  <c r="I285"/>
  <c r="O284"/>
  <c r="K284"/>
  <c r="R283"/>
  <c r="Q283"/>
  <c r="P283"/>
  <c r="N283"/>
  <c r="M283"/>
  <c r="O283" s="1"/>
  <c r="L283"/>
  <c r="J283"/>
  <c r="I283"/>
  <c r="O282"/>
  <c r="K282"/>
  <c r="K283" s="1"/>
  <c r="R281"/>
  <c r="Q281"/>
  <c r="P281"/>
  <c r="N281"/>
  <c r="M281"/>
  <c r="O281" s="1"/>
  <c r="L281"/>
  <c r="J281"/>
  <c r="I281"/>
  <c r="O280"/>
  <c r="K280"/>
  <c r="O279"/>
  <c r="K279"/>
  <c r="K281" s="1"/>
  <c r="R278"/>
  <c r="Q278"/>
  <c r="P278"/>
  <c r="N278"/>
  <c r="M278"/>
  <c r="O278" s="1"/>
  <c r="L278"/>
  <c r="J278"/>
  <c r="I278"/>
  <c r="O276"/>
  <c r="O275"/>
  <c r="K275"/>
  <c r="K278" s="1"/>
  <c r="R274"/>
  <c r="Q274"/>
  <c r="P274"/>
  <c r="N274"/>
  <c r="M274"/>
  <c r="O274" s="1"/>
  <c r="L274"/>
  <c r="J274"/>
  <c r="I274"/>
  <c r="O273"/>
  <c r="O272"/>
  <c r="K272"/>
  <c r="O271"/>
  <c r="K271"/>
  <c r="K274" s="1"/>
  <c r="R270"/>
  <c r="Q270"/>
  <c r="P270"/>
  <c r="N270"/>
  <c r="M270"/>
  <c r="O270" s="1"/>
  <c r="L270"/>
  <c r="K270"/>
  <c r="J270"/>
  <c r="I270"/>
  <c r="O269"/>
  <c r="R268"/>
  <c r="Q268"/>
  <c r="P268"/>
  <c r="N268"/>
  <c r="M268"/>
  <c r="O268" s="1"/>
  <c r="L268"/>
  <c r="J268"/>
  <c r="I268"/>
  <c r="O266"/>
  <c r="K266"/>
  <c r="U266" s="1"/>
  <c r="U265"/>
  <c r="O265"/>
  <c r="U264"/>
  <c r="O264"/>
  <c r="O263"/>
  <c r="K263"/>
  <c r="U263" s="1"/>
  <c r="O262"/>
  <c r="K262"/>
  <c r="K268" s="1"/>
  <c r="O261"/>
  <c r="R260"/>
  <c r="Q260"/>
  <c r="P260"/>
  <c r="N260"/>
  <c r="M260"/>
  <c r="O260" s="1"/>
  <c r="L260"/>
  <c r="J260"/>
  <c r="I260"/>
  <c r="O259"/>
  <c r="O258"/>
  <c r="K258"/>
  <c r="O257"/>
  <c r="O256"/>
  <c r="O255"/>
  <c r="O254"/>
  <c r="K254"/>
  <c r="K260" s="1"/>
  <c r="O253"/>
  <c r="U252"/>
  <c r="O252"/>
  <c r="R251"/>
  <c r="Q251"/>
  <c r="P251"/>
  <c r="N251"/>
  <c r="M251"/>
  <c r="O251" s="1"/>
  <c r="L251"/>
  <c r="J251"/>
  <c r="I251"/>
  <c r="O250"/>
  <c r="O249"/>
  <c r="K249"/>
  <c r="U249" s="1"/>
  <c r="O248"/>
  <c r="K248"/>
  <c r="K251" s="1"/>
  <c r="R247"/>
  <c r="Q247"/>
  <c r="P247"/>
  <c r="N247"/>
  <c r="M247"/>
  <c r="O247" s="1"/>
  <c r="L247"/>
  <c r="J247"/>
  <c r="I247"/>
  <c r="O246"/>
  <c r="K246"/>
  <c r="U246" s="1"/>
  <c r="O245"/>
  <c r="K245"/>
  <c r="K247" s="1"/>
  <c r="O244"/>
  <c r="O243"/>
  <c r="R242"/>
  <c r="Q242"/>
  <c r="P242"/>
  <c r="N242"/>
  <c r="M242"/>
  <c r="O242" s="1"/>
  <c r="L242"/>
  <c r="J242"/>
  <c r="I242"/>
  <c r="O241"/>
  <c r="K241"/>
  <c r="U241" s="1"/>
  <c r="O240"/>
  <c r="O239"/>
  <c r="K239"/>
  <c r="K242" s="1"/>
  <c r="R238"/>
  <c r="Q238"/>
  <c r="P238"/>
  <c r="N238"/>
  <c r="M238"/>
  <c r="O238" s="1"/>
  <c r="L238"/>
  <c r="J238"/>
  <c r="I238"/>
  <c r="U237"/>
  <c r="O237"/>
  <c r="U236"/>
  <c r="O236"/>
  <c r="O235"/>
  <c r="O234"/>
  <c r="K234"/>
  <c r="O233"/>
  <c r="K233"/>
  <c r="O232"/>
  <c r="K232"/>
  <c r="K238" s="1"/>
  <c r="R231"/>
  <c r="Q231"/>
  <c r="P231"/>
  <c r="N231"/>
  <c r="M231"/>
  <c r="O231" s="1"/>
  <c r="L231"/>
  <c r="K231"/>
  <c r="J231"/>
  <c r="I231"/>
  <c r="U230"/>
  <c r="O230"/>
  <c r="R229"/>
  <c r="Q229"/>
  <c r="P229"/>
  <c r="N229"/>
  <c r="M229"/>
  <c r="O229" s="1"/>
  <c r="L229"/>
  <c r="J229"/>
  <c r="I229"/>
  <c r="O228"/>
  <c r="K228"/>
  <c r="U228" s="1"/>
  <c r="O227"/>
  <c r="K227"/>
  <c r="O226"/>
  <c r="K226"/>
  <c r="U226" s="1"/>
  <c r="U225"/>
  <c r="O225"/>
  <c r="R224"/>
  <c r="Q224"/>
  <c r="P224"/>
  <c r="N224"/>
  <c r="M224"/>
  <c r="O224" s="1"/>
  <c r="L224"/>
  <c r="J224"/>
  <c r="I224"/>
  <c r="O223"/>
  <c r="K223"/>
  <c r="K224" s="1"/>
  <c r="O222"/>
  <c r="R221"/>
  <c r="Q221"/>
  <c r="P221"/>
  <c r="N221"/>
  <c r="M221"/>
  <c r="O221" s="1"/>
  <c r="L221"/>
  <c r="K221"/>
  <c r="J221"/>
  <c r="I221"/>
  <c r="O220"/>
  <c r="O219"/>
  <c r="O218"/>
  <c r="R217"/>
  <c r="Q217"/>
  <c r="P217"/>
  <c r="N217"/>
  <c r="M217"/>
  <c r="O217" s="1"/>
  <c r="L217"/>
  <c r="J217"/>
  <c r="I217"/>
  <c r="O216"/>
  <c r="K216"/>
  <c r="O215"/>
  <c r="K215"/>
  <c r="K217" s="1"/>
  <c r="O214"/>
  <c r="R213"/>
  <c r="Q213"/>
  <c r="P213"/>
  <c r="N213"/>
  <c r="M213"/>
  <c r="O213" s="1"/>
  <c r="L213"/>
  <c r="K213"/>
  <c r="J213"/>
  <c r="I213"/>
  <c r="O212"/>
  <c r="R211"/>
  <c r="Q211"/>
  <c r="P211"/>
  <c r="N211"/>
  <c r="M211"/>
  <c r="O211" s="1"/>
  <c r="L211"/>
  <c r="J211"/>
  <c r="I211"/>
  <c r="O207"/>
  <c r="O206"/>
  <c r="O205"/>
  <c r="U204"/>
  <c r="O204"/>
  <c r="O203"/>
  <c r="K203"/>
  <c r="U203" s="1"/>
  <c r="O202"/>
  <c r="K202"/>
  <c r="U202" s="1"/>
  <c r="O201"/>
  <c r="K201"/>
  <c r="U201" s="1"/>
  <c r="O200"/>
  <c r="K200"/>
  <c r="O199"/>
  <c r="K199"/>
  <c r="U198"/>
  <c r="O198"/>
  <c r="O197"/>
  <c r="K197"/>
  <c r="U197" s="1"/>
  <c r="O196"/>
  <c r="K196"/>
  <c r="U196" s="1"/>
  <c r="O195"/>
  <c r="K195"/>
  <c r="U195" s="1"/>
  <c r="O194"/>
  <c r="K194"/>
  <c r="U194" s="1"/>
  <c r="O193"/>
  <c r="K193"/>
  <c r="U193" s="1"/>
  <c r="U192"/>
  <c r="O192"/>
  <c r="O191"/>
  <c r="K191"/>
  <c r="U191" s="1"/>
  <c r="O190"/>
  <c r="K190"/>
  <c r="U190" s="1"/>
  <c r="O189"/>
  <c r="K189"/>
  <c r="U189" s="1"/>
  <c r="O188"/>
  <c r="K188"/>
  <c r="K211" s="1"/>
  <c r="O187"/>
  <c r="O186"/>
  <c r="O185"/>
  <c r="O184"/>
  <c r="R183"/>
  <c r="Q183"/>
  <c r="P183"/>
  <c r="N183"/>
  <c r="M183"/>
  <c r="O183" s="1"/>
  <c r="L183"/>
  <c r="J183"/>
  <c r="I183"/>
  <c r="U178"/>
  <c r="O178"/>
  <c r="O177"/>
  <c r="K177"/>
  <c r="U177" s="1"/>
  <c r="O176"/>
  <c r="K176"/>
  <c r="U176" s="1"/>
  <c r="O175"/>
  <c r="K175"/>
  <c r="U175" s="1"/>
  <c r="O174"/>
  <c r="K174"/>
  <c r="U174" s="1"/>
  <c r="O173"/>
  <c r="K173"/>
  <c r="U173" s="1"/>
  <c r="O172"/>
  <c r="O171"/>
  <c r="K171"/>
  <c r="U171" s="1"/>
  <c r="O170"/>
  <c r="K170"/>
  <c r="U170" s="1"/>
  <c r="U169"/>
  <c r="O169"/>
  <c r="O168"/>
  <c r="R167"/>
  <c r="Q167"/>
  <c r="P167"/>
  <c r="N167"/>
  <c r="M167"/>
  <c r="O167" s="1"/>
  <c r="L167"/>
  <c r="J167"/>
  <c r="I167"/>
  <c r="O166"/>
  <c r="K166"/>
  <c r="K167" s="1"/>
  <c r="R165"/>
  <c r="Q165"/>
  <c r="P165"/>
  <c r="N165"/>
  <c r="M165"/>
  <c r="O165" s="1"/>
  <c r="L165"/>
  <c r="K165"/>
  <c r="J165"/>
  <c r="I165"/>
  <c r="O164"/>
  <c r="R163"/>
  <c r="Q163"/>
  <c r="P163"/>
  <c r="N163"/>
  <c r="M163"/>
  <c r="O163" s="1"/>
  <c r="L163"/>
  <c r="K163"/>
  <c r="J163"/>
  <c r="I163"/>
  <c r="O162"/>
  <c r="R161"/>
  <c r="Q161"/>
  <c r="P161"/>
  <c r="N161"/>
  <c r="M161"/>
  <c r="O161" s="1"/>
  <c r="L161"/>
  <c r="K161"/>
  <c r="J161"/>
  <c r="I161"/>
  <c r="O160"/>
  <c r="O159"/>
  <c r="K159"/>
  <c r="R158"/>
  <c r="Q158"/>
  <c r="P158"/>
  <c r="N158"/>
  <c r="M158"/>
  <c r="O158" s="1"/>
  <c r="L158"/>
  <c r="J158"/>
  <c r="I158"/>
  <c r="O157"/>
  <c r="K157"/>
  <c r="O156"/>
  <c r="K156"/>
  <c r="O155"/>
  <c r="K155"/>
  <c r="O154"/>
  <c r="K154"/>
  <c r="K158" s="1"/>
  <c r="R153"/>
  <c r="Q153"/>
  <c r="P153"/>
  <c r="N153"/>
  <c r="M153"/>
  <c r="O153" s="1"/>
  <c r="L153"/>
  <c r="J153"/>
  <c r="I153"/>
  <c r="O152"/>
  <c r="K152"/>
  <c r="U152" s="1"/>
  <c r="O151"/>
  <c r="O150"/>
  <c r="O149"/>
  <c r="K149"/>
  <c r="O148"/>
  <c r="K148"/>
  <c r="O147"/>
  <c r="O146"/>
  <c r="O145"/>
  <c r="K145"/>
  <c r="O144"/>
  <c r="K144"/>
  <c r="O143"/>
  <c r="K143"/>
  <c r="O142"/>
  <c r="O141"/>
  <c r="K141"/>
  <c r="U141" s="1"/>
  <c r="O140"/>
  <c r="K140"/>
  <c r="O139"/>
  <c r="O138"/>
  <c r="O137"/>
  <c r="O136"/>
  <c r="O135"/>
  <c r="O134"/>
  <c r="O133"/>
  <c r="O132"/>
  <c r="K132"/>
  <c r="O131"/>
  <c r="O130"/>
  <c r="K130"/>
  <c r="U130" s="1"/>
  <c r="O129"/>
  <c r="O128"/>
  <c r="K128"/>
  <c r="U128" s="1"/>
  <c r="O127"/>
  <c r="O126"/>
  <c r="O125"/>
  <c r="O124"/>
  <c r="K124"/>
  <c r="O123"/>
  <c r="O122"/>
  <c r="K122"/>
  <c r="O121"/>
  <c r="K121"/>
  <c r="O120"/>
  <c r="O119"/>
  <c r="O118"/>
  <c r="K118"/>
  <c r="O117"/>
  <c r="O116"/>
  <c r="O115"/>
  <c r="K115"/>
  <c r="U115" s="1"/>
  <c r="U114"/>
  <c r="O114"/>
  <c r="O113"/>
  <c r="K113"/>
  <c r="O112"/>
  <c r="O111"/>
  <c r="K111"/>
  <c r="O110"/>
  <c r="K110"/>
  <c r="O109"/>
  <c r="K109"/>
  <c r="O108"/>
  <c r="K108"/>
  <c r="O107"/>
  <c r="K107"/>
  <c r="O106"/>
  <c r="O105"/>
  <c r="O104"/>
  <c r="K104"/>
  <c r="O103"/>
  <c r="O102"/>
  <c r="K102"/>
  <c r="O101"/>
  <c r="K101"/>
  <c r="O100"/>
  <c r="O99"/>
  <c r="O98"/>
  <c r="O97"/>
  <c r="O96"/>
  <c r="K96"/>
  <c r="O95"/>
  <c r="O94"/>
  <c r="O93"/>
  <c r="K93"/>
  <c r="O92"/>
  <c r="K92"/>
  <c r="K153" s="1"/>
  <c r="O91"/>
  <c r="O90"/>
  <c r="O89"/>
  <c r="O88"/>
  <c r="O87"/>
  <c r="O86"/>
  <c r="R75"/>
  <c r="Q75"/>
  <c r="P75"/>
  <c r="N75"/>
  <c r="M75"/>
  <c r="O75" s="1"/>
  <c r="L75"/>
  <c r="J75"/>
  <c r="I75"/>
  <c r="O74"/>
  <c r="K74"/>
  <c r="O73"/>
  <c r="K73"/>
  <c r="O72"/>
  <c r="O71"/>
  <c r="O70"/>
  <c r="O69"/>
  <c r="O68"/>
  <c r="O67"/>
  <c r="O66"/>
  <c r="K66"/>
  <c r="O65"/>
  <c r="O64"/>
  <c r="O63"/>
  <c r="K63"/>
  <c r="O62"/>
  <c r="K62"/>
  <c r="U62" s="1"/>
  <c r="O61"/>
  <c r="K61"/>
  <c r="U61" s="1"/>
  <c r="U60"/>
  <c r="O60"/>
  <c r="O59"/>
  <c r="K59"/>
  <c r="O58"/>
  <c r="O57"/>
  <c r="O56"/>
  <c r="K56"/>
  <c r="K75" s="1"/>
  <c r="O55"/>
  <c r="O54"/>
  <c r="O53"/>
  <c r="O52"/>
  <c r="O51"/>
  <c r="R50"/>
  <c r="Q50"/>
  <c r="P50"/>
  <c r="N50"/>
  <c r="M50"/>
  <c r="O50" s="1"/>
  <c r="L50"/>
  <c r="K50"/>
  <c r="J50"/>
  <c r="I50"/>
  <c r="U49"/>
  <c r="O49"/>
  <c r="R48"/>
  <c r="Q48"/>
  <c r="P48"/>
  <c r="N48"/>
  <c r="M48"/>
  <c r="O48" s="1"/>
  <c r="L48"/>
  <c r="K48"/>
  <c r="J48"/>
  <c r="I48"/>
  <c r="O47"/>
  <c r="K47"/>
  <c r="R46"/>
  <c r="Q46"/>
  <c r="P46"/>
  <c r="N46"/>
  <c r="M46"/>
  <c r="O46" s="1"/>
  <c r="L46"/>
  <c r="K46"/>
  <c r="J46"/>
  <c r="I46"/>
  <c r="O45"/>
  <c r="K45"/>
  <c r="R44"/>
  <c r="Q44"/>
  <c r="P44"/>
  <c r="N44"/>
  <c r="M44"/>
  <c r="O44" s="1"/>
  <c r="L44"/>
  <c r="J44"/>
  <c r="I44"/>
  <c r="U43"/>
  <c r="O43"/>
  <c r="O42"/>
  <c r="U41"/>
  <c r="O41"/>
  <c r="U40"/>
  <c r="O40"/>
  <c r="U39"/>
  <c r="O39"/>
  <c r="O38"/>
  <c r="O37"/>
  <c r="K37"/>
  <c r="O36"/>
  <c r="K36"/>
  <c r="U36" s="1"/>
  <c r="O35"/>
  <c r="O34"/>
  <c r="K34"/>
  <c r="O33"/>
  <c r="K33"/>
  <c r="O32"/>
  <c r="K32"/>
  <c r="K44" s="1"/>
  <c r="U31"/>
  <c r="O31"/>
  <c r="R30"/>
  <c r="Q30"/>
  <c r="P30"/>
  <c r="N30"/>
  <c r="M30"/>
  <c r="O30" s="1"/>
  <c r="L30"/>
  <c r="J30"/>
  <c r="I30"/>
  <c r="U29"/>
  <c r="O29"/>
  <c r="O28"/>
  <c r="O27"/>
  <c r="U26"/>
  <c r="O26"/>
  <c r="O25"/>
  <c r="O24"/>
  <c r="K24"/>
  <c r="O23"/>
  <c r="O22"/>
  <c r="K22"/>
  <c r="O21"/>
  <c r="O20"/>
  <c r="O19"/>
  <c r="K19"/>
  <c r="O18"/>
  <c r="O17"/>
  <c r="O16"/>
  <c r="K16"/>
  <c r="O15"/>
  <c r="K15"/>
  <c r="O14"/>
  <c r="K14"/>
  <c r="U14" s="1"/>
  <c r="U13"/>
  <c r="O13"/>
  <c r="O12"/>
  <c r="K12"/>
  <c r="K30" s="1"/>
  <c r="O11"/>
  <c r="O10"/>
  <c r="U9"/>
  <c r="O9"/>
  <c r="O8"/>
  <c r="U7"/>
  <c r="O7"/>
  <c r="O6"/>
  <c r="R5"/>
  <c r="Q5"/>
  <c r="P5"/>
  <c r="N5"/>
  <c r="M5"/>
  <c r="O5" s="1"/>
  <c r="L5"/>
  <c r="K5"/>
  <c r="J5"/>
  <c r="I5"/>
  <c r="O4"/>
  <c r="R3"/>
  <c r="R418" s="1"/>
  <c r="Q3"/>
  <c r="Q418" s="1"/>
  <c r="P3"/>
  <c r="P418" s="1"/>
  <c r="N3"/>
  <c r="N418" s="1"/>
  <c r="N425" s="1"/>
  <c r="M3"/>
  <c r="M418" s="1"/>
  <c r="L3"/>
  <c r="L418" s="1"/>
  <c r="L425" s="1"/>
  <c r="L431" s="1"/>
  <c r="K3"/>
  <c r="J3"/>
  <c r="J418" s="1"/>
  <c r="I3"/>
  <c r="I418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O2"/>
  <c r="N431" l="1"/>
  <c r="M425"/>
  <c r="M431" s="1"/>
  <c r="O418"/>
  <c r="O3"/>
  <c r="U92"/>
  <c r="K183"/>
  <c r="K229"/>
  <c r="K418" s="1"/>
  <c r="U342"/>
  <c r="U364"/>
  <c r="U372"/>
  <c r="U383"/>
  <c r="U166"/>
  <c r="U188"/>
  <c r="U223"/>
  <c r="U248"/>
  <c r="U282"/>
  <c r="U353"/>
  <c r="U379"/>
  <c r="O431" l="1"/>
  <c r="O425"/>
  <c r="L1029" i="15" l="1"/>
  <c r="J1029"/>
  <c r="K1029" s="1"/>
  <c r="I1029"/>
  <c r="I1030" s="1"/>
  <c r="L1030" s="1"/>
  <c r="H1029"/>
  <c r="H1030" s="1"/>
  <c r="L1028"/>
  <c r="K1028"/>
  <c r="L1027"/>
  <c r="K1027"/>
  <c r="J1025"/>
  <c r="K1025" s="1"/>
  <c r="I1025"/>
  <c r="H1025"/>
  <c r="L1024"/>
  <c r="K1024"/>
  <c r="L1023"/>
  <c r="K1023"/>
  <c r="L1022"/>
  <c r="K1022"/>
  <c r="L1021"/>
  <c r="K1021"/>
  <c r="L1020"/>
  <c r="K1020"/>
  <c r="L1019"/>
  <c r="K1019"/>
  <c r="L1018"/>
  <c r="K1018"/>
  <c r="L1017"/>
  <c r="K1017"/>
  <c r="L1016"/>
  <c r="K1016"/>
  <c r="L1015"/>
  <c r="K1015"/>
  <c r="L1014"/>
  <c r="K1014"/>
  <c r="L1013"/>
  <c r="K1013"/>
  <c r="L1012"/>
  <c r="K1012"/>
  <c r="J1011"/>
  <c r="K1011" s="1"/>
  <c r="I1011"/>
  <c r="L1011" s="1"/>
  <c r="H1011"/>
  <c r="L1009"/>
  <c r="K1009"/>
  <c r="L1008"/>
  <c r="K1008"/>
  <c r="L1007"/>
  <c r="K1007"/>
  <c r="L1006"/>
  <c r="K1006"/>
  <c r="L1005"/>
  <c r="K1005"/>
  <c r="L1004"/>
  <c r="K1004"/>
  <c r="L1003"/>
  <c r="K1003"/>
  <c r="L1002"/>
  <c r="K1002"/>
  <c r="L1001"/>
  <c r="K1001"/>
  <c r="L1000"/>
  <c r="K1000"/>
  <c r="L999"/>
  <c r="K999"/>
  <c r="L998"/>
  <c r="K998"/>
  <c r="L997"/>
  <c r="K997"/>
  <c r="L996"/>
  <c r="K996"/>
  <c r="L995"/>
  <c r="K995"/>
  <c r="L994"/>
  <c r="K994"/>
  <c r="L993"/>
  <c r="K993"/>
  <c r="L992"/>
  <c r="K992"/>
  <c r="L991"/>
  <c r="K991"/>
  <c r="L990"/>
  <c r="K990"/>
  <c r="L989"/>
  <c r="K989"/>
  <c r="L988"/>
  <c r="K988"/>
  <c r="L987"/>
  <c r="K987"/>
  <c r="L986"/>
  <c r="K986"/>
  <c r="L985"/>
  <c r="K985"/>
  <c r="L984"/>
  <c r="K984"/>
  <c r="L983"/>
  <c r="K983"/>
  <c r="L982"/>
  <c r="K982"/>
  <c r="L981"/>
  <c r="K981"/>
  <c r="L980"/>
  <c r="K980"/>
  <c r="L979"/>
  <c r="K979"/>
  <c r="L978"/>
  <c r="K978"/>
  <c r="L977"/>
  <c r="K977"/>
  <c r="L976"/>
  <c r="K976"/>
  <c r="L975"/>
  <c r="K975"/>
  <c r="L974"/>
  <c r="K974"/>
  <c r="L973"/>
  <c r="K973"/>
  <c r="L972"/>
  <c r="K972"/>
  <c r="L971"/>
  <c r="K971"/>
  <c r="L970"/>
  <c r="K970"/>
  <c r="L969"/>
  <c r="K969"/>
  <c r="L968"/>
  <c r="K968"/>
  <c r="L967"/>
  <c r="K967"/>
  <c r="L966"/>
  <c r="K966"/>
  <c r="L965"/>
  <c r="K965"/>
  <c r="L964"/>
  <c r="K964"/>
  <c r="L963"/>
  <c r="K963"/>
  <c r="L962"/>
  <c r="K962"/>
  <c r="L961"/>
  <c r="K961"/>
  <c r="L960"/>
  <c r="K960"/>
  <c r="L959"/>
  <c r="K959"/>
  <c r="L958"/>
  <c r="K958"/>
  <c r="L957"/>
  <c r="K957"/>
  <c r="J956"/>
  <c r="J1026" s="1"/>
  <c r="K1026" s="1"/>
  <c r="I956"/>
  <c r="I1026" s="1"/>
  <c r="L1026" s="1"/>
  <c r="H956"/>
  <c r="H1026" s="1"/>
  <c r="L954"/>
  <c r="K954"/>
  <c r="L953"/>
  <c r="K953"/>
  <c r="L952"/>
  <c r="K952"/>
  <c r="L951"/>
  <c r="K951"/>
  <c r="L950"/>
  <c r="K950"/>
  <c r="L949"/>
  <c r="K949"/>
  <c r="L948"/>
  <c r="K948"/>
  <c r="L947"/>
  <c r="K947"/>
  <c r="L946"/>
  <c r="K946"/>
  <c r="L945"/>
  <c r="K945"/>
  <c r="L944"/>
  <c r="K944"/>
  <c r="L943"/>
  <c r="K943"/>
  <c r="L942"/>
  <c r="K942"/>
  <c r="L941"/>
  <c r="K941"/>
  <c r="L940"/>
  <c r="K940"/>
  <c r="L939"/>
  <c r="K939"/>
  <c r="L938"/>
  <c r="K938"/>
  <c r="L937"/>
  <c r="K937"/>
  <c r="L936"/>
  <c r="K936"/>
  <c r="L935"/>
  <c r="K935"/>
  <c r="L934"/>
  <c r="K934"/>
  <c r="L933"/>
  <c r="K933"/>
  <c r="L932"/>
  <c r="K932"/>
  <c r="L931"/>
  <c r="K931"/>
  <c r="L930"/>
  <c r="K930"/>
  <c r="L929"/>
  <c r="K929"/>
  <c r="L928"/>
  <c r="K928"/>
  <c r="L927"/>
  <c r="K927"/>
  <c r="L926"/>
  <c r="K926"/>
  <c r="L925"/>
  <c r="K925"/>
  <c r="L924"/>
  <c r="K924"/>
  <c r="L923"/>
  <c r="K923"/>
  <c r="L922"/>
  <c r="K922"/>
  <c r="L921"/>
  <c r="K921"/>
  <c r="J919"/>
  <c r="I919"/>
  <c r="K919" s="1"/>
  <c r="H919"/>
  <c r="L918"/>
  <c r="K918"/>
  <c r="J917"/>
  <c r="J920" s="1"/>
  <c r="K920" s="1"/>
  <c r="I917"/>
  <c r="I920" s="1"/>
  <c r="H917"/>
  <c r="H920" s="1"/>
  <c r="L916"/>
  <c r="K916"/>
  <c r="L915"/>
  <c r="K915"/>
  <c r="L914"/>
  <c r="K914"/>
  <c r="L913"/>
  <c r="K913"/>
  <c r="L912"/>
  <c r="K912"/>
  <c r="L911"/>
  <c r="K911"/>
  <c r="L910"/>
  <c r="K910"/>
  <c r="L909"/>
  <c r="K909"/>
  <c r="L908"/>
  <c r="K908"/>
  <c r="L907"/>
  <c r="K907"/>
  <c r="J905"/>
  <c r="H905"/>
  <c r="L904"/>
  <c r="K904"/>
  <c r="J903"/>
  <c r="I903"/>
  <c r="K903" s="1"/>
  <c r="J902"/>
  <c r="L902" s="1"/>
  <c r="I902"/>
  <c r="H902"/>
  <c r="L901"/>
  <c r="K901"/>
  <c r="L900"/>
  <c r="K900"/>
  <c r="L899"/>
  <c r="K899"/>
  <c r="L898"/>
  <c r="K898"/>
  <c r="L897"/>
  <c r="K897"/>
  <c r="L896"/>
  <c r="K896"/>
  <c r="L895"/>
  <c r="K895"/>
  <c r="J894"/>
  <c r="I894"/>
  <c r="K894" s="1"/>
  <c r="H894"/>
  <c r="L893"/>
  <c r="K893"/>
  <c r="L892"/>
  <c r="K892"/>
  <c r="L891"/>
  <c r="K891"/>
  <c r="L890"/>
  <c r="K890"/>
  <c r="L889"/>
  <c r="K889"/>
  <c r="L888"/>
  <c r="K888"/>
  <c r="L887"/>
  <c r="K887"/>
  <c r="L886"/>
  <c r="K886"/>
  <c r="L885"/>
  <c r="K885"/>
  <c r="L884"/>
  <c r="K884"/>
  <c r="L883"/>
  <c r="K883"/>
  <c r="L882"/>
  <c r="K882"/>
  <c r="L881"/>
  <c r="K881"/>
  <c r="L880"/>
  <c r="K880"/>
  <c r="L879"/>
  <c r="K879"/>
  <c r="L878"/>
  <c r="K878"/>
  <c r="J877"/>
  <c r="I877"/>
  <c r="K877" s="1"/>
  <c r="H877"/>
  <c r="L876"/>
  <c r="K876"/>
  <c r="L875"/>
  <c r="K875"/>
  <c r="L874"/>
  <c r="K874"/>
  <c r="L873"/>
  <c r="K873"/>
  <c r="L872"/>
  <c r="K872"/>
  <c r="L871"/>
  <c r="K871"/>
  <c r="J870"/>
  <c r="I870"/>
  <c r="K870" s="1"/>
  <c r="H870"/>
  <c r="L869"/>
  <c r="K869"/>
  <c r="J868"/>
  <c r="H868"/>
  <c r="L867"/>
  <c r="K867"/>
  <c r="J866"/>
  <c r="I866"/>
  <c r="K866" s="1"/>
  <c r="L865"/>
  <c r="K865"/>
  <c r="L864"/>
  <c r="K864"/>
  <c r="I863"/>
  <c r="L863" s="1"/>
  <c r="L862"/>
  <c r="K862"/>
  <c r="L861"/>
  <c r="K861"/>
  <c r="L860"/>
  <c r="K860"/>
  <c r="L859"/>
  <c r="K859"/>
  <c r="L858"/>
  <c r="K858"/>
  <c r="L857"/>
  <c r="K857"/>
  <c r="L856"/>
  <c r="K856"/>
  <c r="L855"/>
  <c r="K855"/>
  <c r="L854"/>
  <c r="K854"/>
  <c r="L853"/>
  <c r="K853"/>
  <c r="L852"/>
  <c r="K852"/>
  <c r="L851"/>
  <c r="K851"/>
  <c r="L850"/>
  <c r="K850"/>
  <c r="L849"/>
  <c r="K849"/>
  <c r="L848"/>
  <c r="K848"/>
  <c r="L847"/>
  <c r="K847"/>
  <c r="J846"/>
  <c r="J906" s="1"/>
  <c r="I846"/>
  <c r="H846"/>
  <c r="H906" s="1"/>
  <c r="L845"/>
  <c r="K845"/>
  <c r="L844"/>
  <c r="K844"/>
  <c r="L843"/>
  <c r="K843"/>
  <c r="L842"/>
  <c r="K842"/>
  <c r="L841"/>
  <c r="K841"/>
  <c r="L840"/>
  <c r="K840"/>
  <c r="L839"/>
  <c r="K839"/>
  <c r="L838"/>
  <c r="K838"/>
  <c r="J836"/>
  <c r="L836" s="1"/>
  <c r="I836"/>
  <c r="H836"/>
  <c r="L835"/>
  <c r="K835"/>
  <c r="J834"/>
  <c r="I834"/>
  <c r="K834" s="1"/>
  <c r="H834"/>
  <c r="L833"/>
  <c r="K833"/>
  <c r="J832"/>
  <c r="L832" s="1"/>
  <c r="I832"/>
  <c r="H832"/>
  <c r="L831"/>
  <c r="K831"/>
  <c r="L830"/>
  <c r="K830"/>
  <c r="L829"/>
  <c r="K829"/>
  <c r="L828"/>
  <c r="K828"/>
  <c r="L827"/>
  <c r="K827"/>
  <c r="L826"/>
  <c r="K826"/>
  <c r="L825"/>
  <c r="K825"/>
  <c r="L824"/>
  <c r="K824"/>
  <c r="L823"/>
  <c r="K823"/>
  <c r="L822"/>
  <c r="K822"/>
  <c r="L821"/>
  <c r="K821"/>
  <c r="L820"/>
  <c r="K820"/>
  <c r="L819"/>
  <c r="K819"/>
  <c r="L818"/>
  <c r="K818"/>
  <c r="L817"/>
  <c r="K817"/>
  <c r="L816"/>
  <c r="K816"/>
  <c r="L815"/>
  <c r="K815"/>
  <c r="J814"/>
  <c r="I814"/>
  <c r="K814" s="1"/>
  <c r="H814"/>
  <c r="L813"/>
  <c r="K813"/>
  <c r="L812"/>
  <c r="K812"/>
  <c r="L811"/>
  <c r="K811"/>
  <c r="L810"/>
  <c r="K810"/>
  <c r="L809"/>
  <c r="K809"/>
  <c r="L808"/>
  <c r="K808"/>
  <c r="L807"/>
  <c r="K807"/>
  <c r="L806"/>
  <c r="K806"/>
  <c r="J805"/>
  <c r="I805"/>
  <c r="K805" s="1"/>
  <c r="H805"/>
  <c r="L804"/>
  <c r="K804"/>
  <c r="L803"/>
  <c r="K803"/>
  <c r="J802"/>
  <c r="I802"/>
  <c r="K802" s="1"/>
  <c r="H802"/>
  <c r="L801"/>
  <c r="K801"/>
  <c r="L800"/>
  <c r="K800"/>
  <c r="J799"/>
  <c r="I799"/>
  <c r="K799" s="1"/>
  <c r="H799"/>
  <c r="L798"/>
  <c r="K798"/>
  <c r="L797"/>
  <c r="K797"/>
  <c r="L796"/>
  <c r="K796"/>
  <c r="L795"/>
  <c r="K795"/>
  <c r="L794"/>
  <c r="K794"/>
  <c r="L793"/>
  <c r="K793"/>
  <c r="L792"/>
  <c r="K792"/>
  <c r="L791"/>
  <c r="K791"/>
  <c r="L790"/>
  <c r="K790"/>
  <c r="L789"/>
  <c r="K789"/>
  <c r="L788"/>
  <c r="K788"/>
  <c r="L787"/>
  <c r="K787"/>
  <c r="L786"/>
  <c r="K786"/>
  <c r="J785"/>
  <c r="J837" s="1"/>
  <c r="K837" s="1"/>
  <c r="I785"/>
  <c r="I837" s="1"/>
  <c r="H785"/>
  <c r="H837" s="1"/>
  <c r="L784"/>
  <c r="K784"/>
  <c r="L783"/>
  <c r="K783"/>
  <c r="L782"/>
  <c r="K782"/>
  <c r="L781"/>
  <c r="K781"/>
  <c r="L780"/>
  <c r="K780"/>
  <c r="L779"/>
  <c r="K779"/>
  <c r="L778"/>
  <c r="K778"/>
  <c r="L777"/>
  <c r="K777"/>
  <c r="L776"/>
  <c r="K776"/>
  <c r="L775"/>
  <c r="K775"/>
  <c r="L774"/>
  <c r="K774"/>
  <c r="L773"/>
  <c r="K773"/>
  <c r="L772"/>
  <c r="K772"/>
  <c r="L771"/>
  <c r="K771"/>
  <c r="L770"/>
  <c r="K770"/>
  <c r="J768"/>
  <c r="I768"/>
  <c r="K768" s="1"/>
  <c r="H768"/>
  <c r="L767"/>
  <c r="K767"/>
  <c r="J766"/>
  <c r="L766" s="1"/>
  <c r="I766"/>
  <c r="H766"/>
  <c r="L765"/>
  <c r="K765"/>
  <c r="L764"/>
  <c r="K764"/>
  <c r="L763"/>
  <c r="K763"/>
  <c r="L762"/>
  <c r="K762"/>
  <c r="L761"/>
  <c r="K761"/>
  <c r="L760"/>
  <c r="K760"/>
  <c r="L759"/>
  <c r="K759"/>
  <c r="L758"/>
  <c r="K758"/>
  <c r="L757"/>
  <c r="K757"/>
  <c r="J756"/>
  <c r="I756"/>
  <c r="K756" s="1"/>
  <c r="H756"/>
  <c r="L755"/>
  <c r="K755"/>
  <c r="J754"/>
  <c r="L754" s="1"/>
  <c r="I754"/>
  <c r="H754"/>
  <c r="L753"/>
  <c r="K753"/>
  <c r="L752"/>
  <c r="K752"/>
  <c r="L751"/>
  <c r="K751"/>
  <c r="J750"/>
  <c r="I750"/>
  <c r="K750" s="1"/>
  <c r="H750"/>
  <c r="L749"/>
  <c r="K749"/>
  <c r="J748"/>
  <c r="L748" s="1"/>
  <c r="I748"/>
  <c r="H748"/>
  <c r="L747"/>
  <c r="K747"/>
  <c r="L746"/>
  <c r="K746"/>
  <c r="J745"/>
  <c r="L745" s="1"/>
  <c r="I745"/>
  <c r="H745"/>
  <c r="L744"/>
  <c r="K744"/>
  <c r="L743"/>
  <c r="K743"/>
  <c r="J742"/>
  <c r="L742" s="1"/>
  <c r="I742"/>
  <c r="H742"/>
  <c r="L741"/>
  <c r="K741"/>
  <c r="L740"/>
  <c r="K740"/>
  <c r="J739"/>
  <c r="L739" s="1"/>
  <c r="I739"/>
  <c r="H739"/>
  <c r="L738"/>
  <c r="K738"/>
  <c r="J737"/>
  <c r="I737"/>
  <c r="K737" s="1"/>
  <c r="H737"/>
  <c r="L736"/>
  <c r="K736"/>
  <c r="L735"/>
  <c r="K735"/>
  <c r="J734"/>
  <c r="I734"/>
  <c r="K734" s="1"/>
  <c r="H734"/>
  <c r="L733"/>
  <c r="K733"/>
  <c r="L732"/>
  <c r="K732"/>
  <c r="J731"/>
  <c r="I731"/>
  <c r="K731" s="1"/>
  <c r="H731"/>
  <c r="L730"/>
  <c r="K730"/>
  <c r="L729"/>
  <c r="K729"/>
  <c r="L728"/>
  <c r="K728"/>
  <c r="L727"/>
  <c r="K727"/>
  <c r="L726"/>
  <c r="K726"/>
  <c r="L725"/>
  <c r="K725"/>
  <c r="L724"/>
  <c r="K724"/>
  <c r="L723"/>
  <c r="K723"/>
  <c r="L722"/>
  <c r="K722"/>
  <c r="L721"/>
  <c r="K721"/>
  <c r="L720"/>
  <c r="K720"/>
  <c r="L719"/>
  <c r="K719"/>
  <c r="L718"/>
  <c r="K718"/>
  <c r="L717"/>
  <c r="K717"/>
  <c r="L716"/>
  <c r="K716"/>
  <c r="L715"/>
  <c r="K715"/>
  <c r="L714"/>
  <c r="K714"/>
  <c r="L713"/>
  <c r="K713"/>
  <c r="L712"/>
  <c r="K712"/>
  <c r="L711"/>
  <c r="K711"/>
  <c r="J710"/>
  <c r="I710"/>
  <c r="K710" s="1"/>
  <c r="H710"/>
  <c r="L709"/>
  <c r="K709"/>
  <c r="L708"/>
  <c r="K708"/>
  <c r="L707"/>
  <c r="K707"/>
  <c r="L706"/>
  <c r="K706"/>
  <c r="L705"/>
  <c r="K705"/>
  <c r="J704"/>
  <c r="L704" s="1"/>
  <c r="I704"/>
  <c r="H704"/>
  <c r="L703"/>
  <c r="K703"/>
  <c r="L702"/>
  <c r="K702"/>
  <c r="L701"/>
  <c r="K701"/>
  <c r="J700"/>
  <c r="I700"/>
  <c r="K700" s="1"/>
  <c r="H700"/>
  <c r="L699"/>
  <c r="K699"/>
  <c r="J698"/>
  <c r="L698" s="1"/>
  <c r="I698"/>
  <c r="H698"/>
  <c r="L697"/>
  <c r="K697"/>
  <c r="L696"/>
  <c r="K696"/>
  <c r="L695"/>
  <c r="K695"/>
  <c r="L694"/>
  <c r="K694"/>
  <c r="L693"/>
  <c r="K693"/>
  <c r="L692"/>
  <c r="K692"/>
  <c r="L691"/>
  <c r="K691"/>
  <c r="J690"/>
  <c r="I690"/>
  <c r="K690" s="1"/>
  <c r="H690"/>
  <c r="L689"/>
  <c r="K689"/>
  <c r="L688"/>
  <c r="K688"/>
  <c r="J687"/>
  <c r="I687"/>
  <c r="K687" s="1"/>
  <c r="H687"/>
  <c r="L686"/>
  <c r="K686"/>
  <c r="L685"/>
  <c r="K685"/>
  <c r="J684"/>
  <c r="I684"/>
  <c r="K684" s="1"/>
  <c r="H684"/>
  <c r="L683"/>
  <c r="K683"/>
  <c r="L682"/>
  <c r="K682"/>
  <c r="L681"/>
  <c r="K681"/>
  <c r="L680"/>
  <c r="K680"/>
  <c r="L679"/>
  <c r="K679"/>
  <c r="L678"/>
  <c r="K678"/>
  <c r="L677"/>
  <c r="K677"/>
  <c r="L676"/>
  <c r="K676"/>
  <c r="L675"/>
  <c r="K675"/>
  <c r="L674"/>
  <c r="K674"/>
  <c r="L673"/>
  <c r="K673"/>
  <c r="L672"/>
  <c r="K672"/>
  <c r="L671"/>
  <c r="K671"/>
  <c r="L670"/>
  <c r="K670"/>
  <c r="L669"/>
  <c r="K669"/>
  <c r="L668"/>
  <c r="K668"/>
  <c r="L667"/>
  <c r="K667"/>
  <c r="L666"/>
  <c r="K666"/>
  <c r="L665"/>
  <c r="K665"/>
  <c r="L664"/>
  <c r="K664"/>
  <c r="L663"/>
  <c r="K663"/>
  <c r="J662"/>
  <c r="L662" s="1"/>
  <c r="I662"/>
  <c r="H662"/>
  <c r="L661"/>
  <c r="K661"/>
  <c r="L660"/>
  <c r="K660"/>
  <c r="L659"/>
  <c r="K659"/>
  <c r="L658"/>
  <c r="K658"/>
  <c r="L657"/>
  <c r="K657"/>
  <c r="L656"/>
  <c r="K656"/>
  <c r="L655"/>
  <c r="K655"/>
  <c r="J654"/>
  <c r="I654"/>
  <c r="K654" s="1"/>
  <c r="H654"/>
  <c r="L653"/>
  <c r="K653"/>
  <c r="L652"/>
  <c r="K652"/>
  <c r="L651"/>
  <c r="K651"/>
  <c r="L650"/>
  <c r="J650"/>
  <c r="K650" s="1"/>
  <c r="I650"/>
  <c r="H650"/>
  <c r="L649"/>
  <c r="K649"/>
  <c r="J648"/>
  <c r="J769" s="1"/>
  <c r="I648"/>
  <c r="H648"/>
  <c r="H769" s="1"/>
  <c r="L647"/>
  <c r="K647"/>
  <c r="L646"/>
  <c r="K646"/>
  <c r="L645"/>
  <c r="K645"/>
  <c r="L644"/>
  <c r="K644"/>
  <c r="L643"/>
  <c r="K643"/>
  <c r="L642"/>
  <c r="K642"/>
  <c r="J640"/>
  <c r="K640" s="1"/>
  <c r="I640"/>
  <c r="H640"/>
  <c r="L639"/>
  <c r="K639"/>
  <c r="L638"/>
  <c r="K638"/>
  <c r="L637"/>
  <c r="K637"/>
  <c r="L636"/>
  <c r="K636"/>
  <c r="L635"/>
  <c r="K635"/>
  <c r="L634"/>
  <c r="K634"/>
  <c r="L633"/>
  <c r="K633"/>
  <c r="L632"/>
  <c r="K632"/>
  <c r="L631"/>
  <c r="K631"/>
  <c r="L630"/>
  <c r="K630"/>
  <c r="L629"/>
  <c r="K629"/>
  <c r="L628"/>
  <c r="K628"/>
  <c r="L627"/>
  <c r="K627"/>
  <c r="L626"/>
  <c r="K626"/>
  <c r="L625"/>
  <c r="K625"/>
  <c r="L624"/>
  <c r="K624"/>
  <c r="J623"/>
  <c r="K623" s="1"/>
  <c r="I623"/>
  <c r="H623"/>
  <c r="L622"/>
  <c r="K622"/>
  <c r="J621"/>
  <c r="I621"/>
  <c r="L621" s="1"/>
  <c r="H621"/>
  <c r="L620"/>
  <c r="K620"/>
  <c r="J619"/>
  <c r="K619" s="1"/>
  <c r="I619"/>
  <c r="H619"/>
  <c r="H641" s="1"/>
  <c r="L618"/>
  <c r="K618"/>
  <c r="J617"/>
  <c r="I617"/>
  <c r="L617" s="1"/>
  <c r="H617"/>
  <c r="L616"/>
  <c r="K616"/>
  <c r="L615"/>
  <c r="K615"/>
  <c r="L614"/>
  <c r="K614"/>
  <c r="L613"/>
  <c r="K613"/>
  <c r="J612"/>
  <c r="I612"/>
  <c r="I641" s="1"/>
  <c r="H612"/>
  <c r="L611"/>
  <c r="K611"/>
  <c r="L610"/>
  <c r="K610"/>
  <c r="L609"/>
  <c r="K609"/>
  <c r="L608"/>
  <c r="K608"/>
  <c r="J606"/>
  <c r="I606"/>
  <c r="L606" s="1"/>
  <c r="H606"/>
  <c r="L605"/>
  <c r="K605"/>
  <c r="J604"/>
  <c r="K604" s="1"/>
  <c r="I604"/>
  <c r="H604"/>
  <c r="L603"/>
  <c r="K603"/>
  <c r="L602"/>
  <c r="K602"/>
  <c r="L601"/>
  <c r="K601"/>
  <c r="L600"/>
  <c r="K600"/>
  <c r="L599"/>
  <c r="K599"/>
  <c r="L598"/>
  <c r="K598"/>
  <c r="J597"/>
  <c r="K597" s="1"/>
  <c r="I597"/>
  <c r="H597"/>
  <c r="L596"/>
  <c r="K596"/>
  <c r="L595"/>
  <c r="K595"/>
  <c r="L594"/>
  <c r="K594"/>
  <c r="L593"/>
  <c r="K593"/>
  <c r="L592"/>
  <c r="K592"/>
  <c r="K591"/>
  <c r="L590"/>
  <c r="K590"/>
  <c r="L589"/>
  <c r="K589"/>
  <c r="L588"/>
  <c r="K588"/>
  <c r="L587"/>
  <c r="K587"/>
  <c r="L586"/>
  <c r="K586"/>
  <c r="L585"/>
  <c r="K585"/>
  <c r="J584"/>
  <c r="I584"/>
  <c r="L584" s="1"/>
  <c r="H584"/>
  <c r="L583"/>
  <c r="K583"/>
  <c r="L582"/>
  <c r="K582"/>
  <c r="L581"/>
  <c r="K581"/>
  <c r="L580"/>
  <c r="K580"/>
  <c r="L579"/>
  <c r="K579"/>
  <c r="L578"/>
  <c r="K578"/>
  <c r="L577"/>
  <c r="K577"/>
  <c r="J576"/>
  <c r="K576" s="1"/>
  <c r="I576"/>
  <c r="H576"/>
  <c r="L575"/>
  <c r="K575"/>
  <c r="L574"/>
  <c r="K574"/>
  <c r="L573"/>
  <c r="K573"/>
  <c r="L572"/>
  <c r="K572"/>
  <c r="L571"/>
  <c r="K571"/>
  <c r="L570"/>
  <c r="K570"/>
  <c r="L569"/>
  <c r="K569"/>
  <c r="L568"/>
  <c r="K568"/>
  <c r="L567"/>
  <c r="K567"/>
  <c r="L566"/>
  <c r="K566"/>
  <c r="L565"/>
  <c r="K565"/>
  <c r="L564"/>
  <c r="K564"/>
  <c r="L563"/>
  <c r="K563"/>
  <c r="L562"/>
  <c r="K562"/>
  <c r="L561"/>
  <c r="K561"/>
  <c r="L560"/>
  <c r="K560"/>
  <c r="J559"/>
  <c r="K559" s="1"/>
  <c r="I559"/>
  <c r="H559"/>
  <c r="L558"/>
  <c r="K558"/>
  <c r="L557"/>
  <c r="K557"/>
  <c r="L556"/>
  <c r="K556"/>
  <c r="L555"/>
  <c r="K555"/>
  <c r="L554"/>
  <c r="K554"/>
  <c r="L553"/>
  <c r="K553"/>
  <c r="L552"/>
  <c r="K552"/>
  <c r="L551"/>
  <c r="K551"/>
  <c r="L550"/>
  <c r="K550"/>
  <c r="L549"/>
  <c r="K549"/>
  <c r="L548"/>
  <c r="K548"/>
  <c r="L547"/>
  <c r="K547"/>
  <c r="J546"/>
  <c r="K546" s="1"/>
  <c r="I546"/>
  <c r="H546"/>
  <c r="L545"/>
  <c r="K545"/>
  <c r="J544"/>
  <c r="J607" s="1"/>
  <c r="I544"/>
  <c r="L544" s="1"/>
  <c r="H544"/>
  <c r="H607" s="1"/>
  <c r="L543"/>
  <c r="K543"/>
  <c r="L542"/>
  <c r="K542"/>
  <c r="L541"/>
  <c r="K541"/>
  <c r="J539"/>
  <c r="K539" s="1"/>
  <c r="I539"/>
  <c r="I540" s="1"/>
  <c r="H539"/>
  <c r="H540" s="1"/>
  <c r="L538"/>
  <c r="K538"/>
  <c r="L537"/>
  <c r="K537"/>
  <c r="L536"/>
  <c r="K536"/>
  <c r="L535"/>
  <c r="K535"/>
  <c r="L534"/>
  <c r="K534"/>
  <c r="L533"/>
  <c r="K533"/>
  <c r="L532"/>
  <c r="K532"/>
  <c r="L531"/>
  <c r="K531"/>
  <c r="L530"/>
  <c r="K530"/>
  <c r="L529"/>
  <c r="K529"/>
  <c r="J527"/>
  <c r="K527" s="1"/>
  <c r="I527"/>
  <c r="H527"/>
  <c r="H528" s="1"/>
  <c r="L526"/>
  <c r="K526"/>
  <c r="L525"/>
  <c r="K525"/>
  <c r="L524"/>
  <c r="K524"/>
  <c r="J523"/>
  <c r="I523"/>
  <c r="I528" s="1"/>
  <c r="H523"/>
  <c r="L522"/>
  <c r="K522"/>
  <c r="L521"/>
  <c r="K521"/>
  <c r="L520"/>
  <c r="K520"/>
  <c r="L519"/>
  <c r="K519"/>
  <c r="L518"/>
  <c r="K518"/>
  <c r="L517"/>
  <c r="K517"/>
  <c r="L516"/>
  <c r="K516"/>
  <c r="L515"/>
  <c r="K515"/>
  <c r="L514"/>
  <c r="K514"/>
  <c r="L513"/>
  <c r="K513"/>
  <c r="L512"/>
  <c r="K512"/>
  <c r="L511"/>
  <c r="K511"/>
  <c r="L510"/>
  <c r="K510"/>
  <c r="L509"/>
  <c r="K509"/>
  <c r="L508"/>
  <c r="K508"/>
  <c r="J506"/>
  <c r="K506" s="1"/>
  <c r="I506"/>
  <c r="H506"/>
  <c r="L505"/>
  <c r="K505"/>
  <c r="L504"/>
  <c r="K504"/>
  <c r="L503"/>
  <c r="K503"/>
  <c r="J502"/>
  <c r="I502"/>
  <c r="L502" s="1"/>
  <c r="H502"/>
  <c r="L501"/>
  <c r="K501"/>
  <c r="L500"/>
  <c r="K500"/>
  <c r="L499"/>
  <c r="K499"/>
  <c r="L498"/>
  <c r="K498"/>
  <c r="L497"/>
  <c r="K497"/>
  <c r="J496"/>
  <c r="K496" s="1"/>
  <c r="I496"/>
  <c r="H496"/>
  <c r="L495"/>
  <c r="K495"/>
  <c r="L493"/>
  <c r="K493"/>
  <c r="L492"/>
  <c r="K492"/>
  <c r="J491"/>
  <c r="K491" s="1"/>
  <c r="I491"/>
  <c r="H491"/>
  <c r="H507" s="1"/>
  <c r="L490"/>
  <c r="K490"/>
  <c r="J489"/>
  <c r="I489"/>
  <c r="L489" s="1"/>
  <c r="H489"/>
  <c r="L488"/>
  <c r="K488"/>
  <c r="L487"/>
  <c r="K487"/>
  <c r="L486"/>
  <c r="K486"/>
  <c r="L485"/>
  <c r="K485"/>
  <c r="J484"/>
  <c r="I484"/>
  <c r="I507" s="1"/>
  <c r="H484"/>
  <c r="L483"/>
  <c r="K483"/>
  <c r="L482"/>
  <c r="K482"/>
  <c r="L481"/>
  <c r="K481"/>
  <c r="L480"/>
  <c r="K480"/>
  <c r="L479"/>
  <c r="K479"/>
  <c r="J477"/>
  <c r="K477" s="1"/>
  <c r="I477"/>
  <c r="H477"/>
  <c r="H478" s="1"/>
  <c r="L476"/>
  <c r="K476"/>
  <c r="J475"/>
  <c r="I475"/>
  <c r="L475" s="1"/>
  <c r="H475"/>
  <c r="L474"/>
  <c r="K474"/>
  <c r="L473"/>
  <c r="K473"/>
  <c r="L472"/>
  <c r="K472"/>
  <c r="L471"/>
  <c r="K471"/>
  <c r="L470"/>
  <c r="K470"/>
  <c r="L469"/>
  <c r="K469"/>
  <c r="L468"/>
  <c r="K468"/>
  <c r="L467"/>
  <c r="K467"/>
  <c r="J466"/>
  <c r="I466"/>
  <c r="I478" s="1"/>
  <c r="H466"/>
  <c r="L465"/>
  <c r="K465"/>
  <c r="L464"/>
  <c r="K464"/>
  <c r="L463"/>
  <c r="K463"/>
  <c r="J461"/>
  <c r="K461" s="1"/>
  <c r="I461"/>
  <c r="H461"/>
  <c r="L460"/>
  <c r="K460"/>
  <c r="L459"/>
  <c r="K459"/>
  <c r="J458"/>
  <c r="K458" s="1"/>
  <c r="I458"/>
  <c r="H458"/>
  <c r="L457"/>
  <c r="K457"/>
  <c r="L456"/>
  <c r="K456"/>
  <c r="J455"/>
  <c r="K455" s="1"/>
  <c r="I455"/>
  <c r="H455"/>
  <c r="L454"/>
  <c r="K454"/>
  <c r="L453"/>
  <c r="K453"/>
  <c r="L452"/>
  <c r="K452"/>
  <c r="L451"/>
  <c r="K451"/>
  <c r="L450"/>
  <c r="K450"/>
  <c r="L449"/>
  <c r="K449"/>
  <c r="L448"/>
  <c r="K448"/>
  <c r="J447"/>
  <c r="I447"/>
  <c r="L447" s="1"/>
  <c r="L446"/>
  <c r="K446"/>
  <c r="J445"/>
  <c r="K445" s="1"/>
  <c r="I445"/>
  <c r="H445"/>
  <c r="L444"/>
  <c r="K444"/>
  <c r="J443"/>
  <c r="I443"/>
  <c r="L443" s="1"/>
  <c r="H443"/>
  <c r="L442"/>
  <c r="K442"/>
  <c r="L441"/>
  <c r="K441"/>
  <c r="L440"/>
  <c r="K440"/>
  <c r="L439"/>
  <c r="K439"/>
  <c r="L438"/>
  <c r="K438"/>
  <c r="J437"/>
  <c r="K437" s="1"/>
  <c r="I437"/>
  <c r="H437"/>
  <c r="L436"/>
  <c r="K436"/>
  <c r="L435"/>
  <c r="K435"/>
  <c r="L434"/>
  <c r="K434"/>
  <c r="L433"/>
  <c r="K433"/>
  <c r="L432"/>
  <c r="K432"/>
  <c r="L431"/>
  <c r="K431"/>
  <c r="J430"/>
  <c r="K430" s="1"/>
  <c r="I430"/>
  <c r="I462" s="1"/>
  <c r="H430"/>
  <c r="H462" s="1"/>
  <c r="L429"/>
  <c r="K429"/>
  <c r="L428"/>
  <c r="K428"/>
  <c r="L427"/>
  <c r="K427"/>
  <c r="J425"/>
  <c r="J426" s="1"/>
  <c r="I425"/>
  <c r="L425" s="1"/>
  <c r="H425"/>
  <c r="H426" s="1"/>
  <c r="L424"/>
  <c r="K424"/>
  <c r="L423"/>
  <c r="K423"/>
  <c r="L422"/>
  <c r="K422"/>
  <c r="L421"/>
  <c r="K421"/>
  <c r="L420"/>
  <c r="K420"/>
  <c r="L419"/>
  <c r="K419"/>
  <c r="L418"/>
  <c r="K418"/>
  <c r="L417"/>
  <c r="K417"/>
  <c r="L416"/>
  <c r="K416"/>
  <c r="L415"/>
  <c r="K415"/>
  <c r="L414"/>
  <c r="K414"/>
  <c r="L413"/>
  <c r="K413"/>
  <c r="L412"/>
  <c r="K412"/>
  <c r="J410"/>
  <c r="K410" s="1"/>
  <c r="I410"/>
  <c r="H410"/>
  <c r="L409"/>
  <c r="K409"/>
  <c r="L408"/>
  <c r="K408"/>
  <c r="L407"/>
  <c r="K407"/>
  <c r="J406"/>
  <c r="I406"/>
  <c r="L406" s="1"/>
  <c r="H406"/>
  <c r="L405"/>
  <c r="K405"/>
  <c r="L404"/>
  <c r="K404"/>
  <c r="L403"/>
  <c r="K403"/>
  <c r="J402"/>
  <c r="H402"/>
  <c r="L401"/>
  <c r="K401"/>
  <c r="J400"/>
  <c r="I400"/>
  <c r="I402" s="1"/>
  <c r="L402" s="1"/>
  <c r="H400"/>
  <c r="L399"/>
  <c r="K399"/>
  <c r="L398"/>
  <c r="K398"/>
  <c r="J397"/>
  <c r="I397"/>
  <c r="L397" s="1"/>
  <c r="H397"/>
  <c r="L396"/>
  <c r="K396"/>
  <c r="J395"/>
  <c r="K395" s="1"/>
  <c r="I395"/>
  <c r="H395"/>
  <c r="L394"/>
  <c r="K394"/>
  <c r="L393"/>
  <c r="K393"/>
  <c r="L392"/>
  <c r="K392"/>
  <c r="J391"/>
  <c r="I391"/>
  <c r="L391" s="1"/>
  <c r="H391"/>
  <c r="L390"/>
  <c r="K390"/>
  <c r="J389"/>
  <c r="K389" s="1"/>
  <c r="I389"/>
  <c r="H389"/>
  <c r="L388"/>
  <c r="K388"/>
  <c r="J387"/>
  <c r="I387"/>
  <c r="L387" s="1"/>
  <c r="H387"/>
  <c r="L386"/>
  <c r="K386"/>
  <c r="L385"/>
  <c r="K385"/>
  <c r="L384"/>
  <c r="K384"/>
  <c r="J383"/>
  <c r="K383" s="1"/>
  <c r="I383"/>
  <c r="I411" s="1"/>
  <c r="H383"/>
  <c r="H411" s="1"/>
  <c r="L382"/>
  <c r="K382"/>
  <c r="L381"/>
  <c r="K381"/>
  <c r="L380"/>
  <c r="K380"/>
  <c r="J378"/>
  <c r="I378"/>
  <c r="L378" s="1"/>
  <c r="H378"/>
  <c r="L377"/>
  <c r="K377"/>
  <c r="J376"/>
  <c r="K376" s="1"/>
  <c r="I376"/>
  <c r="H376"/>
  <c r="L375"/>
  <c r="K375"/>
  <c r="L374"/>
  <c r="K374"/>
  <c r="L373"/>
  <c r="K373"/>
  <c r="L372"/>
  <c r="K372"/>
  <c r="L371"/>
  <c r="K371"/>
  <c r="J370"/>
  <c r="I370"/>
  <c r="L370" s="1"/>
  <c r="H370"/>
  <c r="L369"/>
  <c r="K369"/>
  <c r="L368"/>
  <c r="K368"/>
  <c r="L367"/>
  <c r="K367"/>
  <c r="L366"/>
  <c r="K366"/>
  <c r="J365"/>
  <c r="I365"/>
  <c r="L365" s="1"/>
  <c r="H365"/>
  <c r="L364"/>
  <c r="K364"/>
  <c r="L363"/>
  <c r="K363"/>
  <c r="L362"/>
  <c r="K362"/>
  <c r="L361"/>
  <c r="K361"/>
  <c r="L360"/>
  <c r="K360"/>
  <c r="J359"/>
  <c r="K359" s="1"/>
  <c r="I359"/>
  <c r="H359"/>
  <c r="L358"/>
  <c r="K358"/>
  <c r="L357"/>
  <c r="K357"/>
  <c r="L356"/>
  <c r="K356"/>
  <c r="L355"/>
  <c r="K355"/>
  <c r="L354"/>
  <c r="J354"/>
  <c r="K354" s="1"/>
  <c r="I354"/>
  <c r="H354"/>
  <c r="L353"/>
  <c r="K353"/>
  <c r="L352"/>
  <c r="K352"/>
  <c r="L351"/>
  <c r="K351"/>
  <c r="J350"/>
  <c r="I350"/>
  <c r="L350" s="1"/>
  <c r="H350"/>
  <c r="L349"/>
  <c r="K349"/>
  <c r="J348"/>
  <c r="K348" s="1"/>
  <c r="I348"/>
  <c r="H348"/>
  <c r="L347"/>
  <c r="K347"/>
  <c r="J346"/>
  <c r="I346"/>
  <c r="L346" s="1"/>
  <c r="H346"/>
  <c r="L345"/>
  <c r="K345"/>
  <c r="L344"/>
  <c r="K344"/>
  <c r="L343"/>
  <c r="K343"/>
  <c r="L342"/>
  <c r="K342"/>
  <c r="J341"/>
  <c r="I341"/>
  <c r="L341" s="1"/>
  <c r="H341"/>
  <c r="L340"/>
  <c r="K340"/>
  <c r="L339"/>
  <c r="K339"/>
  <c r="L338"/>
  <c r="K338"/>
  <c r="L337"/>
  <c r="K337"/>
  <c r="L336"/>
  <c r="K336"/>
  <c r="L335"/>
  <c r="K335"/>
  <c r="J334"/>
  <c r="I334"/>
  <c r="L334" s="1"/>
  <c r="H334"/>
  <c r="L333"/>
  <c r="K333"/>
  <c r="L332"/>
  <c r="J332"/>
  <c r="K332" s="1"/>
  <c r="I332"/>
  <c r="H332"/>
  <c r="L331"/>
  <c r="K331"/>
  <c r="L330"/>
  <c r="K330"/>
  <c r="L329"/>
  <c r="K329"/>
  <c r="L328"/>
  <c r="K328"/>
  <c r="L327"/>
  <c r="K327"/>
  <c r="J326"/>
  <c r="I326"/>
  <c r="L326" s="1"/>
  <c r="H326"/>
  <c r="L325"/>
  <c r="K325"/>
  <c r="L324"/>
  <c r="K324"/>
  <c r="L323"/>
  <c r="K323"/>
  <c r="L322"/>
  <c r="K322"/>
  <c r="L321"/>
  <c r="K321"/>
  <c r="J320"/>
  <c r="I320"/>
  <c r="I379" s="1"/>
  <c r="H320"/>
  <c r="H379" s="1"/>
  <c r="L319"/>
  <c r="K319"/>
  <c r="L318"/>
  <c r="K318"/>
  <c r="L317"/>
  <c r="K317"/>
  <c r="L316"/>
  <c r="K316"/>
  <c r="L315"/>
  <c r="K315"/>
  <c r="J313"/>
  <c r="L313" s="1"/>
  <c r="I313"/>
  <c r="H313"/>
  <c r="L312"/>
  <c r="K312"/>
  <c r="L311"/>
  <c r="K311"/>
  <c r="L310"/>
  <c r="K310"/>
  <c r="L309"/>
  <c r="K309"/>
  <c r="L308"/>
  <c r="K308"/>
  <c r="L307"/>
  <c r="K307"/>
  <c r="L306"/>
  <c r="K306"/>
  <c r="J305"/>
  <c r="I305"/>
  <c r="K305" s="1"/>
  <c r="H305"/>
  <c r="L304"/>
  <c r="K304"/>
  <c r="L303"/>
  <c r="K303"/>
  <c r="J302"/>
  <c r="I302"/>
  <c r="K302" s="1"/>
  <c r="H302"/>
  <c r="L301"/>
  <c r="K301"/>
  <c r="L300"/>
  <c r="K300"/>
  <c r="J299"/>
  <c r="I299"/>
  <c r="K299" s="1"/>
  <c r="H299"/>
  <c r="L298"/>
  <c r="K298"/>
  <c r="J297"/>
  <c r="L297" s="1"/>
  <c r="I297"/>
  <c r="H297"/>
  <c r="L296"/>
  <c r="K296"/>
  <c r="L295"/>
  <c r="K295"/>
  <c r="L294"/>
  <c r="K294"/>
  <c r="L293"/>
  <c r="K293"/>
  <c r="J292"/>
  <c r="L292" s="1"/>
  <c r="I292"/>
  <c r="H292"/>
  <c r="L291"/>
  <c r="K291"/>
  <c r="L290"/>
  <c r="K290"/>
  <c r="L289"/>
  <c r="K289"/>
  <c r="L288"/>
  <c r="K288"/>
  <c r="L287"/>
  <c r="K287"/>
  <c r="L286"/>
  <c r="K286"/>
  <c r="L285"/>
  <c r="K285"/>
  <c r="L284"/>
  <c r="K284"/>
  <c r="L283"/>
  <c r="K283"/>
  <c r="J282"/>
  <c r="I282"/>
  <c r="K282" s="1"/>
  <c r="H282"/>
  <c r="L281"/>
  <c r="K281"/>
  <c r="L280"/>
  <c r="K280"/>
  <c r="L279"/>
  <c r="K279"/>
  <c r="L278"/>
  <c r="K278"/>
  <c r="L277"/>
  <c r="K277"/>
  <c r="L276"/>
  <c r="K276"/>
  <c r="L275"/>
  <c r="K275"/>
  <c r="L274"/>
  <c r="K274"/>
  <c r="L273"/>
  <c r="K273"/>
  <c r="L272"/>
  <c r="K272"/>
  <c r="J271"/>
  <c r="I271"/>
  <c r="K271" s="1"/>
  <c r="H271"/>
  <c r="L270"/>
  <c r="K270"/>
  <c r="J269"/>
  <c r="L269" s="1"/>
  <c r="I269"/>
  <c r="H269"/>
  <c r="L268"/>
  <c r="K268"/>
  <c r="L267"/>
  <c r="K267"/>
  <c r="J266"/>
  <c r="L266" s="1"/>
  <c r="I266"/>
  <c r="H266"/>
  <c r="L265"/>
  <c r="K265"/>
  <c r="J264"/>
  <c r="I264"/>
  <c r="K264" s="1"/>
  <c r="H264"/>
  <c r="L263"/>
  <c r="K263"/>
  <c r="L262"/>
  <c r="K262"/>
  <c r="J261"/>
  <c r="I261"/>
  <c r="K261" s="1"/>
  <c r="H261"/>
  <c r="L260"/>
  <c r="K260"/>
  <c r="J259"/>
  <c r="L259" s="1"/>
  <c r="I259"/>
  <c r="H259"/>
  <c r="L258"/>
  <c r="K258"/>
  <c r="L257"/>
  <c r="K257"/>
  <c r="L256"/>
  <c r="K256"/>
  <c r="L255"/>
  <c r="K255"/>
  <c r="J254"/>
  <c r="L254" s="1"/>
  <c r="I254"/>
  <c r="H254"/>
  <c r="L253"/>
  <c r="K253"/>
  <c r="L252"/>
  <c r="K252"/>
  <c r="L251"/>
  <c r="K251"/>
  <c r="L250"/>
  <c r="K250"/>
  <c r="J249"/>
  <c r="L249" s="1"/>
  <c r="I249"/>
  <c r="H249"/>
  <c r="L248"/>
  <c r="K248"/>
  <c r="L247"/>
  <c r="K247"/>
  <c r="L246"/>
  <c r="K246"/>
  <c r="L245"/>
  <c r="K245"/>
  <c r="J244"/>
  <c r="L244" s="1"/>
  <c r="I244"/>
  <c r="H244"/>
  <c r="L243"/>
  <c r="K243"/>
  <c r="J242"/>
  <c r="I242"/>
  <c r="K242" s="1"/>
  <c r="H242"/>
  <c r="L241"/>
  <c r="K241"/>
  <c r="J240"/>
  <c r="J314" s="1"/>
  <c r="I240"/>
  <c r="I314" s="1"/>
  <c r="L314" s="1"/>
  <c r="H240"/>
  <c r="H314" s="1"/>
  <c r="L239"/>
  <c r="K239"/>
  <c r="L238"/>
  <c r="K238"/>
  <c r="L237"/>
  <c r="K237"/>
  <c r="L236"/>
  <c r="K236"/>
  <c r="L235"/>
  <c r="K235"/>
  <c r="L234"/>
  <c r="K234"/>
  <c r="J232"/>
  <c r="J233" s="1"/>
  <c r="I232"/>
  <c r="I233" s="1"/>
  <c r="L233" s="1"/>
  <c r="H232"/>
  <c r="H233" s="1"/>
  <c r="L231"/>
  <c r="K231"/>
  <c r="L230"/>
  <c r="K230"/>
  <c r="L229"/>
  <c r="K229"/>
  <c r="L228"/>
  <c r="K228"/>
  <c r="L227"/>
  <c r="K227"/>
  <c r="L226"/>
  <c r="K226"/>
  <c r="L225"/>
  <c r="K225"/>
  <c r="L224"/>
  <c r="K224"/>
  <c r="L223"/>
  <c r="K223"/>
  <c r="L222"/>
  <c r="K222"/>
  <c r="L221"/>
  <c r="K221"/>
  <c r="L220"/>
  <c r="K220"/>
  <c r="J218"/>
  <c r="L218" s="1"/>
  <c r="I218"/>
  <c r="H218"/>
  <c r="L217"/>
  <c r="K217"/>
  <c r="L216"/>
  <c r="K216"/>
  <c r="J215"/>
  <c r="J219" s="1"/>
  <c r="I215"/>
  <c r="H215"/>
  <c r="H219" s="1"/>
  <c r="L214"/>
  <c r="K214"/>
  <c r="J213"/>
  <c r="I213"/>
  <c r="K213" s="1"/>
  <c r="H213"/>
  <c r="L212"/>
  <c r="K212"/>
  <c r="L211"/>
  <c r="K211"/>
  <c r="L210"/>
  <c r="K210"/>
  <c r="L209"/>
  <c r="K209"/>
  <c r="L208"/>
  <c r="K208"/>
  <c r="L207"/>
  <c r="K207"/>
  <c r="L206"/>
  <c r="K206"/>
  <c r="J204"/>
  <c r="L204" s="1"/>
  <c r="I204"/>
  <c r="H204"/>
  <c r="L203"/>
  <c r="K203"/>
  <c r="J202"/>
  <c r="I202"/>
  <c r="K202" s="1"/>
  <c r="H202"/>
  <c r="L201"/>
  <c r="K201"/>
  <c r="J200"/>
  <c r="L200" s="1"/>
  <c r="I200"/>
  <c r="H200"/>
  <c r="L199"/>
  <c r="K199"/>
  <c r="L198"/>
  <c r="K198"/>
  <c r="L197"/>
  <c r="K197"/>
  <c r="L196"/>
  <c r="K196"/>
  <c r="L195"/>
  <c r="K195"/>
  <c r="L194"/>
  <c r="K194"/>
  <c r="L193"/>
  <c r="K193"/>
  <c r="L192"/>
  <c r="K192"/>
  <c r="L191"/>
  <c r="K191"/>
  <c r="L190"/>
  <c r="K190"/>
  <c r="J189"/>
  <c r="L189" s="1"/>
  <c r="I189"/>
  <c r="H189"/>
  <c r="L188"/>
  <c r="K188"/>
  <c r="L187"/>
  <c r="K187"/>
  <c r="L186"/>
  <c r="K186"/>
  <c r="L185"/>
  <c r="K185"/>
  <c r="L184"/>
  <c r="K184"/>
  <c r="L183"/>
  <c r="K183"/>
  <c r="L182"/>
  <c r="K182"/>
  <c r="L181"/>
  <c r="K181"/>
  <c r="L180"/>
  <c r="K180"/>
  <c r="L179"/>
  <c r="K179"/>
  <c r="L178"/>
  <c r="K178"/>
  <c r="L177"/>
  <c r="K177"/>
  <c r="L176"/>
  <c r="K176"/>
  <c r="L175"/>
  <c r="K175"/>
  <c r="L174"/>
  <c r="K174"/>
  <c r="L173"/>
  <c r="K173"/>
  <c r="L172"/>
  <c r="K172"/>
  <c r="L171"/>
  <c r="K171"/>
  <c r="L170"/>
  <c r="K170"/>
  <c r="L169"/>
  <c r="K169"/>
  <c r="L168"/>
  <c r="K168"/>
  <c r="L167"/>
  <c r="K167"/>
  <c r="L166"/>
  <c r="K166"/>
  <c r="L165"/>
  <c r="K165"/>
  <c r="L164"/>
  <c r="K164"/>
  <c r="L163"/>
  <c r="K163"/>
  <c r="L162"/>
  <c r="K162"/>
  <c r="L161"/>
  <c r="K161"/>
  <c r="L160"/>
  <c r="K160"/>
  <c r="L159"/>
  <c r="K159"/>
  <c r="L158"/>
  <c r="K158"/>
  <c r="L157"/>
  <c r="K157"/>
  <c r="L156"/>
  <c r="K156"/>
  <c r="L155"/>
  <c r="K155"/>
  <c r="L154"/>
  <c r="K154"/>
  <c r="L153"/>
  <c r="K153"/>
  <c r="L152"/>
  <c r="K152"/>
  <c r="L151"/>
  <c r="K151"/>
  <c r="L150"/>
  <c r="K150"/>
  <c r="L149"/>
  <c r="K149"/>
  <c r="L148"/>
  <c r="K148"/>
  <c r="L147"/>
  <c r="K147"/>
  <c r="L146"/>
  <c r="K146"/>
  <c r="L145"/>
  <c r="K145"/>
  <c r="L144"/>
  <c r="K144"/>
  <c r="L143"/>
  <c r="K143"/>
  <c r="L142"/>
  <c r="K142"/>
  <c r="L141"/>
  <c r="K141"/>
  <c r="L140"/>
  <c r="K140"/>
  <c r="L139"/>
  <c r="K139"/>
  <c r="L138"/>
  <c r="K138"/>
  <c r="L137"/>
  <c r="K137"/>
  <c r="L136"/>
  <c r="K136"/>
  <c r="L135"/>
  <c r="K135"/>
  <c r="L134"/>
  <c r="K134"/>
  <c r="L133"/>
  <c r="K133"/>
  <c r="L132"/>
  <c r="K132"/>
  <c r="L131"/>
  <c r="K131"/>
  <c r="L130"/>
  <c r="K130"/>
  <c r="L129"/>
  <c r="K129"/>
  <c r="L128"/>
  <c r="K128"/>
  <c r="J127"/>
  <c r="I127"/>
  <c r="K127" s="1"/>
  <c r="H127"/>
  <c r="L126"/>
  <c r="K126"/>
  <c r="L125"/>
  <c r="K125"/>
  <c r="L124"/>
  <c r="K124"/>
  <c r="L123"/>
  <c r="K123"/>
  <c r="L122"/>
  <c r="K122"/>
  <c r="L121"/>
  <c r="K121"/>
  <c r="J120"/>
  <c r="I120"/>
  <c r="K120" s="1"/>
  <c r="H120"/>
  <c r="L119"/>
  <c r="K119"/>
  <c r="L118"/>
  <c r="K118"/>
  <c r="L117"/>
  <c r="K117"/>
  <c r="L116"/>
  <c r="K116"/>
  <c r="L115"/>
  <c r="K115"/>
  <c r="L114"/>
  <c r="K114"/>
  <c r="J113"/>
  <c r="I113"/>
  <c r="K113" s="1"/>
  <c r="H113"/>
  <c r="L112"/>
  <c r="K112"/>
  <c r="J111"/>
  <c r="L111" s="1"/>
  <c r="I111"/>
  <c r="H111"/>
  <c r="L110"/>
  <c r="K110"/>
  <c r="J109"/>
  <c r="I109"/>
  <c r="K109" s="1"/>
  <c r="H109"/>
  <c r="L108"/>
  <c r="K108"/>
  <c r="L107"/>
  <c r="K107"/>
  <c r="L106"/>
  <c r="K106"/>
  <c r="L105"/>
  <c r="K105"/>
  <c r="L104"/>
  <c r="K104"/>
  <c r="J103"/>
  <c r="L103" s="1"/>
  <c r="I103"/>
  <c r="H103"/>
  <c r="L102"/>
  <c r="K102"/>
  <c r="L101"/>
  <c r="K101"/>
  <c r="L100"/>
  <c r="K100"/>
  <c r="L99"/>
  <c r="K99"/>
  <c r="L98"/>
  <c r="K98"/>
  <c r="L97"/>
  <c r="K97"/>
  <c r="J96"/>
  <c r="L96" s="1"/>
  <c r="I96"/>
  <c r="H96"/>
  <c r="L95"/>
  <c r="K95"/>
  <c r="L94"/>
  <c r="K94"/>
  <c r="L93"/>
  <c r="K93"/>
  <c r="L92"/>
  <c r="K92"/>
  <c r="J91"/>
  <c r="L91" s="1"/>
  <c r="I91"/>
  <c r="H91"/>
  <c r="L90"/>
  <c r="K90"/>
  <c r="L89"/>
  <c r="K89"/>
  <c r="L88"/>
  <c r="K88"/>
  <c r="L87"/>
  <c r="K87"/>
  <c r="J86"/>
  <c r="L86" s="1"/>
  <c r="I86"/>
  <c r="H86"/>
  <c r="L85"/>
  <c r="K85"/>
  <c r="L84"/>
  <c r="K84"/>
  <c r="L83"/>
  <c r="K83"/>
  <c r="J82"/>
  <c r="I82"/>
  <c r="K82" s="1"/>
  <c r="H82"/>
  <c r="L81"/>
  <c r="K81"/>
  <c r="L80"/>
  <c r="K80"/>
  <c r="L79"/>
  <c r="K79"/>
  <c r="J78"/>
  <c r="L78" s="1"/>
  <c r="I78"/>
  <c r="H78"/>
  <c r="L77"/>
  <c r="K77"/>
  <c r="L76"/>
  <c r="K76"/>
  <c r="L75"/>
  <c r="K75"/>
  <c r="L74"/>
  <c r="K74"/>
  <c r="L73"/>
  <c r="K73"/>
  <c r="L72"/>
  <c r="K72"/>
  <c r="J71"/>
  <c r="J205" s="1"/>
  <c r="I71"/>
  <c r="I205" s="1"/>
  <c r="L205" s="1"/>
  <c r="H71"/>
  <c r="H205" s="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I60"/>
  <c r="L59"/>
  <c r="K59"/>
  <c r="J58"/>
  <c r="L58" s="1"/>
  <c r="I58"/>
  <c r="H58"/>
  <c r="H60" s="1"/>
  <c r="L57"/>
  <c r="K57"/>
  <c r="L56"/>
  <c r="K56"/>
  <c r="J55"/>
  <c r="L55" s="1"/>
  <c r="I55"/>
  <c r="H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J39"/>
  <c r="I39"/>
  <c r="K39" s="1"/>
  <c r="H39"/>
  <c r="L38"/>
  <c r="K38"/>
  <c r="L37"/>
  <c r="K37"/>
  <c r="L36"/>
  <c r="K36"/>
  <c r="J35"/>
  <c r="L35" s="1"/>
  <c r="I35"/>
  <c r="I61" s="1"/>
  <c r="H35"/>
  <c r="L34"/>
  <c r="K34"/>
  <c r="L33"/>
  <c r="K33"/>
  <c r="L32"/>
  <c r="K32"/>
  <c r="L31"/>
  <c r="K31"/>
  <c r="L30"/>
  <c r="K30"/>
  <c r="L29"/>
  <c r="K29"/>
  <c r="L28"/>
  <c r="K28"/>
  <c r="I26"/>
  <c r="H26"/>
  <c r="L25"/>
  <c r="K25"/>
  <c r="L24"/>
  <c r="K24"/>
  <c r="L23"/>
  <c r="K23"/>
  <c r="J22"/>
  <c r="L22" s="1"/>
  <c r="I22"/>
  <c r="J21"/>
  <c r="I21"/>
  <c r="K21" s="1"/>
  <c r="H21"/>
  <c r="L20"/>
  <c r="K20"/>
  <c r="L19"/>
  <c r="K19"/>
  <c r="L18"/>
  <c r="K18"/>
  <c r="J17"/>
  <c r="L17" s="1"/>
  <c r="I17"/>
  <c r="H17"/>
  <c r="L16"/>
  <c r="K16"/>
  <c r="L15"/>
  <c r="K15"/>
  <c r="J14"/>
  <c r="L14" s="1"/>
  <c r="I14"/>
  <c r="H14"/>
  <c r="L13"/>
  <c r="K13"/>
  <c r="L12"/>
  <c r="K12"/>
  <c r="L11"/>
  <c r="K11"/>
  <c r="J10"/>
  <c r="I10"/>
  <c r="K10" s="1"/>
  <c r="H10"/>
  <c r="L9"/>
  <c r="K9"/>
  <c r="L8"/>
  <c r="K8"/>
  <c r="L7"/>
  <c r="K7"/>
  <c r="J6"/>
  <c r="I6"/>
  <c r="H6"/>
  <c r="H27" s="1"/>
  <c r="L5"/>
  <c r="K5"/>
  <c r="L4"/>
  <c r="K4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K205" l="1"/>
  <c r="K314"/>
  <c r="H61"/>
  <c r="K233"/>
  <c r="J379"/>
  <c r="K379" s="1"/>
  <c r="K320"/>
  <c r="K6"/>
  <c r="L10"/>
  <c r="K14"/>
  <c r="K17"/>
  <c r="L21"/>
  <c r="K22"/>
  <c r="J26"/>
  <c r="K26" s="1"/>
  <c r="K35"/>
  <c r="L39"/>
  <c r="K55"/>
  <c r="K58"/>
  <c r="J60"/>
  <c r="K60" s="1"/>
  <c r="K71"/>
  <c r="K78"/>
  <c r="L82"/>
  <c r="K86"/>
  <c r="K91"/>
  <c r="K96"/>
  <c r="K103"/>
  <c r="L109"/>
  <c r="K111"/>
  <c r="L113"/>
  <c r="L120"/>
  <c r="L127"/>
  <c r="K189"/>
  <c r="K200"/>
  <c r="L202"/>
  <c r="K204"/>
  <c r="L213"/>
  <c r="K215"/>
  <c r="K218"/>
  <c r="I219"/>
  <c r="L219" s="1"/>
  <c r="K232"/>
  <c r="K240"/>
  <c r="L242"/>
  <c r="K244"/>
  <c r="K249"/>
  <c r="K254"/>
  <c r="K259"/>
  <c r="L261"/>
  <c r="L264"/>
  <c r="K266"/>
  <c r="K269"/>
  <c r="L271"/>
  <c r="L282"/>
  <c r="K292"/>
  <c r="K297"/>
  <c r="L299"/>
  <c r="L302"/>
  <c r="L305"/>
  <c r="K313"/>
  <c r="K326"/>
  <c r="K334"/>
  <c r="K341"/>
  <c r="L348"/>
  <c r="K402"/>
  <c r="H1031"/>
  <c r="L6"/>
  <c r="I27"/>
  <c r="L71"/>
  <c r="L215"/>
  <c r="L232"/>
  <c r="L240"/>
  <c r="L379"/>
  <c r="L320"/>
  <c r="K346"/>
  <c r="K350"/>
  <c r="K607"/>
  <c r="L359"/>
  <c r="K365"/>
  <c r="K370"/>
  <c r="L376"/>
  <c r="K378"/>
  <c r="L383"/>
  <c r="K387"/>
  <c r="L389"/>
  <c r="K391"/>
  <c r="L395"/>
  <c r="K397"/>
  <c r="K400"/>
  <c r="K406"/>
  <c r="L410"/>
  <c r="J411"/>
  <c r="K411" s="1"/>
  <c r="K425"/>
  <c r="I426"/>
  <c r="L426" s="1"/>
  <c r="L430"/>
  <c r="L437"/>
  <c r="K443"/>
  <c r="L445"/>
  <c r="L455"/>
  <c r="L458"/>
  <c r="L461"/>
  <c r="J462"/>
  <c r="K462" s="1"/>
  <c r="K466"/>
  <c r="K475"/>
  <c r="L477"/>
  <c r="J478"/>
  <c r="K478" s="1"/>
  <c r="K484"/>
  <c r="K489"/>
  <c r="L491"/>
  <c r="L496"/>
  <c r="K502"/>
  <c r="L506"/>
  <c r="J507"/>
  <c r="K507" s="1"/>
  <c r="K523"/>
  <c r="L527"/>
  <c r="J528"/>
  <c r="K528" s="1"/>
  <c r="L539"/>
  <c r="J540"/>
  <c r="K540" s="1"/>
  <c r="K544"/>
  <c r="L546"/>
  <c r="L559"/>
  <c r="L576"/>
  <c r="K584"/>
  <c r="L597"/>
  <c r="L604"/>
  <c r="K606"/>
  <c r="I607"/>
  <c r="L607" s="1"/>
  <c r="K612"/>
  <c r="K617"/>
  <c r="L619"/>
  <c r="K621"/>
  <c r="L623"/>
  <c r="L640"/>
  <c r="J641"/>
  <c r="K641" s="1"/>
  <c r="I769"/>
  <c r="L769" s="1"/>
  <c r="L648"/>
  <c r="L400"/>
  <c r="L466"/>
  <c r="L484"/>
  <c r="L523"/>
  <c r="L612"/>
  <c r="K648"/>
  <c r="L837"/>
  <c r="L920"/>
  <c r="L654"/>
  <c r="K662"/>
  <c r="L684"/>
  <c r="L687"/>
  <c r="L690"/>
  <c r="K698"/>
  <c r="L700"/>
  <c r="K704"/>
  <c r="L710"/>
  <c r="L731"/>
  <c r="L734"/>
  <c r="L737"/>
  <c r="K739"/>
  <c r="K742"/>
  <c r="K745"/>
  <c r="K748"/>
  <c r="L750"/>
  <c r="K754"/>
  <c r="L756"/>
  <c r="K766"/>
  <c r="L768"/>
  <c r="K785"/>
  <c r="L799"/>
  <c r="L802"/>
  <c r="L805"/>
  <c r="L814"/>
  <c r="K832"/>
  <c r="L834"/>
  <c r="K836"/>
  <c r="K846"/>
  <c r="K863"/>
  <c r="L866"/>
  <c r="I868"/>
  <c r="L868" s="1"/>
  <c r="L870"/>
  <c r="L877"/>
  <c r="L894"/>
  <c r="K902"/>
  <c r="L903"/>
  <c r="I905"/>
  <c r="L905" s="1"/>
  <c r="K917"/>
  <c r="L919"/>
  <c r="K956"/>
  <c r="L1025"/>
  <c r="J1030"/>
  <c r="K1030" s="1"/>
  <c r="L785"/>
  <c r="L846"/>
  <c r="L917"/>
  <c r="L956"/>
  <c r="K905" l="1"/>
  <c r="L528"/>
  <c r="L462"/>
  <c r="L411"/>
  <c r="J61"/>
  <c r="L60"/>
  <c r="J27"/>
  <c r="I906"/>
  <c r="K868"/>
  <c r="K769"/>
  <c r="L641"/>
  <c r="L540"/>
  <c r="L507"/>
  <c r="K426"/>
  <c r="L27"/>
  <c r="L478"/>
  <c r="I1031"/>
  <c r="K219"/>
  <c r="L26"/>
  <c r="D140" i="13"/>
  <c r="J198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J168"/>
  <c r="K168"/>
  <c r="J169"/>
  <c r="K169"/>
  <c r="J170"/>
  <c r="K170"/>
  <c r="J171"/>
  <c r="K171"/>
  <c r="J172"/>
  <c r="K172"/>
  <c r="J173"/>
  <c r="K173"/>
  <c r="J174"/>
  <c r="K174"/>
  <c r="J175"/>
  <c r="K175"/>
  <c r="J176"/>
  <c r="K176"/>
  <c r="J177"/>
  <c r="K177"/>
  <c r="J178"/>
  <c r="K178"/>
  <c r="J179"/>
  <c r="K179"/>
  <c r="J180"/>
  <c r="K180"/>
  <c r="J181"/>
  <c r="K181"/>
  <c r="J182"/>
  <c r="K182"/>
  <c r="J183"/>
  <c r="K183"/>
  <c r="H179" i="8"/>
  <c r="H108"/>
  <c r="H31"/>
  <c r="H28"/>
  <c r="F118"/>
  <c r="E118"/>
  <c r="D118"/>
  <c r="H117"/>
  <c r="G117"/>
  <c r="H33"/>
  <c r="G33"/>
  <c r="H22"/>
  <c r="H63" i="7"/>
  <c r="F132"/>
  <c r="E132"/>
  <c r="D132"/>
  <c r="H131"/>
  <c r="G131"/>
  <c r="H129"/>
  <c r="G129"/>
  <c r="H115"/>
  <c r="G115"/>
  <c r="F107"/>
  <c r="H105"/>
  <c r="E107"/>
  <c r="H107" s="1"/>
  <c r="H106"/>
  <c r="D107"/>
  <c r="G105"/>
  <c r="F32"/>
  <c r="E32"/>
  <c r="H31"/>
  <c r="G31"/>
  <c r="H23"/>
  <c r="J109" i="13"/>
  <c r="D109"/>
  <c r="K111"/>
  <c r="J111"/>
  <c r="D111"/>
  <c r="D99"/>
  <c r="K97"/>
  <c r="K96"/>
  <c r="K95"/>
  <c r="K94"/>
  <c r="D88"/>
  <c r="D86"/>
  <c r="D85"/>
  <c r="D82"/>
  <c r="D80"/>
  <c r="D79"/>
  <c r="D76"/>
  <c r="D67"/>
  <c r="D178"/>
  <c r="D172"/>
  <c r="D171"/>
  <c r="D134"/>
  <c r="K122"/>
  <c r="J122"/>
  <c r="D122"/>
  <c r="I25" i="12"/>
  <c r="H25"/>
  <c r="B25"/>
  <c r="I22"/>
  <c r="B22"/>
  <c r="I36"/>
  <c r="B36"/>
  <c r="K4" i="13"/>
  <c r="D179"/>
  <c r="D177"/>
  <c r="D135"/>
  <c r="D129"/>
  <c r="J108"/>
  <c r="D108"/>
  <c r="D97"/>
  <c r="D96"/>
  <c r="D47"/>
  <c r="D7"/>
  <c r="H68" i="7"/>
  <c r="H51"/>
  <c r="G51"/>
  <c r="D5" i="11"/>
  <c r="I34" i="12"/>
  <c r="B34"/>
  <c r="H123" i="8"/>
  <c r="H89"/>
  <c r="K106" i="13"/>
  <c r="J106"/>
  <c r="D106"/>
  <c r="K123"/>
  <c r="J123"/>
  <c r="D123"/>
  <c r="D169"/>
  <c r="K110"/>
  <c r="J110"/>
  <c r="D110"/>
  <c r="D87"/>
  <c r="K77"/>
  <c r="J77"/>
  <c r="D77"/>
  <c r="K66"/>
  <c r="K68"/>
  <c r="K69"/>
  <c r="K70"/>
  <c r="K71"/>
  <c r="D11"/>
  <c r="D84" i="8"/>
  <c r="G83"/>
  <c r="F84"/>
  <c r="H83"/>
  <c r="E84"/>
  <c r="E111" i="7"/>
  <c r="F111"/>
  <c r="H111" s="1"/>
  <c r="D111"/>
  <c r="G111" s="1"/>
  <c r="H110"/>
  <c r="G110"/>
  <c r="H83"/>
  <c r="H41"/>
  <c r="D32"/>
  <c r="H30"/>
  <c r="G30"/>
  <c r="H32"/>
  <c r="G32"/>
  <c r="H29"/>
  <c r="G29"/>
  <c r="H28"/>
  <c r="G28"/>
  <c r="H20"/>
  <c r="G20"/>
  <c r="E8"/>
  <c r="F8"/>
  <c r="H8" s="1"/>
  <c r="D8"/>
  <c r="G8" s="1"/>
  <c r="H7"/>
  <c r="G7"/>
  <c r="H6"/>
  <c r="G6"/>
  <c r="I33" i="12"/>
  <c r="H130" i="7"/>
  <c r="H90"/>
  <c r="H89"/>
  <c r="H160" i="8"/>
  <c r="H145"/>
  <c r="G145"/>
  <c r="H63"/>
  <c r="K53" i="13"/>
  <c r="J53"/>
  <c r="D53"/>
  <c r="K35"/>
  <c r="J35"/>
  <c r="D35"/>
  <c r="B8" i="12"/>
  <c r="H8"/>
  <c r="E6" i="14"/>
  <c r="F6"/>
  <c r="G6"/>
  <c r="I5"/>
  <c r="H5"/>
  <c r="B5"/>
  <c r="D176" i="13"/>
  <c r="D170"/>
  <c r="D154"/>
  <c r="D137"/>
  <c r="D95"/>
  <c r="J70"/>
  <c r="D70"/>
  <c r="I8" i="14"/>
  <c r="H8"/>
  <c r="B8"/>
  <c r="D94" i="13"/>
  <c r="I5" i="12"/>
  <c r="B5"/>
  <c r="I9"/>
  <c r="H9"/>
  <c r="B9"/>
  <c r="F38"/>
  <c r="G38"/>
  <c r="I37"/>
  <c r="I32"/>
  <c r="B32"/>
  <c r="B37"/>
  <c r="B33"/>
  <c r="I31"/>
  <c r="B31"/>
  <c r="F24" i="14"/>
  <c r="G24"/>
  <c r="E24"/>
  <c r="I22"/>
  <c r="H22"/>
  <c r="B22"/>
  <c r="I20"/>
  <c r="H20"/>
  <c r="B20"/>
  <c r="D4" i="13"/>
  <c r="H30"/>
  <c r="I30"/>
  <c r="G30"/>
  <c r="K29"/>
  <c r="J29"/>
  <c r="H11" i="11"/>
  <c r="H16" s="1"/>
  <c r="I11"/>
  <c r="G11"/>
  <c r="K4"/>
  <c r="J4"/>
  <c r="D4"/>
  <c r="E214" i="8"/>
  <c r="F214"/>
  <c r="D214"/>
  <c r="E208"/>
  <c r="F208"/>
  <c r="D208"/>
  <c r="H207"/>
  <c r="G207"/>
  <c r="E203"/>
  <c r="F203"/>
  <c r="D203"/>
  <c r="H202"/>
  <c r="G202"/>
  <c r="H115"/>
  <c r="G115"/>
  <c r="H59"/>
  <c r="F126" i="7"/>
  <c r="H122"/>
  <c r="G122"/>
  <c r="H69"/>
  <c r="D126"/>
  <c r="E126"/>
  <c r="H125"/>
  <c r="G125"/>
  <c r="H121"/>
  <c r="G121"/>
  <c r="H48"/>
  <c r="E42"/>
  <c r="F42"/>
  <c r="D42"/>
  <c r="H22"/>
  <c r="E4"/>
  <c r="F4"/>
  <c r="H4"/>
  <c r="D4"/>
  <c r="G4"/>
  <c r="H3"/>
  <c r="G3"/>
  <c r="H2"/>
  <c r="G2"/>
  <c r="H57" i="8"/>
  <c r="G57"/>
  <c r="H117" i="7"/>
  <c r="G117"/>
  <c r="E218" i="8"/>
  <c r="F218"/>
  <c r="H218"/>
  <c r="D218"/>
  <c r="G218" s="1"/>
  <c r="H217"/>
  <c r="G217"/>
  <c r="H216"/>
  <c r="G216"/>
  <c r="G219"/>
  <c r="H219"/>
  <c r="D167" i="13"/>
  <c r="D164"/>
  <c r="D163"/>
  <c r="D162"/>
  <c r="D161"/>
  <c r="D126"/>
  <c r="D125"/>
  <c r="H146" i="8"/>
  <c r="G146"/>
  <c r="G65"/>
  <c r="H65"/>
  <c r="G55"/>
  <c r="H55"/>
  <c r="H126" i="7"/>
  <c r="G126"/>
  <c r="H124"/>
  <c r="G124"/>
  <c r="H123"/>
  <c r="G123"/>
  <c r="H120"/>
  <c r="G120"/>
  <c r="H21"/>
  <c r="G21"/>
  <c r="F12"/>
  <c r="D92" i="13"/>
  <c r="D66"/>
  <c r="K9"/>
  <c r="J9"/>
  <c r="K18"/>
  <c r="J18"/>
  <c r="K21"/>
  <c r="J21"/>
  <c r="K20"/>
  <c r="J20"/>
  <c r="K19"/>
  <c r="J19"/>
  <c r="D22"/>
  <c r="D21"/>
  <c r="D20"/>
  <c r="D19"/>
  <c r="I26" i="12"/>
  <c r="H26"/>
  <c r="B26"/>
  <c r="G56" i="8"/>
  <c r="H56"/>
  <c r="E42"/>
  <c r="F42"/>
  <c r="D42"/>
  <c r="H39"/>
  <c r="G39"/>
  <c r="H40"/>
  <c r="G40"/>
  <c r="H24" i="7"/>
  <c r="G24"/>
  <c r="K22" i="13"/>
  <c r="J22"/>
  <c r="H15" i="11"/>
  <c r="K15" s="1"/>
  <c r="I15"/>
  <c r="I16" s="1"/>
  <c r="G15"/>
  <c r="G16" s="1"/>
  <c r="J16" s="1"/>
  <c r="J15"/>
  <c r="K14"/>
  <c r="J14"/>
  <c r="D14"/>
  <c r="F19" i="14"/>
  <c r="G19"/>
  <c r="E19"/>
  <c r="G90" i="8"/>
  <c r="H90"/>
  <c r="G91"/>
  <c r="H91"/>
  <c r="G92"/>
  <c r="H92"/>
  <c r="G93"/>
  <c r="H93"/>
  <c r="G95"/>
  <c r="H95"/>
  <c r="K198" i="13"/>
  <c r="D180"/>
  <c r="D174"/>
  <c r="I118"/>
  <c r="H118"/>
  <c r="G118"/>
  <c r="D93"/>
  <c r="G52" i="7"/>
  <c r="H52"/>
  <c r="E12"/>
  <c r="G11"/>
  <c r="H11"/>
  <c r="H35" i="8"/>
  <c r="G35"/>
  <c r="D139" i="13"/>
  <c r="H113"/>
  <c r="I113"/>
  <c r="G113"/>
  <c r="J10" i="11"/>
  <c r="H206" i="8"/>
  <c r="G206"/>
  <c r="H198"/>
  <c r="G198"/>
  <c r="H159"/>
  <c r="G159"/>
  <c r="H151"/>
  <c r="G151"/>
  <c r="H139"/>
  <c r="G139"/>
  <c r="H111"/>
  <c r="G111"/>
  <c r="H64"/>
  <c r="G64"/>
  <c r="H51"/>
  <c r="G51"/>
  <c r="G6"/>
  <c r="H6"/>
  <c r="D90" i="13"/>
  <c r="D9"/>
  <c r="H6" i="12"/>
  <c r="I6"/>
  <c r="H7"/>
  <c r="I7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3"/>
  <c r="I23"/>
  <c r="H24"/>
  <c r="I24"/>
  <c r="H27"/>
  <c r="I27"/>
  <c r="E38"/>
  <c r="B13"/>
  <c r="K7" i="11"/>
  <c r="J7"/>
  <c r="D7"/>
  <c r="H213" i="8"/>
  <c r="G213"/>
  <c r="H82"/>
  <c r="G82"/>
  <c r="F118" i="7"/>
  <c r="E118"/>
  <c r="D118"/>
  <c r="H114"/>
  <c r="G114"/>
  <c r="E16"/>
  <c r="F16"/>
  <c r="H16"/>
  <c r="D16"/>
  <c r="G16"/>
  <c r="H15"/>
  <c r="G15"/>
  <c r="H14"/>
  <c r="G14"/>
  <c r="H12"/>
  <c r="D12"/>
  <c r="G12" s="1"/>
  <c r="H10"/>
  <c r="G10"/>
  <c r="I9" i="14"/>
  <c r="H9"/>
  <c r="B9"/>
  <c r="G28" i="12"/>
  <c r="F28"/>
  <c r="E28"/>
  <c r="B27"/>
  <c r="D198" i="13"/>
  <c r="J71"/>
  <c r="D71"/>
  <c r="H191" i="8"/>
  <c r="G191"/>
  <c r="H181"/>
  <c r="G181"/>
  <c r="H180"/>
  <c r="G180"/>
  <c r="H164"/>
  <c r="G164"/>
  <c r="H70"/>
  <c r="G70"/>
  <c r="H110"/>
  <c r="G110"/>
  <c r="H15"/>
  <c r="G15"/>
  <c r="B24" i="12"/>
  <c r="K191" i="13"/>
  <c r="J191"/>
  <c r="G46" i="7"/>
  <c r="H46"/>
  <c r="G47"/>
  <c r="H47"/>
  <c r="G49"/>
  <c r="H49"/>
  <c r="G50"/>
  <c r="H50"/>
  <c r="G53"/>
  <c r="H53"/>
  <c r="G54"/>
  <c r="H54"/>
  <c r="G55"/>
  <c r="H55"/>
  <c r="G56"/>
  <c r="H56"/>
  <c r="G57"/>
  <c r="H57"/>
  <c r="G59"/>
  <c r="H59"/>
  <c r="G60"/>
  <c r="H60"/>
  <c r="G61"/>
  <c r="H61"/>
  <c r="G62"/>
  <c r="H62"/>
  <c r="G64"/>
  <c r="H64"/>
  <c r="G65"/>
  <c r="H65"/>
  <c r="G66"/>
  <c r="H66"/>
  <c r="G67"/>
  <c r="H67"/>
  <c r="G70"/>
  <c r="H70"/>
  <c r="G71"/>
  <c r="H71"/>
  <c r="G72"/>
  <c r="H72"/>
  <c r="G73"/>
  <c r="H73"/>
  <c r="G74"/>
  <c r="H74"/>
  <c r="G75"/>
  <c r="H75"/>
  <c r="G76"/>
  <c r="H76"/>
  <c r="G77"/>
  <c r="H77"/>
  <c r="K121" i="13"/>
  <c r="J121"/>
  <c r="K112"/>
  <c r="J112"/>
  <c r="K107"/>
  <c r="J107"/>
  <c r="K105"/>
  <c r="J105"/>
  <c r="K100"/>
  <c r="J100"/>
  <c r="K98"/>
  <c r="J98"/>
  <c r="K91"/>
  <c r="J91"/>
  <c r="K89"/>
  <c r="J89"/>
  <c r="K84"/>
  <c r="J84"/>
  <c r="K83"/>
  <c r="J83"/>
  <c r="K81"/>
  <c r="J81"/>
  <c r="K78"/>
  <c r="J78"/>
  <c r="K75"/>
  <c r="J75"/>
  <c r="K44"/>
  <c r="J44"/>
  <c r="J5"/>
  <c r="K5"/>
  <c r="J6"/>
  <c r="K6"/>
  <c r="J8"/>
  <c r="K8"/>
  <c r="J10"/>
  <c r="K10"/>
  <c r="J12"/>
  <c r="K12"/>
  <c r="J13"/>
  <c r="K13"/>
  <c r="J14"/>
  <c r="K14"/>
  <c r="G130" i="7"/>
  <c r="H91"/>
  <c r="G91"/>
  <c r="H88"/>
  <c r="G88"/>
  <c r="H84"/>
  <c r="G84"/>
  <c r="H82"/>
  <c r="G82"/>
  <c r="H78"/>
  <c r="G78"/>
  <c r="H45"/>
  <c r="G45"/>
  <c r="H35"/>
  <c r="G35"/>
  <c r="H25"/>
  <c r="G25"/>
  <c r="H19"/>
  <c r="G19"/>
  <c r="H211" i="8"/>
  <c r="G211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3"/>
  <c r="G163"/>
  <c r="H162"/>
  <c r="G162"/>
  <c r="H161"/>
  <c r="G161"/>
  <c r="H124"/>
  <c r="G124"/>
  <c r="H122"/>
  <c r="G122"/>
  <c r="H121"/>
  <c r="G121"/>
  <c r="H96"/>
  <c r="G96"/>
  <c r="H88"/>
  <c r="G88"/>
  <c r="H87"/>
  <c r="G87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66"/>
  <c r="G66"/>
  <c r="H62"/>
  <c r="G62"/>
  <c r="H61"/>
  <c r="G61"/>
  <c r="H60"/>
  <c r="G60"/>
  <c r="H58"/>
  <c r="G58"/>
  <c r="H54"/>
  <c r="G54"/>
  <c r="H53"/>
  <c r="G53"/>
  <c r="H52"/>
  <c r="G52"/>
  <c r="H50"/>
  <c r="G50"/>
  <c r="H49"/>
  <c r="G49"/>
  <c r="H32"/>
  <c r="G32"/>
  <c r="H20"/>
  <c r="G20"/>
  <c r="H7"/>
  <c r="G7"/>
  <c r="F147"/>
  <c r="B7" i="12"/>
  <c r="G106" i="7"/>
  <c r="D168" i="13"/>
  <c r="D181"/>
  <c r="D153"/>
  <c r="D44"/>
  <c r="K3"/>
  <c r="J3"/>
  <c r="D3"/>
  <c r="I21" i="14"/>
  <c r="H21"/>
  <c r="B21"/>
  <c r="J184" i="13"/>
  <c r="K184"/>
  <c r="K41"/>
  <c r="J41"/>
  <c r="D84"/>
  <c r="H135" i="8"/>
  <c r="G135"/>
  <c r="H130"/>
  <c r="G130"/>
  <c r="H109"/>
  <c r="G109"/>
  <c r="H104"/>
  <c r="G104"/>
  <c r="H100"/>
  <c r="G100"/>
  <c r="H45"/>
  <c r="G45"/>
  <c r="H26"/>
  <c r="G26"/>
  <c r="H24"/>
  <c r="G24"/>
  <c r="H23"/>
  <c r="G23"/>
  <c r="H21"/>
  <c r="G21"/>
  <c r="H201"/>
  <c r="G201"/>
  <c r="D112" i="13"/>
  <c r="D105"/>
  <c r="I72"/>
  <c r="H72"/>
  <c r="G72"/>
  <c r="I30" i="12"/>
  <c r="B30"/>
  <c r="J9" i="11"/>
  <c r="J6"/>
  <c r="F9" i="8"/>
  <c r="F132"/>
  <c r="F193"/>
  <c r="F182"/>
  <c r="F17"/>
  <c r="F36"/>
  <c r="F46"/>
  <c r="F67"/>
  <c r="F97"/>
  <c r="F101"/>
  <c r="F112"/>
  <c r="F127"/>
  <c r="F136"/>
  <c r="F156"/>
  <c r="F220"/>
  <c r="I15" i="13"/>
  <c r="J48"/>
  <c r="K48"/>
  <c r="J49"/>
  <c r="K49"/>
  <c r="J101"/>
  <c r="K101"/>
  <c r="G102"/>
  <c r="I102"/>
  <c r="J102" s="1"/>
  <c r="H102"/>
  <c r="J103"/>
  <c r="K103"/>
  <c r="J104"/>
  <c r="K104"/>
  <c r="J113"/>
  <c r="K113"/>
  <c r="J114"/>
  <c r="K114"/>
  <c r="J115"/>
  <c r="K115"/>
  <c r="J116"/>
  <c r="K116"/>
  <c r="J117"/>
  <c r="K117"/>
  <c r="J118"/>
  <c r="K118"/>
  <c r="D166"/>
  <c r="D173"/>
  <c r="H152" i="8"/>
  <c r="G27"/>
  <c r="H27"/>
  <c r="D36"/>
  <c r="E36"/>
  <c r="H36" s="1"/>
  <c r="E182"/>
  <c r="K199" i="13"/>
  <c r="J199"/>
  <c r="K197"/>
  <c r="J197"/>
  <c r="I200"/>
  <c r="H200"/>
  <c r="G200"/>
  <c r="D197"/>
  <c r="G107" i="8"/>
  <c r="F102" i="7"/>
  <c r="E102"/>
  <c r="D102"/>
  <c r="H99"/>
  <c r="G99"/>
  <c r="F92"/>
  <c r="E92"/>
  <c r="D92"/>
  <c r="D182" i="13"/>
  <c r="J37"/>
  <c r="G116" i="7"/>
  <c r="H116"/>
  <c r="G25" i="8"/>
  <c r="H25"/>
  <c r="G29"/>
  <c r="H29"/>
  <c r="G30"/>
  <c r="H30"/>
  <c r="H107"/>
  <c r="F85" i="7"/>
  <c r="E85"/>
  <c r="D85"/>
  <c r="D112" i="8"/>
  <c r="E112"/>
  <c r="D182"/>
  <c r="I185" i="13"/>
  <c r="I62"/>
  <c r="I190"/>
  <c r="I194"/>
  <c r="I205"/>
  <c r="I206"/>
  <c r="H15"/>
  <c r="G15"/>
  <c r="G194"/>
  <c r="K200"/>
  <c r="J200"/>
  <c r="D199"/>
  <c r="K196"/>
  <c r="J196"/>
  <c r="K37"/>
  <c r="D133"/>
  <c r="H27" i="14"/>
  <c r="I27"/>
  <c r="H28"/>
  <c r="I28"/>
  <c r="E101" i="8"/>
  <c r="D101"/>
  <c r="F79" i="7"/>
  <c r="D79"/>
  <c r="E79"/>
  <c r="D26"/>
  <c r="F26"/>
  <c r="E26"/>
  <c r="D159" i="13"/>
  <c r="D124"/>
  <c r="D107"/>
  <c r="D75"/>
  <c r="I35" i="12"/>
  <c r="B12"/>
  <c r="G4" i="8"/>
  <c r="H4"/>
  <c r="G5"/>
  <c r="H5"/>
  <c r="G8"/>
  <c r="H8"/>
  <c r="D9"/>
  <c r="G9"/>
  <c r="E9"/>
  <c r="H9"/>
  <c r="G10"/>
  <c r="H10"/>
  <c r="G11"/>
  <c r="H11"/>
  <c r="G12"/>
  <c r="H12"/>
  <c r="G13"/>
  <c r="H13"/>
  <c r="G14"/>
  <c r="H14"/>
  <c r="G16"/>
  <c r="H16"/>
  <c r="D17"/>
  <c r="G17"/>
  <c r="E17"/>
  <c r="H17"/>
  <c r="G18"/>
  <c r="H18"/>
  <c r="G19"/>
  <c r="H19"/>
  <c r="G36"/>
  <c r="G37"/>
  <c r="H37"/>
  <c r="G38"/>
  <c r="H38"/>
  <c r="G41"/>
  <c r="H41"/>
  <c r="G42"/>
  <c r="H42"/>
  <c r="G43"/>
  <c r="H43"/>
  <c r="G44"/>
  <c r="H44"/>
  <c r="D46"/>
  <c r="G46" s="1"/>
  <c r="E46"/>
  <c r="H46" s="1"/>
  <c r="G47"/>
  <c r="H47"/>
  <c r="G48"/>
  <c r="H48"/>
  <c r="D67"/>
  <c r="G67" s="1"/>
  <c r="E67"/>
  <c r="H67" s="1"/>
  <c r="G68"/>
  <c r="H68"/>
  <c r="G69"/>
  <c r="H69"/>
  <c r="G84"/>
  <c r="H84"/>
  <c r="G85"/>
  <c r="H85"/>
  <c r="G86"/>
  <c r="H86"/>
  <c r="D97"/>
  <c r="G97" s="1"/>
  <c r="E97"/>
  <c r="H97" s="1"/>
  <c r="G98"/>
  <c r="H98"/>
  <c r="G99"/>
  <c r="H99"/>
  <c r="G101"/>
  <c r="H101"/>
  <c r="G102"/>
  <c r="H102"/>
  <c r="G103"/>
  <c r="H103"/>
  <c r="G105"/>
  <c r="H105"/>
  <c r="G106"/>
  <c r="H106"/>
  <c r="G112"/>
  <c r="H112"/>
  <c r="G113"/>
  <c r="H113"/>
  <c r="G114"/>
  <c r="H114"/>
  <c r="G116"/>
  <c r="H116"/>
  <c r="G118"/>
  <c r="H118"/>
  <c r="G119"/>
  <c r="H119"/>
  <c r="G120"/>
  <c r="H120"/>
  <c r="G125"/>
  <c r="H125"/>
  <c r="G126"/>
  <c r="H126"/>
  <c r="D127"/>
  <c r="G127" s="1"/>
  <c r="E127"/>
  <c r="H127" s="1"/>
  <c r="G128"/>
  <c r="H128"/>
  <c r="G129"/>
  <c r="H129"/>
  <c r="G131"/>
  <c r="H131"/>
  <c r="D132"/>
  <c r="G132" s="1"/>
  <c r="E132"/>
  <c r="H132" s="1"/>
  <c r="G133"/>
  <c r="H133"/>
  <c r="G134"/>
  <c r="H134"/>
  <c r="D136"/>
  <c r="G136" s="1"/>
  <c r="E136"/>
  <c r="H136" s="1"/>
  <c r="G137"/>
  <c r="H137"/>
  <c r="G138"/>
  <c r="H138"/>
  <c r="G140"/>
  <c r="H140"/>
  <c r="G141"/>
  <c r="H141"/>
  <c r="G142"/>
  <c r="H142"/>
  <c r="G143"/>
  <c r="H143"/>
  <c r="G144"/>
  <c r="H144"/>
  <c r="D147"/>
  <c r="G147" s="1"/>
  <c r="E147"/>
  <c r="H147" s="1"/>
  <c r="G148"/>
  <c r="H148"/>
  <c r="G149"/>
  <c r="H149"/>
  <c r="G150"/>
  <c r="H150"/>
  <c r="G152"/>
  <c r="G153"/>
  <c r="H153"/>
  <c r="G154"/>
  <c r="H154"/>
  <c r="G155"/>
  <c r="H155"/>
  <c r="D156"/>
  <c r="G156"/>
  <c r="E156"/>
  <c r="H156"/>
  <c r="G157"/>
  <c r="H157"/>
  <c r="G158"/>
  <c r="H158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2"/>
  <c r="H192"/>
  <c r="D193"/>
  <c r="G193"/>
  <c r="E193"/>
  <c r="H193"/>
  <c r="G194"/>
  <c r="H194"/>
  <c r="G195"/>
  <c r="H195"/>
  <c r="G196"/>
  <c r="H196"/>
  <c r="G197"/>
  <c r="H197"/>
  <c r="G199"/>
  <c r="H199"/>
  <c r="G200"/>
  <c r="H200"/>
  <c r="G203"/>
  <c r="H203"/>
  <c r="G204"/>
  <c r="H204"/>
  <c r="G205"/>
  <c r="H205"/>
  <c r="G208"/>
  <c r="H208"/>
  <c r="G209"/>
  <c r="H209"/>
  <c r="G210"/>
  <c r="H210"/>
  <c r="G212"/>
  <c r="H212"/>
  <c r="G214"/>
  <c r="H214"/>
  <c r="D220"/>
  <c r="G220"/>
  <c r="E220"/>
  <c r="H220" s="1"/>
  <c r="E96" i="7"/>
  <c r="F96"/>
  <c r="H96"/>
  <c r="D96"/>
  <c r="G96"/>
  <c r="H95"/>
  <c r="G95"/>
  <c r="H94"/>
  <c r="G94"/>
  <c r="D151" i="13"/>
  <c r="D150"/>
  <c r="D91"/>
  <c r="D78"/>
  <c r="D48"/>
  <c r="K40"/>
  <c r="J40"/>
  <c r="D37"/>
  <c r="J26"/>
  <c r="D12"/>
  <c r="H194"/>
  <c r="H29" i="12"/>
  <c r="I29"/>
  <c r="B35"/>
  <c r="H38"/>
  <c r="I38"/>
  <c r="B20"/>
  <c r="B15"/>
  <c r="K6" i="11"/>
  <c r="K8"/>
  <c r="K9"/>
  <c r="K10"/>
  <c r="D9"/>
  <c r="D6"/>
  <c r="D10"/>
  <c r="H33" i="14"/>
  <c r="I33"/>
  <c r="B23"/>
  <c r="B27"/>
  <c r="H39" i="7"/>
  <c r="G39"/>
  <c r="D156" i="13"/>
  <c r="H3" i="12"/>
  <c r="H4"/>
  <c r="H100" i="7"/>
  <c r="H185" i="13"/>
  <c r="G185"/>
  <c r="D40"/>
  <c r="F36" i="7"/>
  <c r="E36"/>
  <c r="D36"/>
  <c r="G101"/>
  <c r="G100"/>
  <c r="H102"/>
  <c r="G102"/>
  <c r="H101"/>
  <c r="H98"/>
  <c r="G98"/>
  <c r="K26" i="13"/>
  <c r="K45"/>
  <c r="J45"/>
  <c r="K39"/>
  <c r="J39"/>
  <c r="K34"/>
  <c r="J34"/>
  <c r="D127"/>
  <c r="G85" i="7"/>
  <c r="H81"/>
  <c r="G81"/>
  <c r="H26"/>
  <c r="G26"/>
  <c r="H18"/>
  <c r="G18"/>
  <c r="F16" i="14"/>
  <c r="I16" s="1"/>
  <c r="I15"/>
  <c r="E16"/>
  <c r="H15"/>
  <c r="G16"/>
  <c r="B15"/>
  <c r="I24"/>
  <c r="H24"/>
  <c r="I29"/>
  <c r="H29"/>
  <c r="F36"/>
  <c r="B29"/>
  <c r="H3"/>
  <c r="I3"/>
  <c r="H4"/>
  <c r="I4"/>
  <c r="H6"/>
  <c r="I6"/>
  <c r="H7"/>
  <c r="I7"/>
  <c r="E10"/>
  <c r="E39" s="1"/>
  <c r="G10"/>
  <c r="H10"/>
  <c r="F10"/>
  <c r="I10"/>
  <c r="H11"/>
  <c r="I11"/>
  <c r="E12"/>
  <c r="G12"/>
  <c r="H12" s="1"/>
  <c r="F12"/>
  <c r="I12" s="1"/>
  <c r="H13"/>
  <c r="I13"/>
  <c r="H14"/>
  <c r="I14"/>
  <c r="H17"/>
  <c r="I17"/>
  <c r="H16"/>
  <c r="H18"/>
  <c r="I18"/>
  <c r="H19"/>
  <c r="I19"/>
  <c r="H26"/>
  <c r="I26"/>
  <c r="H25"/>
  <c r="I25"/>
  <c r="H30"/>
  <c r="I30"/>
  <c r="H31"/>
  <c r="I31"/>
  <c r="H32"/>
  <c r="I32"/>
  <c r="H34"/>
  <c r="I34"/>
  <c r="H35"/>
  <c r="I35"/>
  <c r="E36"/>
  <c r="G36"/>
  <c r="H36" s="1"/>
  <c r="H37"/>
  <c r="I37"/>
  <c r="E38"/>
  <c r="G38"/>
  <c r="H38"/>
  <c r="F38"/>
  <c r="I38"/>
  <c r="F39"/>
  <c r="H2"/>
  <c r="I2"/>
  <c r="B37"/>
  <c r="B28"/>
  <c r="B35"/>
  <c r="B31"/>
  <c r="B30"/>
  <c r="B25"/>
  <c r="B26"/>
  <c r="B18"/>
  <c r="B17"/>
  <c r="B14"/>
  <c r="B13"/>
  <c r="B11"/>
  <c r="B7"/>
  <c r="B4"/>
  <c r="B3"/>
  <c r="B2"/>
  <c r="J8" i="11"/>
  <c r="J11"/>
  <c r="K11"/>
  <c r="D8"/>
  <c r="H92" i="7"/>
  <c r="G92"/>
  <c r="H87"/>
  <c r="G87"/>
  <c r="H132"/>
  <c r="G132"/>
  <c r="H128"/>
  <c r="G128"/>
  <c r="G34"/>
  <c r="H34"/>
  <c r="G36"/>
  <c r="H36"/>
  <c r="G37"/>
  <c r="H37"/>
  <c r="G38"/>
  <c r="H38"/>
  <c r="G42"/>
  <c r="H42"/>
  <c r="G43"/>
  <c r="H43"/>
  <c r="G44"/>
  <c r="H44"/>
  <c r="G79"/>
  <c r="H79"/>
  <c r="G80"/>
  <c r="H80"/>
  <c r="G108"/>
  <c r="H108"/>
  <c r="G113"/>
  <c r="H113"/>
  <c r="G118"/>
  <c r="H118"/>
  <c r="G119"/>
  <c r="H119"/>
  <c r="G133"/>
  <c r="H133"/>
  <c r="J189" i="13"/>
  <c r="K189"/>
  <c r="D46"/>
  <c r="D49"/>
  <c r="K36"/>
  <c r="K38"/>
  <c r="K42"/>
  <c r="K43"/>
  <c r="K46"/>
  <c r="K50"/>
  <c r="K51"/>
  <c r="K52"/>
  <c r="K54"/>
  <c r="K55"/>
  <c r="K56"/>
  <c r="K57"/>
  <c r="K58"/>
  <c r="K59"/>
  <c r="K60"/>
  <c r="D10"/>
  <c r="D13"/>
  <c r="D14"/>
  <c r="J59"/>
  <c r="G62"/>
  <c r="G190"/>
  <c r="J190" s="1"/>
  <c r="G205"/>
  <c r="G206"/>
  <c r="D157"/>
  <c r="D158"/>
  <c r="H190"/>
  <c r="D189"/>
  <c r="D130"/>
  <c r="J15"/>
  <c r="K15"/>
  <c r="J17"/>
  <c r="K17"/>
  <c r="J23"/>
  <c r="K23"/>
  <c r="J24"/>
  <c r="K24"/>
  <c r="J25"/>
  <c r="K25"/>
  <c r="J27"/>
  <c r="K27"/>
  <c r="J28"/>
  <c r="K28"/>
  <c r="J30"/>
  <c r="K30"/>
  <c r="J31"/>
  <c r="K31"/>
  <c r="J32"/>
  <c r="K32"/>
  <c r="J33"/>
  <c r="K33"/>
  <c r="J36"/>
  <c r="J38"/>
  <c r="J42"/>
  <c r="J43"/>
  <c r="J46"/>
  <c r="J50"/>
  <c r="J51"/>
  <c r="J52"/>
  <c r="J54"/>
  <c r="J55"/>
  <c r="J56"/>
  <c r="J57"/>
  <c r="J58"/>
  <c r="J60"/>
  <c r="J61"/>
  <c r="K61"/>
  <c r="J62"/>
  <c r="H62"/>
  <c r="K62"/>
  <c r="J63"/>
  <c r="K63"/>
  <c r="J64"/>
  <c r="K64"/>
  <c r="J68"/>
  <c r="J69"/>
  <c r="J65"/>
  <c r="K65"/>
  <c r="J72"/>
  <c r="K72"/>
  <c r="J73"/>
  <c r="K73"/>
  <c r="J74"/>
  <c r="K74"/>
  <c r="J119"/>
  <c r="K119"/>
  <c r="J120"/>
  <c r="K120"/>
  <c r="J185"/>
  <c r="K185"/>
  <c r="J186"/>
  <c r="K186"/>
  <c r="J187"/>
  <c r="K187"/>
  <c r="J188"/>
  <c r="K188"/>
  <c r="K190"/>
  <c r="J192"/>
  <c r="K192"/>
  <c r="J193"/>
  <c r="K193"/>
  <c r="J194"/>
  <c r="K194"/>
  <c r="J201"/>
  <c r="K201"/>
  <c r="J202"/>
  <c r="K202"/>
  <c r="J203"/>
  <c r="K203"/>
  <c r="J204"/>
  <c r="K204"/>
  <c r="J205"/>
  <c r="H205"/>
  <c r="K205"/>
  <c r="J206"/>
  <c r="K2"/>
  <c r="J2"/>
  <c r="D132"/>
  <c r="D204"/>
  <c r="D203"/>
  <c r="D193"/>
  <c r="D188"/>
  <c r="D184"/>
  <c r="D175"/>
  <c r="D165"/>
  <c r="D160"/>
  <c r="D183"/>
  <c r="D138"/>
  <c r="D128"/>
  <c r="D131"/>
  <c r="D155"/>
  <c r="D136"/>
  <c r="D152"/>
  <c r="D121"/>
  <c r="D117"/>
  <c r="D116"/>
  <c r="D101"/>
  <c r="D81"/>
  <c r="D100"/>
  <c r="D98"/>
  <c r="D83"/>
  <c r="D89"/>
  <c r="D65"/>
  <c r="D69"/>
  <c r="D68"/>
  <c r="D50"/>
  <c r="D39"/>
  <c r="D52"/>
  <c r="D51"/>
  <c r="D60"/>
  <c r="D58"/>
  <c r="D57"/>
  <c r="D56"/>
  <c r="D55"/>
  <c r="D54"/>
  <c r="D45"/>
  <c r="D43"/>
  <c r="D41"/>
  <c r="D34"/>
  <c r="D38"/>
  <c r="D36"/>
  <c r="D33"/>
  <c r="D18"/>
  <c r="D23"/>
  <c r="D5"/>
  <c r="D8"/>
  <c r="D6"/>
  <c r="G2" i="8"/>
  <c r="H2"/>
  <c r="G3"/>
  <c r="H3"/>
  <c r="G39" i="12"/>
  <c r="F39"/>
  <c r="I39" s="1"/>
  <c r="E39"/>
  <c r="I3"/>
  <c r="B3"/>
  <c r="B21"/>
  <c r="B18"/>
  <c r="B16"/>
  <c r="B14"/>
  <c r="B23"/>
  <c r="B19"/>
  <c r="I4"/>
  <c r="H28"/>
  <c r="I28"/>
  <c r="H39"/>
  <c r="B17"/>
  <c r="B11"/>
  <c r="B10"/>
  <c r="B6"/>
  <c r="B4"/>
  <c r="H85" i="7"/>
  <c r="E134"/>
  <c r="G107"/>
  <c r="D134"/>
  <c r="G134" s="1"/>
  <c r="F134"/>
  <c r="H134"/>
  <c r="H206" i="13"/>
  <c r="K206" s="1"/>
  <c r="K27" i="15" l="1"/>
  <c r="J1031"/>
  <c r="K1031" s="1"/>
  <c r="K61"/>
  <c r="L61"/>
  <c r="L906"/>
  <c r="K906"/>
  <c r="K102" i="13"/>
  <c r="K16" i="11"/>
  <c r="I36" i="14"/>
  <c r="G39"/>
  <c r="I39" s="1"/>
  <c r="L1031" i="15" l="1"/>
  <c r="H39" i="14"/>
</calcChain>
</file>

<file path=xl/comments1.xml><?xml version="1.0" encoding="utf-8"?>
<comments xmlns="http://schemas.openxmlformats.org/spreadsheetml/2006/main">
  <authors>
    <author>svobodpa</author>
  </authors>
  <commentList>
    <comment ref="G844" authorId="0">
      <text>
        <r>
          <rPr>
            <b/>
            <sz val="8"/>
            <color indexed="81"/>
            <rFont val="Tahoma"/>
            <family val="2"/>
            <charset val="238"/>
          </rPr>
          <t>svobodpa:</t>
        </r>
        <r>
          <rPr>
            <sz val="8"/>
            <color indexed="81"/>
            <rFont val="Tahoma"/>
            <family val="2"/>
            <charset val="238"/>
          </rPr>
          <t xml:space="preserve">
Změna názvu z MŠI na MŠ</t>
        </r>
      </text>
    </comment>
    <comment ref="G853" authorId="0">
      <text>
        <r>
          <rPr>
            <b/>
            <sz val="8"/>
            <color indexed="81"/>
            <rFont val="Tahoma"/>
            <family val="2"/>
            <charset val="238"/>
          </rPr>
          <t>svobodpa:</t>
        </r>
        <r>
          <rPr>
            <sz val="8"/>
            <color indexed="81"/>
            <rFont val="Tahoma"/>
            <family val="2"/>
            <charset val="238"/>
          </rPr>
          <t xml:space="preserve">
Změna názvu z EZŠ na ZŠ Čejkovická</t>
        </r>
      </text>
    </comment>
    <comment ref="G856" authorId="0">
      <text>
        <r>
          <rPr>
            <b/>
            <sz val="8"/>
            <color indexed="81"/>
            <rFont val="Tahoma"/>
            <family val="2"/>
            <charset val="238"/>
          </rPr>
          <t>svobodpa:</t>
        </r>
        <r>
          <rPr>
            <sz val="8"/>
            <color indexed="81"/>
            <rFont val="Tahoma"/>
            <family val="2"/>
            <charset val="238"/>
          </rPr>
          <t xml:space="preserve">
Změna názvu z EZŠ na ZŠ Čejkovická</t>
        </r>
      </text>
    </comment>
  </commentList>
</comments>
</file>

<file path=xl/comments2.xml><?xml version="1.0" encoding="utf-8"?>
<comments xmlns="http://schemas.openxmlformats.org/spreadsheetml/2006/main">
  <authors>
    <author>Michala Schořová</author>
    <author>svobodaj</author>
  </authors>
  <commentList>
    <comment ref="S1" authorId="0">
      <text>
        <r>
          <rPr>
            <b/>
            <sz val="10"/>
            <color indexed="81"/>
            <rFont val="Tahoma"/>
            <family val="2"/>
            <charset val="238"/>
          </rPr>
          <t>Michala Schořová:</t>
        </r>
        <r>
          <rPr>
            <sz val="10"/>
            <color indexed="81"/>
            <rFont val="Tahoma"/>
            <family val="2"/>
            <charset val="238"/>
          </rPr>
          <t xml:space="preserve">
Částky ve sloupci "Další roky" je třeba rozepsat do jednotlivých sloupců let 2013 až 2015, příp. sloupce "Další roky" tak, celková suma finančních prostředků již vyčerpaných, UR 2012 a plánu odpovídala sloupci "Náklady akce/město"</t>
        </r>
      </text>
    </comment>
    <comment ref="I7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R6/085
R6/088</t>
        </r>
      </text>
    </comment>
    <comment ref="I26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R6/072</t>
        </r>
      </text>
    </comment>
    <comment ref="I4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Z6/018</t>
        </r>
      </text>
    </comment>
    <comment ref="I47" authorId="1">
      <text>
        <r>
          <rPr>
            <b/>
            <sz val="8"/>
            <color indexed="81"/>
            <rFont val="Tahoma"/>
            <family val="2"/>
            <charset val="238"/>
          </rPr>
          <t>svobodaj:</t>
        </r>
        <r>
          <rPr>
            <sz val="8"/>
            <color indexed="81"/>
            <rFont val="Tahoma"/>
            <family val="2"/>
            <charset val="238"/>
          </rPr>
          <t xml:space="preserve">
Z6/015, bod. č. 12</t>
        </r>
      </text>
    </comment>
    <comment ref="I54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R6/068</t>
        </r>
      </text>
    </comment>
    <comment ref="I55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R6/068
</t>
        </r>
      </text>
    </comment>
    <comment ref="I56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R6/068</t>
        </r>
      </text>
    </comment>
    <comment ref="I59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</t>
        </r>
      </text>
    </comment>
    <comment ref="I60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
R6/068
R6/081</t>
        </r>
      </text>
    </comment>
    <comment ref="I6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
R6/081</t>
        </r>
      </text>
    </comment>
    <comment ref="I63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
</t>
        </r>
      </text>
    </comment>
    <comment ref="I67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R6/068
</t>
        </r>
      </text>
    </comment>
    <comment ref="I68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R6/068</t>
        </r>
      </text>
    </comment>
    <comment ref="I70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R6/068
</t>
        </r>
      </text>
    </comment>
    <comment ref="I7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R6/068</t>
        </r>
      </text>
    </comment>
    <comment ref="I93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R6/081</t>
        </r>
      </text>
    </comment>
    <comment ref="I95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</t>
        </r>
      </text>
    </comment>
    <comment ref="I100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</t>
        </r>
      </text>
    </comment>
    <comment ref="I10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
R6/081</t>
        </r>
      </text>
    </comment>
    <comment ref="I106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</t>
        </r>
      </text>
    </comment>
    <comment ref="I108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
R6/068
</t>
        </r>
      </text>
    </comment>
    <comment ref="I11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</t>
        </r>
      </text>
    </comment>
    <comment ref="I113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
R6/068</t>
        </r>
      </text>
    </comment>
    <comment ref="I114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
R6/068
R6/081</t>
        </r>
      </text>
    </comment>
    <comment ref="I115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R6/081
</t>
        </r>
      </text>
    </comment>
    <comment ref="I116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R6/081
</t>
        </r>
      </text>
    </comment>
    <comment ref="I117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</t>
        </r>
      </text>
    </comment>
    <comment ref="I118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</t>
        </r>
      </text>
    </comment>
    <comment ref="I128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R6/081</t>
        </r>
      </text>
    </comment>
    <comment ref="I140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R6/068</t>
        </r>
      </text>
    </comment>
    <comment ref="I14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R6/072</t>
        </r>
      </text>
    </comment>
    <comment ref="I143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R6/068</t>
        </r>
      </text>
    </comment>
    <comment ref="I148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R6/068</t>
        </r>
      </text>
    </comment>
    <comment ref="I152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R6/057
</t>
        </r>
      </text>
    </comment>
    <comment ref="I176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Z6/019</t>
        </r>
      </text>
    </comment>
    <comment ref="I214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R6/051</t>
        </r>
      </text>
    </comment>
    <comment ref="I223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R6/072, pův. 21 500 tis. Kč</t>
        </r>
      </text>
    </comment>
    <comment ref="I24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R6/056
R6/065, bod č. 78</t>
        </r>
      </text>
    </comment>
    <comment ref="I249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R6085</t>
        </r>
      </text>
    </comment>
    <comment ref="I264" authorId="1">
      <text>
        <r>
          <rPr>
            <b/>
            <sz val="8"/>
            <color indexed="81"/>
            <rFont val="Tahoma"/>
            <family val="2"/>
            <charset val="238"/>
          </rPr>
          <t>svobodaj:</t>
        </r>
        <r>
          <rPr>
            <sz val="8"/>
            <color indexed="81"/>
            <rFont val="Tahoma"/>
            <family val="2"/>
            <charset val="238"/>
          </rPr>
          <t xml:space="preserve">
Z6/015, bod č. 12</t>
        </r>
      </text>
    </comment>
    <comment ref="I266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Z6/020</t>
        </r>
      </text>
    </comment>
    <comment ref="H275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Z6/017
</t>
        </r>
      </text>
    </comment>
    <comment ref="I276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Z6/019</t>
        </r>
      </text>
    </comment>
    <comment ref="I29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R6/056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Z6/019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292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R6/061
Z6/019
</t>
        </r>
      </text>
    </comment>
    <comment ref="I298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R6/056</t>
        </r>
      </text>
    </comment>
    <comment ref="I303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Z6/020
</t>
        </r>
      </text>
    </comment>
    <comment ref="I304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Z6/020</t>
        </r>
      </text>
    </comment>
    <comment ref="I320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Z6/019</t>
        </r>
      </text>
    </comment>
    <comment ref="I353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R6/049</t>
        </r>
      </text>
    </comment>
    <comment ref="I355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Z6/019</t>
        </r>
      </text>
    </comment>
    <comment ref="I367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Z6/019</t>
        </r>
      </text>
    </comment>
  </commentList>
</comments>
</file>

<file path=xl/sharedStrings.xml><?xml version="1.0" encoding="utf-8"?>
<sst xmlns="http://schemas.openxmlformats.org/spreadsheetml/2006/main" count="4856" uniqueCount="1223">
  <si>
    <t>§</t>
  </si>
  <si>
    <t>Pohřebnictví</t>
  </si>
  <si>
    <t>Péče o vzhled obcí a veřejnou zeleň</t>
  </si>
  <si>
    <t>Název paragrafu</t>
  </si>
  <si>
    <t>Odbor životního prostředí</t>
  </si>
  <si>
    <t>Pitná voda</t>
  </si>
  <si>
    <t>Ochrana druhů a stanovišť</t>
  </si>
  <si>
    <t>Chráněné části přírody</t>
  </si>
  <si>
    <t>Ekologická výchova a osvěta</t>
  </si>
  <si>
    <t>Činnost místní správy</t>
  </si>
  <si>
    <t>Veřejné osvětlení</t>
  </si>
  <si>
    <t>5700 Celkem</t>
  </si>
  <si>
    <t>Bytové hospodářství</t>
  </si>
  <si>
    <t>Všeobecná ambulantní péče</t>
  </si>
  <si>
    <t>7100 Celkem</t>
  </si>
  <si>
    <t>5400 Celkem</t>
  </si>
  <si>
    <t>5600 Celkem</t>
  </si>
  <si>
    <t>Odbor dopravy</t>
  </si>
  <si>
    <t>Odbor investiční</t>
  </si>
  <si>
    <t>Silnice</t>
  </si>
  <si>
    <t>Ostatní dráhy</t>
  </si>
  <si>
    <t>Odvádění a čištění odpadních vod j.n.</t>
  </si>
  <si>
    <t>Úpravy drobných vodních toků</t>
  </si>
  <si>
    <t>Základní školy</t>
  </si>
  <si>
    <t>Divadelní činnost</t>
  </si>
  <si>
    <t>Činnost muzeí a galerií</t>
  </si>
  <si>
    <t xml:space="preserve">Činnost místní správy </t>
  </si>
  <si>
    <t>7300 Celkem</t>
  </si>
  <si>
    <t>Zachování a obnova kulturních památek</t>
  </si>
  <si>
    <t>8200 Celkem</t>
  </si>
  <si>
    <t>Odbor kultury</t>
  </si>
  <si>
    <t>Městská policie</t>
  </si>
  <si>
    <t>5311</t>
  </si>
  <si>
    <t xml:space="preserve">Bezpečnost a veřejný pořádek </t>
  </si>
  <si>
    <t>3200 Celkem</t>
  </si>
  <si>
    <t>7200 Celkem</t>
  </si>
  <si>
    <t>7400 Celkem</t>
  </si>
  <si>
    <t>Odbor vnitřních věcí</t>
  </si>
  <si>
    <t>Odbor městské informatiky</t>
  </si>
  <si>
    <t>Ostatní činnosti j.n.</t>
  </si>
  <si>
    <t>Odbor sociální péče</t>
  </si>
  <si>
    <t>Odbor školství, mládeže a tělovýchovy</t>
  </si>
  <si>
    <t xml:space="preserve">Komunální služby a územní rozvoj </t>
  </si>
  <si>
    <t>5300 Celkem</t>
  </si>
  <si>
    <t>Odbor rozpočtu a financování</t>
  </si>
  <si>
    <t>Odbor vodního a lesního hospodářství a zemědělství</t>
  </si>
  <si>
    <t>Odbor technických sítí</t>
  </si>
  <si>
    <t>Výstavba a údržba místních inženýrských sítí</t>
  </si>
  <si>
    <t>Ostatní ústavní péče</t>
  </si>
  <si>
    <t>Ostatní záležitosti kultury</t>
  </si>
  <si>
    <t>Pořízování, zachování a obnova kult. hodnot</t>
  </si>
  <si>
    <t>Ostatní tělovýchovná činnost</t>
  </si>
  <si>
    <t xml:space="preserve"> % Sk/SR</t>
  </si>
  <si>
    <t xml:space="preserve"> %Sk/UR</t>
  </si>
  <si>
    <t>Odvádění a čištění odp. vod a nakládání s kaly</t>
  </si>
  <si>
    <t>Ostatní záležitosti pozemních komunikací</t>
  </si>
  <si>
    <t>Kapitálové výdaje města celkem</t>
  </si>
  <si>
    <t>Archiv města Brna</t>
  </si>
  <si>
    <t>Archivní činnost</t>
  </si>
  <si>
    <t>Ostatní záležitosti sdělovacích prostředků</t>
  </si>
  <si>
    <t>Ostatní zájmová činnost a rekreace</t>
  </si>
  <si>
    <t>Zastupitelstva obcí</t>
  </si>
  <si>
    <t>Odbor obrany</t>
  </si>
  <si>
    <t>3600 Celkem</t>
  </si>
  <si>
    <t>Finanční operace j.n.</t>
  </si>
  <si>
    <t xml:space="preserve">Finanční vypořádání minulých let </t>
  </si>
  <si>
    <t>Ozdravování hospodářských zvířat a plodin</t>
  </si>
  <si>
    <t>Monitoring ochrany ovzduší</t>
  </si>
  <si>
    <t>Sběr a svoz komunálních odpadů</t>
  </si>
  <si>
    <t>Využívání a zneškodňování komun. odpadů</t>
  </si>
  <si>
    <t>Ostatní nakládání s odpady</t>
  </si>
  <si>
    <t>Monitoring půdy a podzemní vody</t>
  </si>
  <si>
    <t>Ostatní ochrana půdy a spodní vody</t>
  </si>
  <si>
    <t xml:space="preserve">Celospolečenské funkce lesů </t>
  </si>
  <si>
    <t xml:space="preserve">Pitná voda </t>
  </si>
  <si>
    <t>Územní plánování</t>
  </si>
  <si>
    <t xml:space="preserve">Protierozní a protipožární ochrana </t>
  </si>
  <si>
    <t>Ostatní záležitosti v dopravě</t>
  </si>
  <si>
    <t>Odvádění a čištění odp.vod a nakládání s kaly</t>
  </si>
  <si>
    <t>Ostatní záležitosti bydlení a komunálních služeb</t>
  </si>
  <si>
    <t>3639</t>
  </si>
  <si>
    <t>6200 Celkem</t>
  </si>
  <si>
    <t>Programy rozvoje bydlení a byt. hospodářství</t>
  </si>
  <si>
    <t>Soc. pomoc os. v hmot. nouzi a soc. nepřizpůsobivým</t>
  </si>
  <si>
    <t>Ostatní finanční operace</t>
  </si>
  <si>
    <t>6600 Celkem</t>
  </si>
  <si>
    <t>Odbor územního plánování a rozvoje</t>
  </si>
  <si>
    <t>Odborné léčebné ústavy</t>
  </si>
  <si>
    <t>Ostatní zdr.zařízení a služby pro zdravotnictví</t>
  </si>
  <si>
    <t>Ostatní činnost ve zdravotnictví</t>
  </si>
  <si>
    <t>Soc. pomoc osobám v hmotné nouzi</t>
  </si>
  <si>
    <t>Soc. pomoc přistěhovalcům a vybr. etnikům</t>
  </si>
  <si>
    <t>Bezpečnost a veřejný pořádek</t>
  </si>
  <si>
    <t>Hudební činnost</t>
  </si>
  <si>
    <t>Činnosti knihovnické</t>
  </si>
  <si>
    <t>Činnosti muzeí a galerií</t>
  </si>
  <si>
    <t>Výstavní činnosti v kultuře</t>
  </si>
  <si>
    <t>Ost. zařízení související s výchovou a vzd. mládeže</t>
  </si>
  <si>
    <t>Využití volného času dětí a mládeže</t>
  </si>
  <si>
    <t>Předškolní zařízení</t>
  </si>
  <si>
    <t>Finanční vypořádání minulých let</t>
  </si>
  <si>
    <t>Odbor památkové péče</t>
  </si>
  <si>
    <t>7500 Celkem</t>
  </si>
  <si>
    <t>Provozní výdaje města celkem</t>
  </si>
  <si>
    <t>Seskup.</t>
  </si>
  <si>
    <t>Pol.</t>
  </si>
  <si>
    <t>Název položky</t>
  </si>
  <si>
    <t xml:space="preserve"> % S/SR</t>
  </si>
  <si>
    <t xml:space="preserve"> % S/UR</t>
  </si>
  <si>
    <t>Daň z příjmů fyz. osob ze  závislé činnosti</t>
  </si>
  <si>
    <t>Daň z příjmů fyz. osob ze sam. výděl. činnosti</t>
  </si>
  <si>
    <t>Daň z příjmů fyz. osob z kapitálových výnosů</t>
  </si>
  <si>
    <t>111 Daně z příjmů fyzických osob</t>
  </si>
  <si>
    <t>Daň z příjmů právnických osob</t>
  </si>
  <si>
    <t>Daň z příjmů právnických osob za obce</t>
  </si>
  <si>
    <t>112 Daně z příjmů právnických osob</t>
  </si>
  <si>
    <t xml:space="preserve">Daň z přidané hodnoty </t>
  </si>
  <si>
    <t>121 Obecné vnitřní daně ze zboží a služeb</t>
  </si>
  <si>
    <t>Odvody za odnětí půdy ze ZPF</t>
  </si>
  <si>
    <t>Poplatky za odnětí pozemků plnění funkcí lesa</t>
  </si>
  <si>
    <t>133 Poplatky za znečišťování ŽP a využívání přírodních zdrojů</t>
  </si>
  <si>
    <t>Poplatek za povolení k vjezdu</t>
  </si>
  <si>
    <t>Správní poplatky</t>
  </si>
  <si>
    <t>136 Správní poplatky</t>
  </si>
  <si>
    <t>Daň z nemovitostí</t>
  </si>
  <si>
    <t>151 Daně z majetku</t>
  </si>
  <si>
    <t>Daňové příjmy města celkem</t>
  </si>
  <si>
    <t>Název §</t>
  </si>
  <si>
    <t>Příjmy z vlastní činnosti</t>
  </si>
  <si>
    <t>Příjmy z poskytování služeb a výrobků</t>
  </si>
  <si>
    <t>Komunální služby a územní rozvoj</t>
  </si>
  <si>
    <t>Využívání a zneškodňování  komunálních odpadů</t>
  </si>
  <si>
    <t>211 Příjmy z vlastní činnosti celkem</t>
  </si>
  <si>
    <t>Odvody přebytků organizací s přímým vztahem</t>
  </si>
  <si>
    <t>Odvody příspěvkových organizací</t>
  </si>
  <si>
    <t>212 Odvody přebytků organizací s přímým vztahem celkem</t>
  </si>
  <si>
    <t>Příjmy z pronájmu majetku</t>
  </si>
  <si>
    <t>Příjmy z pronájmu pozemků</t>
  </si>
  <si>
    <t>Pěstební činnost</t>
  </si>
  <si>
    <t>Podpora ostatních produkčních činností</t>
  </si>
  <si>
    <t>213 Příjmy z pronájmu majetku celkem</t>
  </si>
  <si>
    <t xml:space="preserve">Příjmy z úroků </t>
  </si>
  <si>
    <t>Programy rozvoje bydlení a byt. hosp. j.n.</t>
  </si>
  <si>
    <t>Obecné příjmy a výdaje z finančních operací</t>
  </si>
  <si>
    <t>Přijaté sankční platby</t>
  </si>
  <si>
    <t>Ostatní záležitosti vodního hospodářství</t>
  </si>
  <si>
    <t>221 Přijaté sankční platby celkem</t>
  </si>
  <si>
    <t>Přijaté vratky transferů a ostatní příjmy z FV</t>
  </si>
  <si>
    <t>Ostatní přijaté vratky transferů</t>
  </si>
  <si>
    <t>222 Přijaté vratky transferů a ostatní příjmy z FV celkem</t>
  </si>
  <si>
    <t>Příjmy z prodeje krátkodobého majetku</t>
  </si>
  <si>
    <t>Ostatní nedaňové příjmy</t>
  </si>
  <si>
    <t>Přijaté neinvestiční dary</t>
  </si>
  <si>
    <t>Přijaté nekapitálové příspěvky a náhrady</t>
  </si>
  <si>
    <t>Neidentifikované příjmy</t>
  </si>
  <si>
    <t>Podpora ostatních produkčních činnosti</t>
  </si>
  <si>
    <t>Ostatní nedaňové příjmy j. n.</t>
  </si>
  <si>
    <t>Ostatní činnosti k ochraně přírody a krajiny</t>
  </si>
  <si>
    <t>Příjmy z úhrad dobývacího prostoru a vydob. nerostů</t>
  </si>
  <si>
    <t>232 a 234 Ostatní nedaňové příjmy celkem</t>
  </si>
  <si>
    <t xml:space="preserve">Splátky půjčených prostředků od MČ </t>
  </si>
  <si>
    <t>244 Splátky půjč. prostředků od veř. rozp. územní úrovně celkem</t>
  </si>
  <si>
    <t>Splátky půjčených prostředků od obyvatelstva</t>
  </si>
  <si>
    <t>246 Splátky půjčených prostředků od obyvatelstva celkem</t>
  </si>
  <si>
    <t>Nedaňové příjmy města celkem</t>
  </si>
  <si>
    <t>Příjmy z prodeje pozemků</t>
  </si>
  <si>
    <t>Příjmy z prodeje ost. nemovitostí a jejich částí</t>
  </si>
  <si>
    <t>Příjmy z prodeje ostatního hm. dlouhod. majetku</t>
  </si>
  <si>
    <t>311 Příjmy z prodeje dlouhodobého majetku celkem</t>
  </si>
  <si>
    <t>Kapitálové příjmy města celkem</t>
  </si>
  <si>
    <t>Převody z vlastních fondů hospodářské činnosti</t>
  </si>
  <si>
    <t>Škol. stravování při předškolním a zákl. vzdělávání</t>
  </si>
  <si>
    <t>241 Splátky půjč. prostředků od podnikatelských subjektů celkem</t>
  </si>
  <si>
    <t>1900 Celkem</t>
  </si>
  <si>
    <t>Územní rozvoj</t>
  </si>
  <si>
    <t>Kancelář primátora města Brna</t>
  </si>
  <si>
    <t>Příjmy z prodeje dlouhodobého majetku</t>
  </si>
  <si>
    <t>Pořizování, zachování a obnova kult. hodnot</t>
  </si>
  <si>
    <t>Ozdrav. hosp. zvířat, plodin a zvl. veterinár. péče</t>
  </si>
  <si>
    <t>Ost. záležitosti ochrany památek</t>
  </si>
  <si>
    <t>6200</t>
  </si>
  <si>
    <t>Převody z ostatních vlastních fondů</t>
  </si>
  <si>
    <t>134 Místní poplatky z vybíraných činností a služeb</t>
  </si>
  <si>
    <t>Osobní asistence, pečovatelská služba</t>
  </si>
  <si>
    <t>Domovy</t>
  </si>
  <si>
    <t>Soc. pomoc osobám v hm. nouzi a soc. nepřizpůs.</t>
  </si>
  <si>
    <t>Příjmy za zkoušky OZ od žadatelů o řid. oprávnění</t>
  </si>
  <si>
    <t>135 Ostatní odvody z vybraných činností a služeb</t>
  </si>
  <si>
    <t>41 Neinvestiční přijaté transfery</t>
  </si>
  <si>
    <t>42 Investiční přijaté transfery</t>
  </si>
  <si>
    <t>Transfery přijaté městem celkem</t>
  </si>
  <si>
    <t>Neinv. přij. transfery z Všeobecné pokladní správy SR</t>
  </si>
  <si>
    <t>Neinv. přij. transfery v rámci souhrn. dot. vztahu</t>
  </si>
  <si>
    <t>Ostatní neinvestiční transfery přijaté ze SR</t>
  </si>
  <si>
    <t>Neinvestiční přijaté transfery od obcí</t>
  </si>
  <si>
    <t>Neinvestiční přijaté transfery od krajů</t>
  </si>
  <si>
    <t>Splátky půjčených prostředků od podnikatelských subjektů</t>
  </si>
  <si>
    <t>Splátky půjčených prostředků od veřejných rozpočtů územní úrovně</t>
  </si>
  <si>
    <t>Cestovní ruch</t>
  </si>
  <si>
    <t>Krizová pomoc</t>
  </si>
  <si>
    <t>Azylové domy, nízkoprahová denní centra</t>
  </si>
  <si>
    <t>Služby následné péče, kontaktní centra</t>
  </si>
  <si>
    <t>Ost. služby a činnosti v oblasti sociální prevence</t>
  </si>
  <si>
    <t>Úpravy hosp. významných a vodárenských toků</t>
  </si>
  <si>
    <t>Domovy mládeže</t>
  </si>
  <si>
    <t>Odbor zdraví</t>
  </si>
  <si>
    <t>Chráněné bydlení</t>
  </si>
  <si>
    <t>Denní stacionáře a centra denních služeb</t>
  </si>
  <si>
    <t>Ostatní služby a činnosti v oblasti sociální péče</t>
  </si>
  <si>
    <t>1700 Celkem</t>
  </si>
  <si>
    <t>4200 Celkem</t>
  </si>
  <si>
    <t>4100 Celkem</t>
  </si>
  <si>
    <t>4300 Celkem</t>
  </si>
  <si>
    <t>Průvodcovské a předčitatelské služby</t>
  </si>
  <si>
    <t>Nízkoprahová zařízení pro děti a mládež</t>
  </si>
  <si>
    <t>Terénní programy</t>
  </si>
  <si>
    <t xml:space="preserve">Ost. záležitosti bezpečnosti a veřejného pořádku </t>
  </si>
  <si>
    <t>Raná péče a soc. aktivizační služby pro rodiny s dětmi</t>
  </si>
  <si>
    <t>Přijaté pojistné náhrady</t>
  </si>
  <si>
    <t>6600</t>
  </si>
  <si>
    <t>3900 Celkem</t>
  </si>
  <si>
    <t>Majetkový odbor</t>
  </si>
  <si>
    <t>6300 Celkem</t>
  </si>
  <si>
    <t>Odvádění a čištění o odpadních vod j. n.</t>
  </si>
  <si>
    <t>Sportovní zařízení v majetku obce</t>
  </si>
  <si>
    <t>Ostatní nemocnice</t>
  </si>
  <si>
    <t>Ostatní odvody z vybraných činností a služeb</t>
  </si>
  <si>
    <t>Příjmy z pronájmu ost. nemovitostí a jejich částí</t>
  </si>
  <si>
    <t>Ost. výzkum a vývoj odvětvově nespecfikovaný</t>
  </si>
  <si>
    <t>Splátky půjčených prostředků od přísp. organizací</t>
  </si>
  <si>
    <t>Splátky půjčených prostředků od zřízených a podobných subjektů</t>
  </si>
  <si>
    <t>Prevence vzniku odpadů</t>
  </si>
  <si>
    <t>Sociální rehabilitace</t>
  </si>
  <si>
    <t>245 Splátky půjč. prostředků od zřízených apod. subjektů celkem</t>
  </si>
  <si>
    <t>Prevence před drogami, alkoholem, nikotinem</t>
  </si>
  <si>
    <t>Ostatní záležitosti v silniční dopravě</t>
  </si>
  <si>
    <t>Sankční platby, přijaté od jiných subjektů</t>
  </si>
  <si>
    <t>Bytový odbor</t>
  </si>
  <si>
    <t>Tísňová péče</t>
  </si>
  <si>
    <t>Zařízení pro děti vyžadující okamžitou pomoc</t>
  </si>
  <si>
    <t>Ostatní investiční transfery přijaté ze SR</t>
  </si>
  <si>
    <t>1700</t>
  </si>
  <si>
    <t>Realizované kurzové zisky</t>
  </si>
  <si>
    <t>Sociální pomoc osobám v hmotné nouzi</t>
  </si>
  <si>
    <t>Odbor správy majetku</t>
  </si>
  <si>
    <t>Splátky půjček od podn. subjektů - právnických osob</t>
  </si>
  <si>
    <t>Příjmy z finančního vypořádání od MČ</t>
  </si>
  <si>
    <t>Záležitosti vodních toků a vodohosp. děl</t>
  </si>
  <si>
    <t>Základní sociální poradenství</t>
  </si>
  <si>
    <t>Neinvestiční přijaté transfery od regionálních rad</t>
  </si>
  <si>
    <t>Neinvestiční přijaté transfery od mezinárodních institucí</t>
  </si>
  <si>
    <t>Příjmy z prodeje krátkodobého a drobného dlouhodobého majetku</t>
  </si>
  <si>
    <t>Ost. poplatky a odvody v oblasti životního prostředí</t>
  </si>
  <si>
    <t>Výnosy z finančního majetku</t>
  </si>
  <si>
    <t>214 Výnosy z finančního majetku celkem</t>
  </si>
  <si>
    <t>231 Příjmy z prodeje krátk. a drobného dlouh. majetku celkem</t>
  </si>
  <si>
    <t>320 Příjmy z prodeje dlouhodobého finančního majetku celkem</t>
  </si>
  <si>
    <t>Příjmy z prodeje akcií</t>
  </si>
  <si>
    <t>SR 2012</t>
  </si>
  <si>
    <t>Požární ochrana - profesionální část</t>
  </si>
  <si>
    <t>Mezinárodní spolupráce j.n.</t>
  </si>
  <si>
    <t>Investiční přijaté transfery od krajů</t>
  </si>
  <si>
    <t>DPH - reverse charge</t>
  </si>
  <si>
    <t>8887 Celkem</t>
  </si>
  <si>
    <t>Poplatek za provoz systému - komunální odpad</t>
  </si>
  <si>
    <t>Ochrana obyvatelstva</t>
  </si>
  <si>
    <t>Příjmy z prodeje dlouhodobého finančního majetku</t>
  </si>
  <si>
    <t>Ost.správa v obl.hosp.opatření pro kriziové stavy</t>
  </si>
  <si>
    <t>Ostatní správa v oblasti krizového řízení</t>
  </si>
  <si>
    <t xml:space="preserve">Rekult.půdy v důsl.těžeb.a důl.činn.,po skl.odpadů </t>
  </si>
  <si>
    <t>Ostatní rozvoj bydlení a bytového hospodářství</t>
  </si>
  <si>
    <t xml:space="preserve">Využití volného času dětí a mládeže    </t>
  </si>
  <si>
    <t xml:space="preserve">Ostatní tělovýchovná činnost </t>
  </si>
  <si>
    <t>ORJ</t>
  </si>
  <si>
    <t>Ostatní záležitosti lesního hospodářství</t>
  </si>
  <si>
    <t>Investiční přijaté transfery ze státních fondů</t>
  </si>
  <si>
    <t>Investiční přijaté transfery od městských částí</t>
  </si>
  <si>
    <t>Investiční přijaté transfery od regionálních rad</t>
  </si>
  <si>
    <t>Neinvestiční přijaté transfery od městských částí</t>
  </si>
  <si>
    <t>Neinvestiční přijaté transfery ze státních fondů</t>
  </si>
  <si>
    <t>Rekultivace půdy</t>
  </si>
  <si>
    <t>Mezinár. spolupráce v oblasti bydlení, kom. služeb</t>
  </si>
  <si>
    <t>Odvod z výherních hracích přístrojů</t>
  </si>
  <si>
    <t>Odvod z loterií apod. her kromě z výh. hracích přístrojů</t>
  </si>
  <si>
    <t>Mezinárodní spolupráce</t>
  </si>
  <si>
    <t>Zrušené daně, jejichž předmětem je příjem fyz. osob</t>
  </si>
  <si>
    <t>Ost. neinv. transfery přijaté od rozpočtů ústřední úrovně</t>
  </si>
  <si>
    <t>Využívání a zneškodňování komunálních odpadů</t>
  </si>
  <si>
    <t>Ostatní záležitosti bezpečnosti a veř. pořádku</t>
  </si>
  <si>
    <t>Ost. záležitosti soc. věcí a politiky zaměstnanosti</t>
  </si>
  <si>
    <t>6300</t>
  </si>
  <si>
    <t>Ost. příjmy z fin. vypořádání od jiných veř. rozpočtů</t>
  </si>
  <si>
    <t>UR k 31.12.2012</t>
  </si>
  <si>
    <t>Skut. k 31.12.2012</t>
  </si>
  <si>
    <t>Sk k 31.12.2012</t>
  </si>
  <si>
    <t>Ostatní inv. přijaté transfery od rozpočtů územní úrovně</t>
  </si>
  <si>
    <t>Neinvestiční přijaté transfery od cizích států</t>
  </si>
  <si>
    <t>Ostatní záležitosti vzdělávání</t>
  </si>
  <si>
    <t>Volby do zastupitelstev ÚSC</t>
  </si>
  <si>
    <t>Provoz veřejné železniční dopravy</t>
  </si>
  <si>
    <t>pod 70%</t>
  </si>
  <si>
    <t>Ostatní zálěžitosti vody v zemědělské krajině</t>
  </si>
  <si>
    <t>Příjmy z podílů na zisku a dividend</t>
  </si>
  <si>
    <t>č.ř.</t>
  </si>
  <si>
    <t>Upřesnění</t>
  </si>
  <si>
    <t>UR 2012</t>
  </si>
  <si>
    <t>SK 2012</t>
  </si>
  <si>
    <t>SK-UR</t>
  </si>
  <si>
    <t>SK/UR</t>
  </si>
  <si>
    <t>Konzultační, poradenské a právní služby</t>
  </si>
  <si>
    <t>Lékárenská služba</t>
  </si>
  <si>
    <t>Ostatní náhrady placené obyvatelstvu</t>
  </si>
  <si>
    <t>3511 Celkem</t>
  </si>
  <si>
    <t>Nákup ostatních služeb</t>
  </si>
  <si>
    <t>Úhrady sankcí jiným rozpočtům</t>
  </si>
  <si>
    <t>6171 Celkem</t>
  </si>
  <si>
    <t>Úroky vlastní</t>
  </si>
  <si>
    <t>Kursové rozdíly ve výdajích</t>
  </si>
  <si>
    <t>Služby peněžních ústavů</t>
  </si>
  <si>
    <t>Poplatky</t>
  </si>
  <si>
    <t>6310 Celkem</t>
  </si>
  <si>
    <t>Platby daní a poplatků státnímu rozpočtu</t>
  </si>
  <si>
    <t>DPPO za obce</t>
  </si>
  <si>
    <t>Ostatní neinvestiční výdaje j.n.</t>
  </si>
  <si>
    <t>6399 Celkem</t>
  </si>
  <si>
    <t>Výdaje z fin. vypořádání minulých let mezi krajem a obcemi</t>
  </si>
  <si>
    <t>Výdaje s fin. vypořádání minulých let mezi městem a MČ</t>
  </si>
  <si>
    <t>Ostatní výdaje z finančního vypořádání minulých let</t>
  </si>
  <si>
    <t>6402 Celkem</t>
  </si>
  <si>
    <t xml:space="preserve">Ostatní činnosti j.n. </t>
  </si>
  <si>
    <t>Neinvestiční transfery městským částem</t>
  </si>
  <si>
    <t>FBV</t>
  </si>
  <si>
    <t>Nespecifikované rezervy - ORF</t>
  </si>
  <si>
    <t>krytí škod</t>
  </si>
  <si>
    <t>6409 Celkem</t>
  </si>
  <si>
    <t>Pohoštění</t>
  </si>
  <si>
    <t>Neinvestiční transfery neziskovým a podobným organizacím</t>
  </si>
  <si>
    <t>Centrála cest. ruchu</t>
  </si>
  <si>
    <t>Neinvestiční příspěvky zřízeným příspěvkovým organizacím</t>
  </si>
  <si>
    <t>TIC</t>
  </si>
  <si>
    <t>Neinvestiční transfery zřízeným příspěvkovým organizacím</t>
  </si>
  <si>
    <t>2143 Celkem</t>
  </si>
  <si>
    <t>Nákup materiálu j.n.</t>
  </si>
  <si>
    <t>Věcné dary</t>
  </si>
  <si>
    <t>3349 Celkem</t>
  </si>
  <si>
    <t>Odměny za užití duševního vlastnictví</t>
  </si>
  <si>
    <t>Drobný hmotný dlouhodobý majetek</t>
  </si>
  <si>
    <t>Studená voda</t>
  </si>
  <si>
    <t>Teplo</t>
  </si>
  <si>
    <t>Elektrická energie</t>
  </si>
  <si>
    <t>Nájemné</t>
  </si>
  <si>
    <t>Poskytnuté neinvestiční příspěvky a náhrady</t>
  </si>
  <si>
    <t>JIC</t>
  </si>
  <si>
    <t>3636 Celkem</t>
  </si>
  <si>
    <t>Ostatní výzkum a vývoj</t>
  </si>
  <si>
    <t>Neinvestiční transfery občanským sdružením</t>
  </si>
  <si>
    <t>Brnopolis</t>
  </si>
  <si>
    <t>JIC, JCMM</t>
  </si>
  <si>
    <t>3809 Celkem</t>
  </si>
  <si>
    <t>FKEP</t>
  </si>
  <si>
    <t>Platy zaměstnanců v pracovním poměru</t>
  </si>
  <si>
    <t>Povinné pojistné na sociální zabezpečení</t>
  </si>
  <si>
    <t>Povinné pojistné na veřejné zdravotní pojištění</t>
  </si>
  <si>
    <t>Cestovné (tuzemské i zahraniční)</t>
  </si>
  <si>
    <t>Ostatní osobní výdaje</t>
  </si>
  <si>
    <t>2271 Celkem</t>
  </si>
  <si>
    <t>3299 Celkem</t>
  </si>
  <si>
    <t>Sociální fond</t>
  </si>
  <si>
    <t>3429 Celkem</t>
  </si>
  <si>
    <t>3635 Celkem</t>
  </si>
  <si>
    <t>Neinvestiční transfery cizím státům</t>
  </si>
  <si>
    <t>3727 Celkem</t>
  </si>
  <si>
    <t>Ost. záležitosti bezpečnosti a veř. pořádku</t>
  </si>
  <si>
    <t>5319 Celkem</t>
  </si>
  <si>
    <t>Ostatní neinvestiční transfery jiným veřejným rozpočtům</t>
  </si>
  <si>
    <t>HZS JMK</t>
  </si>
  <si>
    <t>5511 Celkem</t>
  </si>
  <si>
    <t>Ostatní platy</t>
  </si>
  <si>
    <t>Odměny členů zastupitelstev obcí a krajů</t>
  </si>
  <si>
    <t>Ostatní povinné pojistné placené zaměstnavatelem</t>
  </si>
  <si>
    <t>6112 Celkem</t>
  </si>
  <si>
    <t>Pohonné hmoty a maziva</t>
  </si>
  <si>
    <t>Služby pošt</t>
  </si>
  <si>
    <t>6115 Celkem</t>
  </si>
  <si>
    <t>Azylové domy</t>
  </si>
  <si>
    <t>Odstupné</t>
  </si>
  <si>
    <t>Povinné pojistné na úrazové pojištění</t>
  </si>
  <si>
    <t>Ochranné pomůcky</t>
  </si>
  <si>
    <t>Léky a zdravotnický materiál</t>
  </si>
  <si>
    <t>Knihy, učební pomůcky a tisk</t>
  </si>
  <si>
    <t>Ostatní úroky a ostatní finanční výdaje</t>
  </si>
  <si>
    <t>Plyn</t>
  </si>
  <si>
    <t>Služby telekomunikací a radiokomunikací</t>
  </si>
  <si>
    <t>Služby školení a vzdělávání</t>
  </si>
  <si>
    <t>Opravy a udržování</t>
  </si>
  <si>
    <t>Účastnické poplatky na konference</t>
  </si>
  <si>
    <t>Ostatní nákupy j. n.</t>
  </si>
  <si>
    <t>SMO ČR, sdružení</t>
  </si>
  <si>
    <t>Převody vlastním fondům hospodářské činnosti</t>
  </si>
  <si>
    <t>Nákup kolků</t>
  </si>
  <si>
    <t>Platby daní a poplatků krajům, obcím a státním fondům</t>
  </si>
  <si>
    <t>Náhrady mezd v době nemoci</t>
  </si>
  <si>
    <t>Dary obyvatelstvu</t>
  </si>
  <si>
    <t>Ostatní neinvestiční transfery obyvatelstvu</t>
  </si>
  <si>
    <t>6223 Celkem</t>
  </si>
  <si>
    <t xml:space="preserve">Nákup ostatních služeb </t>
  </si>
  <si>
    <t>5212 Celkem</t>
  </si>
  <si>
    <t>Ost. správa v oblasti hosp. opatření pro krizové stavy</t>
  </si>
  <si>
    <t>5269 Celkem</t>
  </si>
  <si>
    <t>Programové vybavení</t>
  </si>
  <si>
    <t>5273 Celkem</t>
  </si>
  <si>
    <t>Členské příspěvky</t>
  </si>
  <si>
    <t>6211 Celkem</t>
  </si>
  <si>
    <t>2219 Celkem</t>
  </si>
  <si>
    <t>2229 Celkem</t>
  </si>
  <si>
    <t>3113 Celkem</t>
  </si>
  <si>
    <t>3315 Celkem</t>
  </si>
  <si>
    <t>3319 Celkem</t>
  </si>
  <si>
    <t>3322 Celkem</t>
  </si>
  <si>
    <t>Pořizování, zachov. a obnova kult. hodnot</t>
  </si>
  <si>
    <t>3326 Celkem</t>
  </si>
  <si>
    <t>3412 Celkem</t>
  </si>
  <si>
    <t>Neinvestiční transfery nefin. podnikatelským subjektům - p.o.</t>
  </si>
  <si>
    <t>3421 Celkem</t>
  </si>
  <si>
    <t>3612 Celkem</t>
  </si>
  <si>
    <t>územně-plán. podklady</t>
  </si>
  <si>
    <t>Úhrady sankcí jiným rozpočzům</t>
  </si>
  <si>
    <t>3639 Celkem</t>
  </si>
  <si>
    <t>Rekultivace půdy v důsledku těžeb. a důlní činnosti</t>
  </si>
  <si>
    <t>3743 Celkem</t>
  </si>
  <si>
    <t>3745 Celkem</t>
  </si>
  <si>
    <t>Soc. pomoc os. v hmotné nouzi a soc. nepřizp.</t>
  </si>
  <si>
    <t>4341 Celkem</t>
  </si>
  <si>
    <t>Ozdr. hosp. zvířat, plodin a zvl. vet. péče</t>
  </si>
  <si>
    <t>Konzultační ,poradenské a právní služby</t>
  </si>
  <si>
    <t>1014 Celkem</t>
  </si>
  <si>
    <t>SHMB, p.o.</t>
  </si>
  <si>
    <t>3632 Celkem</t>
  </si>
  <si>
    <t>3716 Celkem</t>
  </si>
  <si>
    <t>3722 Celkem</t>
  </si>
  <si>
    <t>Využívání a znešk. komunálních odpadů</t>
  </si>
  <si>
    <t>separace odpadů</t>
  </si>
  <si>
    <t>3725 Celkem</t>
  </si>
  <si>
    <t>3729 Celkem</t>
  </si>
  <si>
    <t>3733 Celkem</t>
  </si>
  <si>
    <t>3739 Celkem</t>
  </si>
  <si>
    <t>ZOO, p.o.</t>
  </si>
  <si>
    <t>3741 Celkem</t>
  </si>
  <si>
    <t>Služby zpracování dat</t>
  </si>
  <si>
    <t>3742 Celkem</t>
  </si>
  <si>
    <t>VZMB, p.o.</t>
  </si>
  <si>
    <t>Neinvestiční transfery obecně prospěšným společnostem</t>
  </si>
  <si>
    <t>dotace "B"</t>
  </si>
  <si>
    <t>Neinvestiční příspěvky ostatním příspěvkovým organizacím</t>
  </si>
  <si>
    <t>3792 Celkem</t>
  </si>
  <si>
    <t>Ost. záležitosti bezpečnosti a veřejného pořádku</t>
  </si>
  <si>
    <t>Celospolečenské funkce lesů</t>
  </si>
  <si>
    <t>přičleněné pozemky - honitby</t>
  </si>
  <si>
    <t>Neinv. transfery nefinančním podnik. subj. - práv. osobám</t>
  </si>
  <si>
    <t>meliorační dřeviny</t>
  </si>
  <si>
    <t>1037 Celkem</t>
  </si>
  <si>
    <t>Záležitosti lesního hospodářství</t>
  </si>
  <si>
    <t>1039 Celkem</t>
  </si>
  <si>
    <t>2310 Celkem</t>
  </si>
  <si>
    <t>Odvádění a čištění odp.vod a naklád. s kaly</t>
  </si>
  <si>
    <t>veřej.služba - Holásky</t>
  </si>
  <si>
    <t>2321 Celkem</t>
  </si>
  <si>
    <t>Úpravy vodohosp. význ. a vodárenských toků</t>
  </si>
  <si>
    <t>Ostatní neinvestiční transfery podnikatelským subjektům</t>
  </si>
  <si>
    <t>Povodí Moravy, s.p.</t>
  </si>
  <si>
    <t>2331 Celkem</t>
  </si>
  <si>
    <t>2333 Celkem</t>
  </si>
  <si>
    <t>Protierozní, protilavinová a protipožární ochrana</t>
  </si>
  <si>
    <t>3744 Celkem</t>
  </si>
  <si>
    <t>obměna VT</t>
  </si>
  <si>
    <t>Ost. neinvestiční transfery veřejným rozpočtům územní úrovně</t>
  </si>
  <si>
    <t>DSO CS Brno-Vídeň</t>
  </si>
  <si>
    <t>SÚS JMK, ŘSD</t>
  </si>
  <si>
    <t>2212 Celkem</t>
  </si>
  <si>
    <t>Odtahy vozidel</t>
  </si>
  <si>
    <t>Věcná břemena</t>
  </si>
  <si>
    <t>Odtahy vozidel (VHČ)</t>
  </si>
  <si>
    <t>Vratky veř. rozpočtům transferů poskyt. v min. rozp. obdobích</t>
  </si>
  <si>
    <t>DPMB, a. s.</t>
  </si>
  <si>
    <t>2242 Celkem</t>
  </si>
  <si>
    <t>tram. tratě mimo ZK</t>
  </si>
  <si>
    <t>Záležitosti v dopravě j. n.</t>
  </si>
  <si>
    <t>KORDIS JMK</t>
  </si>
  <si>
    <t>2299 Celkem</t>
  </si>
  <si>
    <t>3111 Celkem</t>
  </si>
  <si>
    <t>BVK, a.s. - vodoměry</t>
  </si>
  <si>
    <t>Odvádění a čištění odpadních vod</t>
  </si>
  <si>
    <t>Záležitosti kultury j.n.</t>
  </si>
  <si>
    <t>TSB, a.s.</t>
  </si>
  <si>
    <t>3631 Celkem</t>
  </si>
  <si>
    <t>Výstavba a údržba místních inž. sítí</t>
  </si>
  <si>
    <t>3633 Celkem</t>
  </si>
  <si>
    <t xml:space="preserve">Záležitosti bydlení a kom. služeb j. n. </t>
  </si>
  <si>
    <t>3699 Celkem</t>
  </si>
  <si>
    <t>Neinv. transfery společenstvím vlastníků jednotek</t>
  </si>
  <si>
    <t>FRB</t>
  </si>
  <si>
    <t>Programy rozvoje bydlení a byt. hosp.</t>
  </si>
  <si>
    <t>Neinvestiční půjčky nefinančním pod. subj. - práv. os.</t>
  </si>
  <si>
    <t>Neinvestiční půjčky obyvatelstvu</t>
  </si>
  <si>
    <t>3619 Celkem</t>
  </si>
  <si>
    <t>Moravské nám. 15 - opravy</t>
  </si>
  <si>
    <t>CDOZS - poliklinika, p.o.</t>
  </si>
  <si>
    <t>SZZ II., p.o.</t>
  </si>
  <si>
    <t>NMB, p.o.</t>
  </si>
  <si>
    <t>Osatní nemocnice</t>
  </si>
  <si>
    <t>ÚN, p.o.</t>
  </si>
  <si>
    <t>Neinvestiční půjčené prostředky zřízeným přísp.organizacím</t>
  </si>
  <si>
    <t>3522 Celkem</t>
  </si>
  <si>
    <t>CDOZS - stacionáře, p.o.</t>
  </si>
  <si>
    <t>3523 Celkem</t>
  </si>
  <si>
    <t>Ústavní péče j.n.</t>
  </si>
  <si>
    <t>Dětské centrum Brno, p.o.</t>
  </si>
  <si>
    <t>3529 Celkem</t>
  </si>
  <si>
    <t>Ostatní zdravotnická zařízení a služby pro zdravot.</t>
  </si>
  <si>
    <t>CDOZS - jesle, p.o.</t>
  </si>
  <si>
    <t>3539 Celkem</t>
  </si>
  <si>
    <t>Ostatní činnost ve zdravotnictví j.n.</t>
  </si>
  <si>
    <t>dotace "A"</t>
  </si>
  <si>
    <t>Neinvestiční transfery církvím a náboženským společnostem</t>
  </si>
  <si>
    <t>Neinvestiční transfery vysokým školám</t>
  </si>
  <si>
    <t>Linka Naděje</t>
  </si>
  <si>
    <t>3599 Celkem</t>
  </si>
  <si>
    <t>Prevence před drogami, alkoholem a nikot.</t>
  </si>
  <si>
    <t>dotace "A", "B"</t>
  </si>
  <si>
    <t>Detox - dotace "A"</t>
  </si>
  <si>
    <t>3541 Celkem</t>
  </si>
  <si>
    <t>Proj. sítě EUROCITIES</t>
  </si>
  <si>
    <t>3691 Celkem</t>
  </si>
  <si>
    <t>Sociální poradenství</t>
  </si>
  <si>
    <t>4311 Celkem</t>
  </si>
  <si>
    <t>Sociálně právní ochrana dětí u obcí</t>
  </si>
  <si>
    <t>4324 Celkem</t>
  </si>
  <si>
    <t>Prádlo, oděv a obuv</t>
  </si>
  <si>
    <t>navýšení z proj. JmK</t>
  </si>
  <si>
    <t>Teplá voda</t>
  </si>
  <si>
    <t>Soc. péče a pomoc přistěh. vybr. etnikům</t>
  </si>
  <si>
    <t>národnostní menšiny</t>
  </si>
  <si>
    <t>4342 Celkem</t>
  </si>
  <si>
    <t>4344 Celkem</t>
  </si>
  <si>
    <t>Os. asistence, peč. služba a podpora sam. bydlení</t>
  </si>
  <si>
    <t>Sdružení Naděje</t>
  </si>
  <si>
    <t>Betánie, Samaritán</t>
  </si>
  <si>
    <t>Sdružení Práh</t>
  </si>
  <si>
    <t>Liga za práva vozíčkářů, ost.</t>
  </si>
  <si>
    <t>Diecézní charita Brno</t>
  </si>
  <si>
    <t>Diakonie ČCE, ost.</t>
  </si>
  <si>
    <t>4351 Celkem</t>
  </si>
  <si>
    <t>4353 Celkem</t>
  </si>
  <si>
    <t>Diakonie ČCE</t>
  </si>
  <si>
    <t>4354 Celkem</t>
  </si>
  <si>
    <t>Sdružení Veleta</t>
  </si>
  <si>
    <t>Sdružení Práh, ost.</t>
  </si>
  <si>
    <t>4356 Celkem</t>
  </si>
  <si>
    <t>Concodia Bonum Brno</t>
  </si>
  <si>
    <t>Diecézní charita Brno, ost.</t>
  </si>
  <si>
    <t>DS Věstonická, p.o.</t>
  </si>
  <si>
    <t>DS Nopova, p.o.</t>
  </si>
  <si>
    <t>DS Kosmonautů, p.o.</t>
  </si>
  <si>
    <t>DS Kociánka, p.o.</t>
  </si>
  <si>
    <t>DS Mikuláškovo nám., p.o.</t>
  </si>
  <si>
    <t>DS Foltýnova, p.o.</t>
  </si>
  <si>
    <t>DS Okružní, p.o.</t>
  </si>
  <si>
    <t>DS Podpěrova, p.o.</t>
  </si>
  <si>
    <t>DS Koniklecová, p.o.</t>
  </si>
  <si>
    <t>DS Vychodilova, p.o.</t>
  </si>
  <si>
    <t>DS Holásecká, p.o.</t>
  </si>
  <si>
    <t>CSS Tábor, p.o.</t>
  </si>
  <si>
    <t>4357 Celkem</t>
  </si>
  <si>
    <t>Ost. služby a činnosti v oblasti soc. péče</t>
  </si>
  <si>
    <t>Dotace "B"</t>
  </si>
  <si>
    <t>4359 Celkem</t>
  </si>
  <si>
    <t>Raná péče a soc. aktivizační služby</t>
  </si>
  <si>
    <t>4371 Celkem</t>
  </si>
  <si>
    <t>Spondea</t>
  </si>
  <si>
    <t>4372 Celkem</t>
  </si>
  <si>
    <t>Azyl. domy,nízkoprah. denní centra a noclehárny</t>
  </si>
  <si>
    <t>Armáda spásy v ČR</t>
  </si>
  <si>
    <t>4374 Celkem</t>
  </si>
  <si>
    <t>4375 Celkem</t>
  </si>
  <si>
    <t>Služby následné péče, terapeutické komunity</t>
  </si>
  <si>
    <t>Podané ruce, Lotos</t>
  </si>
  <si>
    <t>4376 Celkem</t>
  </si>
  <si>
    <t>4378 Celkem</t>
  </si>
  <si>
    <t>Ost. služby a činnosti v oblasti soc. prevence</t>
  </si>
  <si>
    <t>Spondea, ost.</t>
  </si>
  <si>
    <t>Dotace "A"</t>
  </si>
  <si>
    <t>4379 Celkem</t>
  </si>
  <si>
    <t>4399 Celkem</t>
  </si>
  <si>
    <t>Prevence kriminality</t>
  </si>
  <si>
    <t>Neinvestiční transfery státnímu rozpočtu</t>
  </si>
  <si>
    <t>DROM</t>
  </si>
  <si>
    <t>Neinv. transfery nefinančním podnik. subj. - fyz. os.</t>
  </si>
  <si>
    <t>NDB, p.o.</t>
  </si>
  <si>
    <t>CED, p.o.</t>
  </si>
  <si>
    <t>MDB, p.o.</t>
  </si>
  <si>
    <t>Divadlo Radost, p.o.</t>
  </si>
  <si>
    <t>3311 Celkem</t>
  </si>
  <si>
    <t>Činnosti uměleckých souborů</t>
  </si>
  <si>
    <t>MHF</t>
  </si>
  <si>
    <t>Filharmonie Brno, p.o.</t>
  </si>
  <si>
    <t>3312 Celkem</t>
  </si>
  <si>
    <t>KJM, p.o.</t>
  </si>
  <si>
    <t>3314 Celkem</t>
  </si>
  <si>
    <t>Muzeum města Brna, p.o.</t>
  </si>
  <si>
    <t>Dům umění, p.o.</t>
  </si>
  <si>
    <t>3317 Celkem</t>
  </si>
  <si>
    <t>HaP, p.o.</t>
  </si>
  <si>
    <t>Ost. zál. ochrany památ. péče o kult. dědictví</t>
  </si>
  <si>
    <t>DSO Čs. dědictví UNESCO</t>
  </si>
  <si>
    <t>3329 Celkem</t>
  </si>
  <si>
    <t>MŠ Štolcova, MŠ Veslařská</t>
  </si>
  <si>
    <t>MŠ Štolcova, p.o.</t>
  </si>
  <si>
    <t>MŠ Veslařská, p.o.</t>
  </si>
  <si>
    <t>MŠ - výuka angličtiny</t>
  </si>
  <si>
    <t>Vybavení škol</t>
  </si>
  <si>
    <t xml:space="preserve">Zajištění plaveckého výcviku </t>
  </si>
  <si>
    <t>Síť brněn. otevřených škol</t>
  </si>
  <si>
    <t>ZŠ Čejkovická,WZŠ Plovdivská</t>
  </si>
  <si>
    <t>ZŠ - výuka angličtiny</t>
  </si>
  <si>
    <t>ZŠ Čejkovická, p.o.</t>
  </si>
  <si>
    <t>WZŠ a MŠ Plovdivská</t>
  </si>
  <si>
    <t xml:space="preserve">ZŠ Nám. 28. října - platy </t>
  </si>
  <si>
    <t xml:space="preserve">ZŠ Křenová - platy </t>
  </si>
  <si>
    <t>ZŠ Merhautova</t>
  </si>
  <si>
    <t>ZŠ Nám. Republiky</t>
  </si>
  <si>
    <t>Mezinárodní aktivity</t>
  </si>
  <si>
    <t>ZŠ Čejkovická - transfery JmK</t>
  </si>
  <si>
    <t>Nespecifikované rezervy</t>
  </si>
  <si>
    <t>Školní stravování při předškol. a zákl. vzděl.</t>
  </si>
  <si>
    <t>Vybavení jídelen</t>
  </si>
  <si>
    <t>3141 Celkem</t>
  </si>
  <si>
    <t>Ost. zař. souvis. s výchovou a vzděl. mlád.</t>
  </si>
  <si>
    <t>prestižní akce</t>
  </si>
  <si>
    <t>BCES</t>
  </si>
  <si>
    <t>3149 Celkem</t>
  </si>
  <si>
    <t>Grand Prix ČR</t>
  </si>
  <si>
    <t>HC KOMETA BRNO</t>
  </si>
  <si>
    <t>činnosti OŠMT</t>
  </si>
  <si>
    <t>Lázně města Brna, p.o.</t>
  </si>
  <si>
    <t>Sport. a rekr. areál Kraví Hora</t>
  </si>
  <si>
    <t>Účelové neinvestiční transfery nepodnikajicím fyz. osobám</t>
  </si>
  <si>
    <t>3419 Celkem</t>
  </si>
  <si>
    <t>Volnočasové aktivity</t>
  </si>
  <si>
    <t xml:space="preserve">Centra volného času </t>
  </si>
  <si>
    <t>Ostatní platby za provedenou práci j. n.</t>
  </si>
  <si>
    <t>Potraviny</t>
  </si>
  <si>
    <t>Veřejná sbírka</t>
  </si>
  <si>
    <t xml:space="preserve">Zaplacené sankce </t>
  </si>
  <si>
    <t>5311 Celkem</t>
  </si>
  <si>
    <t>DPH</t>
  </si>
  <si>
    <t>CELKEM</t>
  </si>
  <si>
    <t>ORG</t>
  </si>
  <si>
    <t>Zdroj</t>
  </si>
  <si>
    <t>Název akce</t>
  </si>
  <si>
    <t>Rok zah.</t>
  </si>
  <si>
    <t>Rok dokončení</t>
  </si>
  <si>
    <t>Náklady akce/město</t>
  </si>
  <si>
    <t>z toho kryto dotací</t>
  </si>
  <si>
    <t>Skut.k 31.12.11</t>
  </si>
  <si>
    <t>Skutečnost k 31.12.2012</t>
  </si>
  <si>
    <t>Sk/UR (%)</t>
  </si>
  <si>
    <t>Další roky</t>
  </si>
  <si>
    <t>Zajišťuje</t>
  </si>
  <si>
    <t>8200</t>
  </si>
  <si>
    <t>1014 - Ozdravování hosp. zvířat, polních a spec. plodin a zvláštní veterinární péče</t>
  </si>
  <si>
    <t>Nestavební investice MP</t>
  </si>
  <si>
    <t>MP</t>
  </si>
  <si>
    <t>Celkem z 1014 - Ozdravování hosp. zvířat, polních a spec. plodin a zvláštní veterinární péče</t>
  </si>
  <si>
    <t>1900</t>
  </si>
  <si>
    <t>2143 - Cestovní ruch</t>
  </si>
  <si>
    <t>Transfer na investice TIC</t>
  </si>
  <si>
    <t>KPMB</t>
  </si>
  <si>
    <t>Celkem z 2143 - Cestovní ruch</t>
  </si>
  <si>
    <t>5600</t>
  </si>
  <si>
    <t>2212 - Silnice</t>
  </si>
  <si>
    <t>Rekonstrukce ulice Milady Horákové</t>
  </si>
  <si>
    <t>OI</t>
  </si>
  <si>
    <t>IDS Terminál Chrlice, nádraží</t>
  </si>
  <si>
    <t>Rozšíření nástupiště na Mendlově náměstí</t>
  </si>
  <si>
    <t>Horova - komunikace</t>
  </si>
  <si>
    <t>Minská - komunikace</t>
  </si>
  <si>
    <t>Rek.křiž.Dlouhá-Hraničky-Čeňka Růžičky</t>
  </si>
  <si>
    <t>2011</t>
  </si>
  <si>
    <t>Rozšíření komunikace v části ul. Polní</t>
  </si>
  <si>
    <t>2009</t>
  </si>
  <si>
    <t>Osazení závorového systému na vybraná park.</t>
  </si>
  <si>
    <t>Areál VUT v Brně CEITEC - komunikace</t>
  </si>
  <si>
    <t>Silnice I/42, VMO Žabovřeská I (CRN 2,84 mld.)</t>
  </si>
  <si>
    <t>2007</t>
  </si>
  <si>
    <t>Nové využití chodníku Kounicova 1-27</t>
  </si>
  <si>
    <t>2006</t>
  </si>
  <si>
    <t>Nové využití chodníků Morav. nám.-Kounicova</t>
  </si>
  <si>
    <t>EUROPOINT Brno - městská infrastruktura</t>
  </si>
  <si>
    <t>2010</t>
  </si>
  <si>
    <t>2015</t>
  </si>
  <si>
    <t>VMO Dobrovského (CRN 7,66 mld.)</t>
  </si>
  <si>
    <t>1999</t>
  </si>
  <si>
    <t>Komplexní regenerace historického jádra</t>
  </si>
  <si>
    <t>Tramvaj Plotní - soubor staveb</t>
  </si>
  <si>
    <t>2001</t>
  </si>
  <si>
    <t>2016</t>
  </si>
  <si>
    <t>VMO Tomkovo náměstí (CRN 1,27 mld.)</t>
  </si>
  <si>
    <t>VMO Rokytova (CRN 1,54 mld.)</t>
  </si>
  <si>
    <t>Rek. povrchů komunikací, MČ Brno-Ořešín</t>
  </si>
  <si>
    <t>Rekonstrukce ulice Klimešova</t>
  </si>
  <si>
    <t>Dukelská třída - rekonstrukce</t>
  </si>
  <si>
    <t>Rekonstrukce komunikací Tuřany II.</t>
  </si>
  <si>
    <t>2002</t>
  </si>
  <si>
    <t>Rekonstrukce ulice Bratislavská</t>
  </si>
  <si>
    <t>2003</t>
  </si>
  <si>
    <t>Celkem z 2212 - Silnice</t>
  </si>
  <si>
    <t>2219 - Ostatní záležitosti pozemních komunikací</t>
  </si>
  <si>
    <t>Cyklistická stezka při ulici Mírová</t>
  </si>
  <si>
    <t>5400</t>
  </si>
  <si>
    <t>Výkupy pozemků a objektů pro OD MMB</t>
  </si>
  <si>
    <t>OD</t>
  </si>
  <si>
    <t>Zvýšení ZK BKOM</t>
  </si>
  <si>
    <t>CS Renneská-Kšírova</t>
  </si>
  <si>
    <t>CS Valchařská - Olší</t>
  </si>
  <si>
    <t>Centrální technický dispečink</t>
  </si>
  <si>
    <t>2005</t>
  </si>
  <si>
    <t>Majetkoprávní vypořádání a přípr. doprav. staveb</t>
  </si>
  <si>
    <t>Cyklistická stezka Olší - Babická</t>
  </si>
  <si>
    <t>Rekonstrukce Vaňkova náměstí</t>
  </si>
  <si>
    <t>EU</t>
  </si>
  <si>
    <t>Strategie parkování v městě Brně</t>
  </si>
  <si>
    <t>Petrov</t>
  </si>
  <si>
    <t>Zelný trh</t>
  </si>
  <si>
    <t>Orlí, Měnínská a Novobranská</t>
  </si>
  <si>
    <t>2012</t>
  </si>
  <si>
    <t>Celkem z 2219 - Ostatní záležitosti pozemních komunikací</t>
  </si>
  <si>
    <t>2229 - Ostatní záležitosti v silniční dopravě</t>
  </si>
  <si>
    <t>Dopravní telematika 2010-2013</t>
  </si>
  <si>
    <t>Celkem z 2229 - Ostatní záležitosti v silniční dopravě</t>
  </si>
  <si>
    <t>54/5600</t>
  </si>
  <si>
    <t>2271 - Ostatní dráhy</t>
  </si>
  <si>
    <t>TROLLEY</t>
  </si>
  <si>
    <t>2013</t>
  </si>
  <si>
    <t>Celkem z 2271 - Ostatní dráhy</t>
  </si>
  <si>
    <t>2299 - Ostatní záležitosti v dopravě</t>
  </si>
  <si>
    <t>CIVITAS - ELAN - Integrované mobility centrum</t>
  </si>
  <si>
    <t>Celkem z 2299 - Ostatní záležitosti v dopravě</t>
  </si>
  <si>
    <t>2310 - Pitná voda</t>
  </si>
  <si>
    <t>Rumiště - rekonstrukce vodovodu</t>
  </si>
  <si>
    <t>BVK</t>
  </si>
  <si>
    <t>Škárova - rekonstrukce vodovodu</t>
  </si>
  <si>
    <t>Modřická - výstavba vodovodu DN 200</t>
  </si>
  <si>
    <t>2940</t>
  </si>
  <si>
    <t>Marie Steyskalové - rekonstrukce vodovodu</t>
  </si>
  <si>
    <t>2941</t>
  </si>
  <si>
    <t>Ruský vrch - rekonstrukce vodovodu</t>
  </si>
  <si>
    <t>2942</t>
  </si>
  <si>
    <t>Vranovská I - rekonstrukce vodovodu</t>
  </si>
  <si>
    <t>Viniční - rekonstrukce vodovodu</t>
  </si>
  <si>
    <t>Elišky Krásnohorské - rekonstrukce vodovodu</t>
  </si>
  <si>
    <t>2014</t>
  </si>
  <si>
    <t>Chudobova - rekonstrukce vodovodu</t>
  </si>
  <si>
    <t>Potoční - rekonstrukce vodovodu</t>
  </si>
  <si>
    <t>Sedlákova - rekonstrukce vodovodu</t>
  </si>
  <si>
    <t>Přívod.a zásob. řád Bosonohy-Kamen.vrch</t>
  </si>
  <si>
    <t>Šámalova - rekonstrukce vodovodu</t>
  </si>
  <si>
    <t>Vančurova - rekonstrukce vodovodu</t>
  </si>
  <si>
    <t>2008</t>
  </si>
  <si>
    <t>Skřivanova - rekonstrukce vodovodu</t>
  </si>
  <si>
    <t>2017</t>
  </si>
  <si>
    <t>Vodárenské objekty - energetický audit</t>
  </si>
  <si>
    <t>Svitavské nábřeží - rekonstrukce vodovodu</t>
  </si>
  <si>
    <t>Sekaninova - rekonstrukce vodovodu</t>
  </si>
  <si>
    <t>Přepásmování vodovodu - Sportovní - I.a II</t>
  </si>
  <si>
    <t>Hraničky - rekonstrukce vodovodu</t>
  </si>
  <si>
    <t>2004</t>
  </si>
  <si>
    <t>Lány - rekonstrukce vodovodu</t>
  </si>
  <si>
    <t>Nám. Míru I. - rekonstrukce vodovodu</t>
  </si>
  <si>
    <t>Čerpací stanice - rekonstrukce armatur a strojů</t>
  </si>
  <si>
    <t>1996</t>
  </si>
  <si>
    <t>Provozní budova BVK ÚV Pisárky</t>
  </si>
  <si>
    <t>1998</t>
  </si>
  <si>
    <t>Celkem z 2310 - Pitná voda</t>
  </si>
  <si>
    <t>2321 - Odvádění a čištění odpadních vod</t>
  </si>
  <si>
    <t>Koliště - rekonstrukce kanalizace a vodovodu</t>
  </si>
  <si>
    <t>Kučerova - rekonstrukce kanalizace</t>
  </si>
  <si>
    <t>Francouzská - rekonstrukce kananlizace a vodovodu</t>
  </si>
  <si>
    <t>Erbenova - rekonstrukce kanalizace a vodovodu</t>
  </si>
  <si>
    <t>Elišky Krásnohorské - rekonstrukce kanalizace</t>
  </si>
  <si>
    <t>Dvorského - rekonstrukce kanalizace a vodovodu</t>
  </si>
  <si>
    <t>Dřevařská - rekonstrukce kananlizace a vodovodu</t>
  </si>
  <si>
    <t>Cupákova - rekonstrukce kanalizace a vodovodu</t>
  </si>
  <si>
    <t>Brandlova - rekonstrukce kanalizace a vodovodu</t>
  </si>
  <si>
    <t>Bendlova - rekonstrukce kanalizace</t>
  </si>
  <si>
    <t>LerchovaI, Roubalova I, Kampelíkova I - rek. k. a v.</t>
  </si>
  <si>
    <t>Jemelkova, Klobásova - odvádění dešť. vod. - rek.k.</t>
  </si>
  <si>
    <t>Mojmírovo náměstí - rekonstrukce kanalizace</t>
  </si>
  <si>
    <t>Staňkova - rek. kanal. a vod. (úsek Pionýrská - Ryb.)</t>
  </si>
  <si>
    <t>Krkoškova - rekonstrukce kanalizace a vodovodu</t>
  </si>
  <si>
    <t>Chodská - rekonstrukce kanalizace a vodovodu</t>
  </si>
  <si>
    <t>Rekonstrukce kanalizace - ZŠ Otevřená</t>
  </si>
  <si>
    <t>Chelčického - rekonstrukce kanalizace a vodovodu</t>
  </si>
  <si>
    <t>Benešova - rekonstrukce kanalizace a vodovodu</t>
  </si>
  <si>
    <t>Vackova - rekonstrukce kanalizace a vodovodu</t>
  </si>
  <si>
    <t>RN Jeneweinova a vodovod Komárov</t>
  </si>
  <si>
    <t>Vránova - rekonstrukce kanalizace a vodovodu</t>
  </si>
  <si>
    <t>Šafaříkova - rekonstrukce kanalizace</t>
  </si>
  <si>
    <t>Lužánky - rekonstrukce kanalizace</t>
  </si>
  <si>
    <t>Lužánecká - rekonstrukce kanalizace a vodovodu</t>
  </si>
  <si>
    <t>Cyrilská, Mlýnská II - rek. kanalizace a vodovodu</t>
  </si>
  <si>
    <t>Alešova - rekonstrukce kanalizace a vodovodu</t>
  </si>
  <si>
    <t>Králova - rekonstrukce kanalizace</t>
  </si>
  <si>
    <t>Vážného II - rekonstrukce kanalizace</t>
  </si>
  <si>
    <t>Škárova, Poděbradova I, Rostislav. nám. - rek. kan. a vod.</t>
  </si>
  <si>
    <t>Dobrovského - rekonstrukce kanalizace a vodovodu</t>
  </si>
  <si>
    <t>Monitoring a měření na odleh. komorách kanal. sítě</t>
  </si>
  <si>
    <t>Tomáškova - rekonstrukce kanalizace a vodovovodu</t>
  </si>
  <si>
    <t>Bráfova I - rekonstrukce kanalizace</t>
  </si>
  <si>
    <t>Horova - rekonstrukce kanalizace a vodovodu</t>
  </si>
  <si>
    <t>Stará - rekonstrukce kanalizace a vodovodu</t>
  </si>
  <si>
    <t>Veveří - rek. kanal. a vodov. (Žerot. nám. - Koneč. nám.)</t>
  </si>
  <si>
    <t>Rybářská I - rekonstrukce kanalizace a vodovodu</t>
  </si>
  <si>
    <t>Orlí, Měnínská, Novobranská - rek. kan.a vod.</t>
  </si>
  <si>
    <t>Cihlářská, Antonínská I  - rek. kanalizace a vodovodu</t>
  </si>
  <si>
    <t>Schodová - rekonstrukce kanalizace a vodovodu</t>
  </si>
  <si>
    <t>Malátova - rekonstrukce kanalizace a vodovodu</t>
  </si>
  <si>
    <t>Barvičova -  rek. kanal. (úsek Lipová - Kampelíkova)</t>
  </si>
  <si>
    <t>Floriánova, Košínova - rekonstrukce kanalizace</t>
  </si>
  <si>
    <t>Odkanalizování sport.areálu MČ B-Útěchov</t>
  </si>
  <si>
    <t>Drobné rekonstrukce na kanal. a vodovod.</t>
  </si>
  <si>
    <t>Chaloupkova - rekonstrukce kanalizace a vodovodu</t>
  </si>
  <si>
    <t>Milady Horákové II. - rek. kanalizace a vodovodu</t>
  </si>
  <si>
    <t>Stoková síť - Hradiska, Mlýnské nábřeží</t>
  </si>
  <si>
    <t>Světlá, Dolnopolní I. - rek. kanalizace a vodovodu</t>
  </si>
  <si>
    <t>Kanalizační sběrač Kamenný vrch</t>
  </si>
  <si>
    <t>Kovácká - rek. kanalizace</t>
  </si>
  <si>
    <t>Pionýrská - rek. kanalizace a vodovodu</t>
  </si>
  <si>
    <t>Milady Horákové - rek. kanalizace a vodovodu</t>
  </si>
  <si>
    <t>3347</t>
  </si>
  <si>
    <t>Rekonstrukce nevypořádané infrastruktury</t>
  </si>
  <si>
    <t>Komárovská - rekonstrukce kanalizace a vodovodu</t>
  </si>
  <si>
    <t>Sládkova - rek. kanalizace a vodovodu</t>
  </si>
  <si>
    <t>Nezamyslova - rek. kanalizace a vodovodu</t>
  </si>
  <si>
    <t>Cornovova - rek. kanalizace a vodovodu</t>
  </si>
  <si>
    <t>Rekonstrukce a dostavba kanalizace v Brně</t>
  </si>
  <si>
    <t>Mezírka - rek. kanalizace a vodovodu</t>
  </si>
  <si>
    <t>RKS EI - úsek Hájecká, Nezamyslova</t>
  </si>
  <si>
    <t>Kamenná čtvrt - podzemní sítě a vozovky</t>
  </si>
  <si>
    <t>Rekonstrukce objektů - havarijní stav</t>
  </si>
  <si>
    <t>4376</t>
  </si>
  <si>
    <t>Dešťová kanalizace Brno - Ořešín</t>
  </si>
  <si>
    <t>Stránského, Haasova - rekonstrukce kanalizace</t>
  </si>
  <si>
    <t>Filipínského II, Bub. II, - rek. kanal. a vodov. (Bub. - Klíny)</t>
  </si>
  <si>
    <t>Minská - rekonstrukce kanalizace a vodovodu</t>
  </si>
  <si>
    <t>Úprava toku Leskavy</t>
  </si>
  <si>
    <t>Údolní - rek. kanalizace a vodovodu (Joštova - Úvoz)</t>
  </si>
  <si>
    <t>Okružní  - rekonstrukce kanalizace II.</t>
  </si>
  <si>
    <t>Špirkova - výstavba dešťové kanalizace</t>
  </si>
  <si>
    <t>Oddílný kanal.systém Brno-Starý Lískovec</t>
  </si>
  <si>
    <t>Dostavba kanal. sítě ulic Rozhraní, Osamělá, aj.</t>
  </si>
  <si>
    <t>Bratislavská - rek. kanalizace a vodovodu</t>
  </si>
  <si>
    <t>Rybníček - rek. kanalizace a vodovodu</t>
  </si>
  <si>
    <t>Celkem z 2321 - Odvádění a čištění odpadních vod</t>
  </si>
  <si>
    <t>2329 - Odvádění a čistění odpadních vod j.n.</t>
  </si>
  <si>
    <t>Majetkoprávní vypoř. a přípr. vodohosp. staveb</t>
  </si>
  <si>
    <t>5700</t>
  </si>
  <si>
    <t>Nákup inženýrských sítí do majetku MB</t>
  </si>
  <si>
    <t>OTS</t>
  </si>
  <si>
    <t>Nezdrojová DPH</t>
  </si>
  <si>
    <t>Příprava staveb, geom. plány a výkupy pozemků</t>
  </si>
  <si>
    <t>Celkem z 2329 - Odvádění a čistění odpadních vod j.n.</t>
  </si>
  <si>
    <t>4300</t>
  </si>
  <si>
    <t>2331 - Úpravy vodohospodářsky významných a vodárenských toků</t>
  </si>
  <si>
    <t>Brněnská údolní nádrž - Povodí Moravy</t>
  </si>
  <si>
    <t>OVLHZ</t>
  </si>
  <si>
    <t>Investiční transfer Povodí Moravy s.p.</t>
  </si>
  <si>
    <t>Celkem z 2331 - Úpravy vodohospodářsky významných a vodárenských toků</t>
  </si>
  <si>
    <t>2333 - Úpravy drobných vodních toků</t>
  </si>
  <si>
    <t>Retenční nádrž na Medláneckém potoce</t>
  </si>
  <si>
    <t>Celkem z 2333 - Úpravy drobných vodních toků</t>
  </si>
  <si>
    <t>2334 - Revitalizace říčních systémů</t>
  </si>
  <si>
    <t>Revitalizace přír. pam. Holásecká jezera</t>
  </si>
  <si>
    <t>Celkem z 2334 - Revitalizace říčních systémů</t>
  </si>
  <si>
    <t>2339 - Záležitosti vodních toků a vodohospodářských děl j.n.</t>
  </si>
  <si>
    <t>Sanace odvodňovacích vrtů Brno-Bystrc</t>
  </si>
  <si>
    <t>Celkem z 2339 - Záležitosti vodních toků a vodohospodářských děl j.n.</t>
  </si>
  <si>
    <t>7400</t>
  </si>
  <si>
    <t>3111 - Předškolní zařízení</t>
  </si>
  <si>
    <t>Transfer na investice MŠ Štolcova</t>
  </si>
  <si>
    <t>OŠMT</t>
  </si>
  <si>
    <t>MŠ Bratří Pelíšků 7 - zateplení</t>
  </si>
  <si>
    <t>MŠ Hatě 19 - rekonstrukce a přístavba</t>
  </si>
  <si>
    <t>Přístavba MŠ Medlánky, ul.Hudcova 47</t>
  </si>
  <si>
    <t>Navýšení kapacity MŠ</t>
  </si>
  <si>
    <t>MŠ Kamechy I</t>
  </si>
  <si>
    <t>Přístavba MŠ Šromova 55</t>
  </si>
  <si>
    <t>Přístavba MŠ Tumaňanova 59</t>
  </si>
  <si>
    <t>Regenerace objektu a areálu MŠ Chodská</t>
  </si>
  <si>
    <t>Rek. a dostavba MŠ Bratří Pelíšků 7</t>
  </si>
  <si>
    <t>Zelená mateřská škola Oblá</t>
  </si>
  <si>
    <t>Zateplení MŠ Měřičkova</t>
  </si>
  <si>
    <t>Zateplení MŠ Hněvkovského</t>
  </si>
  <si>
    <t>Zateplení MŠ Škrétova</t>
  </si>
  <si>
    <t>Zateplení MŠ Absolonova</t>
  </si>
  <si>
    <t>Celkem z 3111 - Předškolní zařízení</t>
  </si>
  <si>
    <t>3113 - Základní školy</t>
  </si>
  <si>
    <t>Transfer na investice ZŠ Novolíšeňská</t>
  </si>
  <si>
    <t>RŠ</t>
  </si>
  <si>
    <t xml:space="preserve">Transfer na investice ZŠ a MŠ Jihomoravské nám. </t>
  </si>
  <si>
    <t>Transfer na investice ZŠ a MŠ Křenová</t>
  </si>
  <si>
    <t>Transfer na investice ZŠ Laštůvkova</t>
  </si>
  <si>
    <t>41/5600</t>
  </si>
  <si>
    <t>ZŠ Otevřená</t>
  </si>
  <si>
    <t>OÚPR/OI</t>
  </si>
  <si>
    <t>Výstavba tělocvičny - ZŠ Zeiberlichova</t>
  </si>
  <si>
    <t>ZŠ Úvoz - sportovní hřiště</t>
  </si>
  <si>
    <t>Víceúčelová tělocvična při ZŠ Čejkovická</t>
  </si>
  <si>
    <t>ZŠ Novolíšeňská - sportovní centrum</t>
  </si>
  <si>
    <t>ZŠ Horní, Janouškova, Masarova - zateplení</t>
  </si>
  <si>
    <t>ZŠ Milénova, Košinova, Novoměstská - zateplení</t>
  </si>
  <si>
    <t>ZŠ Bednárova, Heyrovského, Plovdivská - zateplení</t>
  </si>
  <si>
    <t>Otevřená škola</t>
  </si>
  <si>
    <t>IN line dráha, ZŠ Pavlovská 16</t>
  </si>
  <si>
    <t>Rekonstrukce sportoviště, ZŠ Jasanová</t>
  </si>
  <si>
    <t>ZŠ Bosonožské nám. - pohybové prostory</t>
  </si>
  <si>
    <t>Sportovní areál, ZŠ a MŠ Zemědělská</t>
  </si>
  <si>
    <t>Přístavba tělocvičny (Kamenačky)</t>
  </si>
  <si>
    <t>Rozšíření a rekonstrukce ZŠ Měšťanská 21</t>
  </si>
  <si>
    <t>Stavební úpravy ZŠ Mutěnická - 3. etapa</t>
  </si>
  <si>
    <t>ZŠ Hroznová, jazyková učebna - nástavba</t>
  </si>
  <si>
    <t>Zateplení ZŠ Blažkova</t>
  </si>
  <si>
    <t>Zateplení ZŠ Labská</t>
  </si>
  <si>
    <t>Zateplení ZŠ Úvoz</t>
  </si>
  <si>
    <t>Zateplení ZŠ Svážná</t>
  </si>
  <si>
    <t>Zateplení ZŠ Přemyslovo náměstí</t>
  </si>
  <si>
    <t>Zateplení ZŠ Vedlejší</t>
  </si>
  <si>
    <t>Celkem z 3113 - Základní školy</t>
  </si>
  <si>
    <t>3119 - Ostatní záležitosti předškolní výchovy a základního vzdělávání</t>
  </si>
  <si>
    <t>Rekonstrukce školských zařízení</t>
  </si>
  <si>
    <t>Celkem z 3119 - Ostatní záležitosti předškolní výchovy a základního vzdělávání</t>
  </si>
  <si>
    <t>3311 - Divadelní činnost</t>
  </si>
  <si>
    <t>Vodorovná kanalizace Lidická 18 MD Brno</t>
  </si>
  <si>
    <t>7300</t>
  </si>
  <si>
    <t>Transfer na investice NDB</t>
  </si>
  <si>
    <t>OK</t>
  </si>
  <si>
    <t>Rek. a dobudování Janáčkova divadla</t>
  </si>
  <si>
    <t>Celkem z 3311 - Divadelní činnost</t>
  </si>
  <si>
    <t>3312 - Hudební činnost</t>
  </si>
  <si>
    <t>Investiční transfery OK</t>
  </si>
  <si>
    <t>Janáčkovo kulturní centrum</t>
  </si>
  <si>
    <t>OI, SFB</t>
  </si>
  <si>
    <t>4100</t>
  </si>
  <si>
    <t>Nadační fond Campianus - půjčka</t>
  </si>
  <si>
    <t>OÚPR</t>
  </si>
  <si>
    <t>Celkem z 3312 - Hudební činnost</t>
  </si>
  <si>
    <t>3314 - Činnosti knihovnické</t>
  </si>
  <si>
    <t>Transfer na investice KJM</t>
  </si>
  <si>
    <t>Knihovna pro město</t>
  </si>
  <si>
    <t>Celkem z 3314 - Činnosti knihovnické</t>
  </si>
  <si>
    <t>3315 - Činnosti muzeí a galerií</t>
  </si>
  <si>
    <t>Vila Tugendhat: Interiér RAW, zahradní úpravy</t>
  </si>
  <si>
    <t>Vila Tugendhat - rek. přípojky kanalizace</t>
  </si>
  <si>
    <t>Transfer na investice MUmB</t>
  </si>
  <si>
    <t>Vila Tugendhat</t>
  </si>
  <si>
    <t>OI/OÚPR</t>
  </si>
  <si>
    <t>Celkem z 3315 - Činnosti muzeí a galerií</t>
  </si>
  <si>
    <t>3317 - Výstavní činnosti v kultuře</t>
  </si>
  <si>
    <t>Dům pánů z Kunštátu - vlhkost, nouz.východ</t>
  </si>
  <si>
    <t>Celkem z 3317 - Výstavní činnosti v kultuře</t>
  </si>
  <si>
    <t>3319 - Ostatní záležitosti kultury</t>
  </si>
  <si>
    <t>TIC, p.o.</t>
  </si>
  <si>
    <t>Transfer na investice HaP</t>
  </si>
  <si>
    <t>Investiční transfery OTS</t>
  </si>
  <si>
    <t>Jezdecká socha na Moravském náměstí</t>
  </si>
  <si>
    <t>Divadelní svět Brno</t>
  </si>
  <si>
    <t>Přírodovědné digitárium</t>
  </si>
  <si>
    <t>Celkem z 3319 - Ostatní záležitosti kultury</t>
  </si>
  <si>
    <t>7500</t>
  </si>
  <si>
    <t>3322 - Zachování a obnova kulturních památek</t>
  </si>
  <si>
    <t>Účelový transfer na zpřístupnění hradu Veveří</t>
  </si>
  <si>
    <t>OPP</t>
  </si>
  <si>
    <t>Rek. NKP Špilberk II.et</t>
  </si>
  <si>
    <t>Špilberk - Jižní křídlo</t>
  </si>
  <si>
    <t>Celkem z 3322 - Zachování a obnova kulturních památek</t>
  </si>
  <si>
    <t xml:space="preserve">3326 - Pořízení, zachování a obnova hodnot místního kulturního, národního a hist. povědomí </t>
  </si>
  <si>
    <t>Památník holocaustu v Brně</t>
  </si>
  <si>
    <t>Nestavební investice OK</t>
  </si>
  <si>
    <t>Sochy pro Brno</t>
  </si>
  <si>
    <t>Zpřístupnění br.podzemí - část Kostnice</t>
  </si>
  <si>
    <t xml:space="preserve">Celkem z 3326 - Pořízení, zachování a obnova hodnot místního kulturního, národního a hist. povědomí </t>
  </si>
  <si>
    <t>3412 - Sportovní zařízení v majetku obce</t>
  </si>
  <si>
    <t>Sportovní areál Brno-Útěchov</t>
  </si>
  <si>
    <t>Sportovní areál lokalita Hněvkovského</t>
  </si>
  <si>
    <t>Tělocvična v areálu Sokola, ul. Hanácká</t>
  </si>
  <si>
    <t>Celkem z 3412 - Sportovní zařízení v majetku obce</t>
  </si>
  <si>
    <t>3419 - Ostatní tělovýchovná činnost</t>
  </si>
  <si>
    <t>Městský plavecký stadion za Lužánkami - vstupní systém</t>
  </si>
  <si>
    <t>Nestavební investice OŠMT</t>
  </si>
  <si>
    <t>Investiční transfery OŠMT</t>
  </si>
  <si>
    <t xml:space="preserve">Investiční transfer VUT Brno - sport.hala </t>
  </si>
  <si>
    <t>Investiční transfery na sport. zařízení</t>
  </si>
  <si>
    <t>Investiční transfery na veřejná sportoviště</t>
  </si>
  <si>
    <t>Hala Rondo, zvýšení zákl.kapitálu STAREZ-SPORT</t>
  </si>
  <si>
    <t>Modernizace fotbal. stadionu za Lužánkami</t>
  </si>
  <si>
    <t>Celkem z 3419 - Ostatní tělovýchovná činnost</t>
  </si>
  <si>
    <t>3421 - Využití volného času dětí a mládeže</t>
  </si>
  <si>
    <t>Areál dopravní výchovy</t>
  </si>
  <si>
    <t>Rozvoj sítě cyklist. stezek, II. etapa</t>
  </si>
  <si>
    <t>Centrum pro sport a volný čas Komín</t>
  </si>
  <si>
    <t>Zahrada v pohybu</t>
  </si>
  <si>
    <t>Areál volného času při ulici Mírová</t>
  </si>
  <si>
    <t>Zateplení SVČ Stamicova</t>
  </si>
  <si>
    <t>Celkem z 3421 - Využití volného času dětí a mládeže</t>
  </si>
  <si>
    <t>3429 - Ostatní zájmová činnost a rekreace</t>
  </si>
  <si>
    <t>Zvýšení atraktivity Brněnské přehrady</t>
  </si>
  <si>
    <t>Celkem z 3429 - Ostatní zájmová činnost a rekreace</t>
  </si>
  <si>
    <t>7100</t>
  </si>
  <si>
    <t>3511 - Všeobecná ambulatní péče</t>
  </si>
  <si>
    <t>Transfer na investice SZZ II</t>
  </si>
  <si>
    <t>OZ</t>
  </si>
  <si>
    <t>Rekonstrukce polikliniky Zahradníkova</t>
  </si>
  <si>
    <t>Rek. objektu Bílý dům</t>
  </si>
  <si>
    <t>Celkem z 3511 - Všeobecná ambulatní péče</t>
  </si>
  <si>
    <t>3522 - Ostatní nemocnice</t>
  </si>
  <si>
    <t>Rekonstrukce chráněné únikové cesty</t>
  </si>
  <si>
    <t>Rekonstrukce v objektu NMB</t>
  </si>
  <si>
    <t>NMB</t>
  </si>
  <si>
    <t>Transfer na investice ÚN</t>
  </si>
  <si>
    <t>Celkem z 3522 - Ostatní nemocnice</t>
  </si>
  <si>
    <t>3523 - Odborné léčebné ústavy</t>
  </si>
  <si>
    <t>Rekonstrukce výtahu v objektu LDN NMB</t>
  </si>
  <si>
    <t xml:space="preserve">Přístrojové vybavení NMB - transfer </t>
  </si>
  <si>
    <t>Celkem z 3523 - Odborné léčebné ústavy</t>
  </si>
  <si>
    <t>3529 - Ostatní ústavní péče</t>
  </si>
  <si>
    <t>Chovánek - dětské centrum rodinného typu</t>
  </si>
  <si>
    <t>Celkem z 3529 - Ostatní ústavní péče</t>
  </si>
  <si>
    <t>3599 - Ostatní činnost ve zdravotnictví</t>
  </si>
  <si>
    <t xml:space="preserve">Generel přístupnosti města (odstr.bariér) </t>
  </si>
  <si>
    <t>Celkem z 3599 - Ostatní činnost ve zdravotnictví</t>
  </si>
  <si>
    <t>3612 - Bytové hospodářství</t>
  </si>
  <si>
    <t>Stavební úpravy objektu Kobližná 10 a využití 3.NP a 4. NP pro funkci bydlení</t>
  </si>
  <si>
    <t>BO</t>
  </si>
  <si>
    <t>Technické zhodnocení sociálních bytů</t>
  </si>
  <si>
    <t>OSM</t>
  </si>
  <si>
    <t>Bytové domy Vojtova</t>
  </si>
  <si>
    <t>Startovací byty - nákup 200-250 b.j.</t>
  </si>
  <si>
    <t>Investiční transfery BO</t>
  </si>
  <si>
    <t>Přestavba ubytovny JUVENTUS</t>
  </si>
  <si>
    <t>Technické zhodnocení bytových domů</t>
  </si>
  <si>
    <t>Bytov. dům B vč. komunik. a TI Jeneweinova</t>
  </si>
  <si>
    <t>Lokalita bydlení Holásky - TI</t>
  </si>
  <si>
    <t>Rek. bytového domu Francouzská 44</t>
  </si>
  <si>
    <t>Rek. bytového domu Francouzská 64</t>
  </si>
  <si>
    <t>Rek. bytového domu Francouzská 68</t>
  </si>
  <si>
    <t>Rek. domu Bratislavská 62/Soudní 11</t>
  </si>
  <si>
    <t>Rek. domu Francouzská 20/Stará 1</t>
  </si>
  <si>
    <t>Rek. bytového domu Francouzská 42</t>
  </si>
  <si>
    <t>Rek. domu Přadlácká 9/Spolková 17</t>
  </si>
  <si>
    <t>Rek. bytového domu Bratislavská 39</t>
  </si>
  <si>
    <t>Rek. bytového domu Bratislavská 36a</t>
  </si>
  <si>
    <t>Rek. bytového domu Bratislavská 60</t>
  </si>
  <si>
    <t>Venkovní úpravy Francouzská</t>
  </si>
  <si>
    <t>Celkem z 3612 - Bytové hospodářství</t>
  </si>
  <si>
    <t>3619 - Ostatní rozvoj bydlení a bytového hospodářství</t>
  </si>
  <si>
    <t>Investiční půjčky z FRB</t>
  </si>
  <si>
    <t>Celkem z 3619 - Ostatní rozvoj bydlení a bytového hospodářství</t>
  </si>
  <si>
    <t>4200</t>
  </si>
  <si>
    <t>3632 - Pohřebnictví</t>
  </si>
  <si>
    <t>Transfer na investice SHMB</t>
  </si>
  <si>
    <t>OŽP</t>
  </si>
  <si>
    <t>Dokončení rozšíření hřbitova Řečkovice</t>
  </si>
  <si>
    <t>Rozšíření hřbitova v Líšni</t>
  </si>
  <si>
    <t>Celkem z 3632 - Pohřebnictví</t>
  </si>
  <si>
    <t>3633 - Výstavba a údržba místních inženýrských sítí</t>
  </si>
  <si>
    <t>9. stavba sekund. kol. Dvořákova -Beth.</t>
  </si>
  <si>
    <t>Celkem z 3633 - Výstavba a údržba místních inženýrských sítí</t>
  </si>
  <si>
    <t>3639 - Komunální služby a územní rozvoj j.n.</t>
  </si>
  <si>
    <t>Statické zajištění objektu Mendlovo nám. 16</t>
  </si>
  <si>
    <t xml:space="preserve">Integrovaný objekt veř. WC Rakovecká zátoka </t>
  </si>
  <si>
    <t>Dům pánů z Kunštátu - úprava vstupu</t>
  </si>
  <si>
    <t>Investiční transfery OSM</t>
  </si>
  <si>
    <t xml:space="preserve">Majetkopráv.vypořádání a příprava staveb j.n. </t>
  </si>
  <si>
    <t>Technické zhodnocení objektů města</t>
  </si>
  <si>
    <t>MO - výkupy pozemků a objektů</t>
  </si>
  <si>
    <t>MO</t>
  </si>
  <si>
    <t>Projektové práce pro OÚPR</t>
  </si>
  <si>
    <t>Výkupy pozemků a objektů pro MO a OD</t>
  </si>
  <si>
    <t>Kapitálové výdaje z Fondu bytové výstavby</t>
  </si>
  <si>
    <t>Sanace skalní stěny MČ B-Bosonohy - VI.</t>
  </si>
  <si>
    <t>Sanace skalní stěny MČ B-Bosonohy - V.etapa</t>
  </si>
  <si>
    <t>Celkem z 3639 - Komunální služby a územní rozvoj j.n.</t>
  </si>
  <si>
    <t>3699 - Ostatní záležitosti bydlení, komunálních služeb a územního rozvoje</t>
  </si>
  <si>
    <t>Zvýšení zákl. kapitálu - Technic.sítě</t>
  </si>
  <si>
    <t>Celkem z 3699 - Ostatní záležitosti bydlení, komunálních služeb a územního rozvoje</t>
  </si>
  <si>
    <t>3716 - Monitoring ochrany ovzduší</t>
  </si>
  <si>
    <t>Imisní monitoring SMB - Obnova systému sledování kvality ovzduší</t>
  </si>
  <si>
    <t>Celkem z 3716 - Monitoring ochrany ovzduší</t>
  </si>
  <si>
    <t>3722 - Sběr a svoz komunálních odpadů</t>
  </si>
  <si>
    <t>Inv. transfer SAKO Brno - podzem. kont. MPR</t>
  </si>
  <si>
    <t>Celkem z 3722 - Sběr a svoz komunálních odpadů</t>
  </si>
  <si>
    <t>3725 - Využívání a zneškodňování komunálních odpadů</t>
  </si>
  <si>
    <t>Technické zhodnocení garáží v pronájmu SAKO</t>
  </si>
  <si>
    <t>Nezdrojová DPH - OŽP</t>
  </si>
  <si>
    <t>Investiční transfery OŽP</t>
  </si>
  <si>
    <t>Celkem z 3725 - Využívání a zneškodňování komunálních odpadů</t>
  </si>
  <si>
    <t>3741 - Ochrana druhů a stanovišť</t>
  </si>
  <si>
    <t>Bezpečí obojživelníků - Žebět. rybník, III. etapa</t>
  </si>
  <si>
    <t>Realizace strategie rozvoje ZOO</t>
  </si>
  <si>
    <t>Rek. obj. stálé akvarij. výstavy Radnická 6</t>
  </si>
  <si>
    <t>Výstavba provozního zázemí ZOO</t>
  </si>
  <si>
    <t>Beringie</t>
  </si>
  <si>
    <t>ZOO Brno - Expozice klokanů</t>
  </si>
  <si>
    <t>Kalahari - africká vesnice</t>
  </si>
  <si>
    <t>Expozice orlů</t>
  </si>
  <si>
    <t>Celkem z 3741 - Ochrana druhů a stanovišť</t>
  </si>
  <si>
    <t>3742 - Chráněné části přírody</t>
  </si>
  <si>
    <t>Realizace biocentra v Dolních Heršpicích</t>
  </si>
  <si>
    <t>Celkem z 3742 - Chráněné části přírody</t>
  </si>
  <si>
    <t xml:space="preserve">3743 - Rekultivace půdy v důsledku těžební a důlní činnosti, po skládkách odpadů apod. </t>
  </si>
  <si>
    <t>Rekultivace skládky Černovice  -I. etapa</t>
  </si>
  <si>
    <t xml:space="preserve">Celkem z 3743 - Rekultivace půdy v důsledku těžební a důlní činnosti, po skládkách odpadů apod. </t>
  </si>
  <si>
    <t>3744 - Protierozní, protilavinová a protipožární ochrana</t>
  </si>
  <si>
    <t>Kamenná čtvrť - stat. zajištění svahu</t>
  </si>
  <si>
    <t>2019</t>
  </si>
  <si>
    <t>Celkem z 3744 - Protierozní, protilavinová a protipožární ochrana</t>
  </si>
  <si>
    <t>3745 - Péče a vzhled obcí a veřejnou zeleň</t>
  </si>
  <si>
    <t>Přístupová cesta do Wilsonova lesa z ulice Rezkovy</t>
  </si>
  <si>
    <t>NKP Špilberk - rekonstrukce parku III. etapa, 3. č.</t>
  </si>
  <si>
    <t>Rekonstrukce Wilsonova lesa</t>
  </si>
  <si>
    <t>Revitalizace městských parků, I. etapa</t>
  </si>
  <si>
    <t>Revitalizace městských parků, II. etapa</t>
  </si>
  <si>
    <t>Park Hvězdička</t>
  </si>
  <si>
    <t>Úprava VZ - letohrádek Mitrovských</t>
  </si>
  <si>
    <t>Výstavba parku Pod Plachtami</t>
  </si>
  <si>
    <t>Rekonstrukce parku Lužánky, V. etapa</t>
  </si>
  <si>
    <t>Nízkoprahové centrum v parku Hvězdička</t>
  </si>
  <si>
    <t>Celkem z 3745 - Péče a vzhled obcí a veřejnou zeleň</t>
  </si>
  <si>
    <t>3792 - Ekologická výchova a osvěta</t>
  </si>
  <si>
    <t>Rekonstrukce objektu Hlídka 4</t>
  </si>
  <si>
    <t>Celkem z 3792 - Ekologická výchova a osvěta</t>
  </si>
  <si>
    <t>7200</t>
  </si>
  <si>
    <t>4341 - Sociální pomoc osobám v hmotné nouzi a občanům sociálně nepřizpůs.</t>
  </si>
  <si>
    <t>Půjčky invalidním občanům - mot.vozidla</t>
  </si>
  <si>
    <t>OSP</t>
  </si>
  <si>
    <t>Městské středisko krizové a soc. pomoci</t>
  </si>
  <si>
    <t>Azylový dům Křenová - rozšíření ub.kapacity</t>
  </si>
  <si>
    <t>Celkem z 4341 - Sociální pomoc osobám v hmotné nouzi a občanům sociálně nepřizpůs.</t>
  </si>
  <si>
    <t>4351 - Osobní asistence, pečovatelská služba a podpora samostatného bydlení</t>
  </si>
  <si>
    <t>DPS Mlýnská</t>
  </si>
  <si>
    <t>DPS Křídlovická</t>
  </si>
  <si>
    <t>DPS Renčova</t>
  </si>
  <si>
    <t>Celkem z 4351 - Osobní asistence, pečovatelská služba a podpora samostatného bydlení</t>
  </si>
  <si>
    <t>4352 - Tísňová péče</t>
  </si>
  <si>
    <t>Zavedení služby tísňové péče pro seniory</t>
  </si>
  <si>
    <t>Celkem z 4352 - Tísňová péče</t>
  </si>
  <si>
    <t>4357 - Domovy</t>
  </si>
  <si>
    <t>Transfer na investice DS Holásecká</t>
  </si>
  <si>
    <t>Domov pro seniory, Foltýnova 21, Brno - odstranění bariér a zvýšení lůžkové kapacity</t>
  </si>
  <si>
    <t>Celkem z 4357 - Domovy</t>
  </si>
  <si>
    <t>4375 - Nízkoprahová zařízení pro děti a mládež</t>
  </si>
  <si>
    <t>Plácky - aktivizační centra</t>
  </si>
  <si>
    <t>Celkem z 4375 - Nízkoprahová zařízení pro děti a mládež</t>
  </si>
  <si>
    <t>5311 - Bezpečnost a veřejný pořádek</t>
  </si>
  <si>
    <t>Klimatizace pro objekt MPB Štefánikova 43</t>
  </si>
  <si>
    <t>Radiový systém TETRA</t>
  </si>
  <si>
    <t>Rekonstrukce chat RZ Sykovec</t>
  </si>
  <si>
    <t>Rek. obj. na služebnu MP Brno-západ</t>
  </si>
  <si>
    <t>Celkem z 5311 - Bezpečnost a veřejný pořádek</t>
  </si>
  <si>
    <t>5319 - Ostatní záležitosti bezpečnosti a veřejného pořádku</t>
  </si>
  <si>
    <t>Investiční transfery OSP</t>
  </si>
  <si>
    <t>Celkem z 5319 - Ostatní záležitosti bezpečnosti a veřejného pořádku</t>
  </si>
  <si>
    <t>5512 - Požární ochrana - dobrovolná část</t>
  </si>
  <si>
    <t>Rek. hasičské stanice MČ B-sever, Netušilova 18</t>
  </si>
  <si>
    <t>Stav. úpr. hasičské stanice, B-Soběšice</t>
  </si>
  <si>
    <t>Celkem z 5512 - Požární ochrana - dobrovolná část</t>
  </si>
  <si>
    <t>6171 - Činnost místní správy</t>
  </si>
  <si>
    <t>Rekonstrukce sídla ÚMČ Brno-Ivanovice</t>
  </si>
  <si>
    <t>MČ</t>
  </si>
  <si>
    <t>3200</t>
  </si>
  <si>
    <t>Nestavební investice OVV</t>
  </si>
  <si>
    <t>OVV</t>
  </si>
  <si>
    <t>Statické zajištění budovy Staré Radnice</t>
  </si>
  <si>
    <t>5300</t>
  </si>
  <si>
    <t>GIS - rozvoj systému</t>
  </si>
  <si>
    <t>OMI</t>
  </si>
  <si>
    <t>Síň rady na Nové radnici - úpravy, rest. obnova</t>
  </si>
  <si>
    <t>Technické zhodnocení objektů MMB</t>
  </si>
  <si>
    <t>ISMB - agendový aplikační software</t>
  </si>
  <si>
    <t>OMI - informační systém</t>
  </si>
  <si>
    <t>Metropolitní síť Brno</t>
  </si>
  <si>
    <t>Zvyšování kvality, tvorba proc. modelu</t>
  </si>
  <si>
    <t>Procesní optimalizace - TSB</t>
  </si>
  <si>
    <t>Digitalizace archivu města Brna</t>
  </si>
  <si>
    <t>Celkem z 6171 - Činnost místní správy</t>
  </si>
  <si>
    <t>3900</t>
  </si>
  <si>
    <t>6211 - Archivní činnost</t>
  </si>
  <si>
    <t>Nestavební investice  AMB</t>
  </si>
  <si>
    <t>AMB</t>
  </si>
  <si>
    <t>Velké dějiny města Brna</t>
  </si>
  <si>
    <t>2018</t>
  </si>
  <si>
    <t>Celkem z 6211 - Archivní činnost</t>
  </si>
  <si>
    <t>6409 - Ostatní činnosti j.n.</t>
  </si>
  <si>
    <t xml:space="preserve"> </t>
  </si>
  <si>
    <t>Investiční transfery městským částem (ORF)</t>
  </si>
  <si>
    <t>Investiční transfery městským částem (FBV - ORF)</t>
  </si>
  <si>
    <t>Investiční transfery městským částem (OVV)</t>
  </si>
  <si>
    <t>Investiční transfery městským částem (OŽP)</t>
  </si>
  <si>
    <t>Investiční transfery městským částem (OSP)</t>
  </si>
  <si>
    <t>Investiční transfery městským částem (OŠMT)</t>
  </si>
  <si>
    <t>Investiční transfery městským částem (FBV - OŠMT)</t>
  </si>
  <si>
    <t>Investiční půjčené prostředky městským částem</t>
  </si>
  <si>
    <t>Celkem z 6409 - Ostatní činnosti j.n.</t>
  </si>
  <si>
    <t>Celkový součet</t>
  </si>
  <si>
    <t>Rekapitulace (v tis. Kč)</t>
  </si>
  <si>
    <t>Schválený rozpočet 2012</t>
  </si>
  <si>
    <t>Upravený rozpočet k 31.12.2012</t>
  </si>
  <si>
    <t>Základní rozpočet</t>
  </si>
  <si>
    <t>Základní rozpočet - akce zajišťované společností BVK, a.s. (ÚZ 49)</t>
  </si>
  <si>
    <t>Fond kofinancování evropských projektů (ORG 5xxx)</t>
  </si>
  <si>
    <t>Fond rozvoje bydlení (ÚZ 40)</t>
  </si>
  <si>
    <t>Fond bytové výstavby (ÚZ 41)</t>
  </si>
  <si>
    <t>Sociální fond (ÚZ 82)</t>
  </si>
  <si>
    <t>Celkem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</si>
</sst>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_)"/>
    <numFmt numFmtId="166" formatCode="0000"/>
    <numFmt numFmtId="167" formatCode="0.0"/>
  </numFmts>
  <fonts count="44">
    <font>
      <sz val="10"/>
      <name val="Arial CE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9"/>
      <name val="Times New Roman"/>
      <family val="1"/>
    </font>
    <font>
      <sz val="9"/>
      <name val="Arial"/>
      <family val="2"/>
      <charset val="238"/>
    </font>
    <font>
      <sz val="12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2"/>
      <name val="Times New Roman CE"/>
      <family val="1"/>
      <charset val="238"/>
    </font>
    <font>
      <sz val="9"/>
      <name val="Times New Roman"/>
      <family val="1"/>
    </font>
    <font>
      <sz val="10"/>
      <color indexed="10"/>
      <name val="Times New Roman CE"/>
      <family val="1"/>
      <charset val="238"/>
    </font>
    <font>
      <sz val="10"/>
      <name val="Times New Roman CE"/>
      <charset val="238"/>
    </font>
    <font>
      <sz val="10"/>
      <color indexed="10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10"/>
      <color indexed="10"/>
      <name val="Times New Roman CE"/>
      <family val="1"/>
      <charset val="238"/>
    </font>
    <font>
      <sz val="9"/>
      <name val="Times New Roman CE"/>
      <family val="1"/>
      <charset val="238"/>
    </font>
    <font>
      <sz val="10"/>
      <color indexed="8"/>
      <name val="Times New Roman CE"/>
      <charset val="238"/>
    </font>
    <font>
      <b/>
      <sz val="10"/>
      <color indexed="8"/>
      <name val="Times New Roman CE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sz val="10"/>
      <name val="Arial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165" fontId="2" fillId="0" borderId="0"/>
    <xf numFmtId="0" fontId="4" fillId="0" borderId="0"/>
    <xf numFmtId="0" fontId="2" fillId="0" borderId="0"/>
    <xf numFmtId="0" fontId="7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2" fillId="0" borderId="0"/>
    <xf numFmtId="0" fontId="29" fillId="0" borderId="0"/>
    <xf numFmtId="0" fontId="3" fillId="0" borderId="0"/>
    <xf numFmtId="0" fontId="30" fillId="0" borderId="0"/>
  </cellStyleXfs>
  <cellXfs count="865">
    <xf numFmtId="0" fontId="0" fillId="0" borderId="0" xfId="0"/>
    <xf numFmtId="0" fontId="3" fillId="0" borderId="0" xfId="7"/>
    <xf numFmtId="0" fontId="5" fillId="0" borderId="1" xfId="7" applyFont="1" applyBorder="1" applyAlignment="1">
      <alignment horizontal="center"/>
    </xf>
    <xf numFmtId="0" fontId="6" fillId="0" borderId="0" xfId="7" applyFont="1"/>
    <xf numFmtId="3" fontId="3" fillId="0" borderId="0" xfId="7" applyNumberFormat="1"/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/>
    <xf numFmtId="3" fontId="9" fillId="2" borderId="2" xfId="0" applyNumberFormat="1" applyFont="1" applyFill="1" applyBorder="1"/>
    <xf numFmtId="0" fontId="9" fillId="0" borderId="2" xfId="7" applyFont="1" applyBorder="1" applyAlignment="1">
      <alignment horizontal="left"/>
    </xf>
    <xf numFmtId="3" fontId="9" fillId="0" borderId="2" xfId="7" applyNumberFormat="1" applyFont="1" applyFill="1" applyBorder="1"/>
    <xf numFmtId="0" fontId="9" fillId="0" borderId="2" xfId="7" applyFont="1" applyFill="1" applyBorder="1" applyAlignment="1">
      <alignment horizontal="left"/>
    </xf>
    <xf numFmtId="0" fontId="9" fillId="0" borderId="2" xfId="7" applyFont="1" applyFill="1" applyBorder="1"/>
    <xf numFmtId="0" fontId="9" fillId="0" borderId="2" xfId="0" applyFont="1" applyFill="1" applyBorder="1" applyAlignment="1">
      <alignment horizontal="left"/>
    </xf>
    <xf numFmtId="3" fontId="9" fillId="0" borderId="2" xfId="0" applyNumberFormat="1" applyFont="1" applyFill="1" applyBorder="1"/>
    <xf numFmtId="0" fontId="9" fillId="2" borderId="2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0" borderId="2" xfId="7" applyFont="1" applyFill="1" applyBorder="1" applyAlignment="1">
      <alignment horizontal="center"/>
    </xf>
    <xf numFmtId="0" fontId="3" fillId="0" borderId="0" xfId="7" applyAlignment="1">
      <alignment horizontal="left"/>
    </xf>
    <xf numFmtId="0" fontId="9" fillId="0" borderId="2" xfId="7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7" applyFont="1" applyFill="1" applyBorder="1" applyAlignment="1">
      <alignment horizontal="center" vertical="center"/>
    </xf>
    <xf numFmtId="0" fontId="3" fillId="0" borderId="0" xfId="7" applyAlignment="1">
      <alignment horizontal="center"/>
    </xf>
    <xf numFmtId="3" fontId="9" fillId="0" borderId="3" xfId="7" applyNumberFormat="1" applyFont="1" applyFill="1" applyBorder="1"/>
    <xf numFmtId="3" fontId="9" fillId="0" borderId="3" xfId="6" applyNumberFormat="1" applyFont="1" applyBorder="1"/>
    <xf numFmtId="3" fontId="9" fillId="0" borderId="3" xfId="0" applyNumberFormat="1" applyFont="1" applyBorder="1"/>
    <xf numFmtId="3" fontId="9" fillId="0" borderId="3" xfId="0" applyNumberFormat="1" applyFont="1" applyFill="1" applyBorder="1"/>
    <xf numFmtId="3" fontId="9" fillId="2" borderId="3" xfId="0" applyNumberFormat="1" applyFont="1" applyFill="1" applyBorder="1"/>
    <xf numFmtId="0" fontId="8" fillId="0" borderId="4" xfId="7" applyFont="1" applyFill="1" applyBorder="1" applyAlignment="1">
      <alignment horizontal="left"/>
    </xf>
    <xf numFmtId="0" fontId="8" fillId="0" borderId="5" xfId="7" applyFont="1" applyFill="1" applyBorder="1" applyAlignment="1">
      <alignment horizontal="left"/>
    </xf>
    <xf numFmtId="0" fontId="9" fillId="0" borderId="6" xfId="7" applyFont="1" applyFill="1" applyBorder="1" applyAlignment="1">
      <alignment horizontal="center"/>
    </xf>
    <xf numFmtId="0" fontId="9" fillId="0" borderId="6" xfId="7" applyFont="1" applyFill="1" applyBorder="1" applyAlignment="1">
      <alignment horizontal="left"/>
    </xf>
    <xf numFmtId="0" fontId="8" fillId="0" borderId="4" xfId="7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0" borderId="4" xfId="7" applyFont="1" applyFill="1" applyBorder="1" applyAlignment="1">
      <alignment horizontal="left" vertical="center"/>
    </xf>
    <xf numFmtId="164" fontId="9" fillId="0" borderId="0" xfId="7" applyNumberFormat="1" applyFont="1"/>
    <xf numFmtId="164" fontId="8" fillId="0" borderId="1" xfId="7" applyNumberFormat="1" applyFont="1" applyBorder="1" applyAlignment="1">
      <alignment horizontal="center"/>
    </xf>
    <xf numFmtId="164" fontId="8" fillId="0" borderId="7" xfId="7" applyNumberFormat="1" applyFont="1" applyBorder="1" applyAlignment="1">
      <alignment horizontal="center"/>
    </xf>
    <xf numFmtId="3" fontId="8" fillId="0" borderId="2" xfId="7" applyNumberFormat="1" applyFont="1" applyFill="1" applyBorder="1"/>
    <xf numFmtId="3" fontId="8" fillId="0" borderId="3" xfId="7" applyNumberFormat="1" applyFont="1" applyFill="1" applyBorder="1"/>
    <xf numFmtId="3" fontId="8" fillId="0" borderId="6" xfId="7" applyNumberFormat="1" applyFont="1" applyFill="1" applyBorder="1"/>
    <xf numFmtId="3" fontId="5" fillId="0" borderId="8" xfId="7" applyNumberFormat="1" applyFont="1" applyBorder="1" applyAlignment="1">
      <alignment horizontal="center"/>
    </xf>
    <xf numFmtId="3" fontId="5" fillId="0" borderId="9" xfId="7" applyNumberFormat="1" applyFont="1" applyBorder="1" applyAlignment="1">
      <alignment horizontal="center"/>
    </xf>
    <xf numFmtId="3" fontId="8" fillId="0" borderId="1" xfId="7" applyNumberFormat="1" applyFont="1" applyBorder="1" applyAlignment="1">
      <alignment horizontal="center"/>
    </xf>
    <xf numFmtId="164" fontId="9" fillId="0" borderId="10" xfId="0" applyNumberFormat="1" applyFont="1" applyBorder="1"/>
    <xf numFmtId="0" fontId="9" fillId="0" borderId="3" xfId="0" applyFont="1" applyBorder="1"/>
    <xf numFmtId="164" fontId="9" fillId="0" borderId="3" xfId="7" applyNumberFormat="1" applyFont="1" applyFill="1" applyBorder="1"/>
    <xf numFmtId="164" fontId="9" fillId="0" borderId="10" xfId="7" applyNumberFormat="1" applyFont="1" applyFill="1" applyBorder="1"/>
    <xf numFmtId="164" fontId="8" fillId="0" borderId="3" xfId="7" applyNumberFormat="1" applyFont="1" applyFill="1" applyBorder="1"/>
    <xf numFmtId="164" fontId="8" fillId="0" borderId="10" xfId="7" applyNumberFormat="1" applyFont="1" applyFill="1" applyBorder="1"/>
    <xf numFmtId="164" fontId="9" fillId="0" borderId="3" xfId="0" applyNumberFormat="1" applyFont="1" applyBorder="1"/>
    <xf numFmtId="164" fontId="9" fillId="0" borderId="3" xfId="0" applyNumberFormat="1" applyFont="1" applyFill="1" applyBorder="1"/>
    <xf numFmtId="164" fontId="9" fillId="0" borderId="10" xfId="0" applyNumberFormat="1" applyFont="1" applyFill="1" applyBorder="1"/>
    <xf numFmtId="164" fontId="9" fillId="2" borderId="3" xfId="0" applyNumberFormat="1" applyFont="1" applyFill="1" applyBorder="1"/>
    <xf numFmtId="0" fontId="5" fillId="0" borderId="11" xfId="7" applyFont="1" applyFill="1" applyBorder="1" applyAlignment="1">
      <alignment horizontal="center"/>
    </xf>
    <xf numFmtId="0" fontId="9" fillId="0" borderId="4" xfId="7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3" fontId="8" fillId="0" borderId="12" xfId="7" applyNumberFormat="1" applyFont="1" applyFill="1" applyBorder="1"/>
    <xf numFmtId="164" fontId="8" fillId="0" borderId="12" xfId="7" applyNumberFormat="1" applyFont="1" applyFill="1" applyBorder="1"/>
    <xf numFmtId="164" fontId="8" fillId="0" borderId="13" xfId="7" applyNumberFormat="1" applyFont="1" applyFill="1" applyBorder="1"/>
    <xf numFmtId="3" fontId="10" fillId="0" borderId="1" xfId="7" applyNumberFormat="1" applyFont="1" applyFill="1" applyBorder="1"/>
    <xf numFmtId="164" fontId="10" fillId="0" borderId="1" xfId="7" applyNumberFormat="1" applyFont="1" applyBorder="1"/>
    <xf numFmtId="164" fontId="10" fillId="0" borderId="7" xfId="7" applyNumberFormat="1" applyFont="1" applyBorder="1"/>
    <xf numFmtId="0" fontId="11" fillId="0" borderId="1" xfId="7" applyFont="1" applyFill="1" applyBorder="1" applyAlignment="1">
      <alignment horizontal="center"/>
    </xf>
    <xf numFmtId="0" fontId="11" fillId="0" borderId="1" xfId="7" applyFont="1" applyFill="1" applyBorder="1" applyAlignment="1">
      <alignment horizontal="left"/>
    </xf>
    <xf numFmtId="164" fontId="8" fillId="0" borderId="10" xfId="0" applyNumberFormat="1" applyFont="1" applyFill="1" applyBorder="1"/>
    <xf numFmtId="164" fontId="8" fillId="0" borderId="3" xfId="0" applyNumberFormat="1" applyFont="1" applyFill="1" applyBorder="1"/>
    <xf numFmtId="0" fontId="12" fillId="0" borderId="11" xfId="7" applyFont="1" applyFill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3" fontId="8" fillId="0" borderId="15" xfId="7" applyNumberFormat="1" applyFont="1" applyFill="1" applyBorder="1"/>
    <xf numFmtId="3" fontId="8" fillId="0" borderId="16" xfId="7" applyNumberFormat="1" applyFont="1" applyFill="1" applyBorder="1"/>
    <xf numFmtId="164" fontId="8" fillId="0" borderId="16" xfId="7" applyNumberFormat="1" applyFont="1" applyFill="1" applyBorder="1"/>
    <xf numFmtId="164" fontId="8" fillId="0" borderId="17" xfId="7" applyNumberFormat="1" applyFont="1" applyFill="1" applyBorder="1"/>
    <xf numFmtId="0" fontId="9" fillId="0" borderId="14" xfId="0" applyFont="1" applyBorder="1" applyAlignment="1">
      <alignment horizontal="center"/>
    </xf>
    <xf numFmtId="3" fontId="9" fillId="0" borderId="15" xfId="7" applyNumberFormat="1" applyFont="1" applyFill="1" applyBorder="1"/>
    <xf numFmtId="3" fontId="9" fillId="0" borderId="16" xfId="7" applyNumberFormat="1" applyFont="1" applyFill="1" applyBorder="1"/>
    <xf numFmtId="0" fontId="1" fillId="0" borderId="0" xfId="0" applyFont="1"/>
    <xf numFmtId="0" fontId="9" fillId="0" borderId="2" xfId="7" applyNumberFormat="1" applyFont="1" applyFill="1" applyBorder="1" applyAlignment="1">
      <alignment horizontal="center"/>
    </xf>
    <xf numFmtId="0" fontId="9" fillId="0" borderId="2" xfId="0" applyFont="1" applyFill="1" applyBorder="1"/>
    <xf numFmtId="164" fontId="9" fillId="2" borderId="10" xfId="0" applyNumberFormat="1" applyFont="1" applyFill="1" applyBorder="1"/>
    <xf numFmtId="3" fontId="13" fillId="2" borderId="3" xfId="0" applyNumberFormat="1" applyFont="1" applyFill="1" applyBorder="1"/>
    <xf numFmtId="164" fontId="13" fillId="2" borderId="3" xfId="0" applyNumberFormat="1" applyFont="1" applyFill="1" applyBorder="1"/>
    <xf numFmtId="164" fontId="13" fillId="2" borderId="10" xfId="0" applyNumberFormat="1" applyFont="1" applyFill="1" applyBorder="1"/>
    <xf numFmtId="0" fontId="13" fillId="0" borderId="2" xfId="5" applyFont="1" applyFill="1" applyBorder="1" applyAlignment="1">
      <alignment horizontal="left"/>
    </xf>
    <xf numFmtId="0" fontId="8" fillId="3" borderId="4" xfId="4" applyFont="1" applyFill="1" applyBorder="1" applyAlignment="1">
      <alignment horizontal="left"/>
    </xf>
    <xf numFmtId="0" fontId="8" fillId="0" borderId="14" xfId="7" applyFont="1" applyFill="1" applyBorder="1" applyAlignment="1">
      <alignment horizontal="left"/>
    </xf>
    <xf numFmtId="0" fontId="9" fillId="0" borderId="15" xfId="7" applyFont="1" applyFill="1" applyBorder="1" applyAlignment="1">
      <alignment horizontal="center"/>
    </xf>
    <xf numFmtId="0" fontId="9" fillId="0" borderId="15" xfId="7" applyFont="1" applyFill="1" applyBorder="1" applyAlignment="1">
      <alignment horizontal="left"/>
    </xf>
    <xf numFmtId="0" fontId="14" fillId="0" borderId="11" xfId="7" applyFont="1" applyFill="1" applyBorder="1" applyAlignment="1">
      <alignment horizontal="left"/>
    </xf>
    <xf numFmtId="0" fontId="9" fillId="0" borderId="2" xfId="0" applyFont="1" applyFill="1" applyBorder="1" applyAlignment="1">
      <alignment horizontal="left" shrinkToFit="1"/>
    </xf>
    <xf numFmtId="1" fontId="9" fillId="0" borderId="18" xfId="6" applyNumberFormat="1" applyFont="1" applyFill="1" applyBorder="1" applyAlignment="1">
      <alignment horizontal="left"/>
    </xf>
    <xf numFmtId="0" fontId="9" fillId="0" borderId="19" xfId="6" applyFont="1" applyFill="1" applyBorder="1" applyAlignment="1"/>
    <xf numFmtId="1" fontId="9" fillId="0" borderId="19" xfId="6" applyNumberFormat="1" applyFont="1" applyFill="1" applyBorder="1" applyAlignment="1">
      <alignment horizontal="center"/>
    </xf>
    <xf numFmtId="0" fontId="9" fillId="0" borderId="19" xfId="6" applyFont="1" applyFill="1" applyBorder="1" applyAlignment="1">
      <alignment horizontal="left"/>
    </xf>
    <xf numFmtId="3" fontId="9" fillId="0" borderId="19" xfId="6" applyNumberFormat="1" applyFont="1" applyFill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" fontId="9" fillId="0" borderId="4" xfId="6" applyNumberFormat="1" applyFont="1" applyFill="1" applyBorder="1" applyAlignment="1">
      <alignment horizontal="left"/>
    </xf>
    <xf numFmtId="1" fontId="9" fillId="0" borderId="2" xfId="6" applyNumberFormat="1" applyFont="1" applyFill="1" applyBorder="1" applyAlignment="1">
      <alignment horizontal="center"/>
    </xf>
    <xf numFmtId="0" fontId="9" fillId="0" borderId="2" xfId="6" applyFont="1" applyFill="1" applyBorder="1" applyAlignment="1">
      <alignment horizontal="left"/>
    </xf>
    <xf numFmtId="3" fontId="9" fillId="0" borderId="2" xfId="6" applyNumberFormat="1" applyFont="1" applyFill="1" applyBorder="1" applyAlignment="1">
      <alignment horizontal="right"/>
    </xf>
    <xf numFmtId="1" fontId="8" fillId="0" borderId="19" xfId="6" applyNumberFormat="1" applyFont="1" applyFill="1" applyBorder="1" applyAlignment="1"/>
    <xf numFmtId="3" fontId="8" fillId="0" borderId="2" xfId="6" applyNumberFormat="1" applyFont="1" applyFill="1" applyBorder="1" applyAlignment="1">
      <alignment horizontal="right"/>
    </xf>
    <xf numFmtId="0" fontId="8" fillId="0" borderId="19" xfId="6" applyFont="1" applyFill="1" applyBorder="1" applyAlignment="1"/>
    <xf numFmtId="3" fontId="9" fillId="0" borderId="2" xfId="4" applyNumberFormat="1" applyFont="1" applyFill="1" applyBorder="1" applyAlignment="1">
      <alignment horizontal="right"/>
    </xf>
    <xf numFmtId="164" fontId="9" fillId="0" borderId="2" xfId="6" applyNumberFormat="1" applyFont="1" applyFill="1" applyBorder="1" applyAlignment="1">
      <alignment horizontal="right"/>
    </xf>
    <xf numFmtId="164" fontId="9" fillId="0" borderId="10" xfId="6" applyNumberFormat="1" applyFont="1" applyFill="1" applyBorder="1" applyAlignment="1">
      <alignment horizontal="right"/>
    </xf>
    <xf numFmtId="1" fontId="9" fillId="0" borderId="14" xfId="6" applyNumberFormat="1" applyFont="1" applyFill="1" applyBorder="1" applyAlignment="1">
      <alignment horizontal="left"/>
    </xf>
    <xf numFmtId="0" fontId="8" fillId="0" borderId="15" xfId="6" applyFont="1" applyFill="1" applyBorder="1" applyAlignment="1"/>
    <xf numFmtId="1" fontId="9" fillId="0" borderId="15" xfId="6" applyNumberFormat="1" applyFont="1" applyFill="1" applyBorder="1" applyAlignment="1">
      <alignment horizontal="center"/>
    </xf>
    <xf numFmtId="0" fontId="9" fillId="0" borderId="15" xfId="6" applyFont="1" applyFill="1" applyBorder="1" applyAlignment="1">
      <alignment horizontal="left"/>
    </xf>
    <xf numFmtId="3" fontId="8" fillId="0" borderId="15" xfId="6" applyNumberFormat="1" applyFont="1" applyFill="1" applyBorder="1" applyAlignment="1">
      <alignment horizontal="right"/>
    </xf>
    <xf numFmtId="1" fontId="9" fillId="0" borderId="11" xfId="6" applyNumberFormat="1" applyFont="1" applyFill="1" applyBorder="1" applyAlignment="1">
      <alignment horizontal="left"/>
    </xf>
    <xf numFmtId="1" fontId="9" fillId="0" borderId="1" xfId="6" applyNumberFormat="1" applyFont="1" applyFill="1" applyBorder="1" applyAlignment="1">
      <alignment horizontal="center"/>
    </xf>
    <xf numFmtId="0" fontId="9" fillId="0" borderId="1" xfId="6" applyFont="1" applyFill="1" applyBorder="1" applyAlignment="1">
      <alignment horizontal="left"/>
    </xf>
    <xf numFmtId="0" fontId="9" fillId="0" borderId="2" xfId="4" applyFont="1" applyBorder="1" applyAlignment="1"/>
    <xf numFmtId="0" fontId="9" fillId="0" borderId="2" xfId="6" applyFont="1" applyFill="1" applyBorder="1" applyAlignment="1"/>
    <xf numFmtId="1" fontId="8" fillId="0" borderId="6" xfId="6" applyNumberFormat="1" applyFont="1" applyFill="1" applyBorder="1" applyAlignment="1"/>
    <xf numFmtId="1" fontId="8" fillId="0" borderId="8" xfId="6" applyNumberFormat="1" applyFont="1" applyFill="1" applyBorder="1" applyAlignment="1"/>
    <xf numFmtId="1" fontId="9" fillId="0" borderId="19" xfId="6" applyNumberFormat="1" applyFont="1" applyFill="1" applyBorder="1" applyAlignment="1">
      <alignment horizontal="left"/>
    </xf>
    <xf numFmtId="164" fontId="9" fillId="0" borderId="2" xfId="0" applyNumberFormat="1" applyFont="1" applyFill="1" applyBorder="1" applyAlignment="1">
      <alignment horizontal="right"/>
    </xf>
    <xf numFmtId="164" fontId="9" fillId="0" borderId="10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3" fontId="9" fillId="0" borderId="15" xfId="6" applyNumberFormat="1" applyFont="1" applyFill="1" applyBorder="1" applyAlignment="1">
      <alignment horizontal="right"/>
    </xf>
    <xf numFmtId="1" fontId="8" fillId="0" borderId="4" xfId="6" applyNumberFormat="1" applyFont="1" applyFill="1" applyBorder="1" applyAlignment="1">
      <alignment horizontal="left"/>
    </xf>
    <xf numFmtId="0" fontId="9" fillId="0" borderId="2" xfId="6" applyFont="1" applyFill="1" applyBorder="1" applyAlignment="1">
      <alignment horizontal="left" shrinkToFit="1"/>
    </xf>
    <xf numFmtId="0" fontId="9" fillId="0" borderId="15" xfId="6" applyFont="1" applyFill="1" applyBorder="1" applyAlignment="1"/>
    <xf numFmtId="1" fontId="16" fillId="0" borderId="2" xfId="6" applyNumberFormat="1" applyFont="1" applyFill="1" applyBorder="1" applyAlignment="1">
      <alignment horizontal="center"/>
    </xf>
    <xf numFmtId="0" fontId="16" fillId="0" borderId="2" xfId="6" applyFont="1" applyFill="1" applyBorder="1" applyAlignment="1"/>
    <xf numFmtId="3" fontId="9" fillId="0" borderId="15" xfId="4" applyNumberFormat="1" applyFont="1" applyFill="1" applyBorder="1" applyAlignment="1">
      <alignment horizontal="right"/>
    </xf>
    <xf numFmtId="164" fontId="8" fillId="0" borderId="8" xfId="7" applyNumberFormat="1" applyFont="1" applyBorder="1" applyAlignment="1">
      <alignment horizontal="center"/>
    </xf>
    <xf numFmtId="1" fontId="9" fillId="0" borderId="5" xfId="6" applyNumberFormat="1" applyFont="1" applyFill="1" applyBorder="1" applyAlignment="1">
      <alignment horizontal="left"/>
    </xf>
    <xf numFmtId="1" fontId="9" fillId="0" borderId="6" xfId="6" applyNumberFormat="1" applyFont="1" applyFill="1" applyBorder="1" applyAlignment="1">
      <alignment horizontal="center"/>
    </xf>
    <xf numFmtId="0" fontId="9" fillId="0" borderId="6" xfId="6" applyFont="1" applyFill="1" applyBorder="1" applyAlignment="1">
      <alignment horizontal="left"/>
    </xf>
    <xf numFmtId="3" fontId="8" fillId="0" borderId="6" xfId="6" applyNumberFormat="1" applyFont="1" applyFill="1" applyBorder="1" applyAlignment="1">
      <alignment horizontal="right"/>
    </xf>
    <xf numFmtId="164" fontId="8" fillId="0" borderId="3" xfId="0" applyNumberFormat="1" applyFont="1" applyBorder="1"/>
    <xf numFmtId="1" fontId="10" fillId="0" borderId="6" xfId="6" applyNumberFormat="1" applyFont="1" applyFill="1" applyBorder="1" applyAlignment="1"/>
    <xf numFmtId="1" fontId="10" fillId="0" borderId="1" xfId="6" applyNumberFormat="1" applyFont="1" applyFill="1" applyBorder="1" applyAlignment="1"/>
    <xf numFmtId="0" fontId="10" fillId="0" borderId="1" xfId="6" applyFont="1" applyFill="1" applyBorder="1" applyAlignment="1"/>
    <xf numFmtId="0" fontId="8" fillId="0" borderId="2" xfId="6" applyFont="1" applyFill="1" applyBorder="1" applyAlignment="1"/>
    <xf numFmtId="3" fontId="0" fillId="0" borderId="0" xfId="0" applyNumberFormat="1"/>
    <xf numFmtId="164" fontId="8" fillId="0" borderId="20" xfId="7" applyNumberFormat="1" applyFont="1" applyBorder="1" applyAlignment="1">
      <alignment horizontal="center"/>
    </xf>
    <xf numFmtId="0" fontId="0" fillId="0" borderId="0" xfId="0" applyFill="1"/>
    <xf numFmtId="1" fontId="9" fillId="0" borderId="4" xfId="4" applyNumberFormat="1" applyFont="1" applyFill="1" applyBorder="1" applyAlignment="1">
      <alignment horizontal="left"/>
    </xf>
    <xf numFmtId="1" fontId="9" fillId="0" borderId="2" xfId="4" applyNumberFormat="1" applyFont="1" applyFill="1" applyBorder="1" applyAlignment="1">
      <alignment horizontal="center"/>
    </xf>
    <xf numFmtId="0" fontId="9" fillId="0" borderId="2" xfId="4" applyFont="1" applyFill="1" applyBorder="1" applyAlignment="1"/>
    <xf numFmtId="164" fontId="9" fillId="0" borderId="2" xfId="4" applyNumberFormat="1" applyFont="1" applyFill="1" applyBorder="1" applyAlignment="1">
      <alignment horizontal="right"/>
    </xf>
    <xf numFmtId="164" fontId="9" fillId="0" borderId="10" xfId="4" applyNumberFormat="1" applyFont="1" applyFill="1" applyBorder="1" applyAlignment="1">
      <alignment horizontal="right"/>
    </xf>
    <xf numFmtId="0" fontId="9" fillId="0" borderId="2" xfId="6" applyFont="1" applyFill="1" applyBorder="1"/>
    <xf numFmtId="0" fontId="9" fillId="0" borderId="2" xfId="7" applyNumberFormat="1" applyFont="1" applyFill="1" applyBorder="1" applyAlignment="1">
      <alignment horizontal="left"/>
    </xf>
    <xf numFmtId="1" fontId="9" fillId="0" borderId="4" xfId="0" applyNumberFormat="1" applyFont="1" applyFill="1" applyBorder="1" applyAlignment="1">
      <alignment horizontal="left"/>
    </xf>
    <xf numFmtId="1" fontId="9" fillId="0" borderId="2" xfId="0" applyNumberFormat="1" applyFont="1" applyFill="1" applyBorder="1" applyAlignment="1">
      <alignment horizontal="center"/>
    </xf>
    <xf numFmtId="49" fontId="9" fillId="0" borderId="14" xfId="6" applyNumberFormat="1" applyFont="1" applyFill="1" applyBorder="1" applyAlignment="1">
      <alignment horizontal="left" shrinkToFit="1"/>
    </xf>
    <xf numFmtId="0" fontId="9" fillId="0" borderId="3" xfId="0" applyFont="1" applyFill="1" applyBorder="1" applyAlignment="1">
      <alignment horizontal="left"/>
    </xf>
    <xf numFmtId="0" fontId="9" fillId="0" borderId="2" xfId="0" applyFont="1" applyBorder="1"/>
    <xf numFmtId="49" fontId="9" fillId="0" borderId="4" xfId="6" applyNumberFormat="1" applyFont="1" applyFill="1" applyBorder="1" applyAlignment="1">
      <alignment horizontal="left" shrinkToFit="1"/>
    </xf>
    <xf numFmtId="1" fontId="9" fillId="0" borderId="2" xfId="6" applyNumberFormat="1" applyFont="1" applyFill="1" applyBorder="1" applyAlignment="1">
      <alignment horizontal="left"/>
    </xf>
    <xf numFmtId="3" fontId="8" fillId="0" borderId="1" xfId="7" applyNumberFormat="1" applyFont="1" applyFill="1" applyBorder="1" applyAlignment="1">
      <alignment horizontal="center"/>
    </xf>
    <xf numFmtId="164" fontId="8" fillId="0" borderId="1" xfId="7" applyNumberFormat="1" applyFont="1" applyFill="1" applyBorder="1" applyAlignment="1">
      <alignment horizontal="center"/>
    </xf>
    <xf numFmtId="3" fontId="8" fillId="0" borderId="19" xfId="7" applyNumberFormat="1" applyFont="1" applyFill="1" applyBorder="1" applyAlignment="1">
      <alignment horizontal="center"/>
    </xf>
    <xf numFmtId="164" fontId="9" fillId="0" borderId="19" xfId="0" applyNumberFormat="1" applyFont="1" applyFill="1" applyBorder="1" applyAlignment="1">
      <alignment horizontal="right"/>
    </xf>
    <xf numFmtId="3" fontId="8" fillId="0" borderId="6" xfId="0" applyNumberFormat="1" applyFont="1" applyFill="1" applyBorder="1" applyAlignment="1">
      <alignment horizontal="right"/>
    </xf>
    <xf numFmtId="164" fontId="8" fillId="0" borderId="6" xfId="6" applyNumberFormat="1" applyFont="1" applyFill="1" applyBorder="1" applyAlignment="1">
      <alignment horizontal="right"/>
    </xf>
    <xf numFmtId="3" fontId="8" fillId="0" borderId="19" xfId="0" applyNumberFormat="1" applyFont="1" applyFill="1" applyBorder="1" applyAlignment="1">
      <alignment horizontal="right"/>
    </xf>
    <xf numFmtId="164" fontId="8" fillId="0" borderId="19" xfId="6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164" fontId="8" fillId="0" borderId="2" xfId="6" applyNumberFormat="1" applyFont="1" applyFill="1" applyBorder="1" applyAlignment="1">
      <alignment horizontal="right"/>
    </xf>
    <xf numFmtId="164" fontId="8" fillId="0" borderId="15" xfId="6" applyNumberFormat="1" applyFont="1" applyFill="1" applyBorder="1" applyAlignment="1">
      <alignment horizontal="right"/>
    </xf>
    <xf numFmtId="164" fontId="9" fillId="0" borderId="15" xfId="4" applyNumberFormat="1" applyFont="1" applyFill="1" applyBorder="1" applyAlignment="1">
      <alignment horizontal="right"/>
    </xf>
    <xf numFmtId="164" fontId="8" fillId="0" borderId="6" xfId="4" applyNumberFormat="1" applyFont="1" applyFill="1" applyBorder="1" applyAlignment="1">
      <alignment horizontal="right"/>
    </xf>
    <xf numFmtId="164" fontId="9" fillId="0" borderId="19" xfId="4" applyNumberFormat="1" applyFont="1" applyFill="1" applyBorder="1" applyAlignment="1">
      <alignment horizontal="right"/>
    </xf>
    <xf numFmtId="3" fontId="8" fillId="0" borderId="15" xfId="0" applyNumberFormat="1" applyFont="1" applyFill="1" applyBorder="1" applyAlignment="1">
      <alignment horizontal="right"/>
    </xf>
    <xf numFmtId="164" fontId="8" fillId="0" borderId="1" xfId="6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0" fontId="9" fillId="0" borderId="8" xfId="6" applyFont="1" applyFill="1" applyBorder="1" applyAlignment="1"/>
    <xf numFmtId="0" fontId="9" fillId="0" borderId="3" xfId="0" applyFont="1" applyBorder="1" applyAlignment="1">
      <alignment horizontal="left"/>
    </xf>
    <xf numFmtId="3" fontId="17" fillId="0" borderId="2" xfId="7" applyNumberFormat="1" applyFont="1" applyFill="1" applyBorder="1"/>
    <xf numFmtId="3" fontId="17" fillId="0" borderId="3" xfId="7" applyNumberFormat="1" applyFont="1" applyFill="1" applyBorder="1"/>
    <xf numFmtId="3" fontId="17" fillId="0" borderId="2" xfId="0" applyNumberFormat="1" applyFont="1" applyFill="1" applyBorder="1"/>
    <xf numFmtId="3" fontId="17" fillId="0" borderId="3" xfId="0" applyNumberFormat="1" applyFont="1" applyFill="1" applyBorder="1"/>
    <xf numFmtId="3" fontId="17" fillId="0" borderId="2" xfId="0" applyNumberFormat="1" applyFont="1" applyFill="1" applyBorder="1" applyAlignment="1">
      <alignment horizontal="right"/>
    </xf>
    <xf numFmtId="0" fontId="8" fillId="0" borderId="1" xfId="6" applyFont="1" applyFill="1" applyBorder="1" applyAlignment="1">
      <alignment horizontal="center"/>
    </xf>
    <xf numFmtId="1" fontId="8" fillId="0" borderId="1" xfId="6" applyNumberFormat="1" applyFont="1" applyFill="1" applyBorder="1" applyAlignment="1">
      <alignment horizontal="center"/>
    </xf>
    <xf numFmtId="164" fontId="8" fillId="0" borderId="7" xfId="7" applyNumberFormat="1" applyFont="1" applyFill="1" applyBorder="1" applyAlignment="1">
      <alignment horizontal="center"/>
    </xf>
    <xf numFmtId="0" fontId="15" fillId="0" borderId="0" xfId="6" applyFont="1" applyFill="1"/>
    <xf numFmtId="164" fontId="9" fillId="0" borderId="21" xfId="0" applyNumberFormat="1" applyFont="1" applyFill="1" applyBorder="1" applyAlignment="1">
      <alignment horizontal="right"/>
    </xf>
    <xf numFmtId="0" fontId="15" fillId="0" borderId="0" xfId="0" applyFont="1" applyFill="1"/>
    <xf numFmtId="164" fontId="8" fillId="0" borderId="2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/>
    </xf>
    <xf numFmtId="0" fontId="9" fillId="0" borderId="2" xfId="4" applyFont="1" applyFill="1" applyBorder="1" applyAlignment="1">
      <alignment horizontal="left"/>
    </xf>
    <xf numFmtId="0" fontId="15" fillId="0" borderId="0" xfId="6" applyFont="1" applyFill="1" applyBorder="1"/>
    <xf numFmtId="0" fontId="9" fillId="0" borderId="2" xfId="4" applyFont="1" applyFill="1" applyBorder="1"/>
    <xf numFmtId="164" fontId="8" fillId="0" borderId="15" xfId="0" applyNumberFormat="1" applyFont="1" applyFill="1" applyBorder="1" applyAlignment="1">
      <alignment horizontal="right"/>
    </xf>
    <xf numFmtId="164" fontId="8" fillId="0" borderId="17" xfId="0" applyNumberFormat="1" applyFont="1" applyFill="1" applyBorder="1" applyAlignment="1">
      <alignment horizontal="right"/>
    </xf>
    <xf numFmtId="3" fontId="8" fillId="0" borderId="1" xfId="6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64" fontId="8" fillId="0" borderId="7" xfId="0" applyNumberFormat="1" applyFont="1" applyFill="1" applyBorder="1" applyAlignment="1">
      <alignment horizontal="right"/>
    </xf>
    <xf numFmtId="1" fontId="9" fillId="0" borderId="0" xfId="0" applyNumberFormat="1" applyFont="1" applyFill="1" applyAlignment="1">
      <alignment horizontal="left"/>
    </xf>
    <xf numFmtId="0" fontId="9" fillId="0" borderId="0" xfId="0" applyFont="1" applyFill="1" applyAlignment="1"/>
    <xf numFmtId="1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1" fontId="16" fillId="0" borderId="22" xfId="0" applyNumberFormat="1" applyFont="1" applyFill="1" applyBorder="1" applyAlignment="1">
      <alignment horizontal="left"/>
    </xf>
    <xf numFmtId="1" fontId="9" fillId="0" borderId="22" xfId="0" applyNumberFormat="1" applyFont="1" applyFill="1" applyBorder="1" applyAlignment="1">
      <alignment horizontal="center"/>
    </xf>
    <xf numFmtId="0" fontId="9" fillId="0" borderId="22" xfId="0" applyFont="1" applyFill="1" applyBorder="1" applyAlignment="1"/>
    <xf numFmtId="0" fontId="9" fillId="0" borderId="22" xfId="0" applyFont="1" applyFill="1" applyBorder="1" applyAlignment="1">
      <alignment horizontal="left"/>
    </xf>
    <xf numFmtId="3" fontId="9" fillId="0" borderId="22" xfId="0" applyNumberFormat="1" applyFont="1" applyFill="1" applyBorder="1" applyAlignment="1">
      <alignment horizontal="right"/>
    </xf>
    <xf numFmtId="164" fontId="9" fillId="0" borderId="22" xfId="0" applyNumberFormat="1" applyFont="1" applyFill="1" applyBorder="1" applyAlignment="1">
      <alignment horizontal="right"/>
    </xf>
    <xf numFmtId="3" fontId="8" fillId="0" borderId="1" xfId="7" applyNumberFormat="1" applyFont="1" applyFill="1" applyBorder="1" applyAlignment="1">
      <alignment horizontal="center" shrinkToFit="1"/>
    </xf>
    <xf numFmtId="1" fontId="8" fillId="0" borderId="23" xfId="6" applyNumberFormat="1" applyFont="1" applyFill="1" applyBorder="1" applyAlignment="1">
      <alignment horizontal="left"/>
    </xf>
    <xf numFmtId="1" fontId="8" fillId="0" borderId="8" xfId="6" applyNumberFormat="1" applyFont="1" applyFill="1" applyBorder="1" applyAlignment="1">
      <alignment horizontal="center"/>
    </xf>
    <xf numFmtId="0" fontId="8" fillId="0" borderId="8" xfId="6" applyFont="1" applyFill="1" applyBorder="1" applyAlignment="1">
      <alignment horizontal="center"/>
    </xf>
    <xf numFmtId="3" fontId="8" fillId="0" borderId="8" xfId="7" applyNumberFormat="1" applyFont="1" applyFill="1" applyBorder="1" applyAlignment="1">
      <alignment horizontal="center"/>
    </xf>
    <xf numFmtId="164" fontId="8" fillId="0" borderId="8" xfId="7" applyNumberFormat="1" applyFont="1" applyFill="1" applyBorder="1" applyAlignment="1">
      <alignment horizontal="center"/>
    </xf>
    <xf numFmtId="164" fontId="8" fillId="0" borderId="20" xfId="7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1" fontId="9" fillId="0" borderId="14" xfId="4" applyNumberFormat="1" applyFont="1" applyFill="1" applyBorder="1" applyAlignment="1">
      <alignment horizontal="left"/>
    </xf>
    <xf numFmtId="1" fontId="9" fillId="0" borderId="15" xfId="4" applyNumberFormat="1" applyFont="1" applyFill="1" applyBorder="1" applyAlignment="1">
      <alignment horizontal="center"/>
    </xf>
    <xf numFmtId="164" fontId="8" fillId="0" borderId="13" xfId="4" applyNumberFormat="1" applyFont="1" applyFill="1" applyBorder="1" applyAlignment="1">
      <alignment horizontal="right"/>
    </xf>
    <xf numFmtId="1" fontId="9" fillId="0" borderId="11" xfId="4" applyNumberFormat="1" applyFont="1" applyFill="1" applyBorder="1" applyAlignment="1">
      <alignment horizontal="left"/>
    </xf>
    <xf numFmtId="1" fontId="9" fillId="0" borderId="1" xfId="4" applyNumberFormat="1" applyFont="1" applyFill="1" applyBorder="1" applyAlignment="1">
      <alignment horizontal="center"/>
    </xf>
    <xf numFmtId="0" fontId="9" fillId="0" borderId="1" xfId="4" applyFont="1" applyFill="1" applyBorder="1" applyAlignment="1"/>
    <xf numFmtId="0" fontId="9" fillId="0" borderId="1" xfId="4" applyFont="1" applyFill="1" applyBorder="1" applyAlignment="1">
      <alignment horizontal="left"/>
    </xf>
    <xf numFmtId="3" fontId="8" fillId="0" borderId="1" xfId="4" applyNumberFormat="1" applyFont="1" applyFill="1" applyBorder="1" applyAlignment="1">
      <alignment horizontal="right"/>
    </xf>
    <xf numFmtId="164" fontId="8" fillId="0" borderId="1" xfId="4" applyNumberFormat="1" applyFont="1" applyFill="1" applyBorder="1" applyAlignment="1">
      <alignment horizontal="right"/>
    </xf>
    <xf numFmtId="164" fontId="8" fillId="0" borderId="7" xfId="4" applyNumberFormat="1" applyFont="1" applyFill="1" applyBorder="1" applyAlignment="1">
      <alignment horizontal="right"/>
    </xf>
    <xf numFmtId="164" fontId="8" fillId="0" borderId="6" xfId="0" applyNumberFormat="1" applyFont="1" applyFill="1" applyBorder="1" applyAlignment="1">
      <alignment horizontal="right"/>
    </xf>
    <xf numFmtId="164" fontId="8" fillId="0" borderId="13" xfId="0" applyNumberFormat="1" applyFont="1" applyFill="1" applyBorder="1" applyAlignment="1">
      <alignment horizontal="right"/>
    </xf>
    <xf numFmtId="1" fontId="9" fillId="0" borderId="23" xfId="0" applyNumberFormat="1" applyFont="1" applyFill="1" applyBorder="1" applyAlignment="1">
      <alignment horizontal="left"/>
    </xf>
    <xf numFmtId="0" fontId="9" fillId="0" borderId="24" xfId="0" applyFont="1" applyFill="1" applyBorder="1" applyAlignment="1"/>
    <xf numFmtId="1" fontId="9" fillId="0" borderId="24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3" fontId="9" fillId="0" borderId="24" xfId="0" applyNumberFormat="1" applyFont="1" applyFill="1" applyBorder="1" applyAlignment="1">
      <alignment horizontal="right"/>
    </xf>
    <xf numFmtId="164" fontId="9" fillId="0" borderId="24" xfId="0" applyNumberFormat="1" applyFont="1" applyFill="1" applyBorder="1" applyAlignment="1">
      <alignment horizontal="right"/>
    </xf>
    <xf numFmtId="1" fontId="9" fillId="0" borderId="15" xfId="0" applyNumberFormat="1" applyFont="1" applyFill="1" applyBorder="1" applyAlignment="1">
      <alignment horizontal="center"/>
    </xf>
    <xf numFmtId="3" fontId="9" fillId="0" borderId="25" xfId="0" applyNumberFormat="1" applyFont="1" applyFill="1" applyBorder="1" applyAlignment="1">
      <alignment horizontal="right"/>
    </xf>
    <xf numFmtId="3" fontId="9" fillId="0" borderId="15" xfId="0" applyNumberFormat="1" applyFont="1" applyFill="1" applyBorder="1" applyAlignment="1">
      <alignment horizontal="right"/>
    </xf>
    <xf numFmtId="164" fontId="9" fillId="0" borderId="15" xfId="0" applyNumberFormat="1" applyFont="1" applyFill="1" applyBorder="1" applyAlignment="1">
      <alignment horizontal="right"/>
    </xf>
    <xf numFmtId="1" fontId="9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/>
    <xf numFmtId="1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1" fontId="8" fillId="0" borderId="18" xfId="6" applyNumberFormat="1" applyFont="1" applyFill="1" applyBorder="1" applyAlignment="1">
      <alignment horizontal="left"/>
    </xf>
    <xf numFmtId="1" fontId="8" fillId="0" borderId="19" xfId="6" applyNumberFormat="1" applyFont="1" applyFill="1" applyBorder="1" applyAlignment="1">
      <alignment horizontal="center"/>
    </xf>
    <xf numFmtId="0" fontId="8" fillId="0" borderId="19" xfId="6" applyFont="1" applyFill="1" applyBorder="1" applyAlignment="1">
      <alignment horizontal="center"/>
    </xf>
    <xf numFmtId="3" fontId="9" fillId="0" borderId="2" xfId="2" applyNumberFormat="1" applyFont="1" applyFill="1" applyBorder="1" applyAlignment="1">
      <alignment horizontal="right"/>
    </xf>
    <xf numFmtId="1" fontId="9" fillId="0" borderId="6" xfId="6" applyNumberFormat="1" applyFont="1" applyFill="1" applyBorder="1" applyAlignment="1">
      <alignment horizontal="left"/>
    </xf>
    <xf numFmtId="0" fontId="9" fillId="0" borderId="6" xfId="0" applyFont="1" applyFill="1" applyBorder="1"/>
    <xf numFmtId="164" fontId="8" fillId="0" borderId="13" xfId="6" applyNumberFormat="1" applyFont="1" applyFill="1" applyBorder="1" applyAlignment="1">
      <alignment horizontal="right"/>
    </xf>
    <xf numFmtId="1" fontId="9" fillId="0" borderId="23" xfId="6" applyNumberFormat="1" applyFont="1" applyFill="1" applyBorder="1" applyAlignment="1">
      <alignment horizontal="left"/>
    </xf>
    <xf numFmtId="1" fontId="9" fillId="0" borderId="8" xfId="6" applyNumberFormat="1" applyFont="1" applyFill="1" applyBorder="1" applyAlignment="1">
      <alignment horizontal="center"/>
    </xf>
    <xf numFmtId="1" fontId="9" fillId="0" borderId="8" xfId="6" applyNumberFormat="1" applyFont="1" applyFill="1" applyBorder="1" applyAlignment="1">
      <alignment horizontal="left"/>
    </xf>
    <xf numFmtId="0" fontId="9" fillId="0" borderId="19" xfId="0" applyFont="1" applyFill="1" applyBorder="1"/>
    <xf numFmtId="164" fontId="8" fillId="0" borderId="20" xfId="6" applyNumberFormat="1" applyFont="1" applyFill="1" applyBorder="1" applyAlignment="1">
      <alignment horizontal="right"/>
    </xf>
    <xf numFmtId="164" fontId="8" fillId="0" borderId="10" xfId="6" applyNumberFormat="1" applyFont="1" applyFill="1" applyBorder="1" applyAlignment="1">
      <alignment horizontal="right"/>
    </xf>
    <xf numFmtId="0" fontId="1" fillId="0" borderId="0" xfId="0" applyFont="1" applyFill="1"/>
    <xf numFmtId="3" fontId="0" fillId="0" borderId="0" xfId="0" applyNumberFormat="1" applyFill="1"/>
    <xf numFmtId="0" fontId="9" fillId="0" borderId="2" xfId="4" applyNumberFormat="1" applyFont="1" applyFill="1" applyBorder="1" applyAlignment="1">
      <alignment horizontal="center"/>
    </xf>
    <xf numFmtId="1" fontId="9" fillId="0" borderId="18" xfId="4" applyNumberFormat="1" applyFont="1" applyFill="1" applyBorder="1" applyAlignment="1">
      <alignment horizontal="left"/>
    </xf>
    <xf numFmtId="1" fontId="9" fillId="0" borderId="19" xfId="4" applyNumberFormat="1" applyFont="1" applyFill="1" applyBorder="1" applyAlignment="1">
      <alignment horizontal="center"/>
    </xf>
    <xf numFmtId="0" fontId="9" fillId="0" borderId="19" xfId="4" applyFont="1" applyFill="1" applyBorder="1" applyAlignment="1"/>
    <xf numFmtId="0" fontId="9" fillId="0" borderId="19" xfId="4" applyFont="1" applyFill="1" applyBorder="1" applyAlignment="1">
      <alignment horizontal="left"/>
    </xf>
    <xf numFmtId="164" fontId="8" fillId="0" borderId="21" xfId="6" applyNumberFormat="1" applyFont="1" applyFill="1" applyBorder="1" applyAlignment="1">
      <alignment horizontal="right"/>
    </xf>
    <xf numFmtId="1" fontId="8" fillId="0" borderId="4" xfId="4" applyNumberFormat="1" applyFont="1" applyFill="1" applyBorder="1" applyAlignment="1">
      <alignment horizontal="left"/>
    </xf>
    <xf numFmtId="1" fontId="9" fillId="0" borderId="2" xfId="7" applyNumberFormat="1" applyFont="1" applyFill="1" applyBorder="1" applyAlignment="1">
      <alignment horizontal="center"/>
    </xf>
    <xf numFmtId="164" fontId="8" fillId="0" borderId="17" xfId="6" applyNumberFormat="1" applyFont="1" applyFill="1" applyBorder="1" applyAlignment="1">
      <alignment horizontal="right"/>
    </xf>
    <xf numFmtId="1" fontId="17" fillId="0" borderId="4" xfId="4" applyNumberFormat="1" applyFont="1" applyFill="1" applyBorder="1" applyAlignment="1">
      <alignment horizontal="left"/>
    </xf>
    <xf numFmtId="164" fontId="9" fillId="0" borderId="21" xfId="4" applyNumberFormat="1" applyFont="1" applyFill="1" applyBorder="1" applyAlignment="1">
      <alignment horizontal="right"/>
    </xf>
    <xf numFmtId="1" fontId="9" fillId="0" borderId="15" xfId="6" applyNumberFormat="1" applyFont="1" applyFill="1" applyBorder="1" applyAlignment="1">
      <alignment horizontal="left"/>
    </xf>
    <xf numFmtId="0" fontId="9" fillId="0" borderId="15" xfId="0" applyFont="1" applyFill="1" applyBorder="1"/>
    <xf numFmtId="166" fontId="9" fillId="0" borderId="2" xfId="4" applyNumberFormat="1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right"/>
    </xf>
    <xf numFmtId="164" fontId="8" fillId="0" borderId="7" xfId="6" applyNumberFormat="1" applyFont="1" applyFill="1" applyBorder="1" applyAlignment="1">
      <alignment horizontal="right"/>
    </xf>
    <xf numFmtId="0" fontId="3" fillId="0" borderId="0" xfId="7" applyFill="1"/>
    <xf numFmtId="164" fontId="10" fillId="0" borderId="1" xfId="7" applyNumberFormat="1" applyFont="1" applyFill="1" applyBorder="1"/>
    <xf numFmtId="164" fontId="10" fillId="0" borderId="7" xfId="7" applyNumberFormat="1" applyFont="1" applyFill="1" applyBorder="1"/>
    <xf numFmtId="0" fontId="3" fillId="0" borderId="0" xfId="7" applyFill="1" applyAlignment="1">
      <alignment horizontal="left"/>
    </xf>
    <xf numFmtId="0" fontId="3" fillId="0" borderId="0" xfId="7" applyFill="1" applyAlignment="1">
      <alignment horizontal="center"/>
    </xf>
    <xf numFmtId="3" fontId="3" fillId="0" borderId="0" xfId="7" applyNumberFormat="1" applyFill="1"/>
    <xf numFmtId="164" fontId="9" fillId="0" borderId="0" xfId="7" applyNumberFormat="1" applyFont="1" applyFill="1"/>
    <xf numFmtId="1" fontId="8" fillId="0" borderId="11" xfId="6" applyNumberFormat="1" applyFont="1" applyFill="1" applyBorder="1" applyAlignment="1">
      <alignment horizontal="center"/>
    </xf>
    <xf numFmtId="1" fontId="8" fillId="0" borderId="2" xfId="6" applyNumberFormat="1" applyFont="1" applyFill="1" applyBorder="1" applyAlignment="1"/>
    <xf numFmtId="3" fontId="8" fillId="0" borderId="2" xfId="4" applyNumberFormat="1" applyFont="1" applyFill="1" applyBorder="1" applyAlignment="1">
      <alignment horizontal="right"/>
    </xf>
    <xf numFmtId="164" fontId="8" fillId="0" borderId="2" xfId="4" applyNumberFormat="1" applyFont="1" applyFill="1" applyBorder="1" applyAlignment="1">
      <alignment horizontal="right"/>
    </xf>
    <xf numFmtId="164" fontId="8" fillId="0" borderId="10" xfId="4" applyNumberFormat="1" applyFont="1" applyFill="1" applyBorder="1" applyAlignment="1">
      <alignment horizontal="right"/>
    </xf>
    <xf numFmtId="0" fontId="6" fillId="0" borderId="0" xfId="7" applyFont="1" applyFill="1"/>
    <xf numFmtId="3" fontId="8" fillId="0" borderId="19" xfId="4" applyNumberFormat="1" applyFont="1" applyFill="1" applyBorder="1" applyAlignment="1">
      <alignment horizontal="right"/>
    </xf>
    <xf numFmtId="164" fontId="8" fillId="0" borderId="19" xfId="4" applyNumberFormat="1" applyFont="1" applyFill="1" applyBorder="1" applyAlignment="1">
      <alignment horizontal="right"/>
    </xf>
    <xf numFmtId="164" fontId="8" fillId="0" borderId="21" xfId="4" applyNumberFormat="1" applyFont="1" applyFill="1" applyBorder="1" applyAlignment="1">
      <alignment horizontal="right"/>
    </xf>
    <xf numFmtId="1" fontId="9" fillId="0" borderId="5" xfId="4" applyNumberFormat="1" applyFont="1" applyFill="1" applyBorder="1" applyAlignment="1">
      <alignment horizontal="left"/>
    </xf>
    <xf numFmtId="1" fontId="9" fillId="0" borderId="6" xfId="4" applyNumberFormat="1" applyFont="1" applyFill="1" applyBorder="1" applyAlignment="1">
      <alignment horizontal="center"/>
    </xf>
    <xf numFmtId="0" fontId="9" fillId="0" borderId="6" xfId="4" applyFont="1" applyFill="1" applyBorder="1" applyAlignment="1"/>
    <xf numFmtId="0" fontId="9" fillId="0" borderId="6" xfId="4" applyFont="1" applyFill="1" applyBorder="1" applyAlignment="1">
      <alignment horizontal="left"/>
    </xf>
    <xf numFmtId="3" fontId="8" fillId="0" borderId="6" xfId="4" applyNumberFormat="1" applyFont="1" applyFill="1" applyBorder="1" applyAlignment="1">
      <alignment horizontal="right"/>
    </xf>
    <xf numFmtId="1" fontId="8" fillId="0" borderId="4" xfId="6" applyNumberFormat="1" applyFont="1" applyFill="1" applyBorder="1" applyAlignment="1"/>
    <xf numFmtId="0" fontId="0" fillId="4" borderId="0" xfId="0" applyFill="1"/>
    <xf numFmtId="0" fontId="15" fillId="4" borderId="0" xfId="6" applyFont="1" applyFill="1" applyBorder="1"/>
    <xf numFmtId="0" fontId="18" fillId="0" borderId="0" xfId="0" applyFont="1" applyFill="1"/>
    <xf numFmtId="0" fontId="8" fillId="2" borderId="26" xfId="0" applyFont="1" applyFill="1" applyBorder="1" applyAlignment="1">
      <alignment horizontal="left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left"/>
    </xf>
    <xf numFmtId="3" fontId="8" fillId="4" borderId="9" xfId="7" applyNumberFormat="1" applyFont="1" applyFill="1" applyBorder="1" applyAlignment="1">
      <alignment horizontal="center"/>
    </xf>
    <xf numFmtId="0" fontId="1" fillId="4" borderId="0" xfId="0" applyFont="1" applyFill="1"/>
    <xf numFmtId="0" fontId="5" fillId="0" borderId="29" xfId="7" applyFont="1" applyFill="1" applyBorder="1" applyAlignment="1">
      <alignment horizontal="left"/>
    </xf>
    <xf numFmtId="0" fontId="5" fillId="0" borderId="30" xfId="7" applyFont="1" applyFill="1" applyBorder="1" applyAlignment="1">
      <alignment horizontal="left"/>
    </xf>
    <xf numFmtId="0" fontId="5" fillId="0" borderId="31" xfId="7" applyFont="1" applyFill="1" applyBorder="1" applyAlignment="1">
      <alignment horizontal="left"/>
    </xf>
    <xf numFmtId="0" fontId="8" fillId="0" borderId="26" xfId="0" applyFont="1" applyFill="1" applyBorder="1" applyAlignment="1">
      <alignment horizontal="left"/>
    </xf>
    <xf numFmtId="0" fontId="0" fillId="0" borderId="27" xfId="0" applyBorder="1" applyAlignment="1"/>
    <xf numFmtId="0" fontId="0" fillId="0" borderId="28" xfId="0" applyBorder="1" applyAlignment="1"/>
    <xf numFmtId="0" fontId="8" fillId="0" borderId="26" xfId="0" applyFont="1" applyBorder="1" applyAlignment="1">
      <alignment horizontal="left"/>
    </xf>
    <xf numFmtId="0" fontId="9" fillId="0" borderId="0" xfId="0" applyFont="1" applyFill="1" applyAlignment="1">
      <alignment horizontal="right"/>
    </xf>
    <xf numFmtId="0" fontId="8" fillId="0" borderId="1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center" shrinkToFit="1"/>
    </xf>
    <xf numFmtId="49" fontId="8" fillId="0" borderId="35" xfId="0" applyNumberFormat="1" applyFont="1" applyFill="1" applyBorder="1" applyAlignment="1">
      <alignment horizontal="center" shrinkToFit="1"/>
    </xf>
    <xf numFmtId="0" fontId="9" fillId="0" borderId="0" xfId="0" applyFont="1" applyFill="1"/>
    <xf numFmtId="0" fontId="8" fillId="0" borderId="36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3" fontId="8" fillId="0" borderId="39" xfId="0" applyNumberFormat="1" applyFont="1" applyFill="1" applyBorder="1" applyAlignment="1">
      <alignment horizontal="center"/>
    </xf>
    <xf numFmtId="3" fontId="8" fillId="0" borderId="37" xfId="0" applyNumberFormat="1" applyFont="1" applyFill="1" applyBorder="1" applyAlignment="1">
      <alignment horizontal="center"/>
    </xf>
    <xf numFmtId="3" fontId="8" fillId="5" borderId="40" xfId="0" applyNumberFormat="1" applyFont="1" applyFill="1" applyBorder="1" applyAlignment="1">
      <alignment horizontal="center"/>
    </xf>
    <xf numFmtId="164" fontId="8" fillId="0" borderId="36" xfId="0" applyNumberFormat="1" applyFont="1" applyFill="1" applyBorder="1" applyAlignment="1">
      <alignment horizontal="center"/>
    </xf>
    <xf numFmtId="164" fontId="8" fillId="0" borderId="41" xfId="0" applyNumberFormat="1" applyFont="1" applyFill="1" applyBorder="1" applyAlignment="1">
      <alignment horizontal="center"/>
    </xf>
    <xf numFmtId="0" fontId="14" fillId="0" borderId="4" xfId="9" applyFont="1" applyFill="1" applyBorder="1" applyAlignment="1">
      <alignment horizontal="left"/>
    </xf>
    <xf numFmtId="0" fontId="9" fillId="0" borderId="3" xfId="7" applyFont="1" applyFill="1" applyBorder="1" applyAlignment="1">
      <alignment horizontal="left"/>
    </xf>
    <xf numFmtId="3" fontId="9" fillId="0" borderId="26" xfId="7" applyNumberFormat="1" applyFont="1" applyFill="1" applyBorder="1" applyAlignment="1">
      <alignment horizontal="right"/>
    </xf>
    <xf numFmtId="3" fontId="9" fillId="0" borderId="2" xfId="7" applyNumberFormat="1" applyFont="1" applyFill="1" applyBorder="1" applyAlignment="1">
      <alignment horizontal="right"/>
    </xf>
    <xf numFmtId="3" fontId="9" fillId="5" borderId="27" xfId="7" applyNumberFormat="1" applyFont="1" applyFill="1" applyBorder="1" applyAlignment="1">
      <alignment horizontal="right"/>
    </xf>
    <xf numFmtId="3" fontId="9" fillId="0" borderId="4" xfId="7" applyNumberFormat="1" applyFont="1" applyFill="1" applyBorder="1" applyAlignment="1">
      <alignment horizontal="right"/>
    </xf>
    <xf numFmtId="164" fontId="9" fillId="0" borderId="42" xfId="7" applyNumberFormat="1" applyFont="1" applyFill="1" applyBorder="1" applyAlignment="1">
      <alignment horizontal="right"/>
    </xf>
    <xf numFmtId="0" fontId="9" fillId="0" borderId="4" xfId="9" applyFont="1" applyFill="1" applyBorder="1" applyAlignment="1">
      <alignment horizontal="left"/>
    </xf>
    <xf numFmtId="0" fontId="9" fillId="0" borderId="2" xfId="9" applyFont="1" applyFill="1" applyBorder="1" applyAlignment="1">
      <alignment horizontal="left"/>
    </xf>
    <xf numFmtId="0" fontId="8" fillId="0" borderId="4" xfId="9" applyFont="1" applyFill="1" applyBorder="1" applyAlignment="1">
      <alignment horizontal="left"/>
    </xf>
    <xf numFmtId="0" fontId="8" fillId="0" borderId="2" xfId="9" applyFont="1" applyFill="1" applyBorder="1" applyAlignment="1">
      <alignment horizontal="left"/>
    </xf>
    <xf numFmtId="0" fontId="8" fillId="0" borderId="2" xfId="7" applyFont="1" applyFill="1" applyBorder="1" applyAlignment="1">
      <alignment horizontal="left"/>
    </xf>
    <xf numFmtId="0" fontId="8" fillId="0" borderId="3" xfId="7" applyFont="1" applyFill="1" applyBorder="1" applyAlignment="1">
      <alignment horizontal="left"/>
    </xf>
    <xf numFmtId="3" fontId="8" fillId="0" borderId="26" xfId="9" applyNumberFormat="1" applyFont="1" applyFill="1" applyBorder="1" applyAlignment="1"/>
    <xf numFmtId="3" fontId="8" fillId="0" borderId="2" xfId="9" applyNumberFormat="1" applyFont="1" applyFill="1" applyBorder="1" applyAlignment="1"/>
    <xf numFmtId="3" fontId="8" fillId="5" borderId="27" xfId="9" applyNumberFormat="1" applyFont="1" applyFill="1" applyBorder="1" applyAlignment="1"/>
    <xf numFmtId="3" fontId="8" fillId="0" borderId="4" xfId="9" applyNumberFormat="1" applyFont="1" applyFill="1" applyBorder="1" applyAlignment="1"/>
    <xf numFmtId="164" fontId="8" fillId="0" borderId="42" xfId="9" applyNumberFormat="1" applyFont="1" applyFill="1" applyBorder="1" applyAlignment="1"/>
    <xf numFmtId="0" fontId="9" fillId="0" borderId="2" xfId="9" applyFont="1" applyFill="1" applyBorder="1" applyAlignment="1">
      <alignment horizontal="left" shrinkToFit="1"/>
    </xf>
    <xf numFmtId="0" fontId="9" fillId="0" borderId="3" xfId="9" applyFont="1" applyFill="1" applyBorder="1" applyAlignment="1">
      <alignment horizontal="left"/>
    </xf>
    <xf numFmtId="0" fontId="8" fillId="0" borderId="3" xfId="9" applyFont="1" applyFill="1" applyBorder="1" applyAlignment="1">
      <alignment horizontal="left"/>
    </xf>
    <xf numFmtId="0" fontId="9" fillId="0" borderId="2" xfId="5" applyFont="1" applyFill="1" applyBorder="1" applyAlignment="1">
      <alignment horizontal="left"/>
    </xf>
    <xf numFmtId="0" fontId="8" fillId="0" borderId="2" xfId="5" applyFont="1" applyFill="1" applyBorder="1" applyAlignment="1">
      <alignment horizontal="left"/>
    </xf>
    <xf numFmtId="0" fontId="8" fillId="0" borderId="3" xfId="5" applyFont="1" applyFill="1" applyBorder="1" applyAlignment="1">
      <alignment horizontal="left"/>
    </xf>
    <xf numFmtId="0" fontId="9" fillId="0" borderId="3" xfId="5" applyFont="1" applyFill="1" applyBorder="1" applyAlignment="1">
      <alignment horizontal="left"/>
    </xf>
    <xf numFmtId="0" fontId="8" fillId="0" borderId="6" xfId="7" applyFont="1" applyFill="1" applyBorder="1" applyAlignment="1">
      <alignment horizontal="left"/>
    </xf>
    <xf numFmtId="0" fontId="8" fillId="0" borderId="12" xfId="7" applyFont="1" applyFill="1" applyBorder="1" applyAlignment="1">
      <alignment horizontal="left"/>
    </xf>
    <xf numFmtId="3" fontId="8" fillId="0" borderId="43" xfId="7" applyNumberFormat="1" applyFont="1" applyFill="1" applyBorder="1" applyAlignment="1"/>
    <xf numFmtId="3" fontId="8" fillId="0" borderId="6" xfId="7" applyNumberFormat="1" applyFont="1" applyFill="1" applyBorder="1" applyAlignment="1"/>
    <xf numFmtId="3" fontId="8" fillId="5" borderId="44" xfId="7" applyNumberFormat="1" applyFont="1" applyFill="1" applyBorder="1" applyAlignment="1"/>
    <xf numFmtId="3" fontId="8" fillId="0" borderId="5" xfId="7" applyNumberFormat="1" applyFont="1" applyFill="1" applyBorder="1" applyAlignment="1"/>
    <xf numFmtId="164" fontId="8" fillId="0" borderId="45" xfId="7" applyNumberFormat="1" applyFont="1" applyFill="1" applyBorder="1" applyAlignment="1"/>
    <xf numFmtId="0" fontId="8" fillId="0" borderId="4" xfId="10" applyFont="1" applyFill="1" applyBorder="1" applyAlignment="1">
      <alignment horizontal="left"/>
    </xf>
    <xf numFmtId="0" fontId="8" fillId="0" borderId="2" xfId="10" applyFont="1" applyFill="1" applyBorder="1" applyAlignment="1">
      <alignment horizontal="left"/>
    </xf>
    <xf numFmtId="0" fontId="8" fillId="0" borderId="2" xfId="10" applyFont="1" applyFill="1" applyBorder="1" applyAlignment="1">
      <alignment horizontal="left" wrapText="1"/>
    </xf>
    <xf numFmtId="0" fontId="8" fillId="0" borderId="3" xfId="10" applyFont="1" applyFill="1" applyBorder="1" applyAlignment="1">
      <alignment horizontal="left" wrapText="1"/>
    </xf>
    <xf numFmtId="3" fontId="8" fillId="0" borderId="36" xfId="7" applyNumberFormat="1" applyFont="1" applyFill="1" applyBorder="1" applyAlignment="1">
      <alignment horizontal="right" vertical="center"/>
    </xf>
    <xf numFmtId="3" fontId="8" fillId="0" borderId="2" xfId="7" applyNumberFormat="1" applyFont="1" applyFill="1" applyBorder="1" applyAlignment="1">
      <alignment horizontal="right" vertical="center"/>
    </xf>
    <xf numFmtId="3" fontId="8" fillId="5" borderId="27" xfId="7" applyNumberFormat="1" applyFont="1" applyFill="1" applyBorder="1" applyAlignment="1">
      <alignment horizontal="right" vertical="center"/>
    </xf>
    <xf numFmtId="3" fontId="8" fillId="0" borderId="4" xfId="10" applyNumberFormat="1" applyFont="1" applyFill="1" applyBorder="1" applyAlignment="1"/>
    <xf numFmtId="164" fontId="8" fillId="0" borderId="42" xfId="10" applyNumberFormat="1" applyFont="1" applyFill="1" applyBorder="1" applyAlignment="1"/>
    <xf numFmtId="0" fontId="14" fillId="0" borderId="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7" fillId="0" borderId="46" xfId="0" applyFont="1" applyFill="1" applyBorder="1" applyAlignment="1">
      <alignment horizontal="center"/>
    </xf>
    <xf numFmtId="3" fontId="17" fillId="0" borderId="29" xfId="0" applyNumberFormat="1" applyFont="1" applyFill="1" applyBorder="1" applyAlignment="1">
      <alignment horizontal="center"/>
    </xf>
    <xf numFmtId="3" fontId="9" fillId="0" borderId="19" xfId="0" applyNumberFormat="1" applyFont="1" applyFill="1" applyBorder="1" applyAlignment="1">
      <alignment horizontal="center"/>
    </xf>
    <xf numFmtId="3" fontId="9" fillId="5" borderId="30" xfId="0" applyNumberFormat="1" applyFont="1" applyFill="1" applyBorder="1" applyAlignment="1">
      <alignment horizontal="center"/>
    </xf>
    <xf numFmtId="3" fontId="17" fillId="0" borderId="18" xfId="0" applyNumberFormat="1" applyFont="1" applyFill="1" applyBorder="1" applyAlignment="1">
      <alignment horizontal="center"/>
    </xf>
    <xf numFmtId="164" fontId="17" fillId="0" borderId="47" xfId="0" applyNumberFormat="1" applyFont="1" applyFill="1" applyBorder="1" applyAlignment="1">
      <alignment horizontal="center"/>
    </xf>
    <xf numFmtId="0" fontId="9" fillId="0" borderId="4" xfId="7" applyFont="1" applyFill="1" applyBorder="1" applyAlignment="1">
      <alignment horizontal="left"/>
    </xf>
    <xf numFmtId="0" fontId="9" fillId="0" borderId="2" xfId="11" applyFont="1" applyFill="1" applyBorder="1"/>
    <xf numFmtId="0" fontId="9" fillId="0" borderId="2" xfId="10" applyFont="1" applyFill="1" applyBorder="1" applyAlignment="1">
      <alignment horizontal="left" wrapText="1"/>
    </xf>
    <xf numFmtId="3" fontId="17" fillId="0" borderId="18" xfId="0" applyNumberFormat="1" applyFont="1" applyFill="1" applyBorder="1" applyAlignment="1">
      <alignment horizontal="right"/>
    </xf>
    <xf numFmtId="164" fontId="17" fillId="0" borderId="47" xfId="0" applyNumberFormat="1" applyFont="1" applyFill="1" applyBorder="1" applyAlignment="1">
      <alignment horizontal="right"/>
    </xf>
    <xf numFmtId="0" fontId="17" fillId="0" borderId="46" xfId="0" applyFont="1" applyFill="1" applyBorder="1" applyAlignment="1">
      <alignment horizontal="left"/>
    </xf>
    <xf numFmtId="0" fontId="17" fillId="0" borderId="0" xfId="0" applyFont="1" applyFill="1"/>
    <xf numFmtId="3" fontId="20" fillId="0" borderId="29" xfId="0" applyNumberFormat="1" applyFont="1" applyFill="1" applyBorder="1" applyAlignment="1">
      <alignment horizontal="right"/>
    </xf>
    <xf numFmtId="3" fontId="8" fillId="5" borderId="30" xfId="0" applyNumberFormat="1" applyFont="1" applyFill="1" applyBorder="1" applyAlignment="1">
      <alignment horizontal="right"/>
    </xf>
    <xf numFmtId="3" fontId="20" fillId="0" borderId="18" xfId="0" applyNumberFormat="1" applyFont="1" applyFill="1" applyBorder="1" applyAlignment="1">
      <alignment horizontal="right"/>
    </xf>
    <xf numFmtId="164" fontId="20" fillId="0" borderId="47" xfId="0" applyNumberFormat="1" applyFont="1" applyFill="1" applyBorder="1" applyAlignment="1">
      <alignment horizontal="right"/>
    </xf>
    <xf numFmtId="0" fontId="17" fillId="0" borderId="4" xfId="7" applyFont="1" applyFill="1" applyBorder="1" applyAlignment="1">
      <alignment horizontal="left"/>
    </xf>
    <xf numFmtId="0" fontId="17" fillId="0" borderId="2" xfId="7" applyFont="1" applyFill="1" applyBorder="1" applyAlignment="1">
      <alignment horizontal="left"/>
    </xf>
    <xf numFmtId="0" fontId="17" fillId="0" borderId="2" xfId="9" applyFont="1" applyFill="1" applyBorder="1" applyAlignment="1">
      <alignment horizontal="left"/>
    </xf>
    <xf numFmtId="3" fontId="9" fillId="0" borderId="19" xfId="0" applyNumberFormat="1" applyFont="1" applyFill="1" applyBorder="1" applyAlignment="1">
      <alignment horizontal="right"/>
    </xf>
    <xf numFmtId="3" fontId="9" fillId="5" borderId="30" xfId="0" applyNumberFormat="1" applyFont="1" applyFill="1" applyBorder="1" applyAlignment="1">
      <alignment horizontal="right"/>
    </xf>
    <xf numFmtId="0" fontId="17" fillId="0" borderId="2" xfId="5" applyFont="1" applyFill="1" applyBorder="1" applyAlignment="1">
      <alignment horizontal="left"/>
    </xf>
    <xf numFmtId="0" fontId="17" fillId="0" borderId="3" xfId="5" applyFont="1" applyFill="1" applyBorder="1" applyAlignment="1">
      <alignment horizontal="left"/>
    </xf>
    <xf numFmtId="0" fontId="17" fillId="0" borderId="46" xfId="0" applyFont="1" applyFill="1" applyBorder="1" applyAlignment="1"/>
    <xf numFmtId="3" fontId="20" fillId="0" borderId="26" xfId="7" applyNumberFormat="1" applyFont="1" applyFill="1" applyBorder="1" applyAlignment="1">
      <alignment horizontal="right"/>
    </xf>
    <xf numFmtId="3" fontId="8" fillId="0" borderId="2" xfId="7" applyNumberFormat="1" applyFont="1" applyFill="1" applyBorder="1" applyAlignment="1">
      <alignment horizontal="right"/>
    </xf>
    <xf numFmtId="3" fontId="8" fillId="5" borderId="27" xfId="7" applyNumberFormat="1" applyFont="1" applyFill="1" applyBorder="1" applyAlignment="1">
      <alignment horizontal="right"/>
    </xf>
    <xf numFmtId="3" fontId="20" fillId="0" borderId="4" xfId="7" applyNumberFormat="1" applyFont="1" applyFill="1" applyBorder="1" applyAlignment="1">
      <alignment horizontal="right"/>
    </xf>
    <xf numFmtId="164" fontId="20" fillId="0" borderId="42" xfId="7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horizontal="left"/>
    </xf>
    <xf numFmtId="3" fontId="17" fillId="0" borderId="4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0" fontId="20" fillId="0" borderId="0" xfId="0" applyFont="1" applyFill="1"/>
    <xf numFmtId="0" fontId="8" fillId="0" borderId="15" xfId="7" applyFont="1" applyFill="1" applyBorder="1" applyAlignment="1">
      <alignment horizontal="left"/>
    </xf>
    <xf numFmtId="0" fontId="8" fillId="0" borderId="16" xfId="7" applyFont="1" applyFill="1" applyBorder="1" applyAlignment="1">
      <alignment horizontal="left"/>
    </xf>
    <xf numFmtId="3" fontId="8" fillId="0" borderId="48" xfId="7" applyNumberFormat="1" applyFont="1" applyFill="1" applyBorder="1" applyAlignment="1"/>
    <xf numFmtId="3" fontId="8" fillId="0" borderId="15" xfId="7" applyNumberFormat="1" applyFont="1" applyFill="1" applyBorder="1" applyAlignment="1"/>
    <xf numFmtId="3" fontId="8" fillId="5" borderId="25" xfId="7" applyNumberFormat="1" applyFont="1" applyFill="1" applyBorder="1" applyAlignment="1"/>
    <xf numFmtId="3" fontId="8" fillId="0" borderId="14" xfId="7" applyNumberFormat="1" applyFont="1" applyFill="1" applyBorder="1" applyAlignment="1"/>
    <xf numFmtId="164" fontId="8" fillId="0" borderId="49" xfId="7" applyNumberFormat="1" applyFont="1" applyFill="1" applyBorder="1" applyAlignment="1"/>
    <xf numFmtId="0" fontId="21" fillId="0" borderId="4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3" fontId="20" fillId="0" borderId="26" xfId="9" applyNumberFormat="1" applyFont="1" applyFill="1" applyBorder="1" applyAlignment="1">
      <alignment horizontal="center"/>
    </xf>
    <xf numFmtId="3" fontId="8" fillId="0" borderId="2" xfId="9" applyNumberFormat="1" applyFont="1" applyFill="1" applyBorder="1" applyAlignment="1">
      <alignment horizontal="center"/>
    </xf>
    <xf numFmtId="3" fontId="8" fillId="5" borderId="27" xfId="9" applyNumberFormat="1" applyFont="1" applyFill="1" applyBorder="1" applyAlignment="1">
      <alignment horizontal="center"/>
    </xf>
    <xf numFmtId="3" fontId="20" fillId="0" borderId="4" xfId="9" applyNumberFormat="1" applyFont="1" applyFill="1" applyBorder="1" applyAlignment="1">
      <alignment horizontal="center"/>
    </xf>
    <xf numFmtId="164" fontId="20" fillId="0" borderId="42" xfId="9" applyNumberFormat="1" applyFont="1" applyFill="1" applyBorder="1" applyAlignment="1">
      <alignment horizontal="center"/>
    </xf>
    <xf numFmtId="0" fontId="20" fillId="0" borderId="4" xfId="7" applyFont="1" applyFill="1" applyBorder="1" applyAlignment="1">
      <alignment horizontal="left"/>
    </xf>
    <xf numFmtId="0" fontId="20" fillId="0" borderId="2" xfId="7" applyFont="1" applyFill="1" applyBorder="1" applyAlignment="1">
      <alignment horizontal="left"/>
    </xf>
    <xf numFmtId="0" fontId="20" fillId="0" borderId="3" xfId="7" applyFont="1" applyFill="1" applyBorder="1" applyAlignment="1">
      <alignment horizontal="left"/>
    </xf>
    <xf numFmtId="3" fontId="20" fillId="0" borderId="26" xfId="7" applyNumberFormat="1" applyFont="1" applyFill="1" applyBorder="1" applyAlignment="1"/>
    <xf numFmtId="3" fontId="8" fillId="0" borderId="2" xfId="7" applyNumberFormat="1" applyFont="1" applyFill="1" applyBorder="1" applyAlignment="1"/>
    <xf numFmtId="3" fontId="8" fillId="5" borderId="27" xfId="7" applyNumberFormat="1" applyFont="1" applyFill="1" applyBorder="1" applyAlignment="1"/>
    <xf numFmtId="3" fontId="20" fillId="0" borderId="4" xfId="7" applyNumberFormat="1" applyFont="1" applyFill="1" applyBorder="1" applyAlignment="1"/>
    <xf numFmtId="164" fontId="20" fillId="0" borderId="42" xfId="7" applyNumberFormat="1" applyFont="1" applyFill="1" applyBorder="1" applyAlignment="1"/>
    <xf numFmtId="3" fontId="17" fillId="0" borderId="4" xfId="7" applyNumberFormat="1" applyFont="1" applyFill="1" applyBorder="1" applyAlignment="1"/>
    <xf numFmtId="164" fontId="17" fillId="0" borderId="42" xfId="7" applyNumberFormat="1" applyFont="1" applyFill="1" applyBorder="1" applyAlignment="1"/>
    <xf numFmtId="0" fontId="9" fillId="0" borderId="2" xfId="10" applyFont="1" applyFill="1" applyBorder="1" applyAlignment="1">
      <alignment horizontal="left"/>
    </xf>
    <xf numFmtId="0" fontId="17" fillId="0" borderId="3" xfId="7" applyFont="1" applyFill="1" applyBorder="1" applyAlignment="1">
      <alignment horizontal="left"/>
    </xf>
    <xf numFmtId="3" fontId="9" fillId="0" borderId="4" xfId="7" applyNumberFormat="1" applyFont="1" applyFill="1" applyBorder="1" applyAlignment="1"/>
    <xf numFmtId="164" fontId="9" fillId="0" borderId="42" xfId="7" applyNumberFormat="1" applyFont="1" applyFill="1" applyBorder="1" applyAlignment="1"/>
    <xf numFmtId="0" fontId="9" fillId="0" borderId="2" xfId="7" applyFont="1" applyFill="1" applyBorder="1" applyAlignment="1">
      <alignment horizontal="left" shrinkToFit="1"/>
    </xf>
    <xf numFmtId="3" fontId="9" fillId="0" borderId="14" xfId="7" applyNumberFormat="1" applyFont="1" applyFill="1" applyBorder="1" applyAlignment="1">
      <alignment vertical="center"/>
    </xf>
    <xf numFmtId="164" fontId="9" fillId="0" borderId="49" xfId="7" applyNumberFormat="1" applyFont="1" applyFill="1" applyBorder="1" applyAlignment="1">
      <alignment vertical="center"/>
    </xf>
    <xf numFmtId="3" fontId="9" fillId="0" borderId="4" xfId="7" applyNumberFormat="1" applyFont="1" applyFill="1" applyBorder="1" applyAlignment="1">
      <alignment vertical="center"/>
    </xf>
    <xf numFmtId="164" fontId="9" fillId="0" borderId="42" xfId="7" applyNumberFormat="1" applyFont="1" applyFill="1" applyBorder="1" applyAlignment="1">
      <alignment vertical="center"/>
    </xf>
    <xf numFmtId="3" fontId="9" fillId="0" borderId="18" xfId="7" applyNumberFormat="1" applyFont="1" applyFill="1" applyBorder="1" applyAlignment="1">
      <alignment vertical="center"/>
    </xf>
    <xf numFmtId="164" fontId="9" fillId="0" borderId="47" xfId="7" applyNumberFormat="1" applyFont="1" applyFill="1" applyBorder="1" applyAlignment="1">
      <alignment vertical="center"/>
    </xf>
    <xf numFmtId="0" fontId="9" fillId="0" borderId="3" xfId="10" applyFont="1" applyFill="1" applyBorder="1" applyAlignment="1">
      <alignment horizontal="left" wrapText="1"/>
    </xf>
    <xf numFmtId="0" fontId="20" fillId="0" borderId="2" xfId="10" applyFont="1" applyFill="1" applyBorder="1" applyAlignment="1">
      <alignment horizontal="left" wrapText="1"/>
    </xf>
    <xf numFmtId="0" fontId="20" fillId="0" borderId="3" xfId="10" applyFont="1" applyFill="1" applyBorder="1" applyAlignment="1">
      <alignment horizontal="left" wrapText="1"/>
    </xf>
    <xf numFmtId="0" fontId="20" fillId="0" borderId="16" xfId="7" applyFont="1" applyFill="1" applyBorder="1" applyAlignment="1">
      <alignment horizontal="left"/>
    </xf>
    <xf numFmtId="3" fontId="17" fillId="0" borderId="26" xfId="7" applyNumberFormat="1" applyFont="1" applyFill="1" applyBorder="1" applyAlignment="1">
      <alignment horizontal="right"/>
    </xf>
    <xf numFmtId="3" fontId="17" fillId="0" borderId="14" xfId="7" applyNumberFormat="1" applyFont="1" applyFill="1" applyBorder="1" applyAlignment="1"/>
    <xf numFmtId="164" fontId="17" fillId="0" borderId="49" xfId="7" applyNumberFormat="1" applyFont="1" applyFill="1" applyBorder="1" applyAlignment="1"/>
    <xf numFmtId="0" fontId="20" fillId="0" borderId="5" xfId="7" applyFont="1" applyFill="1" applyBorder="1" applyAlignment="1">
      <alignment horizontal="left"/>
    </xf>
    <xf numFmtId="0" fontId="20" fillId="0" borderId="6" xfId="7" applyFont="1" applyFill="1" applyBorder="1" applyAlignment="1">
      <alignment horizontal="left"/>
    </xf>
    <xf numFmtId="0" fontId="20" fillId="0" borderId="12" xfId="7" applyFont="1" applyFill="1" applyBorder="1" applyAlignment="1">
      <alignment horizontal="left"/>
    </xf>
    <xf numFmtId="3" fontId="20" fillId="0" borderId="43" xfId="7" applyNumberFormat="1" applyFont="1" applyFill="1" applyBorder="1" applyAlignment="1"/>
    <xf numFmtId="3" fontId="20" fillId="0" borderId="5" xfId="7" applyNumberFormat="1" applyFont="1" applyFill="1" applyBorder="1" applyAlignment="1"/>
    <xf numFmtId="164" fontId="20" fillId="0" borderId="45" xfId="7" applyNumberFormat="1" applyFont="1" applyFill="1" applyBorder="1" applyAlignment="1"/>
    <xf numFmtId="0" fontId="20" fillId="0" borderId="14" xfId="7" applyFont="1" applyFill="1" applyBorder="1" applyAlignment="1">
      <alignment horizontal="left"/>
    </xf>
    <xf numFmtId="0" fontId="20" fillId="0" borderId="15" xfId="7" applyFont="1" applyFill="1" applyBorder="1" applyAlignment="1">
      <alignment horizontal="left"/>
    </xf>
    <xf numFmtId="3" fontId="20" fillId="0" borderId="48" xfId="7" applyNumberFormat="1" applyFont="1" applyFill="1" applyBorder="1" applyAlignment="1"/>
    <xf numFmtId="3" fontId="20" fillId="0" borderId="14" xfId="7" applyNumberFormat="1" applyFont="1" applyFill="1" applyBorder="1" applyAlignment="1"/>
    <xf numFmtId="164" fontId="20" fillId="0" borderId="49" xfId="7" applyNumberFormat="1" applyFont="1" applyFill="1" applyBorder="1" applyAlignment="1"/>
    <xf numFmtId="3" fontId="17" fillId="0" borderId="4" xfId="7" applyNumberFormat="1" applyFont="1" applyFill="1" applyBorder="1" applyAlignment="1">
      <alignment horizontal="right"/>
    </xf>
    <xf numFmtId="164" fontId="17" fillId="0" borderId="42" xfId="7" applyNumberFormat="1" applyFont="1" applyFill="1" applyBorder="1" applyAlignment="1">
      <alignment horizontal="right"/>
    </xf>
    <xf numFmtId="0" fontId="20" fillId="0" borderId="3" xfId="7" applyFont="1" applyFill="1" applyBorder="1" applyAlignment="1">
      <alignment horizontal="left"/>
    </xf>
    <xf numFmtId="0" fontId="20" fillId="0" borderId="28" xfId="7" applyFont="1" applyFill="1" applyBorder="1" applyAlignment="1">
      <alignment horizontal="left"/>
    </xf>
    <xf numFmtId="3" fontId="8" fillId="0" borderId="26" xfId="7" applyNumberFormat="1" applyFont="1" applyFill="1" applyBorder="1" applyAlignment="1">
      <alignment horizontal="right" vertical="center"/>
    </xf>
    <xf numFmtId="3" fontId="9" fillId="0" borderId="26" xfId="5" applyNumberFormat="1" applyFont="1" applyFill="1" applyBorder="1"/>
    <xf numFmtId="3" fontId="9" fillId="0" borderId="2" xfId="5" applyNumberFormat="1" applyFont="1" applyFill="1" applyBorder="1"/>
    <xf numFmtId="3" fontId="9" fillId="5" borderId="27" xfId="5" applyNumberFormat="1" applyFont="1" applyFill="1" applyBorder="1"/>
    <xf numFmtId="3" fontId="9" fillId="0" borderId="4" xfId="5" applyNumberFormat="1" applyFont="1" applyFill="1" applyBorder="1"/>
    <xf numFmtId="164" fontId="9" fillId="0" borderId="42" xfId="5" applyNumberFormat="1" applyFont="1" applyFill="1" applyBorder="1"/>
    <xf numFmtId="3" fontId="8" fillId="0" borderId="26" xfId="7" applyNumberFormat="1" applyFont="1" applyFill="1" applyBorder="1" applyAlignment="1"/>
    <xf numFmtId="3" fontId="8" fillId="0" borderId="4" xfId="7" applyNumberFormat="1" applyFont="1" applyFill="1" applyBorder="1" applyAlignment="1"/>
    <xf numFmtId="164" fontId="8" fillId="0" borderId="42" xfId="7" applyNumberFormat="1" applyFont="1" applyFill="1" applyBorder="1" applyAlignment="1"/>
    <xf numFmtId="0" fontId="14" fillId="0" borderId="4" xfId="5" applyFont="1" applyFill="1" applyBorder="1" applyAlignment="1">
      <alignment horizontal="left"/>
    </xf>
    <xf numFmtId="3" fontId="8" fillId="0" borderId="26" xfId="7" applyNumberFormat="1" applyFont="1" applyFill="1" applyBorder="1" applyAlignment="1">
      <alignment horizontal="right"/>
    </xf>
    <xf numFmtId="3" fontId="8" fillId="0" borderId="4" xfId="7" applyNumberFormat="1" applyFont="1" applyFill="1" applyBorder="1" applyAlignment="1">
      <alignment horizontal="right"/>
    </xf>
    <xf numFmtId="164" fontId="8" fillId="0" borderId="42" xfId="7" applyNumberFormat="1" applyFont="1" applyFill="1" applyBorder="1" applyAlignment="1">
      <alignment horizontal="right"/>
    </xf>
    <xf numFmtId="0" fontId="9" fillId="0" borderId="4" xfId="5" applyFont="1" applyFill="1" applyBorder="1" applyAlignment="1">
      <alignment horizontal="left"/>
    </xf>
    <xf numFmtId="0" fontId="9" fillId="0" borderId="2" xfId="11" applyFont="1" applyFill="1" applyBorder="1" applyAlignment="1">
      <alignment horizontal="left"/>
    </xf>
    <xf numFmtId="0" fontId="8" fillId="0" borderId="4" xfId="5" applyFont="1" applyFill="1" applyBorder="1" applyAlignment="1">
      <alignment horizontal="left"/>
    </xf>
    <xf numFmtId="0" fontId="8" fillId="0" borderId="2" xfId="11" applyFont="1" applyFill="1" applyBorder="1" applyAlignment="1">
      <alignment horizontal="left"/>
    </xf>
    <xf numFmtId="0" fontId="8" fillId="0" borderId="2" xfId="11" applyFont="1" applyFill="1" applyBorder="1"/>
    <xf numFmtId="0" fontId="8" fillId="0" borderId="3" xfId="0" applyFont="1" applyFill="1" applyBorder="1" applyAlignment="1">
      <alignment horizontal="left"/>
    </xf>
    <xf numFmtId="3" fontId="8" fillId="0" borderId="26" xfId="0" applyNumberFormat="1" applyFont="1" applyFill="1" applyBorder="1" applyAlignment="1"/>
    <xf numFmtId="3" fontId="8" fillId="0" borderId="2" xfId="0" applyNumberFormat="1" applyFont="1" applyFill="1" applyBorder="1" applyAlignment="1"/>
    <xf numFmtId="3" fontId="8" fillId="5" borderId="27" xfId="0" applyNumberFormat="1" applyFont="1" applyFill="1" applyBorder="1" applyAlignment="1"/>
    <xf numFmtId="3" fontId="8" fillId="0" borderId="4" xfId="0" applyNumberFormat="1" applyFont="1" applyFill="1" applyBorder="1" applyAlignment="1"/>
    <xf numFmtId="164" fontId="8" fillId="0" borderId="42" xfId="0" applyNumberFormat="1" applyFont="1" applyFill="1" applyBorder="1" applyAlignment="1"/>
    <xf numFmtId="3" fontId="17" fillId="0" borderId="26" xfId="7" applyNumberFormat="1" applyFont="1" applyFill="1" applyBorder="1" applyAlignment="1"/>
    <xf numFmtId="3" fontId="9" fillId="0" borderId="2" xfId="7" applyNumberFormat="1" applyFont="1" applyFill="1" applyBorder="1" applyAlignment="1"/>
    <xf numFmtId="3" fontId="9" fillId="5" borderId="27" xfId="7" applyNumberFormat="1" applyFont="1" applyFill="1" applyBorder="1" applyAlignment="1"/>
    <xf numFmtId="0" fontId="17" fillId="0" borderId="2" xfId="11" applyFont="1" applyFill="1" applyBorder="1"/>
    <xf numFmtId="0" fontId="20" fillId="0" borderId="28" xfId="7" applyFont="1" applyFill="1" applyBorder="1" applyAlignment="1">
      <alignment horizontal="left"/>
    </xf>
    <xf numFmtId="0" fontId="17" fillId="0" borderId="28" xfId="7" applyFont="1" applyFill="1" applyBorder="1" applyAlignment="1">
      <alignment horizontal="left"/>
    </xf>
    <xf numFmtId="0" fontId="9" fillId="0" borderId="28" xfId="5" applyFont="1" applyFill="1" applyBorder="1" applyAlignment="1">
      <alignment horizontal="left"/>
    </xf>
    <xf numFmtId="0" fontId="22" fillId="0" borderId="3" xfId="7" applyFont="1" applyFill="1" applyBorder="1" applyAlignment="1">
      <alignment horizontal="left"/>
    </xf>
    <xf numFmtId="0" fontId="14" fillId="0" borderId="4" xfId="7" applyFont="1" applyFill="1" applyBorder="1" applyAlignment="1">
      <alignment horizontal="left"/>
    </xf>
    <xf numFmtId="0" fontId="9" fillId="0" borderId="4" xfId="12" applyFont="1" applyFill="1" applyBorder="1" applyAlignment="1">
      <alignment horizontal="left"/>
    </xf>
    <xf numFmtId="0" fontId="9" fillId="0" borderId="2" xfId="12" applyFont="1" applyFill="1" applyBorder="1" applyAlignment="1">
      <alignment horizontal="left"/>
    </xf>
    <xf numFmtId="0" fontId="9" fillId="0" borderId="2" xfId="12" applyFont="1" applyFill="1" applyBorder="1"/>
    <xf numFmtId="0" fontId="9" fillId="0" borderId="3" xfId="12" applyFont="1" applyFill="1" applyBorder="1"/>
    <xf numFmtId="3" fontId="9" fillId="0" borderId="4" xfId="12" applyNumberFormat="1" applyFont="1" applyFill="1" applyBorder="1"/>
    <xf numFmtId="164" fontId="9" fillId="0" borderId="42" xfId="12" applyNumberFormat="1" applyFont="1" applyFill="1" applyBorder="1"/>
    <xf numFmtId="3" fontId="9" fillId="0" borderId="4" xfId="13" applyNumberFormat="1" applyFont="1" applyFill="1" applyBorder="1" applyAlignment="1">
      <alignment horizontal="right"/>
    </xf>
    <xf numFmtId="164" fontId="9" fillId="0" borderId="42" xfId="13" applyNumberFormat="1" applyFont="1" applyFill="1" applyBorder="1" applyAlignment="1">
      <alignment horizontal="right"/>
    </xf>
    <xf numFmtId="3" fontId="17" fillId="0" borderId="2" xfId="7" applyNumberFormat="1" applyFont="1" applyFill="1" applyBorder="1" applyAlignment="1"/>
    <xf numFmtId="3" fontId="17" fillId="5" borderId="27" xfId="7" applyNumberFormat="1" applyFont="1" applyFill="1" applyBorder="1" applyAlignment="1"/>
    <xf numFmtId="3" fontId="9" fillId="0" borderId="4" xfId="14" applyNumberFormat="1" applyFont="1" applyFill="1" applyBorder="1"/>
    <xf numFmtId="164" fontId="9" fillId="0" borderId="42" xfId="14" applyNumberFormat="1" applyFont="1" applyFill="1" applyBorder="1"/>
    <xf numFmtId="0" fontId="9" fillId="0" borderId="3" xfId="12" applyFont="1" applyFill="1" applyBorder="1" applyAlignment="1">
      <alignment horizontal="left"/>
    </xf>
    <xf numFmtId="0" fontId="8" fillId="0" borderId="2" xfId="12" applyFont="1" applyFill="1" applyBorder="1" applyAlignment="1">
      <alignment horizontal="left"/>
    </xf>
    <xf numFmtId="0" fontId="8" fillId="0" borderId="3" xfId="12" applyFont="1" applyFill="1" applyBorder="1" applyAlignment="1">
      <alignment horizontal="left"/>
    </xf>
    <xf numFmtId="0" fontId="8" fillId="0" borderId="2" xfId="12" applyFont="1" applyFill="1" applyBorder="1"/>
    <xf numFmtId="3" fontId="9" fillId="0" borderId="26" xfId="14" applyNumberFormat="1" applyFont="1" applyFill="1" applyBorder="1"/>
    <xf numFmtId="3" fontId="9" fillId="0" borderId="2" xfId="14" applyNumberFormat="1" applyFont="1" applyFill="1" applyBorder="1"/>
    <xf numFmtId="3" fontId="9" fillId="5" borderId="27" xfId="14" applyNumberFormat="1" applyFont="1" applyFill="1" applyBorder="1"/>
    <xf numFmtId="0" fontId="9" fillId="0" borderId="4" xfId="0" applyFont="1" applyFill="1" applyBorder="1" applyAlignment="1">
      <alignment horizontal="left"/>
    </xf>
    <xf numFmtId="3" fontId="9" fillId="0" borderId="2" xfId="0" applyNumberFormat="1" applyFont="1" applyFill="1" applyBorder="1" applyAlignment="1">
      <alignment horizontal="left"/>
    </xf>
    <xf numFmtId="0" fontId="17" fillId="0" borderId="4" xfId="0" applyFont="1" applyFill="1" applyBorder="1" applyAlignment="1">
      <alignment horizontal="left"/>
    </xf>
    <xf numFmtId="0" fontId="17" fillId="0" borderId="50" xfId="15" applyFont="1" applyFill="1" applyBorder="1"/>
    <xf numFmtId="3" fontId="17" fillId="0" borderId="26" xfId="0" applyNumberFormat="1" applyFont="1" applyFill="1" applyBorder="1" applyAlignment="1"/>
    <xf numFmtId="3" fontId="9" fillId="0" borderId="2" xfId="0" applyNumberFormat="1" applyFont="1" applyFill="1" applyBorder="1" applyAlignment="1"/>
    <xf numFmtId="3" fontId="9" fillId="5" borderId="27" xfId="0" applyNumberFormat="1" applyFont="1" applyFill="1" applyBorder="1" applyAlignment="1"/>
    <xf numFmtId="3" fontId="17" fillId="0" borderId="4" xfId="0" applyNumberFormat="1" applyFont="1" applyFill="1" applyBorder="1" applyAlignment="1"/>
    <xf numFmtId="164" fontId="17" fillId="0" borderId="42" xfId="0" applyNumberFormat="1" applyFont="1" applyFill="1" applyBorder="1" applyAlignment="1"/>
    <xf numFmtId="0" fontId="17" fillId="0" borderId="3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3" fontId="20" fillId="0" borderId="26" xfId="0" applyNumberFormat="1" applyFont="1" applyFill="1" applyBorder="1" applyAlignment="1"/>
    <xf numFmtId="3" fontId="20" fillId="0" borderId="4" xfId="0" applyNumberFormat="1" applyFont="1" applyFill="1" applyBorder="1" applyAlignment="1"/>
    <xf numFmtId="164" fontId="20" fillId="0" borderId="42" xfId="0" applyNumberFormat="1" applyFont="1" applyFill="1" applyBorder="1" applyAlignment="1"/>
    <xf numFmtId="3" fontId="9" fillId="0" borderId="4" xfId="0" applyNumberFormat="1" applyFont="1" applyFill="1" applyBorder="1" applyAlignment="1"/>
    <xf numFmtId="164" fontId="9" fillId="0" borderId="42" xfId="0" applyNumberFormat="1" applyFont="1" applyFill="1" applyBorder="1" applyAlignment="1"/>
    <xf numFmtId="0" fontId="21" fillId="0" borderId="4" xfId="7" applyNumberFormat="1" applyFont="1" applyFill="1" applyBorder="1" applyAlignment="1">
      <alignment horizontal="left"/>
    </xf>
    <xf numFmtId="3" fontId="17" fillId="0" borderId="2" xfId="0" applyNumberFormat="1" applyFont="1" applyFill="1" applyBorder="1" applyAlignment="1"/>
    <xf numFmtId="3" fontId="17" fillId="5" borderId="27" xfId="0" applyNumberFormat="1" applyFont="1" applyFill="1" applyBorder="1" applyAlignment="1"/>
    <xf numFmtId="3" fontId="9" fillId="0" borderId="4" xfId="5" applyNumberFormat="1" applyFont="1" applyFill="1" applyBorder="1" applyAlignment="1">
      <alignment horizontal="right"/>
    </xf>
    <xf numFmtId="164" fontId="9" fillId="0" borderId="42" xfId="5" applyNumberFormat="1" applyFont="1" applyFill="1" applyBorder="1" applyAlignment="1">
      <alignment horizontal="right"/>
    </xf>
    <xf numFmtId="0" fontId="9" fillId="0" borderId="16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28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3" fontId="9" fillId="0" borderId="26" xfId="5" applyNumberFormat="1" applyFont="1" applyFill="1" applyBorder="1" applyAlignment="1">
      <alignment horizontal="right"/>
    </xf>
    <xf numFmtId="3" fontId="9" fillId="0" borderId="2" xfId="5" applyNumberFormat="1" applyFont="1" applyFill="1" applyBorder="1" applyAlignment="1">
      <alignment horizontal="right"/>
    </xf>
    <xf numFmtId="3" fontId="9" fillId="5" borderId="27" xfId="5" applyNumberFormat="1" applyFont="1" applyFill="1" applyBorder="1" applyAlignment="1">
      <alignment horizontal="right"/>
    </xf>
    <xf numFmtId="3" fontId="17" fillId="0" borderId="26" xfId="5" applyNumberFormat="1" applyFont="1" applyFill="1" applyBorder="1" applyAlignment="1">
      <alignment horizontal="right"/>
    </xf>
    <xf numFmtId="3" fontId="17" fillId="0" borderId="4" xfId="5" applyNumberFormat="1" applyFont="1" applyFill="1" applyBorder="1" applyAlignment="1">
      <alignment horizontal="right"/>
    </xf>
    <xf numFmtId="164" fontId="17" fillId="0" borderId="42" xfId="5" applyNumberFormat="1" applyFont="1" applyFill="1" applyBorder="1" applyAlignment="1">
      <alignment horizontal="right"/>
    </xf>
    <xf numFmtId="3" fontId="20" fillId="0" borderId="26" xfId="5" applyNumberFormat="1" applyFont="1" applyFill="1" applyBorder="1" applyAlignment="1">
      <alignment horizontal="right"/>
    </xf>
    <xf numFmtId="3" fontId="8" fillId="0" borderId="2" xfId="5" applyNumberFormat="1" applyFont="1" applyFill="1" applyBorder="1" applyAlignment="1">
      <alignment horizontal="right"/>
    </xf>
    <xf numFmtId="3" fontId="8" fillId="5" borderId="27" xfId="5" applyNumberFormat="1" applyFont="1" applyFill="1" applyBorder="1" applyAlignment="1">
      <alignment horizontal="right"/>
    </xf>
    <xf numFmtId="0" fontId="17" fillId="0" borderId="2" xfId="0" applyFont="1" applyFill="1" applyBorder="1"/>
    <xf numFmtId="3" fontId="9" fillId="0" borderId="4" xfId="16" applyNumberFormat="1" applyFont="1" applyFill="1" applyBorder="1" applyAlignment="1">
      <alignment horizontal="right"/>
    </xf>
    <xf numFmtId="164" fontId="9" fillId="0" borderId="42" xfId="16" applyNumberFormat="1" applyFont="1" applyFill="1" applyBorder="1" applyAlignment="1">
      <alignment horizontal="right"/>
    </xf>
    <xf numFmtId="0" fontId="17" fillId="0" borderId="14" xfId="0" applyFont="1" applyFill="1" applyBorder="1" applyAlignment="1">
      <alignment horizontal="left"/>
    </xf>
    <xf numFmtId="0" fontId="17" fillId="0" borderId="15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left"/>
    </xf>
    <xf numFmtId="3" fontId="17" fillId="0" borderId="48" xfId="0" applyNumberFormat="1" applyFont="1" applyFill="1" applyBorder="1" applyAlignment="1"/>
    <xf numFmtId="3" fontId="17" fillId="0" borderId="15" xfId="0" applyNumberFormat="1" applyFont="1" applyFill="1" applyBorder="1" applyAlignment="1"/>
    <xf numFmtId="3" fontId="17" fillId="5" borderId="25" xfId="0" applyNumberFormat="1" applyFont="1" applyFill="1" applyBorder="1" applyAlignment="1"/>
    <xf numFmtId="3" fontId="17" fillId="0" borderId="14" xfId="0" applyNumberFormat="1" applyFont="1" applyFill="1" applyBorder="1" applyAlignment="1"/>
    <xf numFmtId="164" fontId="17" fillId="0" borderId="49" xfId="0" applyNumberFormat="1" applyFont="1" applyFill="1" applyBorder="1" applyAlignment="1"/>
    <xf numFmtId="0" fontId="9" fillId="0" borderId="14" xfId="0" applyFont="1" applyFill="1" applyBorder="1" applyAlignment="1">
      <alignment horizontal="left"/>
    </xf>
    <xf numFmtId="3" fontId="8" fillId="0" borderId="48" xfId="0" applyNumberFormat="1" applyFont="1" applyFill="1" applyBorder="1" applyAlignment="1"/>
    <xf numFmtId="3" fontId="8" fillId="0" borderId="15" xfId="0" applyNumberFormat="1" applyFont="1" applyFill="1" applyBorder="1" applyAlignment="1"/>
    <xf numFmtId="3" fontId="8" fillId="5" borderId="25" xfId="0" applyNumberFormat="1" applyFont="1" applyFill="1" applyBorder="1" applyAlignment="1"/>
    <xf numFmtId="3" fontId="20" fillId="0" borderId="14" xfId="0" applyNumberFormat="1" applyFont="1" applyFill="1" applyBorder="1" applyAlignment="1"/>
    <xf numFmtId="164" fontId="20" fillId="0" borderId="49" xfId="0" applyNumberFormat="1" applyFont="1" applyFill="1" applyBorder="1" applyAlignment="1"/>
    <xf numFmtId="3" fontId="9" fillId="0" borderId="26" xfId="16" applyNumberFormat="1" applyFont="1" applyFill="1" applyBorder="1" applyAlignment="1">
      <alignment horizontal="right"/>
    </xf>
    <xf numFmtId="3" fontId="9" fillId="0" borderId="2" xfId="16" applyNumberFormat="1" applyFont="1" applyFill="1" applyBorder="1" applyAlignment="1">
      <alignment horizontal="right"/>
    </xf>
    <xf numFmtId="3" fontId="9" fillId="5" borderId="27" xfId="16" applyNumberFormat="1" applyFont="1" applyFill="1" applyBorder="1" applyAlignment="1">
      <alignment horizontal="right"/>
    </xf>
    <xf numFmtId="0" fontId="14" fillId="0" borderId="26" xfId="10" applyFont="1" applyFill="1" applyBorder="1" applyAlignment="1"/>
    <xf numFmtId="0" fontId="14" fillId="0" borderId="27" xfId="10" applyFont="1" applyFill="1" applyBorder="1" applyAlignment="1"/>
    <xf numFmtId="0" fontId="14" fillId="0" borderId="28" xfId="10" applyFont="1" applyFill="1" applyBorder="1" applyAlignment="1"/>
    <xf numFmtId="0" fontId="9" fillId="0" borderId="4" xfId="10" applyFont="1" applyFill="1" applyBorder="1" applyAlignment="1">
      <alignment horizontal="left"/>
    </xf>
    <xf numFmtId="3" fontId="23" fillId="0" borderId="4" xfId="0" applyNumberFormat="1" applyFont="1" applyFill="1" applyBorder="1" applyAlignment="1"/>
    <xf numFmtId="164" fontId="23" fillId="0" borderId="42" xfId="0" applyNumberFormat="1" applyFont="1" applyFill="1" applyBorder="1" applyAlignment="1"/>
    <xf numFmtId="0" fontId="9" fillId="0" borderId="2" xfId="7" applyFont="1" applyFill="1" applyBorder="1" applyAlignment="1">
      <alignment horizontal="left" wrapText="1"/>
    </xf>
    <xf numFmtId="0" fontId="9" fillId="0" borderId="3" xfId="7" applyFont="1" applyFill="1" applyBorder="1" applyAlignment="1">
      <alignment horizontal="left" wrapText="1"/>
    </xf>
    <xf numFmtId="0" fontId="8" fillId="0" borderId="2" xfId="7" applyFont="1" applyFill="1" applyBorder="1" applyAlignment="1">
      <alignment horizontal="left" wrapText="1"/>
    </xf>
    <xf numFmtId="0" fontId="8" fillId="0" borderId="3" xfId="7" applyFont="1" applyFill="1" applyBorder="1" applyAlignment="1">
      <alignment horizontal="left" wrapText="1"/>
    </xf>
    <xf numFmtId="3" fontId="8" fillId="0" borderId="26" xfId="10" applyNumberFormat="1" applyFont="1" applyFill="1" applyBorder="1" applyAlignment="1"/>
    <xf numFmtId="3" fontId="8" fillId="0" borderId="2" xfId="10" applyNumberFormat="1" applyFont="1" applyFill="1" applyBorder="1" applyAlignment="1"/>
    <xf numFmtId="3" fontId="8" fillId="5" borderId="27" xfId="10" applyNumberFormat="1" applyFont="1" applyFill="1" applyBorder="1" applyAlignment="1"/>
    <xf numFmtId="0" fontId="14" fillId="0" borderId="4" xfId="10" applyFont="1" applyFill="1" applyBorder="1" applyAlignment="1">
      <alignment horizontal="left"/>
    </xf>
    <xf numFmtId="0" fontId="14" fillId="0" borderId="2" xfId="10" applyFont="1" applyFill="1" applyBorder="1" applyAlignment="1">
      <alignment horizontal="left"/>
    </xf>
    <xf numFmtId="0" fontId="17" fillId="0" borderId="4" xfId="10" applyFont="1" applyFill="1" applyBorder="1" applyAlignment="1">
      <alignment horizontal="left"/>
    </xf>
    <xf numFmtId="0" fontId="17" fillId="0" borderId="2" xfId="10" applyFont="1" applyFill="1" applyBorder="1" applyAlignment="1">
      <alignment horizontal="left"/>
    </xf>
    <xf numFmtId="0" fontId="17" fillId="0" borderId="2" xfId="10" applyFont="1" applyFill="1" applyBorder="1" applyAlignment="1">
      <alignment horizontal="left" wrapText="1"/>
    </xf>
    <xf numFmtId="0" fontId="17" fillId="0" borderId="3" xfId="10" applyFont="1" applyFill="1" applyBorder="1" applyAlignment="1">
      <alignment horizontal="left" wrapText="1"/>
    </xf>
    <xf numFmtId="0" fontId="24" fillId="0" borderId="3" xfId="7" applyFont="1" applyFill="1" applyBorder="1" applyAlignment="1">
      <alignment horizontal="left"/>
    </xf>
    <xf numFmtId="0" fontId="8" fillId="0" borderId="16" xfId="10" applyFont="1" applyFill="1" applyBorder="1" applyAlignment="1">
      <alignment horizontal="left" wrapText="1"/>
    </xf>
    <xf numFmtId="3" fontId="9" fillId="0" borderId="14" xfId="10" applyNumberFormat="1" applyFont="1" applyFill="1" applyBorder="1" applyAlignment="1"/>
    <xf numFmtId="164" fontId="9" fillId="0" borderId="49" xfId="10" applyNumberFormat="1" applyFont="1" applyFill="1" applyBorder="1" applyAlignment="1"/>
    <xf numFmtId="1" fontId="9" fillId="0" borderId="2" xfId="0" applyNumberFormat="1" applyFont="1" applyFill="1" applyBorder="1" applyAlignment="1">
      <alignment horizontal="left"/>
    </xf>
    <xf numFmtId="3" fontId="9" fillId="0" borderId="3" xfId="0" applyNumberFormat="1" applyFont="1" applyFill="1" applyBorder="1" applyAlignment="1">
      <alignment horizontal="left"/>
    </xf>
    <xf numFmtId="1" fontId="8" fillId="0" borderId="2" xfId="0" applyNumberFormat="1" applyFont="1" applyFill="1" applyBorder="1" applyAlignment="1">
      <alignment horizontal="left"/>
    </xf>
    <xf numFmtId="3" fontId="8" fillId="0" borderId="26" xfId="5" applyNumberFormat="1" applyFont="1" applyFill="1" applyBorder="1" applyAlignment="1">
      <alignment horizontal="right"/>
    </xf>
    <xf numFmtId="3" fontId="8" fillId="0" borderId="4" xfId="5" applyNumberFormat="1" applyFont="1" applyFill="1" applyBorder="1" applyAlignment="1">
      <alignment horizontal="right"/>
    </xf>
    <xf numFmtId="164" fontId="8" fillId="0" borderId="42" xfId="5" applyNumberFormat="1" applyFont="1" applyFill="1" applyBorder="1" applyAlignment="1">
      <alignment horizontal="right"/>
    </xf>
    <xf numFmtId="1" fontId="17" fillId="0" borderId="2" xfId="0" applyNumberFormat="1" applyFont="1" applyFill="1" applyBorder="1" applyAlignment="1">
      <alignment horizontal="left"/>
    </xf>
    <xf numFmtId="3" fontId="25" fillId="0" borderId="4" xfId="0" applyNumberFormat="1" applyFont="1" applyFill="1" applyBorder="1" applyAlignment="1"/>
    <xf numFmtId="164" fontId="25" fillId="0" borderId="42" xfId="0" applyNumberFormat="1" applyFont="1" applyFill="1" applyBorder="1" applyAlignment="1"/>
    <xf numFmtId="0" fontId="8" fillId="0" borderId="10" xfId="7" applyFont="1" applyFill="1" applyBorder="1" applyAlignment="1">
      <alignment horizontal="left"/>
    </xf>
    <xf numFmtId="3" fontId="26" fillId="0" borderId="27" xfId="0" applyNumberFormat="1" applyFont="1" applyFill="1" applyBorder="1" applyAlignment="1"/>
    <xf numFmtId="3" fontId="26" fillId="0" borderId="4" xfId="0" applyNumberFormat="1" applyFont="1" applyFill="1" applyBorder="1" applyAlignment="1"/>
    <xf numFmtId="164" fontId="26" fillId="0" borderId="42" xfId="0" applyNumberFormat="1" applyFont="1" applyFill="1" applyBorder="1" applyAlignment="1"/>
    <xf numFmtId="3" fontId="26" fillId="0" borderId="26" xfId="0" applyNumberFormat="1" applyFont="1" applyFill="1" applyBorder="1" applyAlignment="1"/>
    <xf numFmtId="3" fontId="8" fillId="0" borderId="51" xfId="7" applyNumberFormat="1" applyFont="1" applyFill="1" applyBorder="1" applyAlignment="1"/>
    <xf numFmtId="3" fontId="8" fillId="0" borderId="52" xfId="7" applyNumberFormat="1" applyFont="1" applyFill="1" applyBorder="1" applyAlignment="1"/>
    <xf numFmtId="3" fontId="8" fillId="5" borderId="22" xfId="7" applyNumberFormat="1" applyFont="1" applyFill="1" applyBorder="1" applyAlignment="1"/>
    <xf numFmtId="3" fontId="8" fillId="0" borderId="53" xfId="7" applyNumberFormat="1" applyFont="1" applyFill="1" applyBorder="1" applyAlignment="1"/>
    <xf numFmtId="3" fontId="8" fillId="0" borderId="8" xfId="7" applyNumberFormat="1" applyFont="1" applyFill="1" applyBorder="1" applyAlignment="1"/>
    <xf numFmtId="3" fontId="8" fillId="5" borderId="0" xfId="7" applyNumberFormat="1" applyFont="1" applyFill="1" applyBorder="1" applyAlignment="1"/>
    <xf numFmtId="3" fontId="17" fillId="0" borderId="4" xfId="10" applyNumberFormat="1" applyFont="1" applyFill="1" applyBorder="1" applyAlignment="1"/>
    <xf numFmtId="164" fontId="17" fillId="0" borderId="42" xfId="10" applyNumberFormat="1" applyFont="1" applyFill="1" applyBorder="1" applyAlignment="1"/>
    <xf numFmtId="3" fontId="9" fillId="0" borderId="4" xfId="7" applyNumberFormat="1" applyFont="1" applyFill="1" applyBorder="1"/>
    <xf numFmtId="164" fontId="9" fillId="0" borderId="42" xfId="7" applyNumberFormat="1" applyFont="1" applyFill="1" applyBorder="1"/>
    <xf numFmtId="3" fontId="9" fillId="0" borderId="4" xfId="10" applyNumberFormat="1" applyFont="1" applyFill="1" applyBorder="1" applyAlignment="1"/>
    <xf numFmtId="164" fontId="9" fillId="0" borderId="42" xfId="10" applyNumberFormat="1" applyFont="1" applyFill="1" applyBorder="1" applyAlignment="1"/>
    <xf numFmtId="3" fontId="17" fillId="0" borderId="26" xfId="10" applyNumberFormat="1" applyFont="1" applyFill="1" applyBorder="1" applyAlignment="1"/>
    <xf numFmtId="3" fontId="9" fillId="0" borderId="2" xfId="10" applyNumberFormat="1" applyFont="1" applyFill="1" applyBorder="1" applyAlignment="1"/>
    <xf numFmtId="3" fontId="9" fillId="5" borderId="27" xfId="10" applyNumberFormat="1" applyFont="1" applyFill="1" applyBorder="1" applyAlignment="1"/>
    <xf numFmtId="3" fontId="17" fillId="0" borderId="4" xfId="0" applyNumberFormat="1" applyFont="1" applyFill="1" applyBorder="1"/>
    <xf numFmtId="164" fontId="17" fillId="0" borderId="42" xfId="0" applyNumberFormat="1" applyFont="1" applyFill="1" applyBorder="1"/>
    <xf numFmtId="3" fontId="8" fillId="0" borderId="26" xfId="5" applyNumberFormat="1" applyFont="1" applyFill="1" applyBorder="1" applyAlignment="1"/>
    <xf numFmtId="3" fontId="8" fillId="0" borderId="2" xfId="5" applyNumberFormat="1" applyFont="1" applyFill="1" applyBorder="1" applyAlignment="1"/>
    <xf numFmtId="3" fontId="8" fillId="5" borderId="27" xfId="5" applyNumberFormat="1" applyFont="1" applyFill="1" applyBorder="1" applyAlignment="1"/>
    <xf numFmtId="3" fontId="8" fillId="0" borderId="4" xfId="5" applyNumberFormat="1" applyFont="1" applyFill="1" applyBorder="1" applyAlignment="1"/>
    <xf numFmtId="164" fontId="8" fillId="0" borderId="42" xfId="5" applyNumberFormat="1" applyFont="1" applyFill="1" applyBorder="1" applyAlignment="1"/>
    <xf numFmtId="3" fontId="9" fillId="0" borderId="4" xfId="5" applyNumberFormat="1" applyFont="1" applyFill="1" applyBorder="1" applyAlignment="1"/>
    <xf numFmtId="164" fontId="9" fillId="0" borderId="42" xfId="5" applyNumberFormat="1" applyFont="1" applyFill="1" applyBorder="1" applyAlignment="1"/>
    <xf numFmtId="0" fontId="8" fillId="0" borderId="18" xfId="5" applyFont="1" applyFill="1" applyBorder="1" applyAlignment="1">
      <alignment horizontal="left"/>
    </xf>
    <xf numFmtId="0" fontId="8" fillId="0" borderId="19" xfId="5" applyFont="1" applyFill="1" applyBorder="1" applyAlignment="1">
      <alignment horizontal="left"/>
    </xf>
    <xf numFmtId="0" fontId="8" fillId="0" borderId="46" xfId="5" applyFont="1" applyFill="1" applyBorder="1" applyAlignment="1">
      <alignment horizontal="left"/>
    </xf>
    <xf numFmtId="0" fontId="9" fillId="0" borderId="3" xfId="5" applyFont="1" applyFill="1" applyBorder="1" applyAlignment="1">
      <alignment horizontal="left" shrinkToFit="1"/>
    </xf>
    <xf numFmtId="0" fontId="21" fillId="0" borderId="4" xfId="7" applyFont="1" applyFill="1" applyBorder="1" applyAlignment="1">
      <alignment horizontal="left"/>
    </xf>
    <xf numFmtId="0" fontId="9" fillId="0" borderId="4" xfId="7" applyFont="1" applyFill="1" applyBorder="1" applyAlignment="1">
      <alignment horizontal="left" vertical="center"/>
    </xf>
    <xf numFmtId="0" fontId="9" fillId="0" borderId="2" xfId="7" applyFont="1" applyFill="1" applyBorder="1" applyAlignment="1">
      <alignment horizontal="left" vertical="center"/>
    </xf>
    <xf numFmtId="0" fontId="20" fillId="0" borderId="4" xfId="7" applyFont="1" applyFill="1" applyBorder="1" applyAlignment="1">
      <alignment horizontal="left" vertical="center"/>
    </xf>
    <xf numFmtId="0" fontId="20" fillId="0" borderId="2" xfId="7" applyFont="1" applyFill="1" applyBorder="1" applyAlignment="1">
      <alignment horizontal="left" vertical="center"/>
    </xf>
    <xf numFmtId="3" fontId="20" fillId="0" borderId="26" xfId="7" applyNumberFormat="1" applyFont="1" applyFill="1" applyBorder="1" applyAlignment="1">
      <alignment vertical="center"/>
    </xf>
    <xf numFmtId="3" fontId="8" fillId="0" borderId="2" xfId="7" applyNumberFormat="1" applyFont="1" applyFill="1" applyBorder="1" applyAlignment="1">
      <alignment vertical="center"/>
    </xf>
    <xf numFmtId="3" fontId="8" fillId="5" borderId="27" xfId="7" applyNumberFormat="1" applyFont="1" applyFill="1" applyBorder="1" applyAlignment="1">
      <alignment vertical="center"/>
    </xf>
    <xf numFmtId="3" fontId="20" fillId="0" borderId="4" xfId="7" applyNumberFormat="1" applyFont="1" applyFill="1" applyBorder="1" applyAlignment="1">
      <alignment vertical="center"/>
    </xf>
    <xf numFmtId="164" fontId="20" fillId="0" borderId="42" xfId="7" applyNumberFormat="1" applyFont="1" applyFill="1" applyBorder="1" applyAlignment="1">
      <alignment vertical="center"/>
    </xf>
    <xf numFmtId="3" fontId="9" fillId="0" borderId="26" xfId="7" applyNumberFormat="1" applyFont="1" applyFill="1" applyBorder="1" applyAlignment="1"/>
    <xf numFmtId="3" fontId="9" fillId="0" borderId="26" xfId="7" applyNumberFormat="1" applyFont="1" applyFill="1" applyBorder="1" applyAlignment="1">
      <alignment horizontal="right" vertical="center"/>
    </xf>
    <xf numFmtId="3" fontId="9" fillId="0" borderId="2" xfId="7" applyNumberFormat="1" applyFont="1" applyFill="1" applyBorder="1" applyAlignment="1">
      <alignment horizontal="right" vertical="center"/>
    </xf>
    <xf numFmtId="3" fontId="9" fillId="5" borderId="27" xfId="7" applyNumberFormat="1" applyFont="1" applyFill="1" applyBorder="1" applyAlignment="1">
      <alignment horizontal="right" vertical="center"/>
    </xf>
    <xf numFmtId="3" fontId="9" fillId="0" borderId="4" xfId="7" applyNumberFormat="1" applyFont="1" applyFill="1" applyBorder="1" applyAlignment="1">
      <alignment horizontal="right" vertical="center"/>
    </xf>
    <xf numFmtId="164" fontId="9" fillId="0" borderId="42" xfId="7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/>
    <xf numFmtId="164" fontId="8" fillId="0" borderId="42" xfId="0" applyNumberFormat="1" applyFont="1" applyFill="1" applyBorder="1"/>
    <xf numFmtId="3" fontId="8" fillId="0" borderId="39" xfId="7" applyNumberFormat="1" applyFont="1" applyFill="1" applyBorder="1" applyAlignment="1">
      <alignment horizontal="right" vertical="center"/>
    </xf>
    <xf numFmtId="3" fontId="8" fillId="0" borderId="37" xfId="7" applyNumberFormat="1" applyFont="1" applyFill="1" applyBorder="1" applyAlignment="1">
      <alignment horizontal="right" vertical="center"/>
    </xf>
    <xf numFmtId="3" fontId="8" fillId="5" borderId="40" xfId="7" applyNumberFormat="1" applyFont="1" applyFill="1" applyBorder="1" applyAlignment="1">
      <alignment horizontal="right" vertical="center"/>
    </xf>
    <xf numFmtId="3" fontId="8" fillId="0" borderId="36" xfId="10" applyNumberFormat="1" applyFont="1" applyFill="1" applyBorder="1" applyAlignment="1"/>
    <xf numFmtId="164" fontId="8" fillId="0" borderId="41" xfId="10" applyNumberFormat="1" applyFont="1" applyFill="1" applyBorder="1" applyAlignment="1"/>
    <xf numFmtId="0" fontId="14" fillId="0" borderId="2" xfId="7" applyFont="1" applyFill="1" applyBorder="1" applyAlignment="1">
      <alignment horizontal="left"/>
    </xf>
    <xf numFmtId="0" fontId="8" fillId="0" borderId="2" xfId="7" applyFont="1" applyFill="1" applyBorder="1" applyAlignment="1">
      <alignment horizontal="left" shrinkToFit="1"/>
    </xf>
    <xf numFmtId="0" fontId="9" fillId="0" borderId="15" xfId="10" applyFont="1" applyFill="1" applyBorder="1" applyAlignment="1">
      <alignment horizontal="left"/>
    </xf>
    <xf numFmtId="0" fontId="9" fillId="0" borderId="16" xfId="7" applyFont="1" applyFill="1" applyBorder="1" applyAlignment="1">
      <alignment horizontal="left"/>
    </xf>
    <xf numFmtId="0" fontId="9" fillId="0" borderId="16" xfId="10" applyFont="1" applyFill="1" applyBorder="1" applyAlignment="1">
      <alignment horizontal="left" wrapText="1"/>
    </xf>
    <xf numFmtId="0" fontId="8" fillId="0" borderId="33" xfId="7" applyFont="1" applyFill="1" applyBorder="1" applyAlignment="1">
      <alignment horizontal="left"/>
    </xf>
    <xf numFmtId="0" fontId="8" fillId="0" borderId="34" xfId="7" applyFont="1" applyFill="1" applyBorder="1" applyAlignment="1">
      <alignment horizontal="left"/>
    </xf>
    <xf numFmtId="3" fontId="8" fillId="0" borderId="33" xfId="7" applyNumberFormat="1" applyFont="1" applyFill="1" applyBorder="1" applyAlignment="1"/>
    <xf numFmtId="3" fontId="8" fillId="0" borderId="1" xfId="7" applyNumberFormat="1" applyFont="1" applyFill="1" applyBorder="1" applyAlignment="1"/>
    <xf numFmtId="3" fontId="8" fillId="5" borderId="34" xfId="7" applyNumberFormat="1" applyFont="1" applyFill="1" applyBorder="1" applyAlignment="1"/>
    <xf numFmtId="3" fontId="8" fillId="0" borderId="11" xfId="7" applyNumberFormat="1" applyFont="1" applyFill="1" applyBorder="1" applyAlignment="1"/>
    <xf numFmtId="164" fontId="8" fillId="0" borderId="35" xfId="7" applyNumberFormat="1" applyFont="1" applyFill="1" applyBorder="1" applyAlignment="1"/>
    <xf numFmtId="0" fontId="9" fillId="0" borderId="0" xfId="0" applyFont="1" applyFill="1" applyBorder="1" applyAlignment="1">
      <alignment shrinkToFi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3" fontId="9" fillId="0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3" fontId="9" fillId="5" borderId="0" xfId="0" applyNumberFormat="1" applyFont="1" applyFill="1" applyBorder="1"/>
    <xf numFmtId="0" fontId="9" fillId="5" borderId="0" xfId="0" applyFont="1" applyFill="1" applyBorder="1"/>
    <xf numFmtId="0" fontId="9" fillId="5" borderId="0" xfId="0" applyFont="1" applyFill="1"/>
    <xf numFmtId="0" fontId="31" fillId="0" borderId="0" xfId="21" applyFont="1" applyAlignment="1">
      <alignment horizontal="center" vertical="center"/>
    </xf>
    <xf numFmtId="49" fontId="32" fillId="6" borderId="11" xfId="21" applyNumberFormat="1" applyFont="1" applyFill="1" applyBorder="1" applyAlignment="1">
      <alignment horizontal="center" vertical="center"/>
    </xf>
    <xf numFmtId="0" fontId="32" fillId="6" borderId="1" xfId="21" applyFont="1" applyFill="1" applyBorder="1" applyAlignment="1">
      <alignment horizontal="center" vertical="center"/>
    </xf>
    <xf numFmtId="0" fontId="32" fillId="6" borderId="1" xfId="21" applyFont="1" applyFill="1" applyBorder="1" applyAlignment="1">
      <alignment vertical="center"/>
    </xf>
    <xf numFmtId="0" fontId="32" fillId="6" borderId="1" xfId="21" applyFont="1" applyFill="1" applyBorder="1" applyAlignment="1">
      <alignment horizontal="center" vertical="center" wrapText="1"/>
    </xf>
    <xf numFmtId="0" fontId="32" fillId="6" borderId="1" xfId="21" applyFont="1" applyFill="1" applyBorder="1" applyAlignment="1">
      <alignment vertical="center" wrapText="1"/>
    </xf>
    <xf numFmtId="0" fontId="32" fillId="6" borderId="1" xfId="21" applyFont="1" applyFill="1" applyBorder="1" applyAlignment="1">
      <alignment horizontal="center" vertical="center" shrinkToFit="1"/>
    </xf>
    <xf numFmtId="0" fontId="32" fillId="6" borderId="1" xfId="21" applyFont="1" applyFill="1" applyBorder="1" applyAlignment="1">
      <alignment horizontal="center" vertical="center" wrapText="1" shrinkToFit="1"/>
    </xf>
    <xf numFmtId="0" fontId="32" fillId="4" borderId="1" xfId="21" applyFont="1" applyFill="1" applyBorder="1" applyAlignment="1">
      <alignment horizontal="center" vertical="center" wrapText="1"/>
    </xf>
    <xf numFmtId="0" fontId="32" fillId="6" borderId="7" xfId="21" applyFont="1" applyFill="1" applyBorder="1" applyAlignment="1">
      <alignment horizontal="center" vertical="center"/>
    </xf>
    <xf numFmtId="0" fontId="31" fillId="0" borderId="0" xfId="21" applyFont="1"/>
    <xf numFmtId="0" fontId="31" fillId="0" borderId="0" xfId="21" applyFont="1" applyFill="1" applyAlignment="1">
      <alignment horizontal="right" vertical="center"/>
    </xf>
    <xf numFmtId="49" fontId="31" fillId="0" borderId="36" xfId="21" applyNumberFormat="1" applyFont="1" applyFill="1" applyBorder="1" applyAlignment="1">
      <alignment horizontal="left" vertical="center"/>
    </xf>
    <xf numFmtId="0" fontId="31" fillId="0" borderId="54" xfId="21" applyFont="1" applyFill="1" applyBorder="1" applyAlignment="1">
      <alignment horizontal="left" vertical="center"/>
    </xf>
    <xf numFmtId="0" fontId="31" fillId="0" borderId="54" xfId="21" applyFont="1" applyFill="1" applyBorder="1" applyAlignment="1">
      <alignment vertical="center"/>
    </xf>
    <xf numFmtId="0" fontId="31" fillId="0" borderId="54" xfId="21" applyFont="1" applyFill="1" applyBorder="1" applyAlignment="1">
      <alignment horizontal="center" vertical="center"/>
    </xf>
    <xf numFmtId="0" fontId="31" fillId="0" borderId="54" xfId="21" applyFont="1" applyFill="1" applyBorder="1" applyAlignment="1">
      <alignment horizontal="center" vertical="center" wrapText="1"/>
    </xf>
    <xf numFmtId="0" fontId="31" fillId="0" borderId="54" xfId="21" applyFont="1" applyFill="1" applyBorder="1" applyAlignment="1">
      <alignment vertical="center" wrapText="1"/>
    </xf>
    <xf numFmtId="0" fontId="31" fillId="0" borderId="54" xfId="21" applyFont="1" applyFill="1" applyBorder="1" applyAlignment="1">
      <alignment horizontal="center" vertical="center" shrinkToFit="1"/>
    </xf>
    <xf numFmtId="0" fontId="31" fillId="0" borderId="54" xfId="21" applyFont="1" applyFill="1" applyBorder="1" applyAlignment="1">
      <alignment horizontal="right" vertical="center"/>
    </xf>
    <xf numFmtId="0" fontId="31" fillId="0" borderId="37" xfId="21" applyFont="1" applyFill="1" applyBorder="1" applyAlignment="1">
      <alignment horizontal="right" vertical="center" wrapText="1"/>
    </xf>
    <xf numFmtId="167" fontId="31" fillId="0" borderId="19" xfId="21" applyNumberFormat="1" applyFont="1" applyFill="1" applyBorder="1" applyAlignment="1">
      <alignment horizontal="right" vertical="center" wrapText="1"/>
    </xf>
    <xf numFmtId="0" fontId="31" fillId="0" borderId="37" xfId="21" applyFont="1" applyFill="1" applyBorder="1" applyAlignment="1">
      <alignment horizontal="center" vertical="center" wrapText="1"/>
    </xf>
    <xf numFmtId="0" fontId="31" fillId="0" borderId="37" xfId="21" applyFont="1" applyFill="1" applyBorder="1" applyAlignment="1">
      <alignment horizontal="center" vertical="center"/>
    </xf>
    <xf numFmtId="0" fontId="31" fillId="0" borderId="55" xfId="21" applyFont="1" applyFill="1" applyBorder="1" applyAlignment="1">
      <alignment horizontal="left" vertical="center"/>
    </xf>
    <xf numFmtId="0" fontId="31" fillId="0" borderId="0" xfId="21" applyFont="1" applyFill="1"/>
    <xf numFmtId="49" fontId="32" fillId="7" borderId="18" xfId="21" applyNumberFormat="1" applyFont="1" applyFill="1" applyBorder="1" applyAlignment="1">
      <alignment horizontal="left" vertical="center"/>
    </xf>
    <xf numFmtId="49" fontId="32" fillId="7" borderId="31" xfId="21" applyNumberFormat="1" applyFont="1" applyFill="1" applyBorder="1" applyAlignment="1">
      <alignment horizontal="left" vertical="center"/>
    </xf>
    <xf numFmtId="0" fontId="32" fillId="7" borderId="31" xfId="21" applyFont="1" applyFill="1" applyBorder="1" applyAlignment="1">
      <alignment horizontal="left" vertical="center"/>
    </xf>
    <xf numFmtId="0" fontId="32" fillId="7" borderId="31" xfId="21" applyFont="1" applyFill="1" applyBorder="1" applyAlignment="1">
      <alignment vertical="center"/>
    </xf>
    <xf numFmtId="0" fontId="32" fillId="7" borderId="31" xfId="21" applyFont="1" applyFill="1" applyBorder="1" applyAlignment="1">
      <alignment horizontal="center" vertical="center"/>
    </xf>
    <xf numFmtId="0" fontId="32" fillId="7" borderId="31" xfId="21" applyFont="1" applyFill="1" applyBorder="1" applyAlignment="1">
      <alignment horizontal="center" vertical="center" wrapText="1"/>
    </xf>
    <xf numFmtId="0" fontId="32" fillId="7" borderId="31" xfId="21" applyFont="1" applyFill="1" applyBorder="1" applyAlignment="1">
      <alignment vertical="center" wrapText="1"/>
    </xf>
    <xf numFmtId="0" fontId="32" fillId="7" borderId="31" xfId="21" applyFont="1" applyFill="1" applyBorder="1" applyAlignment="1">
      <alignment horizontal="center" vertical="center" shrinkToFit="1"/>
    </xf>
    <xf numFmtId="0" fontId="32" fillId="7" borderId="31" xfId="21" applyFont="1" applyFill="1" applyBorder="1" applyAlignment="1">
      <alignment horizontal="right" vertical="center"/>
    </xf>
    <xf numFmtId="0" fontId="32" fillId="7" borderId="19" xfId="21" applyFont="1" applyFill="1" applyBorder="1" applyAlignment="1">
      <alignment horizontal="right" vertical="center" wrapText="1"/>
    </xf>
    <xf numFmtId="167" fontId="32" fillId="7" borderId="19" xfId="21" applyNumberFormat="1" applyFont="1" applyFill="1" applyBorder="1" applyAlignment="1">
      <alignment horizontal="right" vertical="center" wrapText="1"/>
    </xf>
    <xf numFmtId="0" fontId="32" fillId="7" borderId="19" xfId="21" applyFont="1" applyFill="1" applyBorder="1" applyAlignment="1">
      <alignment horizontal="center" vertical="center" wrapText="1"/>
    </xf>
    <xf numFmtId="0" fontId="32" fillId="7" borderId="19" xfId="21" applyFont="1" applyFill="1" applyBorder="1" applyAlignment="1">
      <alignment horizontal="center" vertical="center"/>
    </xf>
    <xf numFmtId="0" fontId="32" fillId="7" borderId="47" xfId="21" applyFont="1" applyFill="1" applyBorder="1" applyAlignment="1">
      <alignment horizontal="left" vertical="center"/>
    </xf>
    <xf numFmtId="49" fontId="31" fillId="0" borderId="18" xfId="21" applyNumberFormat="1" applyFont="1" applyFill="1" applyBorder="1" applyAlignment="1">
      <alignment horizontal="left" vertical="center"/>
    </xf>
    <xf numFmtId="0" fontId="31" fillId="0" borderId="31" xfId="21" applyFont="1" applyFill="1" applyBorder="1" applyAlignment="1">
      <alignment horizontal="left" vertical="center"/>
    </xf>
    <xf numFmtId="0" fontId="31" fillId="0" borderId="31" xfId="21" applyFont="1" applyFill="1" applyBorder="1" applyAlignment="1">
      <alignment vertical="center"/>
    </xf>
    <xf numFmtId="0" fontId="31" fillId="0" borderId="31" xfId="21" applyFont="1" applyFill="1" applyBorder="1" applyAlignment="1">
      <alignment horizontal="center" vertical="center"/>
    </xf>
    <xf numFmtId="0" fontId="31" fillId="0" borderId="31" xfId="21" applyFont="1" applyFill="1" applyBorder="1" applyAlignment="1">
      <alignment horizontal="center" vertical="center" wrapText="1"/>
    </xf>
    <xf numFmtId="0" fontId="31" fillId="0" borderId="31" xfId="21" applyFont="1" applyFill="1" applyBorder="1" applyAlignment="1">
      <alignment vertical="center" wrapText="1"/>
    </xf>
    <xf numFmtId="0" fontId="31" fillId="0" borderId="31" xfId="21" applyFont="1" applyFill="1" applyBorder="1" applyAlignment="1">
      <alignment horizontal="center" vertical="center" shrinkToFit="1"/>
    </xf>
    <xf numFmtId="0" fontId="31" fillId="0" borderId="31" xfId="21" applyFont="1" applyFill="1" applyBorder="1" applyAlignment="1">
      <alignment horizontal="right" vertical="center"/>
    </xf>
    <xf numFmtId="0" fontId="31" fillId="0" borderId="19" xfId="21" applyFont="1" applyFill="1" applyBorder="1" applyAlignment="1">
      <alignment horizontal="right" vertical="center" wrapText="1"/>
    </xf>
    <xf numFmtId="0" fontId="31" fillId="0" borderId="19" xfId="21" applyFont="1" applyFill="1" applyBorder="1" applyAlignment="1">
      <alignment horizontal="center" vertical="center" wrapText="1"/>
    </xf>
    <xf numFmtId="0" fontId="31" fillId="0" borderId="19" xfId="21" applyFont="1" applyFill="1" applyBorder="1" applyAlignment="1">
      <alignment horizontal="center" vertical="center"/>
    </xf>
    <xf numFmtId="0" fontId="31" fillId="0" borderId="47" xfId="21" applyFont="1" applyFill="1" applyBorder="1" applyAlignment="1">
      <alignment horizontal="left" vertical="center"/>
    </xf>
    <xf numFmtId="0" fontId="31" fillId="0" borderId="31" xfId="21" applyFont="1" applyFill="1" applyBorder="1" applyAlignment="1">
      <alignment horizontal="left"/>
    </xf>
    <xf numFmtId="3" fontId="31" fillId="0" borderId="31" xfId="21" applyNumberFormat="1" applyFont="1" applyFill="1" applyBorder="1" applyAlignment="1">
      <alignment horizontal="right" vertical="center" wrapText="1"/>
    </xf>
    <xf numFmtId="167" fontId="31" fillId="0" borderId="2" xfId="21" applyNumberFormat="1" applyFont="1" applyFill="1" applyBorder="1" applyAlignment="1">
      <alignment horizontal="right" vertical="center" wrapText="1"/>
    </xf>
    <xf numFmtId="3" fontId="31" fillId="0" borderId="31" xfId="21" applyNumberFormat="1" applyFont="1" applyFill="1" applyBorder="1" applyAlignment="1">
      <alignment horizontal="right" vertical="center"/>
    </xf>
    <xf numFmtId="3" fontId="31" fillId="0" borderId="19" xfId="21" applyNumberFormat="1" applyFont="1" applyFill="1" applyBorder="1" applyAlignment="1">
      <alignment horizontal="right" vertical="center" wrapText="1"/>
    </xf>
    <xf numFmtId="3" fontId="31" fillId="0" borderId="0" xfId="21" applyNumberFormat="1" applyFont="1"/>
    <xf numFmtId="0" fontId="31" fillId="0" borderId="31" xfId="21" applyFont="1" applyFill="1" applyBorder="1" applyAlignment="1">
      <alignment horizontal="right" vertical="center" wrapText="1"/>
    </xf>
    <xf numFmtId="49" fontId="31" fillId="0" borderId="18" xfId="21" applyNumberFormat="1" applyFont="1" applyFill="1" applyBorder="1" applyAlignment="1">
      <alignment horizontal="left"/>
    </xf>
    <xf numFmtId="0" fontId="31" fillId="0" borderId="31" xfId="21" applyFont="1" applyFill="1" applyBorder="1"/>
    <xf numFmtId="3" fontId="31" fillId="0" borderId="31" xfId="21" applyNumberFormat="1" applyFont="1" applyFill="1" applyBorder="1"/>
    <xf numFmtId="0" fontId="31" fillId="0" borderId="31" xfId="21" applyFont="1" applyFill="1" applyBorder="1" applyAlignment="1">
      <alignment shrinkToFit="1"/>
    </xf>
    <xf numFmtId="3" fontId="31" fillId="0" borderId="19" xfId="21" applyNumberFormat="1" applyFont="1" applyFill="1" applyBorder="1"/>
    <xf numFmtId="3" fontId="31" fillId="4" borderId="19" xfId="21" applyNumberFormat="1" applyFont="1" applyFill="1" applyBorder="1"/>
    <xf numFmtId="0" fontId="31" fillId="0" borderId="47" xfId="21" applyFont="1" applyFill="1" applyBorder="1"/>
    <xf numFmtId="3" fontId="31" fillId="0" borderId="2" xfId="21" applyNumberFormat="1" applyFont="1" applyFill="1" applyBorder="1"/>
    <xf numFmtId="3" fontId="31" fillId="4" borderId="2" xfId="21" applyNumberFormat="1" applyFont="1" applyFill="1" applyBorder="1"/>
    <xf numFmtId="49" fontId="31" fillId="0" borderId="18" xfId="21" applyNumberFormat="1" applyFont="1" applyBorder="1"/>
    <xf numFmtId="0" fontId="31" fillId="0" borderId="31" xfId="21" applyFont="1" applyBorder="1" applyAlignment="1">
      <alignment horizontal="left"/>
    </xf>
    <xf numFmtId="0" fontId="31" fillId="0" borderId="31" xfId="21" applyFont="1" applyBorder="1"/>
    <xf numFmtId="3" fontId="31" fillId="0" borderId="31" xfId="21" applyNumberFormat="1" applyFont="1" applyBorder="1" applyAlignment="1">
      <alignment horizontal="right"/>
    </xf>
    <xf numFmtId="3" fontId="31" fillId="0" borderId="31" xfId="21" applyNumberFormat="1" applyFont="1" applyFill="1" applyBorder="1" applyAlignment="1">
      <alignment horizontal="right"/>
    </xf>
    <xf numFmtId="3" fontId="31" fillId="0" borderId="2" xfId="21" applyNumberFormat="1" applyFont="1" applyFill="1" applyBorder="1" applyAlignment="1">
      <alignment horizontal="right"/>
    </xf>
    <xf numFmtId="3" fontId="31" fillId="4" borderId="2" xfId="21" applyNumberFormat="1" applyFont="1" applyFill="1" applyBorder="1" applyAlignment="1">
      <alignment horizontal="right"/>
    </xf>
    <xf numFmtId="0" fontId="31" fillId="0" borderId="47" xfId="21" applyFont="1" applyBorder="1"/>
    <xf numFmtId="49" fontId="31" fillId="0" borderId="18" xfId="21" applyNumberFormat="1" applyFont="1" applyFill="1" applyBorder="1"/>
    <xf numFmtId="49" fontId="32" fillId="7" borderId="18" xfId="21" applyNumberFormat="1" applyFont="1" applyFill="1" applyBorder="1"/>
    <xf numFmtId="0" fontId="32" fillId="7" borderId="31" xfId="21" applyFont="1" applyFill="1" applyBorder="1" applyAlignment="1">
      <alignment horizontal="left"/>
    </xf>
    <xf numFmtId="0" fontId="32" fillId="7" borderId="31" xfId="21" applyFont="1" applyFill="1" applyBorder="1"/>
    <xf numFmtId="3" fontId="32" fillId="7" borderId="31" xfId="21" applyNumberFormat="1" applyFont="1" applyFill="1" applyBorder="1" applyAlignment="1">
      <alignment horizontal="right"/>
    </xf>
    <xf numFmtId="3" fontId="32" fillId="7" borderId="2" xfId="21" applyNumberFormat="1" applyFont="1" applyFill="1" applyBorder="1" applyAlignment="1">
      <alignment horizontal="right"/>
    </xf>
    <xf numFmtId="167" fontId="32" fillId="7" borderId="2" xfId="21" applyNumberFormat="1" applyFont="1" applyFill="1" applyBorder="1" applyAlignment="1">
      <alignment horizontal="right" vertical="center" wrapText="1"/>
    </xf>
    <xf numFmtId="3" fontId="32" fillId="7" borderId="2" xfId="21" applyNumberFormat="1" applyFont="1" applyFill="1" applyBorder="1"/>
    <xf numFmtId="0" fontId="32" fillId="7" borderId="47" xfId="21" applyFont="1" applyFill="1" applyBorder="1"/>
    <xf numFmtId="0" fontId="31" fillId="0" borderId="31" xfId="21" applyFont="1" applyFill="1" applyBorder="1" applyAlignment="1">
      <alignment horizontal="center"/>
    </xf>
    <xf numFmtId="49" fontId="31" fillId="0" borderId="31" xfId="21" applyNumberFormat="1" applyFont="1" applyBorder="1"/>
    <xf numFmtId="0" fontId="31" fillId="0" borderId="31" xfId="21" applyFont="1" applyBorder="1" applyAlignment="1">
      <alignment horizontal="center"/>
    </xf>
    <xf numFmtId="0" fontId="32" fillId="7" borderId="31" xfId="21" applyFont="1" applyFill="1" applyBorder="1" applyAlignment="1">
      <alignment horizontal="center"/>
    </xf>
    <xf numFmtId="0" fontId="31" fillId="0" borderId="31" xfId="21" applyNumberFormat="1" applyFont="1" applyFill="1" applyBorder="1"/>
    <xf numFmtId="0" fontId="31" fillId="0" borderId="31" xfId="21" applyFont="1" applyFill="1" applyBorder="1" applyAlignment="1">
      <alignment horizontal="right"/>
    </xf>
    <xf numFmtId="49" fontId="31" fillId="0" borderId="31" xfId="21" applyNumberFormat="1" applyFont="1" applyFill="1" applyBorder="1" applyAlignment="1">
      <alignment horizontal="left"/>
    </xf>
    <xf numFmtId="49" fontId="31" fillId="0" borderId="31" xfId="21" applyNumberFormat="1" applyFont="1" applyFill="1" applyBorder="1"/>
    <xf numFmtId="0" fontId="32" fillId="7" borderId="31" xfId="21" applyNumberFormat="1" applyFont="1" applyFill="1" applyBorder="1"/>
    <xf numFmtId="49" fontId="32" fillId="7" borderId="31" xfId="21" applyNumberFormat="1" applyFont="1" applyFill="1" applyBorder="1"/>
    <xf numFmtId="0" fontId="31" fillId="0" borderId="47" xfId="21" applyFont="1" applyFill="1" applyBorder="1" applyAlignment="1">
      <alignment horizontal="left"/>
    </xf>
    <xf numFmtId="49" fontId="31" fillId="0" borderId="18" xfId="21" applyNumberFormat="1" applyFont="1" applyBorder="1" applyAlignment="1">
      <alignment horizontal="left"/>
    </xf>
    <xf numFmtId="0" fontId="31" fillId="0" borderId="31" xfId="21" applyNumberFormat="1" applyFont="1" applyBorder="1" applyAlignment="1">
      <alignment horizontal="left"/>
    </xf>
    <xf numFmtId="49" fontId="31" fillId="0" borderId="31" xfId="21" applyNumberFormat="1" applyFont="1" applyBorder="1" applyAlignment="1">
      <alignment horizontal="left"/>
    </xf>
    <xf numFmtId="0" fontId="31" fillId="0" borderId="56" xfId="21" applyFont="1" applyFill="1" applyBorder="1" applyAlignment="1">
      <alignment horizontal="right" vertical="center"/>
    </xf>
    <xf numFmtId="0" fontId="31" fillId="0" borderId="28" xfId="21" applyFont="1" applyBorder="1" applyAlignment="1">
      <alignment horizontal="left"/>
    </xf>
    <xf numFmtId="0" fontId="31" fillId="0" borderId="2" xfId="21" applyFont="1" applyBorder="1" applyAlignment="1">
      <alignment horizontal="left"/>
    </xf>
    <xf numFmtId="0" fontId="31" fillId="0" borderId="2" xfId="21" applyFont="1" applyBorder="1" applyAlignment="1">
      <alignment horizontal="center"/>
    </xf>
    <xf numFmtId="0" fontId="31" fillId="0" borderId="2" xfId="21" applyFont="1" applyBorder="1"/>
    <xf numFmtId="0" fontId="31" fillId="0" borderId="10" xfId="21" applyFont="1" applyBorder="1"/>
    <xf numFmtId="3" fontId="31" fillId="0" borderId="19" xfId="21" applyNumberFormat="1" applyFont="1" applyFill="1" applyBorder="1" applyAlignment="1">
      <alignment horizontal="right"/>
    </xf>
    <xf numFmtId="3" fontId="31" fillId="4" borderId="19" xfId="21" applyNumberFormat="1" applyFont="1" applyFill="1" applyBorder="1" applyAlignment="1">
      <alignment horizontal="right"/>
    </xf>
    <xf numFmtId="3" fontId="31" fillId="0" borderId="47" xfId="21" applyNumberFormat="1" applyFont="1" applyBorder="1" applyAlignment="1">
      <alignment horizontal="left"/>
    </xf>
    <xf numFmtId="0" fontId="31" fillId="0" borderId="31" xfId="21" applyNumberFormat="1" applyFont="1" applyFill="1" applyBorder="1" applyAlignment="1">
      <alignment horizontal="left"/>
    </xf>
    <xf numFmtId="0" fontId="31" fillId="0" borderId="31" xfId="21" applyFont="1" applyFill="1" applyBorder="1" applyAlignment="1">
      <alignment wrapText="1"/>
    </xf>
    <xf numFmtId="167" fontId="31" fillId="0" borderId="2" xfId="21" applyNumberFormat="1" applyFont="1" applyFill="1" applyBorder="1" applyAlignment="1">
      <alignment horizontal="right" wrapText="1"/>
    </xf>
    <xf numFmtId="3" fontId="32" fillId="0" borderId="31" xfId="21" applyNumberFormat="1" applyFont="1" applyFill="1" applyBorder="1" applyAlignment="1">
      <alignment horizontal="right"/>
    </xf>
    <xf numFmtId="3" fontId="32" fillId="0" borderId="2" xfId="21" applyNumberFormat="1" applyFont="1" applyFill="1" applyBorder="1" applyAlignment="1">
      <alignment horizontal="right"/>
    </xf>
    <xf numFmtId="3" fontId="32" fillId="0" borderId="2" xfId="21" applyNumberFormat="1" applyFont="1" applyFill="1" applyBorder="1"/>
    <xf numFmtId="49" fontId="31" fillId="7" borderId="18" xfId="21" applyNumberFormat="1" applyFont="1" applyFill="1" applyBorder="1"/>
    <xf numFmtId="0" fontId="31" fillId="7" borderId="31" xfId="21" applyFont="1" applyFill="1" applyBorder="1" applyAlignment="1">
      <alignment horizontal="left"/>
    </xf>
    <xf numFmtId="0" fontId="31" fillId="7" borderId="31" xfId="21" applyFont="1" applyFill="1" applyBorder="1"/>
    <xf numFmtId="49" fontId="31" fillId="7" borderId="18" xfId="21" applyNumberFormat="1" applyFont="1" applyFill="1" applyBorder="1" applyAlignment="1">
      <alignment horizontal="left"/>
    </xf>
    <xf numFmtId="49" fontId="32" fillId="7" borderId="18" xfId="21" applyNumberFormat="1" applyFont="1" applyFill="1" applyBorder="1" applyAlignment="1">
      <alignment horizontal="left"/>
    </xf>
    <xf numFmtId="3" fontId="31" fillId="0" borderId="47" xfId="21" applyNumberFormat="1" applyFont="1" applyFill="1" applyBorder="1" applyAlignment="1">
      <alignment horizontal="left"/>
    </xf>
    <xf numFmtId="0" fontId="33" fillId="0" borderId="2" xfId="21" applyFont="1" applyFill="1" applyBorder="1" applyAlignment="1">
      <alignment vertical="top" wrapText="1"/>
    </xf>
    <xf numFmtId="0" fontId="31" fillId="0" borderId="31" xfId="21" applyFont="1" applyBorder="1" applyAlignment="1">
      <alignment wrapText="1"/>
    </xf>
    <xf numFmtId="0" fontId="32" fillId="7" borderId="31" xfId="21" applyFont="1" applyFill="1" applyBorder="1" applyAlignment="1">
      <alignment wrapText="1"/>
    </xf>
    <xf numFmtId="167" fontId="32" fillId="7" borderId="2" xfId="21" applyNumberFormat="1" applyFont="1" applyFill="1" applyBorder="1" applyAlignment="1">
      <alignment horizontal="right" wrapText="1"/>
    </xf>
    <xf numFmtId="0" fontId="32" fillId="0" borderId="31" xfId="21" applyFont="1" applyFill="1" applyBorder="1"/>
    <xf numFmtId="49" fontId="31" fillId="0" borderId="4" xfId="21" applyNumberFormat="1" applyFont="1" applyBorder="1"/>
    <xf numFmtId="3" fontId="31" fillId="0" borderId="2" xfId="21" applyNumberFormat="1" applyFont="1" applyBorder="1" applyAlignment="1">
      <alignment horizontal="right"/>
    </xf>
    <xf numFmtId="49" fontId="32" fillId="7" borderId="4" xfId="21" applyNumberFormat="1" applyFont="1" applyFill="1" applyBorder="1"/>
    <xf numFmtId="0" fontId="32" fillId="7" borderId="2" xfId="21" applyFont="1" applyFill="1" applyBorder="1" applyAlignment="1">
      <alignment horizontal="left"/>
    </xf>
    <xf numFmtId="0" fontId="32" fillId="7" borderId="2" xfId="21" applyFont="1" applyFill="1" applyBorder="1" applyAlignment="1">
      <alignment horizontal="center"/>
    </xf>
    <xf numFmtId="0" fontId="32" fillId="7" borderId="2" xfId="21" applyFont="1" applyFill="1" applyBorder="1"/>
    <xf numFmtId="0" fontId="32" fillId="7" borderId="10" xfId="21" applyFont="1" applyFill="1" applyBorder="1"/>
    <xf numFmtId="49" fontId="31" fillId="0" borderId="4" xfId="21" applyNumberFormat="1" applyFont="1" applyFill="1" applyBorder="1"/>
    <xf numFmtId="0" fontId="31" fillId="0" borderId="2" xfId="21" applyFont="1" applyFill="1" applyBorder="1" applyAlignment="1">
      <alignment horizontal="left"/>
    </xf>
    <xf numFmtId="0" fontId="31" fillId="0" borderId="2" xfId="21" applyFont="1" applyFill="1" applyBorder="1"/>
    <xf numFmtId="3" fontId="32" fillId="4" borderId="2" xfId="21" applyNumberFormat="1" applyFont="1" applyFill="1" applyBorder="1" applyAlignment="1">
      <alignment horizontal="right"/>
    </xf>
    <xf numFmtId="0" fontId="31" fillId="0" borderId="10" xfId="21" applyFont="1" applyFill="1" applyBorder="1"/>
    <xf numFmtId="49" fontId="32" fillId="7" borderId="14" xfId="21" applyNumberFormat="1" applyFont="1" applyFill="1" applyBorder="1"/>
    <xf numFmtId="0" fontId="32" fillId="7" borderId="15" xfId="21" applyFont="1" applyFill="1" applyBorder="1" applyAlignment="1">
      <alignment horizontal="left"/>
    </xf>
    <xf numFmtId="0" fontId="32" fillId="7" borderId="15" xfId="21" applyFont="1" applyFill="1" applyBorder="1"/>
    <xf numFmtId="3" fontId="32" fillId="7" borderId="15" xfId="21" applyNumberFormat="1" applyFont="1" applyFill="1" applyBorder="1" applyAlignment="1">
      <alignment horizontal="right"/>
    </xf>
    <xf numFmtId="167" fontId="32" fillId="7" borderId="15" xfId="21" applyNumberFormat="1" applyFont="1" applyFill="1" applyBorder="1" applyAlignment="1">
      <alignment horizontal="right" vertical="center" wrapText="1"/>
    </xf>
    <xf numFmtId="3" fontId="32" fillId="7" borderId="15" xfId="21" applyNumberFormat="1" applyFont="1" applyFill="1" applyBorder="1"/>
    <xf numFmtId="0" fontId="32" fillId="7" borderId="13" xfId="21" applyFont="1" applyFill="1" applyBorder="1"/>
    <xf numFmtId="49" fontId="32" fillId="8" borderId="11" xfId="21" applyNumberFormat="1" applyFont="1" applyFill="1" applyBorder="1"/>
    <xf numFmtId="0" fontId="32" fillId="8" borderId="1" xfId="21" applyFont="1" applyFill="1" applyBorder="1" applyAlignment="1">
      <alignment horizontal="left"/>
    </xf>
    <xf numFmtId="0" fontId="32" fillId="8" borderId="1" xfId="21" applyFont="1" applyFill="1" applyBorder="1"/>
    <xf numFmtId="3" fontId="32" fillId="8" borderId="1" xfId="21" applyNumberFormat="1" applyFont="1" applyFill="1" applyBorder="1" applyAlignment="1">
      <alignment horizontal="right"/>
    </xf>
    <xf numFmtId="167" fontId="32" fillId="8" borderId="1" xfId="21" applyNumberFormat="1" applyFont="1" applyFill="1" applyBorder="1" applyAlignment="1">
      <alignment horizontal="right" vertical="center" wrapText="1"/>
    </xf>
    <xf numFmtId="3" fontId="32" fillId="8" borderId="1" xfId="21" applyNumberFormat="1" applyFont="1" applyFill="1" applyBorder="1"/>
    <xf numFmtId="0" fontId="32" fillId="8" borderId="7" xfId="21" applyFont="1" applyFill="1" applyBorder="1"/>
    <xf numFmtId="49" fontId="31" fillId="0" borderId="0" xfId="21" applyNumberFormat="1" applyFont="1" applyFill="1" applyBorder="1"/>
    <xf numFmtId="0" fontId="32" fillId="0" borderId="0" xfId="21" applyFont="1" applyFill="1" applyBorder="1" applyAlignment="1">
      <alignment horizontal="left"/>
    </xf>
    <xf numFmtId="0" fontId="31" fillId="0" borderId="0" xfId="21" applyFont="1" applyFill="1" applyBorder="1" applyAlignment="1">
      <alignment horizontal="left"/>
    </xf>
    <xf numFmtId="0" fontId="31" fillId="0" borderId="0" xfId="21" applyFont="1" applyFill="1" applyBorder="1"/>
    <xf numFmtId="3" fontId="31" fillId="0" borderId="0" xfId="21" applyNumberFormat="1" applyFont="1" applyFill="1" applyBorder="1" applyAlignment="1">
      <alignment horizontal="right"/>
    </xf>
    <xf numFmtId="3" fontId="32" fillId="0" borderId="0" xfId="21" applyNumberFormat="1" applyFont="1" applyFill="1" applyBorder="1" applyAlignment="1">
      <alignment horizontal="right"/>
    </xf>
    <xf numFmtId="164" fontId="31" fillId="0" borderId="0" xfId="21" applyNumberFormat="1" applyFont="1" applyFill="1" applyBorder="1"/>
    <xf numFmtId="3" fontId="32" fillId="0" borderId="0" xfId="21" applyNumberFormat="1" applyFont="1" applyFill="1" applyBorder="1"/>
    <xf numFmtId="49" fontId="31" fillId="0" borderId="0" xfId="21" applyNumberFormat="1" applyFont="1"/>
    <xf numFmtId="0" fontId="31" fillId="0" borderId="0" xfId="21" applyFont="1" applyAlignment="1">
      <alignment horizontal="left"/>
    </xf>
    <xf numFmtId="0" fontId="34" fillId="0" borderId="0" xfId="21" applyFont="1"/>
    <xf numFmtId="0" fontId="35" fillId="0" borderId="0" xfId="21" applyFont="1" applyBorder="1"/>
    <xf numFmtId="0" fontId="36" fillId="0" borderId="0" xfId="21" applyFont="1" applyFill="1" applyAlignment="1">
      <alignment horizontal="center" vertical="center" wrapText="1"/>
    </xf>
    <xf numFmtId="0" fontId="36" fillId="0" borderId="0" xfId="21" applyFont="1" applyFill="1" applyAlignment="1">
      <alignment horizontal="center" vertical="center"/>
    </xf>
    <xf numFmtId="0" fontId="37" fillId="0" borderId="0" xfId="21" applyFont="1"/>
    <xf numFmtId="0" fontId="35" fillId="0" borderId="0" xfId="21" applyFont="1"/>
    <xf numFmtId="0" fontId="35" fillId="0" borderId="0" xfId="21" applyFont="1" applyFill="1"/>
    <xf numFmtId="3" fontId="35" fillId="0" borderId="0" xfId="21" applyNumberFormat="1" applyFont="1" applyFill="1"/>
    <xf numFmtId="164" fontId="35" fillId="0" borderId="0" xfId="21" applyNumberFormat="1" applyFont="1" applyFill="1"/>
    <xf numFmtId="3" fontId="35" fillId="0" borderId="0" xfId="21" applyNumberFormat="1" applyFont="1" applyFill="1" applyBorder="1"/>
    <xf numFmtId="0" fontId="35" fillId="0" borderId="0" xfId="21" applyFont="1" applyFill="1" applyBorder="1"/>
    <xf numFmtId="0" fontId="31" fillId="0" borderId="0" xfId="21" applyFont="1" applyBorder="1"/>
    <xf numFmtId="0" fontId="36" fillId="0" borderId="33" xfId="21" applyFont="1" applyBorder="1"/>
    <xf numFmtId="0" fontId="35" fillId="0" borderId="34" xfId="21" applyFont="1" applyBorder="1"/>
    <xf numFmtId="3" fontId="36" fillId="0" borderId="34" xfId="21" applyNumberFormat="1" applyFont="1" applyBorder="1" applyAlignment="1">
      <alignment shrinkToFit="1"/>
    </xf>
    <xf numFmtId="3" fontId="36" fillId="0" borderId="34" xfId="21" applyNumberFormat="1" applyFont="1" applyFill="1" applyBorder="1"/>
    <xf numFmtId="164" fontId="36" fillId="0" borderId="35" xfId="21" applyNumberFormat="1" applyFont="1" applyFill="1" applyBorder="1"/>
    <xf numFmtId="3" fontId="36" fillId="0" borderId="0" xfId="21" applyNumberFormat="1" applyFont="1" applyFill="1" applyBorder="1"/>
    <xf numFmtId="0" fontId="38" fillId="0" borderId="0" xfId="21" applyFont="1"/>
    <xf numFmtId="0" fontId="18" fillId="0" borderId="0" xfId="21" applyFont="1"/>
    <xf numFmtId="0" fontId="39" fillId="0" borderId="0" xfId="21" applyFont="1"/>
  </cellXfs>
  <cellStyles count="22">
    <cellStyle name="_JNP_6300" xfId="17"/>
    <cellStyle name="_JNP_6300_1" xfId="18"/>
    <cellStyle name="_JNPIII29.11" xfId="19"/>
    <cellStyle name="_OB_JNP_2003" xfId="20"/>
    <cellStyle name="_Příjmy 2001-tab" xfId="1"/>
    <cellStyle name="_x0001_n" xfId="2"/>
    <cellStyle name="Nedefinován" xfId="3"/>
    <cellStyle name="normální" xfId="0" builtinId="0"/>
    <cellStyle name="normální 2" xfId="21"/>
    <cellStyle name="normální_Archiv- příjmy" xfId="4"/>
    <cellStyle name="normální_Archiv- příjmy 2" xfId="15"/>
    <cellStyle name="normální_Kunovská-Plnění rozpočtu příjmů a výdajů v.m.06-2002" xfId="10"/>
    <cellStyle name="normální_Perka 13-závěr" xfId="11"/>
    <cellStyle name="normální_Plnění PV" xfId="5"/>
    <cellStyle name="normální_Příjmy 2001-tab" xfId="6"/>
    <cellStyle name="normální_Výdaje" xfId="9"/>
    <cellStyle name="normální_Výdaje 2001-tab" xfId="7"/>
    <cellStyle name="normální_Výdaje provoz 2000" xfId="16"/>
    <cellStyle name="normální_Výdaje_Vydaje1_ OŽP -konečná verze" xfId="13"/>
    <cellStyle name="normální_Vydaje1_ OŽP -konečná verze" xfId="12"/>
    <cellStyle name="normální_Výdaje-2 etapa-vokurková" xfId="14"/>
    <cellStyle name="Styl 1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2/PV%20ORJ%20polo&#382;k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showZeros="0" tabSelected="1" zoomScaleSheetLayoutView="75" workbookViewId="0">
      <selection activeCell="A2" sqref="A2"/>
    </sheetView>
  </sheetViews>
  <sheetFormatPr defaultRowHeight="12.75"/>
  <cols>
    <col min="1" max="1" width="5.42578125" style="203" customWidth="1"/>
    <col min="2" max="2" width="8.140625" style="204" customWidth="1"/>
    <col min="3" max="3" width="6" style="205" customWidth="1"/>
    <col min="4" max="4" width="42.28515625" style="206" customWidth="1"/>
    <col min="5" max="5" width="17.85546875" style="178" customWidth="1"/>
    <col min="6" max="6" width="15.7109375" style="178" customWidth="1"/>
    <col min="7" max="7" width="16" style="178" customWidth="1"/>
    <col min="8" max="8" width="9.140625" style="179"/>
    <col min="9" max="9" width="9.7109375" style="179" customWidth="1"/>
    <col min="10" max="12" width="9.140625" style="147"/>
    <col min="13" max="13" width="9" style="147" customWidth="1"/>
    <col min="14" max="14" width="8.42578125" style="147" customWidth="1"/>
    <col min="15" max="16384" width="9.140625" style="147"/>
  </cols>
  <sheetData>
    <row r="1" spans="1:9" s="190" customFormat="1" ht="13.5" thickBot="1">
      <c r="A1" s="285" t="s">
        <v>273</v>
      </c>
      <c r="B1" s="187" t="s">
        <v>104</v>
      </c>
      <c r="C1" s="188" t="s">
        <v>105</v>
      </c>
      <c r="D1" s="187" t="s">
        <v>106</v>
      </c>
      <c r="E1" s="162" t="s">
        <v>258</v>
      </c>
      <c r="F1" s="162" t="s">
        <v>292</v>
      </c>
      <c r="G1" s="162" t="s">
        <v>293</v>
      </c>
      <c r="H1" s="163" t="s">
        <v>107</v>
      </c>
      <c r="I1" s="189" t="s">
        <v>108</v>
      </c>
    </row>
    <row r="2" spans="1:9" s="192" customFormat="1">
      <c r="A2" s="96">
        <v>1700</v>
      </c>
      <c r="B2" s="97" t="str">
        <f>(MID(C2,1,3))</f>
        <v>111</v>
      </c>
      <c r="C2" s="98">
        <v>1111</v>
      </c>
      <c r="D2" s="99" t="s">
        <v>109</v>
      </c>
      <c r="E2" s="100">
        <v>1520000</v>
      </c>
      <c r="F2" s="100">
        <v>1520000</v>
      </c>
      <c r="G2" s="100">
        <v>1600666</v>
      </c>
      <c r="H2" s="165">
        <f>IF(E2&lt;=0,0,$G2/E2*100)</f>
        <v>105.30697368421053</v>
      </c>
      <c r="I2" s="191">
        <f>IF(F2&lt;=0,0,$G2/F2*100)</f>
        <v>105.30697368421053</v>
      </c>
    </row>
    <row r="3" spans="1:9" s="192" customFormat="1">
      <c r="A3" s="102">
        <v>1700</v>
      </c>
      <c r="B3" s="97" t="str">
        <f>(MID(C3,1,3))</f>
        <v>111</v>
      </c>
      <c r="C3" s="103">
        <v>1112</v>
      </c>
      <c r="D3" s="104" t="s">
        <v>110</v>
      </c>
      <c r="E3" s="105">
        <v>110000</v>
      </c>
      <c r="F3" s="105">
        <v>110000</v>
      </c>
      <c r="G3" s="105">
        <v>90190</v>
      </c>
      <c r="H3" s="125">
        <f t="shared" ref="H3:H39" si="0">IF(E3&lt;=0,0,$G3/E3*100)</f>
        <v>81.990909090909099</v>
      </c>
      <c r="I3" s="126">
        <f t="shared" ref="I3:I39" si="1">IF(F3&lt;=0,0,$G3/F3*100)</f>
        <v>81.990909090909099</v>
      </c>
    </row>
    <row r="4" spans="1:9" s="192" customFormat="1">
      <c r="A4" s="102">
        <v>1700</v>
      </c>
      <c r="B4" s="97" t="str">
        <f>(MID(C4,1,3))</f>
        <v>111</v>
      </c>
      <c r="C4" s="103">
        <v>1113</v>
      </c>
      <c r="D4" s="104" t="s">
        <v>111</v>
      </c>
      <c r="E4" s="105">
        <v>140000</v>
      </c>
      <c r="F4" s="105">
        <v>140000</v>
      </c>
      <c r="G4" s="105">
        <v>163433</v>
      </c>
      <c r="H4" s="125">
        <f t="shared" si="0"/>
        <v>116.73785714285714</v>
      </c>
      <c r="I4" s="126">
        <f t="shared" si="1"/>
        <v>116.73785714285714</v>
      </c>
    </row>
    <row r="5" spans="1:9" s="192" customFormat="1">
      <c r="A5" s="102">
        <v>1700</v>
      </c>
      <c r="B5" s="97" t="str">
        <f>(MID(C5,1,3))</f>
        <v>111</v>
      </c>
      <c r="C5" s="103">
        <v>1119</v>
      </c>
      <c r="D5" s="104" t="s">
        <v>285</v>
      </c>
      <c r="E5" s="105"/>
      <c r="F5" s="105"/>
      <c r="G5" s="105">
        <v>1</v>
      </c>
      <c r="H5" s="125">
        <f>IF(E5&lt;=0,0,$G5/E5*100)</f>
        <v>0</v>
      </c>
      <c r="I5" s="126">
        <f>IF(F5&lt;=0,0,$G5/F5*100)</f>
        <v>0</v>
      </c>
    </row>
    <row r="6" spans="1:9" s="192" customFormat="1">
      <c r="A6" s="102"/>
      <c r="B6" s="106" t="s">
        <v>112</v>
      </c>
      <c r="C6" s="103"/>
      <c r="D6" s="104"/>
      <c r="E6" s="107">
        <f>SUBTOTAL(9,E2:E5)</f>
        <v>1770000</v>
      </c>
      <c r="F6" s="107">
        <f>SUBTOTAL(9,F2:F5)</f>
        <v>1770000</v>
      </c>
      <c r="G6" s="107">
        <f>SUBTOTAL(9,G2:G5)</f>
        <v>1854290</v>
      </c>
      <c r="H6" s="193">
        <f t="shared" si="0"/>
        <v>104.76214689265537</v>
      </c>
      <c r="I6" s="194">
        <f t="shared" si="1"/>
        <v>104.76214689265537</v>
      </c>
    </row>
    <row r="7" spans="1:9" s="192" customFormat="1">
      <c r="A7" s="102">
        <v>1700</v>
      </c>
      <c r="B7" s="97" t="str">
        <f>(MID(C7,1,3))</f>
        <v>112</v>
      </c>
      <c r="C7" s="103">
        <v>1121</v>
      </c>
      <c r="D7" s="104" t="s">
        <v>113</v>
      </c>
      <c r="E7" s="105">
        <v>1490000</v>
      </c>
      <c r="F7" s="105">
        <v>1490000</v>
      </c>
      <c r="G7" s="105">
        <v>1598950</v>
      </c>
      <c r="H7" s="125">
        <f t="shared" si="0"/>
        <v>107.31208053691275</v>
      </c>
      <c r="I7" s="126">
        <f t="shared" si="1"/>
        <v>107.31208053691275</v>
      </c>
    </row>
    <row r="8" spans="1:9" s="192" customFormat="1">
      <c r="A8" s="102">
        <v>1700</v>
      </c>
      <c r="B8" s="97" t="str">
        <f>(MID(C8,1,3))</f>
        <v>112</v>
      </c>
      <c r="C8" s="103">
        <v>1122</v>
      </c>
      <c r="D8" s="104" t="s">
        <v>114</v>
      </c>
      <c r="E8" s="105">
        <v>350000</v>
      </c>
      <c r="F8" s="105">
        <v>229843</v>
      </c>
      <c r="G8" s="105">
        <v>229843</v>
      </c>
      <c r="H8" s="125">
        <f>IF(E8&lt;=0,0,$G8/E8*100)</f>
        <v>65.669428571428568</v>
      </c>
      <c r="I8" s="126">
        <f>IF(F8&lt;=0,0,$G8/F8*100)</f>
        <v>100</v>
      </c>
    </row>
    <row r="9" spans="1:9" s="192" customFormat="1">
      <c r="A9" s="102">
        <v>3200</v>
      </c>
      <c r="B9" s="97" t="str">
        <f>(MID(C9,1,3))</f>
        <v>112</v>
      </c>
      <c r="C9" s="103">
        <v>1122</v>
      </c>
      <c r="D9" s="104" t="s">
        <v>114</v>
      </c>
      <c r="E9" s="105"/>
      <c r="F9" s="105">
        <v>74</v>
      </c>
      <c r="G9" s="105">
        <v>74</v>
      </c>
      <c r="H9" s="125">
        <f>IF(E9&lt;=0,0,$G9/E9*100)</f>
        <v>0</v>
      </c>
      <c r="I9" s="126">
        <f>IF(F9&lt;=0,0,$G9/F9*100)</f>
        <v>100</v>
      </c>
    </row>
    <row r="10" spans="1:9">
      <c r="A10" s="102"/>
      <c r="B10" s="108" t="s">
        <v>115</v>
      </c>
      <c r="C10" s="103"/>
      <c r="D10" s="104"/>
      <c r="E10" s="107">
        <f>SUBTOTAL(9,E7:E9)</f>
        <v>1840000</v>
      </c>
      <c r="F10" s="107">
        <f>SUBTOTAL(9,F7:F9)</f>
        <v>1719917</v>
      </c>
      <c r="G10" s="107">
        <f>SUBTOTAL(9,G7:G9)</f>
        <v>1828867</v>
      </c>
      <c r="H10" s="193">
        <f t="shared" si="0"/>
        <v>99.394945652173917</v>
      </c>
      <c r="I10" s="194">
        <f t="shared" si="1"/>
        <v>106.33460800724686</v>
      </c>
    </row>
    <row r="11" spans="1:9">
      <c r="A11" s="102">
        <v>1700</v>
      </c>
      <c r="B11" s="97" t="str">
        <f>(MID(C11,1,3))</f>
        <v>121</v>
      </c>
      <c r="C11" s="103">
        <v>1211</v>
      </c>
      <c r="D11" s="104" t="s">
        <v>116</v>
      </c>
      <c r="E11" s="105">
        <v>3350000</v>
      </c>
      <c r="F11" s="105">
        <v>3350000</v>
      </c>
      <c r="G11" s="105">
        <v>3234063</v>
      </c>
      <c r="H11" s="125">
        <f t="shared" si="0"/>
        <v>96.539194029850748</v>
      </c>
      <c r="I11" s="126">
        <f t="shared" si="1"/>
        <v>96.539194029850748</v>
      </c>
    </row>
    <row r="12" spans="1:9">
      <c r="A12" s="102"/>
      <c r="B12" s="108" t="s">
        <v>117</v>
      </c>
      <c r="C12" s="103"/>
      <c r="D12" s="104"/>
      <c r="E12" s="107">
        <f>SUBTOTAL(9,E11:E11)</f>
        <v>3350000</v>
      </c>
      <c r="F12" s="107">
        <f>SUBTOTAL(9,F11:F11)</f>
        <v>3350000</v>
      </c>
      <c r="G12" s="107">
        <f>SUBTOTAL(9,G11:G11)</f>
        <v>3234063</v>
      </c>
      <c r="H12" s="193">
        <f t="shared" si="0"/>
        <v>96.539194029850748</v>
      </c>
      <c r="I12" s="194">
        <f t="shared" si="1"/>
        <v>96.539194029850748</v>
      </c>
    </row>
    <row r="13" spans="1:9">
      <c r="A13" s="148">
        <v>4300</v>
      </c>
      <c r="B13" s="97" t="str">
        <f>(MID(C13,1,3))</f>
        <v>133</v>
      </c>
      <c r="C13" s="149">
        <v>1334</v>
      </c>
      <c r="D13" s="195" t="s">
        <v>118</v>
      </c>
      <c r="E13" s="109">
        <v>700</v>
      </c>
      <c r="F13" s="109">
        <v>700</v>
      </c>
      <c r="G13" s="109">
        <v>654</v>
      </c>
      <c r="H13" s="151">
        <f t="shared" si="0"/>
        <v>93.428571428571431</v>
      </c>
      <c r="I13" s="152">
        <f t="shared" si="1"/>
        <v>93.428571428571431</v>
      </c>
    </row>
    <row r="14" spans="1:9" s="192" customFormat="1">
      <c r="A14" s="148">
        <v>4300</v>
      </c>
      <c r="B14" s="97" t="str">
        <f>(MID(C14,1,3))</f>
        <v>133</v>
      </c>
      <c r="C14" s="149">
        <v>1335</v>
      </c>
      <c r="D14" s="195" t="s">
        <v>119</v>
      </c>
      <c r="E14" s="109">
        <v>50</v>
      </c>
      <c r="F14" s="109">
        <v>50</v>
      </c>
      <c r="G14" s="109">
        <v>67</v>
      </c>
      <c r="H14" s="151">
        <f t="shared" si="0"/>
        <v>134</v>
      </c>
      <c r="I14" s="152">
        <f t="shared" si="1"/>
        <v>134</v>
      </c>
    </row>
    <row r="15" spans="1:9" s="192" customFormat="1">
      <c r="A15" s="102">
        <v>4200</v>
      </c>
      <c r="B15" s="97" t="str">
        <f>(MID(C15,1,3))</f>
        <v>133</v>
      </c>
      <c r="C15" s="103">
        <v>1339</v>
      </c>
      <c r="D15" s="104" t="s">
        <v>252</v>
      </c>
      <c r="E15" s="105">
        <v>83</v>
      </c>
      <c r="F15" s="105">
        <v>83</v>
      </c>
      <c r="G15" s="105">
        <v>103</v>
      </c>
      <c r="H15" s="110">
        <f t="shared" si="0"/>
        <v>124.09638554216869</v>
      </c>
      <c r="I15" s="111">
        <f t="shared" si="1"/>
        <v>124.09638554216869</v>
      </c>
    </row>
    <row r="16" spans="1:9" s="192" customFormat="1">
      <c r="A16" s="102"/>
      <c r="B16" s="108" t="s">
        <v>120</v>
      </c>
      <c r="C16" s="103"/>
      <c r="D16" s="104"/>
      <c r="E16" s="107">
        <f>SUBTOTAL(9,E13:E15)</f>
        <v>833</v>
      </c>
      <c r="F16" s="107">
        <f>SUBTOTAL(9,F13:F15)</f>
        <v>833</v>
      </c>
      <c r="G16" s="107">
        <f>SUBTOTAL(9,G13:G15)</f>
        <v>824</v>
      </c>
      <c r="H16" s="193">
        <f t="shared" si="0"/>
        <v>98.919567827130848</v>
      </c>
      <c r="I16" s="194">
        <f t="shared" si="1"/>
        <v>98.919567827130848</v>
      </c>
    </row>
    <row r="17" spans="1:10" s="192" customFormat="1">
      <c r="A17" s="102">
        <v>4200</v>
      </c>
      <c r="B17" s="97" t="str">
        <f>(MID(C17,1,3))</f>
        <v>134</v>
      </c>
      <c r="C17" s="103">
        <v>1340</v>
      </c>
      <c r="D17" s="104" t="s">
        <v>264</v>
      </c>
      <c r="E17" s="105">
        <v>179736</v>
      </c>
      <c r="F17" s="105">
        <v>179736</v>
      </c>
      <c r="G17" s="105">
        <v>180892</v>
      </c>
      <c r="H17" s="110">
        <f>IF(E17&lt;=0,0,$G17/E17*100)</f>
        <v>100.64316553166867</v>
      </c>
      <c r="I17" s="111">
        <f>IF(F17&lt;=0,0,$G17/F17*100)</f>
        <v>100.64316553166867</v>
      </c>
    </row>
    <row r="18" spans="1:10" s="196" customFormat="1">
      <c r="A18" s="148">
        <v>5400</v>
      </c>
      <c r="B18" s="97" t="str">
        <f>(MID(C18,1,3))</f>
        <v>134</v>
      </c>
      <c r="C18" s="149">
        <v>1346</v>
      </c>
      <c r="D18" s="195" t="s">
        <v>121</v>
      </c>
      <c r="E18" s="109">
        <v>5500</v>
      </c>
      <c r="F18" s="109">
        <v>5500</v>
      </c>
      <c r="G18" s="109">
        <v>4188</v>
      </c>
      <c r="H18" s="151">
        <f t="shared" si="0"/>
        <v>76.145454545454555</v>
      </c>
      <c r="I18" s="152">
        <f t="shared" si="1"/>
        <v>76.145454545454555</v>
      </c>
    </row>
    <row r="19" spans="1:10" s="196" customFormat="1">
      <c r="A19" s="148"/>
      <c r="B19" s="108" t="s">
        <v>182</v>
      </c>
      <c r="C19" s="149"/>
      <c r="D19" s="195"/>
      <c r="E19" s="107">
        <f>SUBTOTAL(9,E17:E18)</f>
        <v>185236</v>
      </c>
      <c r="F19" s="107">
        <f>SUBTOTAL(9,F17:F18)</f>
        <v>185236</v>
      </c>
      <c r="G19" s="107">
        <f>SUBTOTAL(9,G17:G18)</f>
        <v>185080</v>
      </c>
      <c r="H19" s="193">
        <f t="shared" si="0"/>
        <v>99.915783109114869</v>
      </c>
      <c r="I19" s="194">
        <f t="shared" si="1"/>
        <v>99.915783109114869</v>
      </c>
    </row>
    <row r="20" spans="1:10" s="196" customFormat="1">
      <c r="A20" s="148">
        <v>1700</v>
      </c>
      <c r="B20" s="97" t="str">
        <f>(MID(C20,1,3))</f>
        <v>135</v>
      </c>
      <c r="C20" s="149">
        <v>1351</v>
      </c>
      <c r="D20" s="195" t="s">
        <v>283</v>
      </c>
      <c r="E20" s="109"/>
      <c r="F20" s="109">
        <v>22000</v>
      </c>
      <c r="G20" s="109">
        <v>22430</v>
      </c>
      <c r="H20" s="151">
        <f t="shared" ref="H20:I22" si="2">IF(E20&lt;=0,0,$G20/E20*100)</f>
        <v>0</v>
      </c>
      <c r="I20" s="152">
        <f t="shared" si="2"/>
        <v>101.95454545454545</v>
      </c>
    </row>
    <row r="21" spans="1:10" s="196" customFormat="1">
      <c r="A21" s="148">
        <v>5800</v>
      </c>
      <c r="B21" s="97" t="str">
        <f>(MID(C21,1,3))</f>
        <v>135</v>
      </c>
      <c r="C21" s="149">
        <v>1353</v>
      </c>
      <c r="D21" s="195" t="s">
        <v>186</v>
      </c>
      <c r="E21" s="109">
        <v>7000</v>
      </c>
      <c r="F21" s="109">
        <v>7000</v>
      </c>
      <c r="G21" s="109">
        <v>6654</v>
      </c>
      <c r="H21" s="151">
        <f t="shared" si="2"/>
        <v>95.057142857142864</v>
      </c>
      <c r="I21" s="152">
        <f t="shared" si="2"/>
        <v>95.057142857142864</v>
      </c>
    </row>
    <row r="22" spans="1:10" s="196" customFormat="1">
      <c r="A22" s="148">
        <v>1700</v>
      </c>
      <c r="B22" s="97" t="str">
        <f>(MID(C22,1,3))</f>
        <v>135</v>
      </c>
      <c r="C22" s="149">
        <v>1355</v>
      </c>
      <c r="D22" s="195" t="s">
        <v>282</v>
      </c>
      <c r="E22" s="109"/>
      <c r="F22" s="109">
        <v>43730</v>
      </c>
      <c r="G22" s="109">
        <v>82142</v>
      </c>
      <c r="H22" s="151">
        <f t="shared" si="2"/>
        <v>0</v>
      </c>
      <c r="I22" s="152">
        <f t="shared" si="2"/>
        <v>187.83901211982621</v>
      </c>
      <c r="J22" s="301"/>
    </row>
    <row r="23" spans="1:10" s="196" customFormat="1">
      <c r="A23" s="148">
        <v>5800</v>
      </c>
      <c r="B23" s="97" t="str">
        <f>(MID(C23,1,3))</f>
        <v>135</v>
      </c>
      <c r="C23" s="149">
        <v>1359</v>
      </c>
      <c r="D23" s="195" t="s">
        <v>226</v>
      </c>
      <c r="E23" s="109"/>
      <c r="F23" s="109"/>
      <c r="G23" s="109">
        <v>-335</v>
      </c>
      <c r="H23" s="151"/>
      <c r="I23" s="152"/>
      <c r="J23" s="301"/>
    </row>
    <row r="24" spans="1:10" s="196" customFormat="1">
      <c r="A24" s="148"/>
      <c r="B24" s="108" t="s">
        <v>187</v>
      </c>
      <c r="C24" s="149"/>
      <c r="D24" s="195"/>
      <c r="E24" s="107">
        <f>SUBTOTAL(9,E20:E23)</f>
        <v>7000</v>
      </c>
      <c r="F24" s="107">
        <f>SUBTOTAL(9,F20:F23)</f>
        <v>72730</v>
      </c>
      <c r="G24" s="107">
        <f>SUBTOTAL(9,G20:G23)</f>
        <v>110891</v>
      </c>
      <c r="H24" s="193">
        <f>IF(E24&lt;=0,0,$G24/E24*100)</f>
        <v>1584.1571428571428</v>
      </c>
      <c r="I24" s="194">
        <f>IF(F24&lt;=0,0,$G24/F24*100)</f>
        <v>152.46940739722262</v>
      </c>
    </row>
    <row r="25" spans="1:10">
      <c r="A25" s="102">
        <v>1700</v>
      </c>
      <c r="B25" s="97" t="str">
        <f t="shared" ref="B25:B31" si="3">(MID(C25,1,3))</f>
        <v>136</v>
      </c>
      <c r="C25" s="103">
        <v>1361</v>
      </c>
      <c r="D25" s="104" t="s">
        <v>122</v>
      </c>
      <c r="E25" s="105">
        <v>20</v>
      </c>
      <c r="F25" s="105">
        <v>20</v>
      </c>
      <c r="G25" s="105">
        <v>19</v>
      </c>
      <c r="H25" s="110">
        <f t="shared" si="0"/>
        <v>95</v>
      </c>
      <c r="I25" s="111">
        <f t="shared" si="1"/>
        <v>95</v>
      </c>
    </row>
    <row r="26" spans="1:10" s="196" customFormat="1">
      <c r="A26" s="102">
        <v>3200</v>
      </c>
      <c r="B26" s="97" t="str">
        <f t="shared" si="3"/>
        <v>136</v>
      </c>
      <c r="C26" s="103">
        <v>1361</v>
      </c>
      <c r="D26" s="153" t="s">
        <v>122</v>
      </c>
      <c r="E26" s="105">
        <v>1788</v>
      </c>
      <c r="F26" s="105">
        <v>1788</v>
      </c>
      <c r="G26" s="105">
        <v>920</v>
      </c>
      <c r="H26" s="110">
        <f t="shared" ref="H26:I29" si="4">IF(E26&lt;=0,0,$G26/E26*100)</f>
        <v>51.454138702460853</v>
      </c>
      <c r="I26" s="111">
        <f t="shared" si="4"/>
        <v>51.454138702460853</v>
      </c>
      <c r="J26" s="301"/>
    </row>
    <row r="27" spans="1:10" s="196" customFormat="1">
      <c r="A27" s="102">
        <v>3800</v>
      </c>
      <c r="B27" s="97" t="str">
        <f t="shared" si="3"/>
        <v>136</v>
      </c>
      <c r="C27" s="103">
        <v>1361</v>
      </c>
      <c r="D27" s="153" t="s">
        <v>122</v>
      </c>
      <c r="E27" s="105">
        <v>11850</v>
      </c>
      <c r="F27" s="105">
        <v>11850</v>
      </c>
      <c r="G27" s="105">
        <v>13122</v>
      </c>
      <c r="H27" s="110">
        <f t="shared" si="4"/>
        <v>110.73417721518987</v>
      </c>
      <c r="I27" s="111">
        <f t="shared" si="4"/>
        <v>110.73417721518987</v>
      </c>
    </row>
    <row r="28" spans="1:10">
      <c r="A28" s="102">
        <v>3900</v>
      </c>
      <c r="B28" s="97" t="str">
        <f>(MID(C28,1,3))</f>
        <v>136</v>
      </c>
      <c r="C28" s="103">
        <v>1361</v>
      </c>
      <c r="D28" s="153" t="s">
        <v>122</v>
      </c>
      <c r="E28" s="127">
        <v>5</v>
      </c>
      <c r="F28" s="127">
        <v>5</v>
      </c>
      <c r="G28" s="127">
        <v>1</v>
      </c>
      <c r="H28" s="110">
        <f t="shared" si="4"/>
        <v>20</v>
      </c>
      <c r="I28" s="111">
        <f t="shared" si="4"/>
        <v>20</v>
      </c>
    </row>
    <row r="29" spans="1:10">
      <c r="A29" s="102">
        <v>4200</v>
      </c>
      <c r="B29" s="97" t="str">
        <f t="shared" si="3"/>
        <v>136</v>
      </c>
      <c r="C29" s="103">
        <v>1361</v>
      </c>
      <c r="D29" s="104" t="s">
        <v>122</v>
      </c>
      <c r="E29" s="105">
        <v>5</v>
      </c>
      <c r="F29" s="105">
        <v>5</v>
      </c>
      <c r="G29" s="105"/>
      <c r="H29" s="110">
        <f t="shared" si="4"/>
        <v>0</v>
      </c>
      <c r="I29" s="111">
        <f t="shared" si="4"/>
        <v>0</v>
      </c>
    </row>
    <row r="30" spans="1:10">
      <c r="A30" s="148">
        <v>4300</v>
      </c>
      <c r="B30" s="97" t="str">
        <f t="shared" si="3"/>
        <v>136</v>
      </c>
      <c r="C30" s="149">
        <v>1361</v>
      </c>
      <c r="D30" s="195" t="s">
        <v>122</v>
      </c>
      <c r="E30" s="109">
        <v>200</v>
      </c>
      <c r="F30" s="109">
        <v>200</v>
      </c>
      <c r="G30" s="109">
        <v>315</v>
      </c>
      <c r="H30" s="151">
        <f t="shared" si="0"/>
        <v>157.5</v>
      </c>
      <c r="I30" s="152">
        <f t="shared" si="1"/>
        <v>157.5</v>
      </c>
    </row>
    <row r="31" spans="1:10">
      <c r="A31" s="148">
        <v>5400</v>
      </c>
      <c r="B31" s="97" t="str">
        <f t="shared" si="3"/>
        <v>136</v>
      </c>
      <c r="C31" s="149">
        <v>1361</v>
      </c>
      <c r="D31" s="195" t="s">
        <v>122</v>
      </c>
      <c r="E31" s="109">
        <v>550</v>
      </c>
      <c r="F31" s="109">
        <v>550</v>
      </c>
      <c r="G31" s="109">
        <v>613</v>
      </c>
      <c r="H31" s="151">
        <f t="shared" si="0"/>
        <v>111.45454545454545</v>
      </c>
      <c r="I31" s="152">
        <f t="shared" si="1"/>
        <v>111.45454545454545</v>
      </c>
    </row>
    <row r="32" spans="1:10">
      <c r="A32" s="148">
        <v>5800</v>
      </c>
      <c r="B32" s="99">
        <v>136</v>
      </c>
      <c r="C32" s="149">
        <v>1361</v>
      </c>
      <c r="D32" s="195" t="s">
        <v>122</v>
      </c>
      <c r="E32" s="109">
        <v>45000</v>
      </c>
      <c r="F32" s="109">
        <v>45000</v>
      </c>
      <c r="G32" s="109">
        <v>42416</v>
      </c>
      <c r="H32" s="151">
        <f t="shared" si="0"/>
        <v>94.257777777777775</v>
      </c>
      <c r="I32" s="152">
        <f t="shared" si="1"/>
        <v>94.257777777777775</v>
      </c>
    </row>
    <row r="33" spans="1:10">
      <c r="A33" s="148">
        <v>6500</v>
      </c>
      <c r="B33" s="99">
        <v>136</v>
      </c>
      <c r="C33" s="149">
        <v>1361</v>
      </c>
      <c r="D33" s="195" t="s">
        <v>122</v>
      </c>
      <c r="E33" s="109">
        <v>4700</v>
      </c>
      <c r="F33" s="109">
        <v>4700</v>
      </c>
      <c r="G33" s="109">
        <v>7622</v>
      </c>
      <c r="H33" s="151">
        <f t="shared" si="0"/>
        <v>162.17021276595744</v>
      </c>
      <c r="I33" s="152">
        <f t="shared" si="1"/>
        <v>162.17021276595744</v>
      </c>
      <c r="J33" s="300"/>
    </row>
    <row r="34" spans="1:10">
      <c r="A34" s="148">
        <v>7100</v>
      </c>
      <c r="B34" s="99">
        <v>136</v>
      </c>
      <c r="C34" s="149">
        <v>1361</v>
      </c>
      <c r="D34" s="195" t="s">
        <v>122</v>
      </c>
      <c r="E34" s="109"/>
      <c r="F34" s="109"/>
      <c r="G34" s="109">
        <v>4</v>
      </c>
      <c r="H34" s="151">
        <f t="shared" si="0"/>
        <v>0</v>
      </c>
      <c r="I34" s="152">
        <f t="shared" si="1"/>
        <v>0</v>
      </c>
    </row>
    <row r="35" spans="1:10">
      <c r="A35" s="148">
        <v>7200</v>
      </c>
      <c r="B35" s="97" t="str">
        <f>(MID(C35,1,3))</f>
        <v>136</v>
      </c>
      <c r="C35" s="149">
        <v>1361</v>
      </c>
      <c r="D35" s="197" t="s">
        <v>122</v>
      </c>
      <c r="E35" s="109">
        <v>40</v>
      </c>
      <c r="F35" s="109">
        <v>40</v>
      </c>
      <c r="G35" s="109"/>
      <c r="H35" s="110">
        <f t="shared" si="0"/>
        <v>0</v>
      </c>
      <c r="I35" s="111">
        <f t="shared" si="1"/>
        <v>0</v>
      </c>
    </row>
    <row r="36" spans="1:10">
      <c r="A36" s="102"/>
      <c r="B36" s="108" t="s">
        <v>123</v>
      </c>
      <c r="C36" s="103"/>
      <c r="D36" s="153"/>
      <c r="E36" s="107">
        <f>SUBTOTAL(9,E25:E35)</f>
        <v>64158</v>
      </c>
      <c r="F36" s="107">
        <f>SUBTOTAL(9,F25:F35)</f>
        <v>64158</v>
      </c>
      <c r="G36" s="107">
        <f>SUBTOTAL(9,G25:G35)</f>
        <v>65032</v>
      </c>
      <c r="H36" s="193">
        <f t="shared" si="0"/>
        <v>101.36226191589512</v>
      </c>
      <c r="I36" s="194">
        <f t="shared" si="1"/>
        <v>101.36226191589512</v>
      </c>
    </row>
    <row r="37" spans="1:10">
      <c r="A37" s="102">
        <v>1700</v>
      </c>
      <c r="B37" s="97" t="str">
        <f>(MID(C37,1,3))</f>
        <v>151</v>
      </c>
      <c r="C37" s="103">
        <v>1511</v>
      </c>
      <c r="D37" s="104" t="s">
        <v>124</v>
      </c>
      <c r="E37" s="105">
        <v>221000</v>
      </c>
      <c r="F37" s="105">
        <v>221000</v>
      </c>
      <c r="G37" s="105">
        <v>216237</v>
      </c>
      <c r="H37" s="125">
        <f t="shared" si="0"/>
        <v>97.844796380090486</v>
      </c>
      <c r="I37" s="126">
        <f t="shared" si="1"/>
        <v>97.844796380090486</v>
      </c>
    </row>
    <row r="38" spans="1:10" ht="13.5" thickBot="1">
      <c r="A38" s="112"/>
      <c r="B38" s="113" t="s">
        <v>125</v>
      </c>
      <c r="C38" s="114"/>
      <c r="D38" s="115"/>
      <c r="E38" s="116">
        <f>SUBTOTAL(9,E37:E37)</f>
        <v>221000</v>
      </c>
      <c r="F38" s="116">
        <f>SUBTOTAL(9,F37:F37)</f>
        <v>221000</v>
      </c>
      <c r="G38" s="116">
        <f>SUBTOTAL(9,G37:G37)</f>
        <v>216237</v>
      </c>
      <c r="H38" s="198">
        <f t="shared" si="0"/>
        <v>97.844796380090486</v>
      </c>
      <c r="I38" s="199">
        <f t="shared" si="1"/>
        <v>97.844796380090486</v>
      </c>
    </row>
    <row r="39" spans="1:10" ht="15" thickBot="1">
      <c r="A39" s="117"/>
      <c r="B39" s="143" t="s">
        <v>126</v>
      </c>
      <c r="C39" s="118"/>
      <c r="D39" s="119"/>
      <c r="E39" s="200">
        <f>SUBTOTAL(9,E2:E37)</f>
        <v>7438227</v>
      </c>
      <c r="F39" s="200">
        <f>SUBTOTAL(9,F2:F37)</f>
        <v>7383874</v>
      </c>
      <c r="G39" s="200">
        <f>SUBTOTAL(9,G2:G37)</f>
        <v>7495284</v>
      </c>
      <c r="H39" s="201">
        <f t="shared" si="0"/>
        <v>100.76707796091731</v>
      </c>
      <c r="I39" s="202">
        <f t="shared" si="1"/>
        <v>101.50882856343431</v>
      </c>
    </row>
  </sheetData>
  <phoneticPr fontId="0" type="noConversion"/>
  <printOptions horizontalCentered="1" verticalCentered="1"/>
  <pageMargins left="0" right="0" top="0.94" bottom="0.62" header="0.6" footer="0.51181102362204722"/>
  <pageSetup paperSize="9" scale="99" orientation="landscape" r:id="rId1"/>
  <headerFooter alignWithMargins="0">
    <oddHeader>&amp;C&amp;"Times New Roman,Tučné"&amp;12Plnění rozpočtu daňových příjmů města k 31.12.2012 (v tis. Kč)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06"/>
  <sheetViews>
    <sheetView showZeros="0" zoomScaleNormal="100" zoomScaleSheetLayoutView="100" workbookViewId="0">
      <pane xSplit="5" ySplit="1" topLeftCell="H2" activePane="bottomRight" state="frozenSplit"/>
      <selection activeCell="H14" sqref="H14"/>
      <selection pane="topRight" activeCell="H14" sqref="H14"/>
      <selection pane="bottomLeft" activeCell="H14" sqref="H14"/>
      <selection pane="bottomRight" activeCell="I129" sqref="I129"/>
    </sheetView>
  </sheetViews>
  <sheetFormatPr defaultRowHeight="12.75"/>
  <cols>
    <col min="1" max="1" width="5.42578125" style="203" customWidth="1"/>
    <col min="2" max="2" width="4.85546875" style="205" customWidth="1"/>
    <col min="3" max="3" width="41.42578125" style="204" customWidth="1"/>
    <col min="4" max="4" width="7.42578125" style="204" bestFit="1" customWidth="1"/>
    <col min="5" max="5" width="4.7109375" style="205" customWidth="1"/>
    <col min="6" max="6" width="39.85546875" style="206" customWidth="1"/>
    <col min="7" max="7" width="13.5703125" style="178" customWidth="1"/>
    <col min="8" max="8" width="14.28515625" style="178" customWidth="1"/>
    <col min="9" max="9" width="15.5703125" style="178" customWidth="1"/>
    <col min="10" max="11" width="9.28515625" style="179" bestFit="1" customWidth="1"/>
    <col min="12" max="16384" width="9.140625" style="147"/>
  </cols>
  <sheetData>
    <row r="1" spans="1:11" s="190" customFormat="1" ht="13.5" thickBot="1">
      <c r="A1" s="285" t="s">
        <v>273</v>
      </c>
      <c r="B1" s="188" t="s">
        <v>0</v>
      </c>
      <c r="C1" s="187" t="s">
        <v>127</v>
      </c>
      <c r="D1" s="187" t="s">
        <v>104</v>
      </c>
      <c r="E1" s="188" t="s">
        <v>105</v>
      </c>
      <c r="F1" s="187" t="s">
        <v>106</v>
      </c>
      <c r="G1" s="162" t="s">
        <v>258</v>
      </c>
      <c r="H1" s="162" t="s">
        <v>292</v>
      </c>
      <c r="I1" s="162" t="s">
        <v>293</v>
      </c>
      <c r="J1" s="163" t="s">
        <v>107</v>
      </c>
      <c r="K1" s="189" t="s">
        <v>108</v>
      </c>
    </row>
    <row r="2" spans="1:11" s="190" customFormat="1">
      <c r="A2" s="247" t="s">
        <v>128</v>
      </c>
      <c r="B2" s="248"/>
      <c r="C2" s="249"/>
      <c r="D2" s="249"/>
      <c r="E2" s="248"/>
      <c r="F2" s="249"/>
      <c r="G2" s="164"/>
      <c r="H2" s="164"/>
      <c r="I2" s="164"/>
      <c r="J2" s="165">
        <f>IF(G2&lt;=0,0,$I2/G2*100)</f>
        <v>0</v>
      </c>
      <c r="K2" s="191">
        <f>IF(H2&lt;=0,0,$I2/H2*100)</f>
        <v>0</v>
      </c>
    </row>
    <row r="3" spans="1:11" s="190" customFormat="1">
      <c r="A3" s="96">
        <v>3200</v>
      </c>
      <c r="B3" s="98">
        <v>6171</v>
      </c>
      <c r="C3" s="121" t="s">
        <v>9</v>
      </c>
      <c r="D3" s="97" t="str">
        <f>(MID(E3,1,3))</f>
        <v>211</v>
      </c>
      <c r="E3" s="98">
        <v>2111</v>
      </c>
      <c r="F3" s="84" t="s">
        <v>129</v>
      </c>
      <c r="G3" s="100">
        <v>66</v>
      </c>
      <c r="H3" s="100">
        <v>66</v>
      </c>
      <c r="I3" s="100">
        <v>72</v>
      </c>
      <c r="J3" s="110">
        <f>IF(G3&lt;=0,0,$I3/G3*100)</f>
        <v>109.09090909090908</v>
      </c>
      <c r="K3" s="111">
        <f>IF(H3&lt;=0,0,$I3/H3*100)</f>
        <v>109.09090909090908</v>
      </c>
    </row>
    <row r="4" spans="1:11" s="190" customFormat="1">
      <c r="A4" s="96">
        <v>3200</v>
      </c>
      <c r="B4" s="98">
        <v>6223</v>
      </c>
      <c r="C4" s="121" t="s">
        <v>284</v>
      </c>
      <c r="D4" s="97" t="str">
        <f>(MID(E4,1,3))</f>
        <v>211</v>
      </c>
      <c r="E4" s="98">
        <v>2111</v>
      </c>
      <c r="F4" s="84" t="s">
        <v>129</v>
      </c>
      <c r="G4" s="100"/>
      <c r="H4" s="100">
        <v>86</v>
      </c>
      <c r="I4" s="100">
        <v>86</v>
      </c>
      <c r="J4" s="110"/>
      <c r="K4" s="111">
        <f>IF(H4&lt;=0,0,$I4/H4*100)</f>
        <v>100</v>
      </c>
    </row>
    <row r="5" spans="1:11">
      <c r="A5" s="102">
        <v>3900</v>
      </c>
      <c r="B5" s="103">
        <v>6211</v>
      </c>
      <c r="C5" s="161" t="s">
        <v>58</v>
      </c>
      <c r="D5" s="97" t="str">
        <f>(MID(E5,1,3))</f>
        <v>211</v>
      </c>
      <c r="E5" s="103">
        <v>2111</v>
      </c>
      <c r="F5" s="84" t="s">
        <v>129</v>
      </c>
      <c r="G5" s="127">
        <v>30</v>
      </c>
      <c r="H5" s="127">
        <v>30</v>
      </c>
      <c r="I5" s="127">
        <v>18</v>
      </c>
      <c r="J5" s="110">
        <f t="shared" ref="J5:J14" si="0">IF(G5&lt;=0,0,$I5/G5*100)</f>
        <v>60</v>
      </c>
      <c r="K5" s="111">
        <f t="shared" ref="K5:K14" si="1">IF(H5&lt;=0,0,$I5/H5*100)</f>
        <v>60</v>
      </c>
    </row>
    <row r="6" spans="1:11">
      <c r="A6" s="102">
        <v>4200</v>
      </c>
      <c r="B6" s="103">
        <v>3632</v>
      </c>
      <c r="C6" s="121" t="s">
        <v>1</v>
      </c>
      <c r="D6" s="97" t="str">
        <f t="shared" ref="D6:D14" si="2">(MID(E6,1,3))</f>
        <v>211</v>
      </c>
      <c r="E6" s="98">
        <v>2111</v>
      </c>
      <c r="F6" s="84" t="s">
        <v>129</v>
      </c>
      <c r="G6" s="105">
        <v>11300</v>
      </c>
      <c r="H6" s="105">
        <v>11300</v>
      </c>
      <c r="I6" s="105">
        <v>10369</v>
      </c>
      <c r="J6" s="110">
        <f t="shared" si="0"/>
        <v>91.761061946902657</v>
      </c>
      <c r="K6" s="111">
        <f t="shared" si="1"/>
        <v>91.761061946902657</v>
      </c>
    </row>
    <row r="7" spans="1:11">
      <c r="A7" s="102">
        <v>4300</v>
      </c>
      <c r="B7" s="103">
        <v>1032</v>
      </c>
      <c r="C7" s="121" t="s">
        <v>139</v>
      </c>
      <c r="D7" s="97" t="str">
        <f>(MID(E7,1,3))</f>
        <v>211</v>
      </c>
      <c r="E7" s="98">
        <v>2111</v>
      </c>
      <c r="F7" s="84" t="s">
        <v>129</v>
      </c>
      <c r="G7" s="105"/>
      <c r="H7" s="105"/>
      <c r="I7" s="105">
        <v>385</v>
      </c>
      <c r="J7" s="110"/>
      <c r="K7" s="111"/>
    </row>
    <row r="8" spans="1:11">
      <c r="A8" s="102">
        <v>5300</v>
      </c>
      <c r="B8" s="103">
        <v>6171</v>
      </c>
      <c r="C8" s="121" t="s">
        <v>9</v>
      </c>
      <c r="D8" s="97" t="str">
        <f t="shared" si="2"/>
        <v>211</v>
      </c>
      <c r="E8" s="98">
        <v>2111</v>
      </c>
      <c r="F8" s="84" t="s">
        <v>129</v>
      </c>
      <c r="G8" s="105">
        <v>20</v>
      </c>
      <c r="H8" s="105">
        <v>20</v>
      </c>
      <c r="I8" s="250">
        <v>4</v>
      </c>
      <c r="J8" s="110">
        <f t="shared" si="0"/>
        <v>20</v>
      </c>
      <c r="K8" s="111">
        <f t="shared" si="1"/>
        <v>20</v>
      </c>
    </row>
    <row r="9" spans="1:11">
      <c r="A9" s="102">
        <v>5400</v>
      </c>
      <c r="B9" s="103">
        <v>2219</v>
      </c>
      <c r="C9" s="150" t="s">
        <v>55</v>
      </c>
      <c r="D9" s="97" t="str">
        <f>(MID(E9,1,3))</f>
        <v>211</v>
      </c>
      <c r="E9" s="98">
        <v>2111</v>
      </c>
      <c r="F9" s="84" t="s">
        <v>129</v>
      </c>
      <c r="G9" s="105">
        <v>26000</v>
      </c>
      <c r="H9" s="105"/>
      <c r="I9" s="250"/>
      <c r="J9" s="110">
        <f t="shared" si="0"/>
        <v>0</v>
      </c>
      <c r="K9" s="111">
        <f t="shared" si="1"/>
        <v>0</v>
      </c>
    </row>
    <row r="10" spans="1:11">
      <c r="A10" s="148">
        <v>7200</v>
      </c>
      <c r="B10" s="149">
        <v>4341</v>
      </c>
      <c r="C10" s="195" t="s">
        <v>243</v>
      </c>
      <c r="D10" s="97" t="str">
        <f t="shared" si="2"/>
        <v>211</v>
      </c>
      <c r="E10" s="98">
        <v>2111</v>
      </c>
      <c r="F10" s="84" t="s">
        <v>129</v>
      </c>
      <c r="G10" s="109">
        <v>290</v>
      </c>
      <c r="H10" s="109">
        <v>5567</v>
      </c>
      <c r="I10" s="109">
        <v>5528</v>
      </c>
      <c r="J10" s="110">
        <f t="shared" si="0"/>
        <v>1906.2068965517242</v>
      </c>
      <c r="K10" s="111">
        <f t="shared" si="1"/>
        <v>99.299443147116932</v>
      </c>
    </row>
    <row r="11" spans="1:11">
      <c r="A11" s="148">
        <v>7200</v>
      </c>
      <c r="B11" s="149">
        <v>4399</v>
      </c>
      <c r="C11" s="12" t="s">
        <v>289</v>
      </c>
      <c r="D11" s="97" t="str">
        <f>(MID(E11,1,3))</f>
        <v>211</v>
      </c>
      <c r="E11" s="98">
        <v>2111</v>
      </c>
      <c r="F11" s="84" t="s">
        <v>129</v>
      </c>
      <c r="G11" s="109"/>
      <c r="H11" s="109">
        <v>40</v>
      </c>
      <c r="I11" s="109"/>
      <c r="J11" s="110"/>
      <c r="K11" s="111"/>
    </row>
    <row r="12" spans="1:11">
      <c r="A12" s="148">
        <v>7400</v>
      </c>
      <c r="B12" s="149">
        <v>3113</v>
      </c>
      <c r="C12" s="195" t="s">
        <v>23</v>
      </c>
      <c r="D12" s="97" t="str">
        <f>(MID(E12,1,3))</f>
        <v>211</v>
      </c>
      <c r="E12" s="98">
        <v>2111</v>
      </c>
      <c r="F12" s="84" t="s">
        <v>129</v>
      </c>
      <c r="G12" s="109">
        <v>60</v>
      </c>
      <c r="H12" s="109">
        <v>60</v>
      </c>
      <c r="I12" s="109">
        <v>30</v>
      </c>
      <c r="J12" s="110">
        <f t="shared" si="0"/>
        <v>50</v>
      </c>
      <c r="K12" s="111">
        <f t="shared" si="1"/>
        <v>50</v>
      </c>
    </row>
    <row r="13" spans="1:11">
      <c r="A13" s="148">
        <v>8200</v>
      </c>
      <c r="B13" s="149">
        <v>1014</v>
      </c>
      <c r="C13" s="10" t="s">
        <v>178</v>
      </c>
      <c r="D13" s="97" t="str">
        <f t="shared" si="2"/>
        <v>211</v>
      </c>
      <c r="E13" s="98">
        <v>2111</v>
      </c>
      <c r="F13" s="84" t="s">
        <v>129</v>
      </c>
      <c r="G13" s="109">
        <v>320</v>
      </c>
      <c r="H13" s="109">
        <v>320</v>
      </c>
      <c r="I13" s="109">
        <v>415</v>
      </c>
      <c r="J13" s="110">
        <f t="shared" si="0"/>
        <v>129.6875</v>
      </c>
      <c r="K13" s="111">
        <f t="shared" si="1"/>
        <v>129.6875</v>
      </c>
    </row>
    <row r="14" spans="1:11">
      <c r="A14" s="148">
        <v>8200</v>
      </c>
      <c r="B14" s="149">
        <v>5311</v>
      </c>
      <c r="C14" s="150" t="s">
        <v>92</v>
      </c>
      <c r="D14" s="97" t="str">
        <f t="shared" si="2"/>
        <v>211</v>
      </c>
      <c r="E14" s="149">
        <v>2111</v>
      </c>
      <c r="F14" s="84" t="s">
        <v>129</v>
      </c>
      <c r="G14" s="109">
        <v>2600</v>
      </c>
      <c r="H14" s="109">
        <v>2600</v>
      </c>
      <c r="I14" s="109">
        <v>2236</v>
      </c>
      <c r="J14" s="110">
        <f t="shared" si="0"/>
        <v>86</v>
      </c>
      <c r="K14" s="111">
        <f t="shared" si="1"/>
        <v>86</v>
      </c>
    </row>
    <row r="15" spans="1:11" ht="13.5" thickBot="1">
      <c r="A15" s="136"/>
      <c r="B15" s="137"/>
      <c r="C15" s="251"/>
      <c r="D15" s="122" t="s">
        <v>132</v>
      </c>
      <c r="E15" s="137"/>
      <c r="F15" s="252"/>
      <c r="G15" s="166">
        <f>SUBTOTAL(9,G3:G14)</f>
        <v>40686</v>
      </c>
      <c r="H15" s="166">
        <f>SUBTOTAL(9,H3:H14)</f>
        <v>20089</v>
      </c>
      <c r="I15" s="166">
        <f>SUBTOTAL(9,I3:I14)</f>
        <v>19143</v>
      </c>
      <c r="J15" s="167">
        <f t="shared" ref="J15:J61" si="3">IF(G15&lt;=0,0,$I15/G15*100)</f>
        <v>47.050582509954289</v>
      </c>
      <c r="K15" s="253">
        <f t="shared" ref="K15:K61" si="4">IF(H15&lt;=0,0,$I15/H15*100)</f>
        <v>95.290955249141319</v>
      </c>
    </row>
    <row r="16" spans="1:11">
      <c r="A16" s="254"/>
      <c r="B16" s="255"/>
      <c r="C16" s="256"/>
      <c r="D16" s="106"/>
      <c r="E16" s="98"/>
      <c r="F16" s="257"/>
      <c r="G16" s="168"/>
      <c r="H16" s="168"/>
      <c r="I16" s="168"/>
      <c r="J16" s="169"/>
      <c r="K16" s="258"/>
    </row>
    <row r="17" spans="1:12" s="260" customFormat="1">
      <c r="A17" s="129" t="s">
        <v>133</v>
      </c>
      <c r="B17" s="103"/>
      <c r="C17" s="161"/>
      <c r="D17" s="106"/>
      <c r="E17" s="98"/>
      <c r="F17" s="257"/>
      <c r="G17" s="168"/>
      <c r="H17" s="168"/>
      <c r="I17" s="168"/>
      <c r="J17" s="169">
        <f t="shared" si="3"/>
        <v>0</v>
      </c>
      <c r="K17" s="259">
        <f t="shared" si="4"/>
        <v>0</v>
      </c>
    </row>
    <row r="18" spans="1:12">
      <c r="A18" s="102">
        <v>1900</v>
      </c>
      <c r="B18" s="103">
        <v>2143</v>
      </c>
      <c r="C18" s="12" t="s">
        <v>198</v>
      </c>
      <c r="D18" s="97" t="str">
        <f t="shared" ref="D18:D23" si="5">(MID(E18,1,3))</f>
        <v>212</v>
      </c>
      <c r="E18" s="103">
        <v>2122</v>
      </c>
      <c r="F18" s="84" t="s">
        <v>134</v>
      </c>
      <c r="G18" s="127">
        <v>447</v>
      </c>
      <c r="H18" s="127">
        <v>963</v>
      </c>
      <c r="I18" s="127">
        <v>963</v>
      </c>
      <c r="J18" s="110">
        <f t="shared" ref="J18:K22" si="6">IF(G18&lt;=0,0,$I18/G18*100)</f>
        <v>215.43624161073828</v>
      </c>
      <c r="K18" s="111">
        <f t="shared" si="6"/>
        <v>100</v>
      </c>
    </row>
    <row r="19" spans="1:12">
      <c r="A19" s="102">
        <v>4200</v>
      </c>
      <c r="B19" s="103">
        <v>3632</v>
      </c>
      <c r="C19" s="12" t="s">
        <v>1</v>
      </c>
      <c r="D19" s="97" t="str">
        <f t="shared" si="5"/>
        <v>212</v>
      </c>
      <c r="E19" s="103">
        <v>2122</v>
      </c>
      <c r="F19" s="84" t="s">
        <v>134</v>
      </c>
      <c r="G19" s="127">
        <v>3000</v>
      </c>
      <c r="H19" s="127">
        <v>4000</v>
      </c>
      <c r="I19" s="127">
        <v>4000</v>
      </c>
      <c r="J19" s="110">
        <f t="shared" si="6"/>
        <v>133.33333333333331</v>
      </c>
      <c r="K19" s="111">
        <f t="shared" si="6"/>
        <v>100</v>
      </c>
    </row>
    <row r="20" spans="1:12">
      <c r="A20" s="102">
        <v>4200</v>
      </c>
      <c r="B20" s="103">
        <v>3745</v>
      </c>
      <c r="C20" s="121" t="s">
        <v>2</v>
      </c>
      <c r="D20" s="97" t="str">
        <f t="shared" si="5"/>
        <v>212</v>
      </c>
      <c r="E20" s="103">
        <v>2122</v>
      </c>
      <c r="F20" s="84" t="s">
        <v>134</v>
      </c>
      <c r="G20" s="127">
        <v>2775</v>
      </c>
      <c r="H20" s="127">
        <v>2775</v>
      </c>
      <c r="I20" s="127">
        <v>2775</v>
      </c>
      <c r="J20" s="110">
        <f t="shared" si="6"/>
        <v>100</v>
      </c>
      <c r="K20" s="111">
        <f t="shared" si="6"/>
        <v>100</v>
      </c>
    </row>
    <row r="21" spans="1:12">
      <c r="A21" s="102">
        <v>7100</v>
      </c>
      <c r="B21" s="103">
        <v>3529</v>
      </c>
      <c r="C21" s="14" t="s">
        <v>88</v>
      </c>
      <c r="D21" s="97" t="str">
        <f t="shared" si="5"/>
        <v>212</v>
      </c>
      <c r="E21" s="103">
        <v>2122</v>
      </c>
      <c r="F21" s="84" t="s">
        <v>134</v>
      </c>
      <c r="G21" s="127">
        <v>2900</v>
      </c>
      <c r="H21" s="127">
        <v>1012</v>
      </c>
      <c r="I21" s="127">
        <v>1012</v>
      </c>
      <c r="J21" s="110">
        <f t="shared" si="6"/>
        <v>34.896551724137929</v>
      </c>
      <c r="K21" s="111">
        <f t="shared" si="6"/>
        <v>100</v>
      </c>
    </row>
    <row r="22" spans="1:12">
      <c r="A22" s="102">
        <v>7200</v>
      </c>
      <c r="B22" s="103">
        <v>4357</v>
      </c>
      <c r="C22" s="12" t="s">
        <v>184</v>
      </c>
      <c r="D22" s="97" t="str">
        <f t="shared" si="5"/>
        <v>212</v>
      </c>
      <c r="E22" s="103">
        <v>2122</v>
      </c>
      <c r="F22" s="84" t="s">
        <v>134</v>
      </c>
      <c r="G22" s="127">
        <v>2720</v>
      </c>
      <c r="H22" s="127">
        <v>10620</v>
      </c>
      <c r="I22" s="127">
        <v>10620</v>
      </c>
      <c r="J22" s="110">
        <f t="shared" si="6"/>
        <v>390.44117647058823</v>
      </c>
      <c r="K22" s="111">
        <f t="shared" si="6"/>
        <v>100</v>
      </c>
    </row>
    <row r="23" spans="1:12">
      <c r="A23" s="102">
        <v>7300</v>
      </c>
      <c r="B23" s="149">
        <v>3311</v>
      </c>
      <c r="C23" s="220" t="s">
        <v>24</v>
      </c>
      <c r="D23" s="97" t="str">
        <f t="shared" si="5"/>
        <v>212</v>
      </c>
      <c r="E23" s="103">
        <v>2122</v>
      </c>
      <c r="F23" s="84" t="s">
        <v>134</v>
      </c>
      <c r="G23" s="127">
        <v>95331</v>
      </c>
      <c r="H23" s="127">
        <v>93196</v>
      </c>
      <c r="I23" s="127">
        <v>93196</v>
      </c>
      <c r="J23" s="110">
        <f t="shared" si="3"/>
        <v>97.760434695954103</v>
      </c>
      <c r="K23" s="111">
        <f t="shared" si="4"/>
        <v>100</v>
      </c>
      <c r="L23" s="261"/>
    </row>
    <row r="24" spans="1:12">
      <c r="A24" s="102">
        <v>7300</v>
      </c>
      <c r="B24" s="149">
        <v>3312</v>
      </c>
      <c r="C24" s="220" t="s">
        <v>93</v>
      </c>
      <c r="D24" s="99">
        <v>212</v>
      </c>
      <c r="E24" s="103">
        <v>2122</v>
      </c>
      <c r="F24" s="84" t="s">
        <v>134</v>
      </c>
      <c r="G24" s="127">
        <v>3000</v>
      </c>
      <c r="H24" s="127">
        <v>2500</v>
      </c>
      <c r="I24" s="127">
        <v>2500</v>
      </c>
      <c r="J24" s="110">
        <f t="shared" si="3"/>
        <v>83.333333333333343</v>
      </c>
      <c r="K24" s="111">
        <f t="shared" si="4"/>
        <v>100</v>
      </c>
    </row>
    <row r="25" spans="1:12">
      <c r="A25" s="102">
        <v>7300</v>
      </c>
      <c r="B25" s="149">
        <v>3314</v>
      </c>
      <c r="C25" s="220" t="s">
        <v>94</v>
      </c>
      <c r="D25" s="99">
        <v>212</v>
      </c>
      <c r="E25" s="103">
        <v>2122</v>
      </c>
      <c r="F25" s="84" t="s">
        <v>134</v>
      </c>
      <c r="G25" s="127">
        <v>1347</v>
      </c>
      <c r="H25" s="127">
        <v>2772</v>
      </c>
      <c r="I25" s="127">
        <v>2772</v>
      </c>
      <c r="J25" s="110">
        <f t="shared" si="3"/>
        <v>205.79064587973272</v>
      </c>
      <c r="K25" s="111">
        <f t="shared" si="4"/>
        <v>100</v>
      </c>
    </row>
    <row r="26" spans="1:12">
      <c r="A26" s="102">
        <v>7300</v>
      </c>
      <c r="B26" s="149">
        <v>3315</v>
      </c>
      <c r="C26" s="220" t="s">
        <v>95</v>
      </c>
      <c r="D26" s="99">
        <v>212</v>
      </c>
      <c r="E26" s="103">
        <v>2122</v>
      </c>
      <c r="F26" s="84" t="s">
        <v>134</v>
      </c>
      <c r="G26" s="127">
        <v>4716</v>
      </c>
      <c r="H26" s="127">
        <v>4216</v>
      </c>
      <c r="I26" s="127">
        <v>4216</v>
      </c>
      <c r="J26" s="110">
        <f t="shared" si="3"/>
        <v>89.397794741306186</v>
      </c>
      <c r="K26" s="111">
        <f t="shared" si="4"/>
        <v>100</v>
      </c>
    </row>
    <row r="27" spans="1:12">
      <c r="A27" s="102">
        <v>7300</v>
      </c>
      <c r="B27" s="149">
        <v>3317</v>
      </c>
      <c r="C27" s="220" t="s">
        <v>96</v>
      </c>
      <c r="D27" s="99">
        <v>212</v>
      </c>
      <c r="E27" s="103">
        <v>2122</v>
      </c>
      <c r="F27" s="84" t="s">
        <v>134</v>
      </c>
      <c r="G27" s="127">
        <v>1764</v>
      </c>
      <c r="H27" s="127">
        <v>1778</v>
      </c>
      <c r="I27" s="127">
        <v>1778</v>
      </c>
      <c r="J27" s="110">
        <f t="shared" si="3"/>
        <v>100.79365079365078</v>
      </c>
      <c r="K27" s="111">
        <f t="shared" si="4"/>
        <v>100</v>
      </c>
    </row>
    <row r="28" spans="1:12" ht="12.75" customHeight="1">
      <c r="A28" s="102">
        <v>7400</v>
      </c>
      <c r="B28" s="103">
        <v>3113</v>
      </c>
      <c r="C28" s="161" t="s">
        <v>23</v>
      </c>
      <c r="D28" s="124">
        <v>212</v>
      </c>
      <c r="E28" s="103">
        <v>2122</v>
      </c>
      <c r="F28" s="84" t="s">
        <v>134</v>
      </c>
      <c r="G28" s="127">
        <v>3639</v>
      </c>
      <c r="H28" s="127">
        <v>3639</v>
      </c>
      <c r="I28" s="127">
        <v>3639</v>
      </c>
      <c r="J28" s="110">
        <f t="shared" si="3"/>
        <v>100</v>
      </c>
      <c r="K28" s="111">
        <f t="shared" si="4"/>
        <v>100</v>
      </c>
    </row>
    <row r="29" spans="1:12" ht="12.75" customHeight="1">
      <c r="A29" s="102">
        <v>7400</v>
      </c>
      <c r="B29" s="103">
        <v>3419</v>
      </c>
      <c r="C29" s="195" t="s">
        <v>51</v>
      </c>
      <c r="D29" s="124">
        <v>212</v>
      </c>
      <c r="E29" s="103">
        <v>2122</v>
      </c>
      <c r="F29" s="84" t="s">
        <v>134</v>
      </c>
      <c r="G29" s="127"/>
      <c r="H29" s="127">
        <v>2965</v>
      </c>
      <c r="I29" s="127">
        <v>2965</v>
      </c>
      <c r="J29" s="110">
        <f>IF(G29&lt;=0,0,$I29/G29*100)</f>
        <v>0</v>
      </c>
      <c r="K29" s="111">
        <f>IF(H29&lt;=0,0,$I29/H29*100)</f>
        <v>100</v>
      </c>
    </row>
    <row r="30" spans="1:12" ht="13.5" thickBot="1">
      <c r="A30" s="136"/>
      <c r="B30" s="137"/>
      <c r="C30" s="251"/>
      <c r="D30" s="122" t="s">
        <v>135</v>
      </c>
      <c r="E30" s="137"/>
      <c r="F30" s="252"/>
      <c r="G30" s="166">
        <f>SUBTOTAL(9,G18:G29)</f>
        <v>121639</v>
      </c>
      <c r="H30" s="166">
        <f>SUBTOTAL(9,H18:H29)</f>
        <v>130436</v>
      </c>
      <c r="I30" s="166">
        <f>SUBTOTAL(9,I18:I29)</f>
        <v>130436</v>
      </c>
      <c r="J30" s="167">
        <f t="shared" si="3"/>
        <v>107.23205550851289</v>
      </c>
      <c r="K30" s="253">
        <f t="shared" si="4"/>
        <v>100</v>
      </c>
    </row>
    <row r="31" spans="1:12">
      <c r="A31" s="102"/>
      <c r="B31" s="103"/>
      <c r="C31" s="121"/>
      <c r="D31" s="108"/>
      <c r="E31" s="103"/>
      <c r="F31" s="104"/>
      <c r="G31" s="170"/>
      <c r="H31" s="170"/>
      <c r="I31" s="170"/>
      <c r="J31" s="171">
        <f t="shared" si="3"/>
        <v>0</v>
      </c>
      <c r="K31" s="259">
        <f t="shared" si="4"/>
        <v>0</v>
      </c>
    </row>
    <row r="32" spans="1:12">
      <c r="A32" s="129" t="s">
        <v>136</v>
      </c>
      <c r="B32" s="103"/>
      <c r="C32" s="121"/>
      <c r="D32" s="108"/>
      <c r="E32" s="103"/>
      <c r="F32" s="104"/>
      <c r="G32" s="170"/>
      <c r="H32" s="170"/>
      <c r="I32" s="170"/>
      <c r="J32" s="125">
        <f t="shared" si="3"/>
        <v>0</v>
      </c>
      <c r="K32" s="126">
        <f t="shared" si="4"/>
        <v>0</v>
      </c>
    </row>
    <row r="33" spans="1:12">
      <c r="A33" s="102">
        <v>4200</v>
      </c>
      <c r="B33" s="156">
        <v>3632</v>
      </c>
      <c r="C33" s="12" t="s">
        <v>1</v>
      </c>
      <c r="D33" s="97" t="str">
        <f t="shared" ref="D33:D41" si="7">(MID(E33,1,3))</f>
        <v>213</v>
      </c>
      <c r="E33" s="156">
        <v>2131</v>
      </c>
      <c r="F33" s="195" t="s">
        <v>137</v>
      </c>
      <c r="G33" s="127">
        <v>6</v>
      </c>
      <c r="H33" s="127">
        <v>6</v>
      </c>
      <c r="I33" s="127">
        <v>12</v>
      </c>
      <c r="J33" s="125">
        <f t="shared" si="3"/>
        <v>200</v>
      </c>
      <c r="K33" s="126">
        <f t="shared" si="4"/>
        <v>200</v>
      </c>
    </row>
    <row r="34" spans="1:12">
      <c r="A34" s="102">
        <v>4200</v>
      </c>
      <c r="B34" s="149">
        <v>3745</v>
      </c>
      <c r="C34" s="150" t="s">
        <v>2</v>
      </c>
      <c r="D34" s="97" t="str">
        <f t="shared" si="7"/>
        <v>213</v>
      </c>
      <c r="E34" s="149">
        <v>2131</v>
      </c>
      <c r="F34" s="195" t="s">
        <v>137</v>
      </c>
      <c r="G34" s="109">
        <v>126</v>
      </c>
      <c r="H34" s="109">
        <v>126</v>
      </c>
      <c r="I34" s="109">
        <v>197</v>
      </c>
      <c r="J34" s="110">
        <f>IF(G34&lt;=0,0,$I34/G34*100)</f>
        <v>156.34920634920636</v>
      </c>
      <c r="K34" s="111">
        <f>IF(H34&lt;=0,0,$I34/H34*100)</f>
        <v>156.34920634920636</v>
      </c>
    </row>
    <row r="35" spans="1:12">
      <c r="A35" s="148">
        <v>5700</v>
      </c>
      <c r="B35" s="149">
        <v>2310</v>
      </c>
      <c r="C35" s="150" t="s">
        <v>5</v>
      </c>
      <c r="D35" s="97" t="str">
        <f>(MID(E35,1,3))</f>
        <v>213</v>
      </c>
      <c r="E35" s="149">
        <v>2131</v>
      </c>
      <c r="F35" s="195" t="s">
        <v>137</v>
      </c>
      <c r="G35" s="109"/>
      <c r="H35" s="109"/>
      <c r="I35" s="109">
        <v>112</v>
      </c>
      <c r="J35" s="110">
        <f>IF(G35&lt;=0,0,$I35/G35*100)</f>
        <v>0</v>
      </c>
      <c r="K35" s="111">
        <f>IF(H35&lt;=0,0,$I35/H35*100)</f>
        <v>0</v>
      </c>
    </row>
    <row r="36" spans="1:12">
      <c r="A36" s="155">
        <v>6200</v>
      </c>
      <c r="B36" s="156">
        <v>3612</v>
      </c>
      <c r="C36" s="220" t="s">
        <v>12</v>
      </c>
      <c r="D36" s="97" t="str">
        <f t="shared" si="7"/>
        <v>213</v>
      </c>
      <c r="E36" s="149">
        <v>2131</v>
      </c>
      <c r="F36" s="195" t="s">
        <v>137</v>
      </c>
      <c r="G36" s="127">
        <v>123</v>
      </c>
      <c r="H36" s="127">
        <v>123</v>
      </c>
      <c r="I36" s="127">
        <v>125</v>
      </c>
      <c r="J36" s="125">
        <f t="shared" si="3"/>
        <v>101.62601626016261</v>
      </c>
      <c r="K36" s="126">
        <f t="shared" si="4"/>
        <v>101.62601626016261</v>
      </c>
    </row>
    <row r="37" spans="1:12">
      <c r="A37" s="155">
        <v>6300</v>
      </c>
      <c r="B37" s="156">
        <v>3639</v>
      </c>
      <c r="C37" s="150" t="s">
        <v>130</v>
      </c>
      <c r="D37" s="97" t="str">
        <f>(MID(E37,1,3))</f>
        <v>213</v>
      </c>
      <c r="E37" s="156">
        <v>2131</v>
      </c>
      <c r="F37" s="195" t="s">
        <v>137</v>
      </c>
      <c r="G37" s="127">
        <v>1000</v>
      </c>
      <c r="H37" s="127">
        <v>1000</v>
      </c>
      <c r="I37" s="127">
        <v>8151</v>
      </c>
      <c r="J37" s="125">
        <f t="shared" si="3"/>
        <v>815.1</v>
      </c>
      <c r="K37" s="126">
        <f t="shared" si="4"/>
        <v>815.1</v>
      </c>
      <c r="L37" s="300"/>
    </row>
    <row r="38" spans="1:12">
      <c r="A38" s="148">
        <v>6600</v>
      </c>
      <c r="B38" s="149">
        <v>3639</v>
      </c>
      <c r="C38" s="150" t="s">
        <v>130</v>
      </c>
      <c r="D38" s="97" t="str">
        <f t="shared" si="7"/>
        <v>213</v>
      </c>
      <c r="E38" s="149">
        <v>2131</v>
      </c>
      <c r="F38" s="195" t="s">
        <v>137</v>
      </c>
      <c r="G38" s="109">
        <v>61647</v>
      </c>
      <c r="H38" s="109">
        <v>61647</v>
      </c>
      <c r="I38" s="109">
        <v>45054</v>
      </c>
      <c r="J38" s="125">
        <f t="shared" si="3"/>
        <v>73.083848362450738</v>
      </c>
      <c r="K38" s="126">
        <f t="shared" si="4"/>
        <v>73.083848362450738</v>
      </c>
      <c r="L38" s="300"/>
    </row>
    <row r="39" spans="1:12">
      <c r="A39" s="102">
        <v>1900</v>
      </c>
      <c r="B39" s="103">
        <v>2143</v>
      </c>
      <c r="C39" s="12" t="s">
        <v>198</v>
      </c>
      <c r="D39" s="97" t="str">
        <f t="shared" si="7"/>
        <v>213</v>
      </c>
      <c r="E39" s="103">
        <v>2132</v>
      </c>
      <c r="F39" s="104" t="s">
        <v>227</v>
      </c>
      <c r="G39" s="105">
        <v>580</v>
      </c>
      <c r="H39" s="105">
        <v>580</v>
      </c>
      <c r="I39" s="105">
        <v>732</v>
      </c>
      <c r="J39" s="110">
        <f t="shared" ref="J39:K41" si="8">IF(G39&lt;=0,0,$I39/G39*100)</f>
        <v>126.20689655172414</v>
      </c>
      <c r="K39" s="111">
        <f t="shared" si="8"/>
        <v>126.20689655172414</v>
      </c>
    </row>
    <row r="40" spans="1:12">
      <c r="A40" s="102">
        <v>4200</v>
      </c>
      <c r="B40" s="103">
        <v>3745</v>
      </c>
      <c r="C40" s="121" t="s">
        <v>2</v>
      </c>
      <c r="D40" s="97" t="str">
        <f>(MID(E40,1,3))</f>
        <v>213</v>
      </c>
      <c r="E40" s="103">
        <v>2132</v>
      </c>
      <c r="F40" s="104" t="s">
        <v>227</v>
      </c>
      <c r="G40" s="105">
        <v>135</v>
      </c>
      <c r="H40" s="105">
        <v>135</v>
      </c>
      <c r="I40" s="105">
        <v>137</v>
      </c>
      <c r="J40" s="110">
        <f t="shared" si="8"/>
        <v>101.48148148148148</v>
      </c>
      <c r="K40" s="111">
        <f t="shared" si="8"/>
        <v>101.48148148148148</v>
      </c>
    </row>
    <row r="41" spans="1:12">
      <c r="A41" s="148">
        <v>4300</v>
      </c>
      <c r="B41" s="149">
        <v>1031</v>
      </c>
      <c r="C41" s="150" t="s">
        <v>138</v>
      </c>
      <c r="D41" s="97" t="str">
        <f t="shared" si="7"/>
        <v>213</v>
      </c>
      <c r="E41" s="149">
        <v>2132</v>
      </c>
      <c r="F41" s="104" t="s">
        <v>227</v>
      </c>
      <c r="G41" s="109">
        <v>2188</v>
      </c>
      <c r="H41" s="109">
        <v>2188</v>
      </c>
      <c r="I41" s="109">
        <v>2175</v>
      </c>
      <c r="J41" s="110">
        <f t="shared" si="8"/>
        <v>99.405850091407672</v>
      </c>
      <c r="K41" s="111">
        <f t="shared" si="8"/>
        <v>99.405850091407672</v>
      </c>
    </row>
    <row r="42" spans="1:12">
      <c r="A42" s="148">
        <v>4300</v>
      </c>
      <c r="B42" s="149">
        <v>1032</v>
      </c>
      <c r="C42" s="150" t="s">
        <v>139</v>
      </c>
      <c r="D42" s="99">
        <v>213</v>
      </c>
      <c r="E42" s="149">
        <v>2132</v>
      </c>
      <c r="F42" s="104" t="s">
        <v>227</v>
      </c>
      <c r="G42" s="109">
        <v>386</v>
      </c>
      <c r="H42" s="109">
        <v>386</v>
      </c>
      <c r="I42" s="109"/>
      <c r="J42" s="125">
        <f t="shared" si="3"/>
        <v>0</v>
      </c>
      <c r="K42" s="126">
        <f t="shared" si="4"/>
        <v>0</v>
      </c>
    </row>
    <row r="43" spans="1:12">
      <c r="A43" s="148">
        <v>5400</v>
      </c>
      <c r="B43" s="262">
        <v>2219</v>
      </c>
      <c r="C43" s="150" t="s">
        <v>55</v>
      </c>
      <c r="D43" s="97" t="str">
        <f t="shared" ref="D43:D58" si="9">(MID(E43,1,3))</f>
        <v>213</v>
      </c>
      <c r="E43" s="149">
        <v>2132</v>
      </c>
      <c r="F43" s="104" t="s">
        <v>227</v>
      </c>
      <c r="G43" s="109">
        <v>7000</v>
      </c>
      <c r="H43" s="109">
        <v>7000</v>
      </c>
      <c r="I43" s="109">
        <v>8506</v>
      </c>
      <c r="J43" s="125">
        <f t="shared" si="3"/>
        <v>121.51428571428571</v>
      </c>
      <c r="K43" s="126">
        <f t="shared" si="4"/>
        <v>121.51428571428571</v>
      </c>
    </row>
    <row r="44" spans="1:12">
      <c r="A44" s="148">
        <v>5400</v>
      </c>
      <c r="B44" s="262">
        <v>2271</v>
      </c>
      <c r="C44" s="150" t="s">
        <v>20</v>
      </c>
      <c r="D44" s="97" t="str">
        <f>(MID(E44,1,3))</f>
        <v>213</v>
      </c>
      <c r="E44" s="149">
        <v>2132</v>
      </c>
      <c r="F44" s="104" t="s">
        <v>227</v>
      </c>
      <c r="G44" s="109">
        <v>290</v>
      </c>
      <c r="H44" s="109">
        <v>290</v>
      </c>
      <c r="I44" s="109">
        <v>142</v>
      </c>
      <c r="J44" s="110">
        <f t="shared" si="3"/>
        <v>48.96551724137931</v>
      </c>
      <c r="K44" s="111">
        <f t="shared" si="4"/>
        <v>48.96551724137931</v>
      </c>
    </row>
    <row r="45" spans="1:12">
      <c r="A45" s="148">
        <v>5700</v>
      </c>
      <c r="B45" s="149">
        <v>2310</v>
      </c>
      <c r="C45" s="150" t="s">
        <v>5</v>
      </c>
      <c r="D45" s="97" t="str">
        <f t="shared" si="9"/>
        <v>213</v>
      </c>
      <c r="E45" s="149">
        <v>2132</v>
      </c>
      <c r="F45" s="104" t="s">
        <v>227</v>
      </c>
      <c r="G45" s="109">
        <v>115</v>
      </c>
      <c r="H45" s="109">
        <v>115</v>
      </c>
      <c r="I45" s="109"/>
      <c r="J45" s="110">
        <f>IF(G45&lt;=0,0,$I45/G45*100)</f>
        <v>0</v>
      </c>
      <c r="K45" s="111">
        <f>IF(H45&lt;=0,0,$I45/H45*100)</f>
        <v>0</v>
      </c>
    </row>
    <row r="46" spans="1:12">
      <c r="A46" s="160" t="s">
        <v>180</v>
      </c>
      <c r="B46" s="156">
        <v>3612</v>
      </c>
      <c r="C46" s="220" t="s">
        <v>12</v>
      </c>
      <c r="D46" s="97" t="str">
        <f t="shared" si="9"/>
        <v>213</v>
      </c>
      <c r="E46" s="156">
        <v>2132</v>
      </c>
      <c r="F46" s="104" t="s">
        <v>227</v>
      </c>
      <c r="G46" s="127">
        <v>4800</v>
      </c>
      <c r="H46" s="127">
        <v>4800</v>
      </c>
      <c r="I46" s="127">
        <v>4799</v>
      </c>
      <c r="J46" s="151">
        <f t="shared" si="3"/>
        <v>99.979166666666657</v>
      </c>
      <c r="K46" s="126">
        <f t="shared" si="4"/>
        <v>99.979166666666657</v>
      </c>
    </row>
    <row r="47" spans="1:12">
      <c r="A47" s="160" t="s">
        <v>290</v>
      </c>
      <c r="B47" s="156">
        <v>3639</v>
      </c>
      <c r="C47" s="220" t="s">
        <v>130</v>
      </c>
      <c r="D47" s="97" t="str">
        <f>(MID(E47,1,3))</f>
        <v>213</v>
      </c>
      <c r="E47" s="156">
        <v>2132</v>
      </c>
      <c r="F47" s="104" t="s">
        <v>227</v>
      </c>
      <c r="G47" s="127"/>
      <c r="H47" s="127"/>
      <c r="I47" s="127">
        <v>543</v>
      </c>
      <c r="J47" s="151"/>
      <c r="K47" s="126"/>
    </row>
    <row r="48" spans="1:12">
      <c r="A48" s="160" t="s">
        <v>219</v>
      </c>
      <c r="B48" s="156">
        <v>3612</v>
      </c>
      <c r="C48" s="220" t="s">
        <v>12</v>
      </c>
      <c r="D48" s="97" t="str">
        <f>(MID(E48,1,3))</f>
        <v>213</v>
      </c>
      <c r="E48" s="149">
        <v>2132</v>
      </c>
      <c r="F48" s="104" t="s">
        <v>227</v>
      </c>
      <c r="G48" s="127">
        <v>35000</v>
      </c>
      <c r="H48" s="127">
        <v>35000</v>
      </c>
      <c r="I48" s="127">
        <v>38093</v>
      </c>
      <c r="J48" s="151">
        <f>IF(G48&lt;=0,0,$I48/G48*100)</f>
        <v>108.83714285714285</v>
      </c>
      <c r="K48" s="126">
        <f>IF(H48&lt;=0,0,$I48/H48*100)</f>
        <v>108.83714285714285</v>
      </c>
    </row>
    <row r="49" spans="1:11">
      <c r="A49" s="148">
        <v>6600</v>
      </c>
      <c r="B49" s="149">
        <v>3639</v>
      </c>
      <c r="C49" s="150" t="s">
        <v>130</v>
      </c>
      <c r="D49" s="97" t="str">
        <f t="shared" si="9"/>
        <v>213</v>
      </c>
      <c r="E49" s="149">
        <v>2132</v>
      </c>
      <c r="F49" s="104" t="s">
        <v>227</v>
      </c>
      <c r="G49" s="109">
        <v>45000</v>
      </c>
      <c r="H49" s="109">
        <v>45000</v>
      </c>
      <c r="I49" s="109">
        <v>46214</v>
      </c>
      <c r="J49" s="151">
        <f>IF(G49&lt;=0,0,$I49/G49*100)</f>
        <v>102.69777777777777</v>
      </c>
      <c r="K49" s="126">
        <f>IF(H49&lt;=0,0,$I49/H49*100)</f>
        <v>102.69777777777777</v>
      </c>
    </row>
    <row r="50" spans="1:11">
      <c r="A50" s="102">
        <v>6600</v>
      </c>
      <c r="B50" s="103">
        <v>6171</v>
      </c>
      <c r="C50" s="121" t="s">
        <v>9</v>
      </c>
      <c r="D50" s="97" t="str">
        <f t="shared" si="9"/>
        <v>213</v>
      </c>
      <c r="E50" s="103">
        <v>2132</v>
      </c>
      <c r="F50" s="104" t="s">
        <v>227</v>
      </c>
      <c r="G50" s="105">
        <v>9300</v>
      </c>
      <c r="H50" s="105">
        <v>9300</v>
      </c>
      <c r="I50" s="105">
        <v>9903</v>
      </c>
      <c r="J50" s="125">
        <f t="shared" si="3"/>
        <v>106.48387096774195</v>
      </c>
      <c r="K50" s="126">
        <f t="shared" si="4"/>
        <v>106.48387096774195</v>
      </c>
    </row>
    <row r="51" spans="1:11">
      <c r="A51" s="155">
        <v>7100</v>
      </c>
      <c r="B51" s="156">
        <v>3511</v>
      </c>
      <c r="C51" s="10" t="s">
        <v>13</v>
      </c>
      <c r="D51" s="97" t="str">
        <f t="shared" si="9"/>
        <v>213</v>
      </c>
      <c r="E51" s="156">
        <v>2132</v>
      </c>
      <c r="F51" s="104" t="s">
        <v>227</v>
      </c>
      <c r="G51" s="127">
        <v>3284</v>
      </c>
      <c r="H51" s="127">
        <v>3284</v>
      </c>
      <c r="I51" s="127">
        <v>3128</v>
      </c>
      <c r="J51" s="125">
        <f t="shared" si="3"/>
        <v>95.249695493300862</v>
      </c>
      <c r="K51" s="126">
        <f t="shared" si="4"/>
        <v>95.249695493300862</v>
      </c>
    </row>
    <row r="52" spans="1:11">
      <c r="A52" s="148">
        <v>7200</v>
      </c>
      <c r="B52" s="149">
        <v>3639</v>
      </c>
      <c r="C52" s="150" t="s">
        <v>130</v>
      </c>
      <c r="D52" s="97" t="str">
        <f t="shared" si="9"/>
        <v>213</v>
      </c>
      <c r="E52" s="149">
        <v>2132</v>
      </c>
      <c r="F52" s="104" t="s">
        <v>227</v>
      </c>
      <c r="G52" s="109">
        <v>76</v>
      </c>
      <c r="H52" s="109">
        <v>76</v>
      </c>
      <c r="I52" s="109">
        <v>74</v>
      </c>
      <c r="J52" s="151">
        <f t="shared" si="3"/>
        <v>97.368421052631575</v>
      </c>
      <c r="K52" s="126">
        <f t="shared" si="4"/>
        <v>97.368421052631575</v>
      </c>
    </row>
    <row r="53" spans="1:11">
      <c r="A53" s="148">
        <v>7200</v>
      </c>
      <c r="B53" s="149">
        <v>4357</v>
      </c>
      <c r="C53" s="150" t="s">
        <v>184</v>
      </c>
      <c r="D53" s="97" t="str">
        <f>(MID(E53,1,3))</f>
        <v>213</v>
      </c>
      <c r="E53" s="149">
        <v>2132</v>
      </c>
      <c r="F53" s="104" t="s">
        <v>227</v>
      </c>
      <c r="G53" s="109"/>
      <c r="H53" s="109"/>
      <c r="I53" s="109">
        <v>22</v>
      </c>
      <c r="J53" s="151">
        <f>IF(G53&lt;=0,0,$I53/G53*100)</f>
        <v>0</v>
      </c>
      <c r="K53" s="126">
        <f>IF(H53&lt;=0,0,$I53/H53*100)</f>
        <v>0</v>
      </c>
    </row>
    <row r="54" spans="1:11">
      <c r="A54" s="148">
        <v>7300</v>
      </c>
      <c r="B54" s="149">
        <v>3311</v>
      </c>
      <c r="C54" s="220" t="s">
        <v>24</v>
      </c>
      <c r="D54" s="97" t="str">
        <f t="shared" si="9"/>
        <v>213</v>
      </c>
      <c r="E54" s="149">
        <v>2132</v>
      </c>
      <c r="F54" s="104" t="s">
        <v>227</v>
      </c>
      <c r="G54" s="109">
        <v>3693</v>
      </c>
      <c r="H54" s="109">
        <v>2981</v>
      </c>
      <c r="I54" s="109">
        <v>3127</v>
      </c>
      <c r="J54" s="151">
        <f t="shared" si="3"/>
        <v>84.673707013268341</v>
      </c>
      <c r="K54" s="126">
        <f t="shared" si="4"/>
        <v>104.89768534048977</v>
      </c>
    </row>
    <row r="55" spans="1:11">
      <c r="A55" s="148">
        <v>7300</v>
      </c>
      <c r="B55" s="149">
        <v>3312</v>
      </c>
      <c r="C55" s="220" t="s">
        <v>93</v>
      </c>
      <c r="D55" s="97" t="str">
        <f t="shared" si="9"/>
        <v>213</v>
      </c>
      <c r="E55" s="149">
        <v>2132</v>
      </c>
      <c r="F55" s="104" t="s">
        <v>227</v>
      </c>
      <c r="G55" s="109">
        <v>600</v>
      </c>
      <c r="H55" s="109">
        <v>600</v>
      </c>
      <c r="I55" s="109">
        <v>497</v>
      </c>
      <c r="J55" s="110">
        <f t="shared" si="3"/>
        <v>82.833333333333343</v>
      </c>
      <c r="K55" s="126">
        <f t="shared" si="4"/>
        <v>82.833333333333343</v>
      </c>
    </row>
    <row r="56" spans="1:11">
      <c r="A56" s="148">
        <v>7300</v>
      </c>
      <c r="B56" s="149">
        <v>3314</v>
      </c>
      <c r="C56" s="220" t="s">
        <v>94</v>
      </c>
      <c r="D56" s="97" t="str">
        <f t="shared" si="9"/>
        <v>213</v>
      </c>
      <c r="E56" s="149">
        <v>2132</v>
      </c>
      <c r="F56" s="104" t="s">
        <v>227</v>
      </c>
      <c r="G56" s="109">
        <v>1236</v>
      </c>
      <c r="H56" s="109">
        <v>1359</v>
      </c>
      <c r="I56" s="109">
        <v>1332</v>
      </c>
      <c r="J56" s="125">
        <f t="shared" si="3"/>
        <v>107.76699029126213</v>
      </c>
      <c r="K56" s="126">
        <f t="shared" si="4"/>
        <v>98.013245033112582</v>
      </c>
    </row>
    <row r="57" spans="1:11">
      <c r="A57" s="148">
        <v>7300</v>
      </c>
      <c r="B57" s="149">
        <v>3315</v>
      </c>
      <c r="C57" s="220" t="s">
        <v>95</v>
      </c>
      <c r="D57" s="97" t="str">
        <f t="shared" si="9"/>
        <v>213</v>
      </c>
      <c r="E57" s="149">
        <v>2132</v>
      </c>
      <c r="F57" s="104" t="s">
        <v>227</v>
      </c>
      <c r="G57" s="109">
        <v>41</v>
      </c>
      <c r="H57" s="109">
        <v>23</v>
      </c>
      <c r="I57" s="109">
        <v>22</v>
      </c>
      <c r="J57" s="110">
        <f t="shared" si="3"/>
        <v>53.658536585365859</v>
      </c>
      <c r="K57" s="126">
        <f t="shared" si="4"/>
        <v>95.652173913043484</v>
      </c>
    </row>
    <row r="58" spans="1:11">
      <c r="A58" s="148">
        <v>7300</v>
      </c>
      <c r="B58" s="149">
        <v>3317</v>
      </c>
      <c r="C58" s="12" t="s">
        <v>96</v>
      </c>
      <c r="D58" s="97" t="str">
        <f t="shared" si="9"/>
        <v>213</v>
      </c>
      <c r="E58" s="149">
        <v>2132</v>
      </c>
      <c r="F58" s="104" t="s">
        <v>227</v>
      </c>
      <c r="G58" s="109">
        <v>1370</v>
      </c>
      <c r="H58" s="109">
        <v>1499</v>
      </c>
      <c r="I58" s="109">
        <v>1551</v>
      </c>
      <c r="J58" s="110">
        <f t="shared" si="3"/>
        <v>113.21167883211677</v>
      </c>
      <c r="K58" s="126">
        <f t="shared" si="4"/>
        <v>103.46897931954638</v>
      </c>
    </row>
    <row r="59" spans="1:11">
      <c r="A59" s="148">
        <v>7400</v>
      </c>
      <c r="B59" s="149">
        <v>3113</v>
      </c>
      <c r="C59" s="161" t="s">
        <v>23</v>
      </c>
      <c r="D59" s="99">
        <v>213</v>
      </c>
      <c r="E59" s="149">
        <v>2132</v>
      </c>
      <c r="F59" s="104" t="s">
        <v>227</v>
      </c>
      <c r="G59" s="109">
        <v>670</v>
      </c>
      <c r="H59" s="109">
        <v>670</v>
      </c>
      <c r="I59" s="109">
        <v>671</v>
      </c>
      <c r="J59" s="110">
        <f t="shared" si="3"/>
        <v>100.14925373134329</v>
      </c>
      <c r="K59" s="126">
        <f t="shared" si="4"/>
        <v>100.14925373134329</v>
      </c>
    </row>
    <row r="60" spans="1:11">
      <c r="A60" s="148">
        <v>7400</v>
      </c>
      <c r="B60" s="149">
        <v>3419</v>
      </c>
      <c r="C60" s="195" t="s">
        <v>51</v>
      </c>
      <c r="D60" s="97" t="str">
        <f>(MID(E60,1,3))</f>
        <v>213</v>
      </c>
      <c r="E60" s="149">
        <v>2132</v>
      </c>
      <c r="F60" s="104" t="s">
        <v>227</v>
      </c>
      <c r="G60" s="109">
        <v>1081</v>
      </c>
      <c r="H60" s="109">
        <v>1086</v>
      </c>
      <c r="I60" s="109">
        <v>1371</v>
      </c>
      <c r="J60" s="110">
        <f t="shared" si="3"/>
        <v>126.82701202590194</v>
      </c>
      <c r="K60" s="126">
        <f t="shared" si="4"/>
        <v>126.24309392265194</v>
      </c>
    </row>
    <row r="61" spans="1:11">
      <c r="A61" s="102">
        <v>8200</v>
      </c>
      <c r="B61" s="103">
        <v>5311</v>
      </c>
      <c r="C61" s="12" t="s">
        <v>92</v>
      </c>
      <c r="D61" s="99">
        <v>213</v>
      </c>
      <c r="E61" s="103">
        <v>2132</v>
      </c>
      <c r="F61" s="104" t="s">
        <v>227</v>
      </c>
      <c r="G61" s="105">
        <v>400</v>
      </c>
      <c r="H61" s="105">
        <v>400</v>
      </c>
      <c r="I61" s="105">
        <v>549</v>
      </c>
      <c r="J61" s="110">
        <f t="shared" si="3"/>
        <v>137.25</v>
      </c>
      <c r="K61" s="111">
        <f t="shared" si="4"/>
        <v>137.25</v>
      </c>
    </row>
    <row r="62" spans="1:11" ht="13.5" thickBot="1">
      <c r="A62" s="136"/>
      <c r="B62" s="137"/>
      <c r="C62" s="251"/>
      <c r="D62" s="122" t="s">
        <v>140</v>
      </c>
      <c r="E62" s="137"/>
      <c r="F62" s="252"/>
      <c r="G62" s="166">
        <f>SUBTOTAL(9,G33:G61)</f>
        <v>180147</v>
      </c>
      <c r="H62" s="166">
        <f>SUBTOTAL(9,H33:H61)</f>
        <v>179674</v>
      </c>
      <c r="I62" s="166">
        <f>SUBTOTAL(9,I33:I61)</f>
        <v>177239</v>
      </c>
      <c r="J62" s="167">
        <f>IF(G62&lt;=0,0,$I62/G62*100)</f>
        <v>98.385762738208243</v>
      </c>
      <c r="K62" s="253">
        <f t="shared" ref="K62:K100" si="10">IF(H62&lt;=0,0,$I62/H62*100)</f>
        <v>98.644767746028919</v>
      </c>
    </row>
    <row r="63" spans="1:11">
      <c r="A63" s="102"/>
      <c r="B63" s="103"/>
      <c r="C63" s="121"/>
      <c r="D63" s="108"/>
      <c r="E63" s="103"/>
      <c r="F63" s="104"/>
      <c r="G63" s="170"/>
      <c r="H63" s="170"/>
      <c r="I63" s="170"/>
      <c r="J63" s="171">
        <f>IF(G63&lt;=0,0,$I63/G63*100)</f>
        <v>0</v>
      </c>
      <c r="K63" s="259">
        <f t="shared" si="10"/>
        <v>0</v>
      </c>
    </row>
    <row r="64" spans="1:11">
      <c r="A64" s="129" t="s">
        <v>253</v>
      </c>
      <c r="B64" s="103"/>
      <c r="C64" s="121"/>
      <c r="D64" s="108"/>
      <c r="E64" s="103"/>
      <c r="F64" s="104"/>
      <c r="G64" s="170"/>
      <c r="H64" s="170"/>
      <c r="I64" s="170"/>
      <c r="J64" s="171">
        <f>IF(G64&lt;=0,0,$I64/G64*100)</f>
        <v>0</v>
      </c>
      <c r="K64" s="259">
        <f t="shared" si="10"/>
        <v>0</v>
      </c>
    </row>
    <row r="65" spans="1:12">
      <c r="A65" s="102">
        <v>1700</v>
      </c>
      <c r="B65" s="103">
        <v>6310</v>
      </c>
      <c r="C65" s="121" t="s">
        <v>143</v>
      </c>
      <c r="D65" s="121" t="str">
        <f t="shared" ref="D65:D71" si="11">(MID(E65,1,3))</f>
        <v>214</v>
      </c>
      <c r="E65" s="103">
        <v>2141</v>
      </c>
      <c r="F65" s="104" t="s">
        <v>141</v>
      </c>
      <c r="G65" s="105">
        <v>20200</v>
      </c>
      <c r="H65" s="105">
        <v>20200</v>
      </c>
      <c r="I65" s="105">
        <v>18788</v>
      </c>
      <c r="J65" s="125">
        <f>IF(G65&lt;=0,0,$I65/G65*100)</f>
        <v>93.009900990099013</v>
      </c>
      <c r="K65" s="126">
        <f t="shared" si="10"/>
        <v>93.009900990099013</v>
      </c>
    </row>
    <row r="66" spans="1:12">
      <c r="A66" s="102">
        <v>5400</v>
      </c>
      <c r="B66" s="103">
        <v>2219</v>
      </c>
      <c r="C66" s="150" t="s">
        <v>55</v>
      </c>
      <c r="D66" s="121" t="str">
        <f t="shared" si="11"/>
        <v>214</v>
      </c>
      <c r="E66" s="103">
        <v>2141</v>
      </c>
      <c r="F66" s="104" t="s">
        <v>141</v>
      </c>
      <c r="G66" s="105"/>
      <c r="H66" s="105">
        <v>9</v>
      </c>
      <c r="I66" s="105">
        <v>13</v>
      </c>
      <c r="J66" s="125"/>
      <c r="K66" s="126">
        <f t="shared" si="10"/>
        <v>144.44444444444443</v>
      </c>
    </row>
    <row r="67" spans="1:12">
      <c r="A67" s="102">
        <v>5600</v>
      </c>
      <c r="B67" s="103">
        <v>2212</v>
      </c>
      <c r="C67" s="150" t="s">
        <v>19</v>
      </c>
      <c r="D67" s="121" t="str">
        <f>(MID(E67,1,3))</f>
        <v>214</v>
      </c>
      <c r="E67" s="103">
        <v>2141</v>
      </c>
      <c r="F67" s="104" t="s">
        <v>141</v>
      </c>
      <c r="G67" s="105"/>
      <c r="H67" s="105"/>
      <c r="I67" s="105">
        <v>36</v>
      </c>
      <c r="J67" s="125"/>
      <c r="K67" s="126"/>
    </row>
    <row r="68" spans="1:12">
      <c r="A68" s="160" t="s">
        <v>180</v>
      </c>
      <c r="B68" s="103">
        <v>3612</v>
      </c>
      <c r="C68" s="121" t="s">
        <v>12</v>
      </c>
      <c r="D68" s="97" t="str">
        <f t="shared" si="11"/>
        <v>214</v>
      </c>
      <c r="E68" s="103">
        <v>2141</v>
      </c>
      <c r="F68" s="104" t="s">
        <v>141</v>
      </c>
      <c r="G68" s="105">
        <v>236</v>
      </c>
      <c r="H68" s="105">
        <v>236</v>
      </c>
      <c r="I68" s="105">
        <v>236</v>
      </c>
      <c r="J68" s="125">
        <f t="shared" ref="J68:J75" si="12">IF(G68&lt;=0,0,$I68/G68*100)</f>
        <v>100</v>
      </c>
      <c r="K68" s="126">
        <f t="shared" si="10"/>
        <v>100</v>
      </c>
    </row>
    <row r="69" spans="1:12">
      <c r="A69" s="160" t="s">
        <v>180</v>
      </c>
      <c r="B69" s="103">
        <v>3619</v>
      </c>
      <c r="C69" s="121" t="s">
        <v>142</v>
      </c>
      <c r="D69" s="121" t="str">
        <f t="shared" si="11"/>
        <v>214</v>
      </c>
      <c r="E69" s="103">
        <v>2141</v>
      </c>
      <c r="F69" s="104" t="s">
        <v>141</v>
      </c>
      <c r="G69" s="105">
        <v>1725</v>
      </c>
      <c r="H69" s="105">
        <v>1725</v>
      </c>
      <c r="I69" s="105">
        <v>2267</v>
      </c>
      <c r="J69" s="125">
        <f t="shared" si="12"/>
        <v>131.42028985507247</v>
      </c>
      <c r="K69" s="126">
        <f t="shared" si="10"/>
        <v>131.42028985507247</v>
      </c>
    </row>
    <row r="70" spans="1:12">
      <c r="A70" s="157" t="s">
        <v>241</v>
      </c>
      <c r="B70" s="103">
        <v>6310</v>
      </c>
      <c r="C70" s="121" t="s">
        <v>143</v>
      </c>
      <c r="D70" s="121" t="str">
        <f t="shared" si="11"/>
        <v>214</v>
      </c>
      <c r="E70" s="114">
        <v>2142</v>
      </c>
      <c r="F70" s="115" t="s">
        <v>302</v>
      </c>
      <c r="G70" s="128"/>
      <c r="H70" s="128"/>
      <c r="I70" s="128">
        <v>24946</v>
      </c>
      <c r="J70" s="110">
        <f t="shared" si="12"/>
        <v>0</v>
      </c>
      <c r="K70" s="126">
        <f t="shared" si="10"/>
        <v>0</v>
      </c>
      <c r="L70" s="300"/>
    </row>
    <row r="71" spans="1:12">
      <c r="A71" s="157" t="s">
        <v>241</v>
      </c>
      <c r="B71" s="103">
        <v>6310</v>
      </c>
      <c r="C71" s="121" t="s">
        <v>143</v>
      </c>
      <c r="D71" s="121" t="str">
        <f t="shared" si="11"/>
        <v>214</v>
      </c>
      <c r="E71" s="114">
        <v>2143</v>
      </c>
      <c r="F71" s="115" t="s">
        <v>242</v>
      </c>
      <c r="G71" s="128"/>
      <c r="H71" s="128"/>
      <c r="I71" s="128">
        <v>6</v>
      </c>
      <c r="J71" s="110">
        <f t="shared" si="12"/>
        <v>0</v>
      </c>
      <c r="K71" s="126">
        <f t="shared" si="10"/>
        <v>0</v>
      </c>
    </row>
    <row r="72" spans="1:12" ht="13.5" thickBot="1">
      <c r="A72" s="136"/>
      <c r="B72" s="137"/>
      <c r="C72" s="251"/>
      <c r="D72" s="122" t="s">
        <v>254</v>
      </c>
      <c r="E72" s="137"/>
      <c r="F72" s="252"/>
      <c r="G72" s="166">
        <f>SUBTOTAL(9,G65:G71)</f>
        <v>22161</v>
      </c>
      <c r="H72" s="166">
        <f>SUBTOTAL(9,H65:H71)</f>
        <v>22170</v>
      </c>
      <c r="I72" s="166">
        <f>SUBTOTAL(9,I65:I71)</f>
        <v>46292</v>
      </c>
      <c r="J72" s="167">
        <f t="shared" si="12"/>
        <v>208.88949054645548</v>
      </c>
      <c r="K72" s="253">
        <f t="shared" si="10"/>
        <v>208.80469102390617</v>
      </c>
    </row>
    <row r="73" spans="1:12">
      <c r="A73" s="263"/>
      <c r="B73" s="264"/>
      <c r="C73" s="265"/>
      <c r="D73" s="108"/>
      <c r="E73" s="264"/>
      <c r="F73" s="266"/>
      <c r="G73" s="168"/>
      <c r="H73" s="168"/>
      <c r="I73" s="168"/>
      <c r="J73" s="169">
        <f t="shared" si="12"/>
        <v>0</v>
      </c>
      <c r="K73" s="267">
        <f t="shared" si="10"/>
        <v>0</v>
      </c>
    </row>
    <row r="74" spans="1:12">
      <c r="A74" s="268" t="s">
        <v>144</v>
      </c>
      <c r="B74" s="149"/>
      <c r="C74" s="150"/>
      <c r="D74" s="108"/>
      <c r="E74" s="149"/>
      <c r="F74" s="195"/>
      <c r="G74" s="170"/>
      <c r="H74" s="170"/>
      <c r="I74" s="170"/>
      <c r="J74" s="171">
        <f t="shared" si="12"/>
        <v>0</v>
      </c>
      <c r="K74" s="259">
        <f t="shared" si="10"/>
        <v>0</v>
      </c>
    </row>
    <row r="75" spans="1:12">
      <c r="A75" s="102">
        <v>1900</v>
      </c>
      <c r="B75" s="269">
        <v>2143</v>
      </c>
      <c r="C75" s="154" t="s">
        <v>198</v>
      </c>
      <c r="D75" s="97" t="str">
        <f t="shared" ref="D75:D91" si="13">(MID(E75,1,3))</f>
        <v>221</v>
      </c>
      <c r="E75" s="103">
        <v>2212</v>
      </c>
      <c r="F75" s="153" t="s">
        <v>236</v>
      </c>
      <c r="G75" s="105"/>
      <c r="H75" s="105"/>
      <c r="I75" s="250">
        <v>6</v>
      </c>
      <c r="J75" s="110">
        <f t="shared" si="12"/>
        <v>0</v>
      </c>
      <c r="K75" s="111">
        <f t="shared" si="10"/>
        <v>0</v>
      </c>
    </row>
    <row r="76" spans="1:12">
      <c r="A76" s="102">
        <v>1900</v>
      </c>
      <c r="B76" s="269">
        <v>3636</v>
      </c>
      <c r="C76" s="154" t="s">
        <v>174</v>
      </c>
      <c r="D76" s="97" t="str">
        <f t="shared" si="13"/>
        <v>221</v>
      </c>
      <c r="E76" s="103">
        <v>2212</v>
      </c>
      <c r="F76" s="153" t="s">
        <v>236</v>
      </c>
      <c r="G76" s="105"/>
      <c r="H76" s="105"/>
      <c r="I76" s="250">
        <v>73</v>
      </c>
      <c r="J76" s="110"/>
      <c r="K76" s="111"/>
    </row>
    <row r="77" spans="1:12">
      <c r="A77" s="102">
        <v>3200</v>
      </c>
      <c r="B77" s="269">
        <v>6171</v>
      </c>
      <c r="C77" s="154" t="s">
        <v>9</v>
      </c>
      <c r="D77" s="97" t="str">
        <f t="shared" si="13"/>
        <v>221</v>
      </c>
      <c r="E77" s="103">
        <v>2212</v>
      </c>
      <c r="F77" s="153" t="s">
        <v>236</v>
      </c>
      <c r="G77" s="105">
        <v>20</v>
      </c>
      <c r="H77" s="105">
        <v>20</v>
      </c>
      <c r="I77" s="250">
        <v>42</v>
      </c>
      <c r="J77" s="110">
        <f>IF(G77&lt;=0,0,$I77/G77*100)</f>
        <v>210</v>
      </c>
      <c r="K77" s="111">
        <f>IF(H77&lt;=0,0,$I77/H77*100)</f>
        <v>210</v>
      </c>
    </row>
    <row r="78" spans="1:12">
      <c r="A78" s="102">
        <v>3800</v>
      </c>
      <c r="B78" s="103">
        <v>6171</v>
      </c>
      <c r="C78" s="121" t="s">
        <v>9</v>
      </c>
      <c r="D78" s="97" t="str">
        <f t="shared" si="13"/>
        <v>221</v>
      </c>
      <c r="E78" s="103">
        <v>2212</v>
      </c>
      <c r="F78" s="153" t="s">
        <v>236</v>
      </c>
      <c r="G78" s="105">
        <v>900</v>
      </c>
      <c r="H78" s="105">
        <v>900</v>
      </c>
      <c r="I78" s="250">
        <v>795</v>
      </c>
      <c r="J78" s="110">
        <f>IF(G78&lt;=0,0,$I78/G78*100)</f>
        <v>88.333333333333329</v>
      </c>
      <c r="K78" s="111">
        <f t="shared" si="10"/>
        <v>88.333333333333329</v>
      </c>
    </row>
    <row r="79" spans="1:12">
      <c r="A79" s="102">
        <v>4100</v>
      </c>
      <c r="B79" s="103">
        <v>2143</v>
      </c>
      <c r="C79" s="121" t="s">
        <v>198</v>
      </c>
      <c r="D79" s="97" t="str">
        <f t="shared" si="13"/>
        <v>221</v>
      </c>
      <c r="E79" s="103">
        <v>2212</v>
      </c>
      <c r="F79" s="153" t="s">
        <v>236</v>
      </c>
      <c r="G79" s="105"/>
      <c r="H79" s="105"/>
      <c r="I79" s="250">
        <v>50</v>
      </c>
      <c r="J79" s="110"/>
      <c r="K79" s="111"/>
    </row>
    <row r="80" spans="1:12">
      <c r="A80" s="102">
        <v>4100</v>
      </c>
      <c r="B80" s="103">
        <v>3745</v>
      </c>
      <c r="C80" s="10" t="s">
        <v>2</v>
      </c>
      <c r="D80" s="97" t="str">
        <f t="shared" si="13"/>
        <v>221</v>
      </c>
      <c r="E80" s="103">
        <v>2212</v>
      </c>
      <c r="F80" s="153" t="s">
        <v>236</v>
      </c>
      <c r="G80" s="105"/>
      <c r="H80" s="105"/>
      <c r="I80" s="250">
        <v>2456</v>
      </c>
      <c r="J80" s="110"/>
      <c r="K80" s="111"/>
    </row>
    <row r="81" spans="1:11">
      <c r="A81" s="102">
        <v>4200</v>
      </c>
      <c r="B81" s="103">
        <v>3749</v>
      </c>
      <c r="C81" s="121" t="s">
        <v>157</v>
      </c>
      <c r="D81" s="97" t="str">
        <f t="shared" si="13"/>
        <v>221</v>
      </c>
      <c r="E81" s="103">
        <v>2212</v>
      </c>
      <c r="F81" s="153" t="s">
        <v>236</v>
      </c>
      <c r="G81" s="105">
        <v>400</v>
      </c>
      <c r="H81" s="105">
        <v>400</v>
      </c>
      <c r="I81" s="105">
        <v>499</v>
      </c>
      <c r="J81" s="110">
        <f>IF(G81&lt;=0,0,$I81/G81*100)</f>
        <v>124.75</v>
      </c>
      <c r="K81" s="111">
        <f t="shared" si="10"/>
        <v>124.75</v>
      </c>
    </row>
    <row r="82" spans="1:11">
      <c r="A82" s="102">
        <v>4300</v>
      </c>
      <c r="B82" s="103">
        <v>2349</v>
      </c>
      <c r="C82" s="121" t="s">
        <v>301</v>
      </c>
      <c r="D82" s="97" t="str">
        <f t="shared" si="13"/>
        <v>221</v>
      </c>
      <c r="E82" s="103">
        <v>2212</v>
      </c>
      <c r="F82" s="153" t="s">
        <v>236</v>
      </c>
      <c r="G82" s="105"/>
      <c r="H82" s="105"/>
      <c r="I82" s="105">
        <v>3</v>
      </c>
      <c r="J82" s="110"/>
      <c r="K82" s="111"/>
    </row>
    <row r="83" spans="1:11">
      <c r="A83" s="148">
        <v>4300</v>
      </c>
      <c r="B83" s="149">
        <v>2399</v>
      </c>
      <c r="C83" s="150" t="s">
        <v>145</v>
      </c>
      <c r="D83" s="97" t="str">
        <f t="shared" si="13"/>
        <v>221</v>
      </c>
      <c r="E83" s="103">
        <v>2212</v>
      </c>
      <c r="F83" s="153" t="s">
        <v>236</v>
      </c>
      <c r="G83" s="109">
        <v>100</v>
      </c>
      <c r="H83" s="109">
        <v>100</v>
      </c>
      <c r="I83" s="109"/>
      <c r="J83" s="110">
        <f>IF(G83&lt;=0,0,$I83/G83*100)</f>
        <v>0</v>
      </c>
      <c r="K83" s="111">
        <f t="shared" si="10"/>
        <v>0</v>
      </c>
    </row>
    <row r="84" spans="1:11">
      <c r="A84" s="148">
        <v>5400</v>
      </c>
      <c r="B84" s="149">
        <v>2219</v>
      </c>
      <c r="C84" s="150" t="s">
        <v>55</v>
      </c>
      <c r="D84" s="97" t="str">
        <f t="shared" si="13"/>
        <v>221</v>
      </c>
      <c r="E84" s="103">
        <v>2212</v>
      </c>
      <c r="F84" s="153" t="s">
        <v>236</v>
      </c>
      <c r="G84" s="109">
        <v>200</v>
      </c>
      <c r="H84" s="109">
        <v>200</v>
      </c>
      <c r="I84" s="109">
        <v>124</v>
      </c>
      <c r="J84" s="110">
        <f>IF(G84&lt;=0,0,$I84/G84*100)</f>
        <v>62</v>
      </c>
      <c r="K84" s="111">
        <f t="shared" si="10"/>
        <v>62</v>
      </c>
    </row>
    <row r="85" spans="1:11">
      <c r="A85" s="148">
        <v>5600</v>
      </c>
      <c r="B85" s="149">
        <v>2219</v>
      </c>
      <c r="C85" s="150" t="s">
        <v>55</v>
      </c>
      <c r="D85" s="97" t="str">
        <f t="shared" si="13"/>
        <v>221</v>
      </c>
      <c r="E85" s="103">
        <v>2212</v>
      </c>
      <c r="F85" s="153" t="s">
        <v>236</v>
      </c>
      <c r="G85" s="109"/>
      <c r="H85" s="109"/>
      <c r="I85" s="109">
        <v>75</v>
      </c>
      <c r="J85" s="110"/>
      <c r="K85" s="111"/>
    </row>
    <row r="86" spans="1:11">
      <c r="A86" s="148">
        <v>5600</v>
      </c>
      <c r="B86" s="149">
        <v>3113</v>
      </c>
      <c r="C86" s="10" t="s">
        <v>23</v>
      </c>
      <c r="D86" s="97" t="str">
        <f t="shared" si="13"/>
        <v>221</v>
      </c>
      <c r="E86" s="103">
        <v>2212</v>
      </c>
      <c r="F86" s="153" t="s">
        <v>236</v>
      </c>
      <c r="G86" s="109"/>
      <c r="H86" s="109"/>
      <c r="I86" s="109">
        <v>1552</v>
      </c>
      <c r="J86" s="110"/>
      <c r="K86" s="111"/>
    </row>
    <row r="87" spans="1:11">
      <c r="A87" s="148">
        <v>5600</v>
      </c>
      <c r="B87" s="149">
        <v>3745</v>
      </c>
      <c r="C87" s="10" t="s">
        <v>2</v>
      </c>
      <c r="D87" s="97" t="str">
        <f t="shared" si="13"/>
        <v>221</v>
      </c>
      <c r="E87" s="103">
        <v>2212</v>
      </c>
      <c r="F87" s="153" t="s">
        <v>236</v>
      </c>
      <c r="G87" s="109"/>
      <c r="H87" s="109"/>
      <c r="I87" s="109">
        <v>10</v>
      </c>
      <c r="J87" s="110"/>
      <c r="K87" s="111"/>
    </row>
    <row r="88" spans="1:11">
      <c r="A88" s="148">
        <v>5600</v>
      </c>
      <c r="B88" s="149">
        <v>4341</v>
      </c>
      <c r="C88" s="12" t="s">
        <v>243</v>
      </c>
      <c r="D88" s="97" t="str">
        <f t="shared" si="13"/>
        <v>221</v>
      </c>
      <c r="E88" s="103">
        <v>2212</v>
      </c>
      <c r="F88" s="153" t="s">
        <v>236</v>
      </c>
      <c r="G88" s="109"/>
      <c r="H88" s="109"/>
      <c r="I88" s="109">
        <v>306</v>
      </c>
      <c r="J88" s="110"/>
      <c r="K88" s="111"/>
    </row>
    <row r="89" spans="1:11">
      <c r="A89" s="148">
        <v>5800</v>
      </c>
      <c r="B89" s="262">
        <v>2219</v>
      </c>
      <c r="C89" s="150" t="s">
        <v>55</v>
      </c>
      <c r="D89" s="97" t="str">
        <f t="shared" si="13"/>
        <v>221</v>
      </c>
      <c r="E89" s="103">
        <v>2212</v>
      </c>
      <c r="F89" s="153" t="s">
        <v>236</v>
      </c>
      <c r="G89" s="109">
        <v>15000</v>
      </c>
      <c r="H89" s="109">
        <v>15000</v>
      </c>
      <c r="I89" s="109">
        <v>15984</v>
      </c>
      <c r="J89" s="110">
        <f>IF(G89&lt;=0,0,$I89/G89*100)</f>
        <v>106.56000000000002</v>
      </c>
      <c r="K89" s="111">
        <f t="shared" si="10"/>
        <v>106.56000000000002</v>
      </c>
    </row>
    <row r="90" spans="1:11">
      <c r="A90" s="148">
        <v>6300</v>
      </c>
      <c r="B90" s="262">
        <v>3639</v>
      </c>
      <c r="C90" s="150" t="s">
        <v>130</v>
      </c>
      <c r="D90" s="97" t="str">
        <f t="shared" si="13"/>
        <v>221</v>
      </c>
      <c r="E90" s="103">
        <v>2212</v>
      </c>
      <c r="F90" s="153" t="s">
        <v>236</v>
      </c>
      <c r="G90" s="109"/>
      <c r="H90" s="109"/>
      <c r="I90" s="109">
        <v>20</v>
      </c>
      <c r="J90" s="110"/>
      <c r="K90" s="111"/>
    </row>
    <row r="91" spans="1:11">
      <c r="A91" s="148">
        <v>6500</v>
      </c>
      <c r="B91" s="103">
        <v>6171</v>
      </c>
      <c r="C91" s="121" t="s">
        <v>9</v>
      </c>
      <c r="D91" s="97" t="str">
        <f t="shared" si="13"/>
        <v>221</v>
      </c>
      <c r="E91" s="103">
        <v>2212</v>
      </c>
      <c r="F91" s="153" t="s">
        <v>236</v>
      </c>
      <c r="G91" s="109">
        <v>1750</v>
      </c>
      <c r="H91" s="109">
        <v>1750</v>
      </c>
      <c r="I91" s="109">
        <v>1498</v>
      </c>
      <c r="J91" s="110">
        <f>IF(G91&lt;=0,0,$I91/G91*100)</f>
        <v>85.6</v>
      </c>
      <c r="K91" s="111">
        <f t="shared" si="10"/>
        <v>85.6</v>
      </c>
    </row>
    <row r="92" spans="1:11">
      <c r="A92" s="148">
        <v>7100</v>
      </c>
      <c r="B92" s="103">
        <v>3511</v>
      </c>
      <c r="C92" s="10" t="s">
        <v>13</v>
      </c>
      <c r="D92" s="97" t="str">
        <f t="shared" ref="D92:D97" si="14">(MID(E92,1,3))</f>
        <v>221</v>
      </c>
      <c r="E92" s="103">
        <v>2212</v>
      </c>
      <c r="F92" s="153" t="s">
        <v>236</v>
      </c>
      <c r="G92" s="109"/>
      <c r="H92" s="109"/>
      <c r="I92" s="109">
        <v>4</v>
      </c>
      <c r="J92" s="110"/>
      <c r="K92" s="111"/>
    </row>
    <row r="93" spans="1:11">
      <c r="A93" s="148">
        <v>7200</v>
      </c>
      <c r="B93" s="103">
        <v>6171</v>
      </c>
      <c r="C93" s="121" t="s">
        <v>9</v>
      </c>
      <c r="D93" s="97" t="str">
        <f t="shared" si="14"/>
        <v>221</v>
      </c>
      <c r="E93" s="103">
        <v>2212</v>
      </c>
      <c r="F93" s="153" t="s">
        <v>236</v>
      </c>
      <c r="G93" s="109"/>
      <c r="H93" s="109"/>
      <c r="I93" s="109">
        <v>9</v>
      </c>
      <c r="J93" s="110"/>
      <c r="K93" s="111"/>
    </row>
    <row r="94" spans="1:11">
      <c r="A94" s="148">
        <v>7300</v>
      </c>
      <c r="B94" s="103">
        <v>3311</v>
      </c>
      <c r="C94" s="121" t="s">
        <v>24</v>
      </c>
      <c r="D94" s="97" t="str">
        <f t="shared" si="14"/>
        <v>221</v>
      </c>
      <c r="E94" s="103">
        <v>2212</v>
      </c>
      <c r="F94" s="153" t="s">
        <v>236</v>
      </c>
      <c r="G94" s="109"/>
      <c r="H94" s="109">
        <v>112</v>
      </c>
      <c r="I94" s="109">
        <v>114</v>
      </c>
      <c r="J94" s="110"/>
      <c r="K94" s="111">
        <f t="shared" si="10"/>
        <v>101.78571428571428</v>
      </c>
    </row>
    <row r="95" spans="1:11">
      <c r="A95" s="148">
        <v>7300</v>
      </c>
      <c r="B95" s="103">
        <v>3312</v>
      </c>
      <c r="C95" s="121" t="s">
        <v>93</v>
      </c>
      <c r="D95" s="97" t="str">
        <f t="shared" si="14"/>
        <v>221</v>
      </c>
      <c r="E95" s="103">
        <v>2212</v>
      </c>
      <c r="F95" s="153" t="s">
        <v>236</v>
      </c>
      <c r="G95" s="109"/>
      <c r="H95" s="109">
        <v>8</v>
      </c>
      <c r="I95" s="109">
        <v>9</v>
      </c>
      <c r="J95" s="110"/>
      <c r="K95" s="111">
        <f t="shared" si="10"/>
        <v>112.5</v>
      </c>
    </row>
    <row r="96" spans="1:11">
      <c r="A96" s="148">
        <v>7300</v>
      </c>
      <c r="B96" s="103">
        <v>3314</v>
      </c>
      <c r="C96" s="121" t="s">
        <v>94</v>
      </c>
      <c r="D96" s="97" t="str">
        <f t="shared" si="14"/>
        <v>221</v>
      </c>
      <c r="E96" s="103">
        <v>2212</v>
      </c>
      <c r="F96" s="153" t="s">
        <v>236</v>
      </c>
      <c r="G96" s="109"/>
      <c r="H96" s="109">
        <v>1</v>
      </c>
      <c r="I96" s="109">
        <v>22</v>
      </c>
      <c r="J96" s="110"/>
      <c r="K96" s="111">
        <f t="shared" si="10"/>
        <v>2200</v>
      </c>
    </row>
    <row r="97" spans="1:12">
      <c r="A97" s="148">
        <v>7300</v>
      </c>
      <c r="B97" s="103">
        <v>3317</v>
      </c>
      <c r="C97" s="12" t="s">
        <v>96</v>
      </c>
      <c r="D97" s="97" t="str">
        <f t="shared" si="14"/>
        <v>221</v>
      </c>
      <c r="E97" s="103">
        <v>2212</v>
      </c>
      <c r="F97" s="153" t="s">
        <v>236</v>
      </c>
      <c r="G97" s="109"/>
      <c r="H97" s="109">
        <v>9</v>
      </c>
      <c r="I97" s="109">
        <v>9</v>
      </c>
      <c r="J97" s="110"/>
      <c r="K97" s="111">
        <f t="shared" si="10"/>
        <v>100</v>
      </c>
    </row>
    <row r="98" spans="1:12">
      <c r="A98" s="148">
        <v>7300</v>
      </c>
      <c r="B98" s="149">
        <v>3319</v>
      </c>
      <c r="C98" s="12" t="s">
        <v>49</v>
      </c>
      <c r="D98" s="97" t="str">
        <f>(MID(E98,1,3))</f>
        <v>221</v>
      </c>
      <c r="E98" s="103">
        <v>2212</v>
      </c>
      <c r="F98" s="153" t="s">
        <v>236</v>
      </c>
      <c r="G98" s="109">
        <v>50</v>
      </c>
      <c r="H98" s="109">
        <v>50</v>
      </c>
      <c r="I98" s="109">
        <v>59</v>
      </c>
      <c r="J98" s="110">
        <f>IF(G98&lt;=0,0,$I98/G98*100)</f>
        <v>118</v>
      </c>
      <c r="K98" s="111">
        <f t="shared" si="10"/>
        <v>118</v>
      </c>
    </row>
    <row r="99" spans="1:12">
      <c r="A99" s="148">
        <v>7400</v>
      </c>
      <c r="B99" s="149">
        <v>3419</v>
      </c>
      <c r="C99" s="195" t="s">
        <v>51</v>
      </c>
      <c r="D99" s="97" t="str">
        <f>(MID(E99,1,3))</f>
        <v>221</v>
      </c>
      <c r="E99" s="103">
        <v>2212</v>
      </c>
      <c r="F99" s="153" t="s">
        <v>236</v>
      </c>
      <c r="G99" s="109"/>
      <c r="H99" s="109"/>
      <c r="I99" s="109">
        <v>2</v>
      </c>
      <c r="J99" s="110"/>
      <c r="K99" s="111"/>
    </row>
    <row r="100" spans="1:12">
      <c r="A100" s="148">
        <v>7500</v>
      </c>
      <c r="B100" s="149">
        <v>3322</v>
      </c>
      <c r="C100" s="150" t="s">
        <v>28</v>
      </c>
      <c r="D100" s="97" t="str">
        <f>(MID(E100,1,3))</f>
        <v>221</v>
      </c>
      <c r="E100" s="103">
        <v>2212</v>
      </c>
      <c r="F100" s="153" t="s">
        <v>236</v>
      </c>
      <c r="G100" s="109">
        <v>100</v>
      </c>
      <c r="H100" s="109">
        <v>100</v>
      </c>
      <c r="I100" s="109">
        <v>248</v>
      </c>
      <c r="J100" s="110">
        <f>IF(G100&lt;=0,0,$I100/G100*100)</f>
        <v>248</v>
      </c>
      <c r="K100" s="111">
        <f t="shared" si="10"/>
        <v>248</v>
      </c>
    </row>
    <row r="101" spans="1:12">
      <c r="A101" s="148">
        <v>8200</v>
      </c>
      <c r="B101" s="149">
        <v>5311</v>
      </c>
      <c r="C101" s="150" t="s">
        <v>92</v>
      </c>
      <c r="D101" s="97" t="str">
        <f>(MID(E101,1,3))</f>
        <v>221</v>
      </c>
      <c r="E101" s="103">
        <v>2212</v>
      </c>
      <c r="F101" s="153" t="s">
        <v>236</v>
      </c>
      <c r="G101" s="109">
        <v>24500</v>
      </c>
      <c r="H101" s="109">
        <v>24500</v>
      </c>
      <c r="I101" s="109">
        <v>26412</v>
      </c>
      <c r="J101" s="110">
        <f t="shared" ref="J101:J118" si="15">IF(G101&lt;=0,0,$I101/G101*100)</f>
        <v>107.80408163265307</v>
      </c>
      <c r="K101" s="111">
        <f t="shared" ref="K101:K118" si="16">IF(H101&lt;=0,0,$I101/H101*100)</f>
        <v>107.80408163265307</v>
      </c>
    </row>
    <row r="102" spans="1:12" ht="13.5" thickBot="1">
      <c r="A102" s="136"/>
      <c r="B102" s="137"/>
      <c r="C102" s="251"/>
      <c r="D102" s="122" t="s">
        <v>146</v>
      </c>
      <c r="E102" s="137"/>
      <c r="F102" s="252"/>
      <c r="G102" s="166">
        <f>SUBTOTAL(9,G75:G101)</f>
        <v>43020</v>
      </c>
      <c r="H102" s="166">
        <f>SUBTOTAL(9,H75:H101)</f>
        <v>43150</v>
      </c>
      <c r="I102" s="166">
        <f>SUBTOTAL(9,I75:I101)</f>
        <v>50381</v>
      </c>
      <c r="J102" s="167">
        <f t="shared" si="15"/>
        <v>117.11064621106462</v>
      </c>
      <c r="K102" s="253">
        <f t="shared" si="16"/>
        <v>116.75782155272304</v>
      </c>
    </row>
    <row r="103" spans="1:12">
      <c r="A103" s="148"/>
      <c r="B103" s="149"/>
      <c r="C103" s="150"/>
      <c r="D103" s="108"/>
      <c r="E103" s="149"/>
      <c r="F103" s="195"/>
      <c r="G103" s="170"/>
      <c r="H103" s="170"/>
      <c r="I103" s="170"/>
      <c r="J103" s="172">
        <f t="shared" si="15"/>
        <v>0</v>
      </c>
      <c r="K103" s="270">
        <f t="shared" si="16"/>
        <v>0</v>
      </c>
    </row>
    <row r="104" spans="1:12">
      <c r="A104" s="268" t="s">
        <v>147</v>
      </c>
      <c r="B104" s="149"/>
      <c r="C104" s="150"/>
      <c r="D104" s="108"/>
      <c r="E104" s="149"/>
      <c r="F104" s="195"/>
      <c r="G104" s="170"/>
      <c r="H104" s="170"/>
      <c r="I104" s="170"/>
      <c r="J104" s="110">
        <f t="shared" si="15"/>
        <v>0</v>
      </c>
      <c r="K104" s="111">
        <f t="shared" si="16"/>
        <v>0</v>
      </c>
    </row>
    <row r="105" spans="1:12">
      <c r="A105" s="271">
        <v>1700</v>
      </c>
      <c r="B105" s="149">
        <v>6402</v>
      </c>
      <c r="C105" s="121" t="s">
        <v>100</v>
      </c>
      <c r="D105" s="97" t="str">
        <f t="shared" ref="D105:D112" si="17">(MID(E105,1,3))</f>
        <v>222</v>
      </c>
      <c r="E105" s="149">
        <v>2222</v>
      </c>
      <c r="F105" s="130" t="s">
        <v>291</v>
      </c>
      <c r="G105" s="186"/>
      <c r="H105" s="186">
        <v>1024</v>
      </c>
      <c r="I105" s="186">
        <v>1024</v>
      </c>
      <c r="J105" s="110">
        <f t="shared" si="15"/>
        <v>0</v>
      </c>
      <c r="K105" s="111">
        <f t="shared" si="16"/>
        <v>100</v>
      </c>
    </row>
    <row r="106" spans="1:12">
      <c r="A106" s="271">
        <v>1700</v>
      </c>
      <c r="B106" s="149">
        <v>6402</v>
      </c>
      <c r="C106" s="121" t="s">
        <v>100</v>
      </c>
      <c r="D106" s="97" t="str">
        <f t="shared" si="17"/>
        <v>222</v>
      </c>
      <c r="E106" s="149">
        <v>2226</v>
      </c>
      <c r="F106" s="130" t="s">
        <v>246</v>
      </c>
      <c r="G106" s="186"/>
      <c r="H106" s="186">
        <v>19324</v>
      </c>
      <c r="I106" s="186">
        <v>19324</v>
      </c>
      <c r="J106" s="110">
        <f>IF(G106&lt;=0,0,$I106/G106*100)</f>
        <v>0</v>
      </c>
      <c r="K106" s="111">
        <f>IF(H106&lt;=0,0,$I106/H106*100)</f>
        <v>100</v>
      </c>
    </row>
    <row r="107" spans="1:12">
      <c r="A107" s="102">
        <v>1700</v>
      </c>
      <c r="B107" s="149">
        <v>6402</v>
      </c>
      <c r="C107" s="121" t="s">
        <v>100</v>
      </c>
      <c r="D107" s="97" t="str">
        <f t="shared" si="17"/>
        <v>222</v>
      </c>
      <c r="E107" s="149">
        <v>2229</v>
      </c>
      <c r="F107" s="104" t="s">
        <v>148</v>
      </c>
      <c r="G107" s="170"/>
      <c r="H107" s="186">
        <v>1442</v>
      </c>
      <c r="I107" s="105">
        <v>1442</v>
      </c>
      <c r="J107" s="110">
        <f t="shared" si="15"/>
        <v>0</v>
      </c>
      <c r="K107" s="111">
        <f t="shared" si="16"/>
        <v>100</v>
      </c>
    </row>
    <row r="108" spans="1:12">
      <c r="A108" s="102">
        <v>1900</v>
      </c>
      <c r="B108" s="149">
        <v>3636</v>
      </c>
      <c r="C108" s="121" t="s">
        <v>174</v>
      </c>
      <c r="D108" s="97" t="str">
        <f>(MID(E108,1,3))</f>
        <v>222</v>
      </c>
      <c r="E108" s="149">
        <v>2229</v>
      </c>
      <c r="F108" s="104" t="s">
        <v>148</v>
      </c>
      <c r="G108" s="170"/>
      <c r="H108" s="186"/>
      <c r="I108" s="105">
        <v>59</v>
      </c>
      <c r="J108" s="110">
        <f t="shared" si="15"/>
        <v>0</v>
      </c>
      <c r="K108" s="111"/>
    </row>
    <row r="109" spans="1:12">
      <c r="A109" s="102">
        <v>4200</v>
      </c>
      <c r="B109" s="149">
        <v>3741</v>
      </c>
      <c r="C109" s="10" t="s">
        <v>6</v>
      </c>
      <c r="D109" s="97" t="str">
        <f>(MID(E109,1,3))</f>
        <v>222</v>
      </c>
      <c r="E109" s="149">
        <v>2229</v>
      </c>
      <c r="F109" s="104" t="s">
        <v>148</v>
      </c>
      <c r="G109" s="170"/>
      <c r="H109" s="186"/>
      <c r="I109" s="105">
        <v>615</v>
      </c>
      <c r="J109" s="110">
        <f t="shared" si="15"/>
        <v>0</v>
      </c>
      <c r="K109" s="111"/>
      <c r="L109" s="300"/>
    </row>
    <row r="110" spans="1:12">
      <c r="A110" s="102">
        <v>7200</v>
      </c>
      <c r="B110" s="149">
        <v>6171</v>
      </c>
      <c r="C110" s="10" t="s">
        <v>9</v>
      </c>
      <c r="D110" s="97" t="str">
        <f t="shared" si="17"/>
        <v>222</v>
      </c>
      <c r="E110" s="149">
        <v>2229</v>
      </c>
      <c r="F110" s="104" t="s">
        <v>148</v>
      </c>
      <c r="G110" s="170"/>
      <c r="H110" s="186"/>
      <c r="I110" s="105">
        <v>210</v>
      </c>
      <c r="J110" s="110">
        <f>IF(G110&lt;=0,0,$I110/G110*100)</f>
        <v>0</v>
      </c>
      <c r="K110" s="111">
        <f>IF(H110&lt;=0,0,$I110/H110*100)</f>
        <v>0</v>
      </c>
    </row>
    <row r="111" spans="1:12">
      <c r="A111" s="102">
        <v>7300</v>
      </c>
      <c r="B111" s="149">
        <v>3311</v>
      </c>
      <c r="C111" s="10" t="s">
        <v>24</v>
      </c>
      <c r="D111" s="97" t="str">
        <f>(MID(E111,1,3))</f>
        <v>222</v>
      </c>
      <c r="E111" s="149">
        <v>2229</v>
      </c>
      <c r="F111" s="104" t="s">
        <v>148</v>
      </c>
      <c r="G111" s="170"/>
      <c r="H111" s="186">
        <v>500</v>
      </c>
      <c r="I111" s="105">
        <v>500</v>
      </c>
      <c r="J111" s="110">
        <f>IF(G111&lt;=0,0,$I111/G111*100)</f>
        <v>0</v>
      </c>
      <c r="K111" s="111">
        <f>IF(H111&lt;=0,0,$I111/H111*100)</f>
        <v>100</v>
      </c>
    </row>
    <row r="112" spans="1:12">
      <c r="A112" s="102">
        <v>7300</v>
      </c>
      <c r="B112" s="149">
        <v>3319</v>
      </c>
      <c r="C112" s="15" t="s">
        <v>49</v>
      </c>
      <c r="D112" s="97" t="str">
        <f t="shared" si="17"/>
        <v>222</v>
      </c>
      <c r="E112" s="149">
        <v>2229</v>
      </c>
      <c r="F112" s="104" t="s">
        <v>148</v>
      </c>
      <c r="G112" s="170"/>
      <c r="H112" s="186">
        <v>140</v>
      </c>
      <c r="I112" s="105">
        <v>140</v>
      </c>
      <c r="J112" s="110">
        <f t="shared" si="15"/>
        <v>0</v>
      </c>
      <c r="K112" s="111">
        <f t="shared" si="16"/>
        <v>100</v>
      </c>
    </row>
    <row r="113" spans="1:13" ht="13.5" thickBot="1">
      <c r="A113" s="136"/>
      <c r="B113" s="137"/>
      <c r="C113" s="251"/>
      <c r="D113" s="122" t="s">
        <v>149</v>
      </c>
      <c r="E113" s="137"/>
      <c r="F113" s="252"/>
      <c r="G113" s="166">
        <f>SUBTOTAL(9,G105:G112)</f>
        <v>0</v>
      </c>
      <c r="H113" s="166">
        <f>SUBTOTAL(9,H105:H112)</f>
        <v>22430</v>
      </c>
      <c r="I113" s="166">
        <f>SUBTOTAL(9,I105:I112)</f>
        <v>23314</v>
      </c>
      <c r="J113" s="167">
        <f t="shared" si="15"/>
        <v>0</v>
      </c>
      <c r="K113" s="253">
        <f t="shared" si="16"/>
        <v>103.94115024520731</v>
      </c>
    </row>
    <row r="114" spans="1:13">
      <c r="A114" s="102"/>
      <c r="B114" s="103"/>
      <c r="C114" s="121"/>
      <c r="D114" s="108"/>
      <c r="E114" s="103"/>
      <c r="F114" s="104"/>
      <c r="G114" s="170"/>
      <c r="H114" s="170"/>
      <c r="I114" s="170"/>
      <c r="J114" s="171">
        <f t="shared" si="15"/>
        <v>0</v>
      </c>
      <c r="K114" s="267">
        <f t="shared" si="16"/>
        <v>0</v>
      </c>
      <c r="L114" s="260"/>
      <c r="M114" s="260"/>
    </row>
    <row r="115" spans="1:13">
      <c r="A115" s="129" t="s">
        <v>251</v>
      </c>
      <c r="B115" s="103"/>
      <c r="C115" s="121"/>
      <c r="D115" s="144"/>
      <c r="E115" s="103"/>
      <c r="F115" s="104"/>
      <c r="G115" s="170"/>
      <c r="H115" s="170"/>
      <c r="I115" s="170"/>
      <c r="J115" s="171">
        <f t="shared" si="15"/>
        <v>0</v>
      </c>
      <c r="K115" s="259">
        <f t="shared" si="16"/>
        <v>0</v>
      </c>
      <c r="L115" s="260"/>
      <c r="M115" s="260"/>
    </row>
    <row r="116" spans="1:13">
      <c r="A116" s="148">
        <v>5400</v>
      </c>
      <c r="B116" s="149">
        <v>2219</v>
      </c>
      <c r="C116" s="150" t="s">
        <v>55</v>
      </c>
      <c r="D116" s="121" t="str">
        <f>(MID(E116,1,3))</f>
        <v>231</v>
      </c>
      <c r="E116" s="149">
        <v>2310</v>
      </c>
      <c r="F116" s="195" t="s">
        <v>150</v>
      </c>
      <c r="G116" s="109">
        <v>600</v>
      </c>
      <c r="H116" s="109">
        <v>600</v>
      </c>
      <c r="I116" s="109">
        <v>400</v>
      </c>
      <c r="J116" s="151">
        <f t="shared" si="15"/>
        <v>66.666666666666657</v>
      </c>
      <c r="K116" s="152">
        <f t="shared" si="16"/>
        <v>66.666666666666657</v>
      </c>
    </row>
    <row r="117" spans="1:13">
      <c r="A117" s="148">
        <v>8200</v>
      </c>
      <c r="B117" s="149">
        <v>5311</v>
      </c>
      <c r="C117" s="150" t="s">
        <v>92</v>
      </c>
      <c r="D117" s="121" t="str">
        <f>(MID(E117,1,3))</f>
        <v>231</v>
      </c>
      <c r="E117" s="149">
        <v>2310</v>
      </c>
      <c r="F117" s="195" t="s">
        <v>150</v>
      </c>
      <c r="G117" s="109">
        <v>20</v>
      </c>
      <c r="H117" s="109">
        <v>20</v>
      </c>
      <c r="I117" s="109">
        <v>41</v>
      </c>
      <c r="J117" s="151">
        <f t="shared" si="15"/>
        <v>204.99999999999997</v>
      </c>
      <c r="K117" s="152">
        <f t="shared" si="16"/>
        <v>204.99999999999997</v>
      </c>
    </row>
    <row r="118" spans="1:13" ht="13.5" thickBot="1">
      <c r="A118" s="136"/>
      <c r="B118" s="137"/>
      <c r="C118" s="251"/>
      <c r="D118" s="122" t="s">
        <v>255</v>
      </c>
      <c r="E118" s="137"/>
      <c r="F118" s="252"/>
      <c r="G118" s="166">
        <f>SUBTOTAL(9,G116:G117)</f>
        <v>620</v>
      </c>
      <c r="H118" s="166">
        <f>SUBTOTAL(9,H116:H117)</f>
        <v>620</v>
      </c>
      <c r="I118" s="166">
        <f>SUBTOTAL(9,I116:I117)</f>
        <v>441</v>
      </c>
      <c r="J118" s="174">
        <f t="shared" si="15"/>
        <v>71.129032258064512</v>
      </c>
      <c r="K118" s="223">
        <f t="shared" si="16"/>
        <v>71.129032258064512</v>
      </c>
    </row>
    <row r="119" spans="1:13">
      <c r="A119" s="148"/>
      <c r="B119" s="149"/>
      <c r="C119" s="150"/>
      <c r="D119" s="108"/>
      <c r="E119" s="149"/>
      <c r="F119" s="195"/>
      <c r="G119" s="170"/>
      <c r="H119" s="170"/>
      <c r="I119" s="170"/>
      <c r="J119" s="175">
        <f t="shared" ref="J119:K121" si="18">IF(G119&lt;=0,0,$I119/G119*100)</f>
        <v>0</v>
      </c>
      <c r="K119" s="272">
        <f t="shared" si="18"/>
        <v>0</v>
      </c>
    </row>
    <row r="120" spans="1:13">
      <c r="A120" s="268" t="s">
        <v>151</v>
      </c>
      <c r="B120" s="149"/>
      <c r="C120" s="150"/>
      <c r="D120" s="108"/>
      <c r="E120" s="149"/>
      <c r="F120" s="195"/>
      <c r="G120" s="170"/>
      <c r="H120" s="170"/>
      <c r="I120" s="170"/>
      <c r="J120" s="151">
        <f t="shared" si="18"/>
        <v>0</v>
      </c>
      <c r="K120" s="152">
        <f t="shared" si="18"/>
        <v>0</v>
      </c>
    </row>
    <row r="121" spans="1:13">
      <c r="A121" s="148">
        <v>6600</v>
      </c>
      <c r="B121" s="149">
        <v>3639</v>
      </c>
      <c r="C121" s="14" t="s">
        <v>130</v>
      </c>
      <c r="D121" s="97" t="str">
        <f t="shared" ref="D121:D139" si="19">(MID(E121,1,3))</f>
        <v>232</v>
      </c>
      <c r="E121" s="149">
        <v>2321</v>
      </c>
      <c r="F121" s="195" t="s">
        <v>152</v>
      </c>
      <c r="G121" s="127"/>
      <c r="H121" s="127"/>
      <c r="I121" s="127">
        <v>300</v>
      </c>
      <c r="J121" s="110">
        <f t="shared" si="18"/>
        <v>0</v>
      </c>
      <c r="K121" s="111">
        <f t="shared" si="18"/>
        <v>0</v>
      </c>
      <c r="L121" s="300"/>
    </row>
    <row r="122" spans="1:13">
      <c r="A122" s="148">
        <v>7100</v>
      </c>
      <c r="B122" s="149">
        <v>3599</v>
      </c>
      <c r="C122" s="14" t="s">
        <v>89</v>
      </c>
      <c r="D122" s="97" t="str">
        <f>(MID(E122,1,3))</f>
        <v>232</v>
      </c>
      <c r="E122" s="149">
        <v>2321</v>
      </c>
      <c r="F122" s="195" t="s">
        <v>152</v>
      </c>
      <c r="G122" s="127"/>
      <c r="H122" s="127">
        <v>600</v>
      </c>
      <c r="I122" s="127"/>
      <c r="J122" s="110">
        <f>IF(G122&lt;=0,0,$I122/G122*100)</f>
        <v>0</v>
      </c>
      <c r="K122" s="111">
        <f>IF(H122&lt;=0,0,$I122/H122*100)</f>
        <v>0</v>
      </c>
      <c r="L122" s="300"/>
    </row>
    <row r="123" spans="1:13">
      <c r="A123" s="148">
        <v>8200</v>
      </c>
      <c r="B123" s="149">
        <v>1014</v>
      </c>
      <c r="C123" s="10" t="s">
        <v>178</v>
      </c>
      <c r="D123" s="97" t="str">
        <f t="shared" si="19"/>
        <v>232</v>
      </c>
      <c r="E123" s="149">
        <v>2321</v>
      </c>
      <c r="F123" s="195" t="s">
        <v>152</v>
      </c>
      <c r="G123" s="127">
        <v>100</v>
      </c>
      <c r="H123" s="127">
        <v>100</v>
      </c>
      <c r="I123" s="127">
        <v>147</v>
      </c>
      <c r="J123" s="110">
        <f>IF(G123&lt;=0,0,$I123/G123*100)</f>
        <v>147</v>
      </c>
      <c r="K123" s="111">
        <f>IF(H123&lt;=0,0,$I123/H123*100)</f>
        <v>147</v>
      </c>
    </row>
    <row r="124" spans="1:13">
      <c r="A124" s="148">
        <v>3200</v>
      </c>
      <c r="B124" s="149">
        <v>6171</v>
      </c>
      <c r="C124" s="121" t="s">
        <v>9</v>
      </c>
      <c r="D124" s="97" t="str">
        <f t="shared" si="19"/>
        <v>232</v>
      </c>
      <c r="E124" s="149">
        <v>2322</v>
      </c>
      <c r="F124" s="195" t="s">
        <v>218</v>
      </c>
      <c r="G124" s="127">
        <v>100</v>
      </c>
      <c r="H124" s="127">
        <v>100</v>
      </c>
      <c r="I124" s="127">
        <v>306</v>
      </c>
      <c r="J124" s="110">
        <f t="shared" ref="J124:J183" si="20">IF(G124&lt;=0,0,$I124/G124*100)</f>
        <v>306</v>
      </c>
      <c r="K124" s="111">
        <f t="shared" ref="K124:K183" si="21">IF(H124&lt;=0,0,$I124/H124*100)</f>
        <v>306</v>
      </c>
    </row>
    <row r="125" spans="1:13">
      <c r="A125" s="148">
        <v>5400</v>
      </c>
      <c r="B125" s="149">
        <v>2212</v>
      </c>
      <c r="C125" s="121" t="s">
        <v>19</v>
      </c>
      <c r="D125" s="97" t="str">
        <f t="shared" si="19"/>
        <v>232</v>
      </c>
      <c r="E125" s="149">
        <v>2322</v>
      </c>
      <c r="F125" s="195" t="s">
        <v>218</v>
      </c>
      <c r="G125" s="127"/>
      <c r="H125" s="127">
        <v>2700</v>
      </c>
      <c r="I125" s="127">
        <v>2700</v>
      </c>
      <c r="J125" s="110">
        <f t="shared" si="20"/>
        <v>0</v>
      </c>
      <c r="K125" s="111">
        <f t="shared" si="21"/>
        <v>100</v>
      </c>
    </row>
    <row r="126" spans="1:13">
      <c r="A126" s="148">
        <v>7200</v>
      </c>
      <c r="B126" s="149">
        <v>4341</v>
      </c>
      <c r="C126" s="12" t="s">
        <v>243</v>
      </c>
      <c r="D126" s="97" t="str">
        <f t="shared" si="19"/>
        <v>232</v>
      </c>
      <c r="E126" s="149">
        <v>2322</v>
      </c>
      <c r="F126" s="195" t="s">
        <v>218</v>
      </c>
      <c r="G126" s="127"/>
      <c r="H126" s="127"/>
      <c r="I126" s="127">
        <v>51</v>
      </c>
      <c r="J126" s="110">
        <f t="shared" si="20"/>
        <v>0</v>
      </c>
      <c r="K126" s="111">
        <f t="shared" si="21"/>
        <v>0</v>
      </c>
    </row>
    <row r="127" spans="1:13">
      <c r="A127" s="148">
        <v>8200</v>
      </c>
      <c r="B127" s="149">
        <v>5311</v>
      </c>
      <c r="C127" s="10" t="s">
        <v>92</v>
      </c>
      <c r="D127" s="97" t="str">
        <f t="shared" si="19"/>
        <v>232</v>
      </c>
      <c r="E127" s="149">
        <v>2322</v>
      </c>
      <c r="F127" s="195" t="s">
        <v>218</v>
      </c>
      <c r="G127" s="127">
        <v>100</v>
      </c>
      <c r="H127" s="127">
        <v>418</v>
      </c>
      <c r="I127" s="127">
        <v>945</v>
      </c>
      <c r="J127" s="110">
        <f t="shared" si="20"/>
        <v>944.99999999999989</v>
      </c>
      <c r="K127" s="111">
        <f t="shared" si="21"/>
        <v>226.07655502392342</v>
      </c>
    </row>
    <row r="128" spans="1:13">
      <c r="A128" s="102">
        <v>1700</v>
      </c>
      <c r="B128" s="103">
        <v>6171</v>
      </c>
      <c r="C128" s="121" t="s">
        <v>9</v>
      </c>
      <c r="D128" s="97" t="str">
        <f t="shared" si="19"/>
        <v>232</v>
      </c>
      <c r="E128" s="103">
        <v>2324</v>
      </c>
      <c r="F128" s="153" t="s">
        <v>153</v>
      </c>
      <c r="G128" s="105">
        <v>300</v>
      </c>
      <c r="H128" s="105">
        <v>300</v>
      </c>
      <c r="I128" s="105">
        <v>284</v>
      </c>
      <c r="J128" s="110">
        <f t="shared" si="20"/>
        <v>94.666666666666671</v>
      </c>
      <c r="K128" s="111">
        <f t="shared" si="21"/>
        <v>94.666666666666671</v>
      </c>
    </row>
    <row r="129" spans="1:11">
      <c r="A129" s="102">
        <v>1900</v>
      </c>
      <c r="B129" s="103">
        <v>3349</v>
      </c>
      <c r="C129" s="10" t="s">
        <v>59</v>
      </c>
      <c r="D129" s="97" t="str">
        <f>(MID(E129,1,3))</f>
        <v>232</v>
      </c>
      <c r="E129" s="103">
        <v>2324</v>
      </c>
      <c r="F129" s="153" t="s">
        <v>153</v>
      </c>
      <c r="G129" s="105"/>
      <c r="H129" s="105"/>
      <c r="I129" s="105">
        <v>15</v>
      </c>
      <c r="J129" s="110">
        <f t="shared" si="20"/>
        <v>0</v>
      </c>
      <c r="K129" s="111">
        <f t="shared" si="21"/>
        <v>0</v>
      </c>
    </row>
    <row r="130" spans="1:11">
      <c r="A130" s="148">
        <v>1900</v>
      </c>
      <c r="B130" s="149">
        <v>3636</v>
      </c>
      <c r="C130" s="12" t="s">
        <v>174</v>
      </c>
      <c r="D130" s="97" t="str">
        <f t="shared" si="19"/>
        <v>232</v>
      </c>
      <c r="E130" s="103">
        <v>2324</v>
      </c>
      <c r="F130" s="153" t="s">
        <v>153</v>
      </c>
      <c r="G130" s="127">
        <v>700</v>
      </c>
      <c r="H130" s="127">
        <v>700</v>
      </c>
      <c r="I130" s="127">
        <v>845</v>
      </c>
      <c r="J130" s="110">
        <f t="shared" si="20"/>
        <v>120.71428571428571</v>
      </c>
      <c r="K130" s="111">
        <f t="shared" si="21"/>
        <v>120.71428571428571</v>
      </c>
    </row>
    <row r="131" spans="1:11">
      <c r="A131" s="102">
        <v>3200</v>
      </c>
      <c r="B131" s="103">
        <v>6171</v>
      </c>
      <c r="C131" s="121" t="s">
        <v>9</v>
      </c>
      <c r="D131" s="97" t="str">
        <f t="shared" si="19"/>
        <v>232</v>
      </c>
      <c r="E131" s="103">
        <v>2324</v>
      </c>
      <c r="F131" s="153" t="s">
        <v>153</v>
      </c>
      <c r="G131" s="105">
        <v>600</v>
      </c>
      <c r="H131" s="105">
        <v>600</v>
      </c>
      <c r="I131" s="105">
        <v>313</v>
      </c>
      <c r="J131" s="110">
        <f t="shared" si="20"/>
        <v>52.166666666666664</v>
      </c>
      <c r="K131" s="111">
        <f t="shared" si="21"/>
        <v>52.166666666666664</v>
      </c>
    </row>
    <row r="132" spans="1:11">
      <c r="A132" s="102">
        <v>3600</v>
      </c>
      <c r="B132" s="103">
        <v>5212</v>
      </c>
      <c r="C132" s="154" t="s">
        <v>265</v>
      </c>
      <c r="D132" s="97" t="str">
        <f t="shared" si="19"/>
        <v>232</v>
      </c>
      <c r="E132" s="103">
        <v>2324</v>
      </c>
      <c r="F132" s="153" t="s">
        <v>153</v>
      </c>
      <c r="G132" s="105">
        <v>23</v>
      </c>
      <c r="H132" s="105">
        <v>23</v>
      </c>
      <c r="I132" s="105"/>
      <c r="J132" s="110">
        <f t="shared" si="20"/>
        <v>0</v>
      </c>
      <c r="K132" s="111">
        <f t="shared" si="21"/>
        <v>0</v>
      </c>
    </row>
    <row r="133" spans="1:11">
      <c r="A133" s="102">
        <v>3800</v>
      </c>
      <c r="B133" s="103">
        <v>6171</v>
      </c>
      <c r="C133" s="121" t="s">
        <v>9</v>
      </c>
      <c r="D133" s="97" t="str">
        <f t="shared" si="19"/>
        <v>232</v>
      </c>
      <c r="E133" s="103">
        <v>2324</v>
      </c>
      <c r="F133" s="153" t="s">
        <v>153</v>
      </c>
      <c r="G133" s="105">
        <v>10</v>
      </c>
      <c r="H133" s="105">
        <v>10</v>
      </c>
      <c r="I133" s="105"/>
      <c r="J133" s="110">
        <f t="shared" si="20"/>
        <v>0</v>
      </c>
      <c r="K133" s="111">
        <f t="shared" si="21"/>
        <v>0</v>
      </c>
    </row>
    <row r="134" spans="1:11">
      <c r="A134" s="102">
        <v>4100</v>
      </c>
      <c r="B134" s="103">
        <v>3299</v>
      </c>
      <c r="C134" s="121" t="s">
        <v>297</v>
      </c>
      <c r="D134" s="97" t="str">
        <f>(MID(E134,1,3))</f>
        <v>232</v>
      </c>
      <c r="E134" s="103">
        <v>2324</v>
      </c>
      <c r="F134" s="153" t="s">
        <v>153</v>
      </c>
      <c r="G134" s="105"/>
      <c r="H134" s="105">
        <v>859</v>
      </c>
      <c r="I134" s="105">
        <v>859</v>
      </c>
      <c r="J134" s="110">
        <f t="shared" si="20"/>
        <v>0</v>
      </c>
      <c r="K134" s="111">
        <f t="shared" si="21"/>
        <v>100</v>
      </c>
    </row>
    <row r="135" spans="1:11">
      <c r="A135" s="102">
        <v>4200</v>
      </c>
      <c r="B135" s="103">
        <v>1014</v>
      </c>
      <c r="C135" s="121" t="s">
        <v>178</v>
      </c>
      <c r="D135" s="97" t="str">
        <f>(MID(E135,1,3))</f>
        <v>232</v>
      </c>
      <c r="E135" s="103">
        <v>2324</v>
      </c>
      <c r="F135" s="153" t="s">
        <v>153</v>
      </c>
      <c r="G135" s="105"/>
      <c r="H135" s="105"/>
      <c r="I135" s="105">
        <v>54</v>
      </c>
      <c r="J135" s="110">
        <f t="shared" si="20"/>
        <v>0</v>
      </c>
      <c r="K135" s="111">
        <f t="shared" si="21"/>
        <v>0</v>
      </c>
    </row>
    <row r="136" spans="1:11">
      <c r="A136" s="102">
        <v>4200</v>
      </c>
      <c r="B136" s="103">
        <v>3725</v>
      </c>
      <c r="C136" s="121" t="s">
        <v>131</v>
      </c>
      <c r="D136" s="97" t="str">
        <f t="shared" si="19"/>
        <v>232</v>
      </c>
      <c r="E136" s="103">
        <v>2324</v>
      </c>
      <c r="F136" s="153" t="s">
        <v>153</v>
      </c>
      <c r="G136" s="105">
        <v>14400</v>
      </c>
      <c r="H136" s="105">
        <v>14400</v>
      </c>
      <c r="I136" s="105">
        <v>13471</v>
      </c>
      <c r="J136" s="110">
        <f t="shared" si="20"/>
        <v>93.548611111111114</v>
      </c>
      <c r="K136" s="111">
        <f t="shared" si="21"/>
        <v>93.548611111111114</v>
      </c>
    </row>
    <row r="137" spans="1:11">
      <c r="A137" s="102">
        <v>4200</v>
      </c>
      <c r="B137" s="103">
        <v>3749</v>
      </c>
      <c r="C137" s="121" t="s">
        <v>157</v>
      </c>
      <c r="D137" s="97" t="str">
        <f t="shared" si="19"/>
        <v>232</v>
      </c>
      <c r="E137" s="103">
        <v>2324</v>
      </c>
      <c r="F137" s="153" t="s">
        <v>153</v>
      </c>
      <c r="G137" s="105"/>
      <c r="H137" s="105"/>
      <c r="I137" s="105">
        <v>13</v>
      </c>
      <c r="J137" s="110">
        <f t="shared" si="20"/>
        <v>0</v>
      </c>
      <c r="K137" s="111">
        <f t="shared" si="21"/>
        <v>0</v>
      </c>
    </row>
    <row r="138" spans="1:11">
      <c r="A138" s="102">
        <v>4200</v>
      </c>
      <c r="B138" s="103">
        <v>6171</v>
      </c>
      <c r="C138" s="121" t="s">
        <v>9</v>
      </c>
      <c r="D138" s="97" t="str">
        <f t="shared" si="19"/>
        <v>232</v>
      </c>
      <c r="E138" s="103">
        <v>2324</v>
      </c>
      <c r="F138" s="153" t="s">
        <v>153</v>
      </c>
      <c r="G138" s="105">
        <v>8</v>
      </c>
      <c r="H138" s="105">
        <v>8</v>
      </c>
      <c r="I138" s="105">
        <v>7</v>
      </c>
      <c r="J138" s="110">
        <f t="shared" si="20"/>
        <v>87.5</v>
      </c>
      <c r="K138" s="111">
        <f t="shared" si="21"/>
        <v>87.5</v>
      </c>
    </row>
    <row r="139" spans="1:11">
      <c r="A139" s="102">
        <v>4300</v>
      </c>
      <c r="B139" s="103">
        <v>2321</v>
      </c>
      <c r="C139" s="47" t="s">
        <v>54</v>
      </c>
      <c r="D139" s="97" t="str">
        <f t="shared" si="19"/>
        <v>232</v>
      </c>
      <c r="E139" s="103">
        <v>2324</v>
      </c>
      <c r="F139" s="153" t="s">
        <v>153</v>
      </c>
      <c r="G139" s="105">
        <v>360</v>
      </c>
      <c r="H139" s="105">
        <v>360</v>
      </c>
      <c r="I139" s="105">
        <v>163</v>
      </c>
      <c r="J139" s="110">
        <f t="shared" si="20"/>
        <v>45.277777777777779</v>
      </c>
      <c r="K139" s="111">
        <f t="shared" si="21"/>
        <v>45.277777777777779</v>
      </c>
    </row>
    <row r="140" spans="1:11">
      <c r="A140" s="102">
        <v>4300</v>
      </c>
      <c r="B140" s="103">
        <v>2399</v>
      </c>
      <c r="C140" s="150" t="s">
        <v>145</v>
      </c>
      <c r="D140" s="97" t="str">
        <f>(MID(E140,1,3))</f>
        <v>232</v>
      </c>
      <c r="E140" s="103">
        <v>2324</v>
      </c>
      <c r="F140" s="153" t="s">
        <v>153</v>
      </c>
      <c r="G140" s="105"/>
      <c r="H140" s="105"/>
      <c r="I140" s="105">
        <v>1</v>
      </c>
      <c r="J140" s="110"/>
      <c r="K140" s="111"/>
    </row>
    <row r="141" spans="1:11">
      <c r="A141" s="102">
        <v>5300</v>
      </c>
      <c r="B141" s="103">
        <v>6171</v>
      </c>
      <c r="C141" s="121" t="s">
        <v>9</v>
      </c>
      <c r="D141" s="99">
        <v>232</v>
      </c>
      <c r="E141" s="103">
        <v>2324</v>
      </c>
      <c r="F141" s="153" t="s">
        <v>153</v>
      </c>
      <c r="G141" s="105">
        <v>2</v>
      </c>
      <c r="H141" s="105">
        <v>2</v>
      </c>
      <c r="I141" s="105">
        <v>4</v>
      </c>
      <c r="J141" s="110">
        <f t="shared" si="20"/>
        <v>200</v>
      </c>
      <c r="K141" s="111">
        <f t="shared" si="21"/>
        <v>200</v>
      </c>
    </row>
    <row r="142" spans="1:11">
      <c r="A142" s="102">
        <v>5400</v>
      </c>
      <c r="B142" s="103">
        <v>2212</v>
      </c>
      <c r="C142" s="12" t="s">
        <v>19</v>
      </c>
      <c r="D142" s="99">
        <v>232</v>
      </c>
      <c r="E142" s="103">
        <v>2324</v>
      </c>
      <c r="F142" s="153" t="s">
        <v>153</v>
      </c>
      <c r="G142" s="105"/>
      <c r="H142" s="105"/>
      <c r="I142" s="105">
        <v>42</v>
      </c>
      <c r="J142" s="110">
        <f t="shared" si="20"/>
        <v>0</v>
      </c>
      <c r="K142" s="111">
        <f t="shared" si="21"/>
        <v>0</v>
      </c>
    </row>
    <row r="143" spans="1:11">
      <c r="A143" s="102">
        <v>5400</v>
      </c>
      <c r="B143" s="103">
        <v>2219</v>
      </c>
      <c r="C143" s="150" t="s">
        <v>55</v>
      </c>
      <c r="D143" s="99">
        <v>232</v>
      </c>
      <c r="E143" s="103">
        <v>2324</v>
      </c>
      <c r="F143" s="153" t="s">
        <v>153</v>
      </c>
      <c r="G143" s="105"/>
      <c r="H143" s="105"/>
      <c r="I143" s="105">
        <v>13</v>
      </c>
      <c r="J143" s="110">
        <f t="shared" si="20"/>
        <v>0</v>
      </c>
      <c r="K143" s="111">
        <f t="shared" si="21"/>
        <v>0</v>
      </c>
    </row>
    <row r="144" spans="1:11">
      <c r="A144" s="102">
        <v>5400</v>
      </c>
      <c r="B144" s="103">
        <v>2271</v>
      </c>
      <c r="C144" s="12" t="s">
        <v>20</v>
      </c>
      <c r="D144" s="99">
        <v>232</v>
      </c>
      <c r="E144" s="103">
        <v>2324</v>
      </c>
      <c r="F144" s="153" t="s">
        <v>153</v>
      </c>
      <c r="G144" s="105"/>
      <c r="H144" s="105"/>
      <c r="I144" s="105">
        <v>105</v>
      </c>
      <c r="J144" s="110">
        <f t="shared" si="20"/>
        <v>0</v>
      </c>
      <c r="K144" s="111">
        <f t="shared" si="21"/>
        <v>0</v>
      </c>
    </row>
    <row r="145" spans="1:12">
      <c r="A145" s="102">
        <v>5600</v>
      </c>
      <c r="B145" s="103">
        <v>2321</v>
      </c>
      <c r="C145" s="47" t="s">
        <v>54</v>
      </c>
      <c r="D145" s="99">
        <v>232</v>
      </c>
      <c r="E145" s="103">
        <v>2324</v>
      </c>
      <c r="F145" s="153" t="s">
        <v>153</v>
      </c>
      <c r="G145" s="105"/>
      <c r="H145" s="105"/>
      <c r="I145" s="105">
        <v>17</v>
      </c>
      <c r="J145" s="110">
        <f t="shared" si="20"/>
        <v>0</v>
      </c>
      <c r="K145" s="111">
        <f t="shared" si="21"/>
        <v>0</v>
      </c>
    </row>
    <row r="146" spans="1:12">
      <c r="A146" s="102">
        <v>5600</v>
      </c>
      <c r="B146" s="103">
        <v>3113</v>
      </c>
      <c r="C146" s="10" t="s">
        <v>23</v>
      </c>
      <c r="D146" s="99">
        <v>232</v>
      </c>
      <c r="E146" s="103">
        <v>2324</v>
      </c>
      <c r="F146" s="153" t="s">
        <v>153</v>
      </c>
      <c r="G146" s="105"/>
      <c r="H146" s="105"/>
      <c r="I146" s="105">
        <v>21</v>
      </c>
      <c r="J146" s="110">
        <f t="shared" si="20"/>
        <v>0</v>
      </c>
      <c r="K146" s="111">
        <f t="shared" si="21"/>
        <v>0</v>
      </c>
    </row>
    <row r="147" spans="1:12">
      <c r="A147" s="102">
        <v>5600</v>
      </c>
      <c r="B147" s="103">
        <v>3315</v>
      </c>
      <c r="C147" s="15" t="s">
        <v>95</v>
      </c>
      <c r="D147" s="99">
        <v>232</v>
      </c>
      <c r="E147" s="103">
        <v>2324</v>
      </c>
      <c r="F147" s="153" t="s">
        <v>153</v>
      </c>
      <c r="G147" s="105"/>
      <c r="H147" s="105"/>
      <c r="I147" s="105">
        <v>2</v>
      </c>
      <c r="J147" s="110">
        <f t="shared" si="20"/>
        <v>0</v>
      </c>
      <c r="K147" s="111">
        <f t="shared" si="21"/>
        <v>0</v>
      </c>
    </row>
    <row r="148" spans="1:12">
      <c r="A148" s="102">
        <v>5600</v>
      </c>
      <c r="B148" s="103">
        <v>3326</v>
      </c>
      <c r="C148" s="15" t="s">
        <v>177</v>
      </c>
      <c r="D148" s="99">
        <v>232</v>
      </c>
      <c r="E148" s="103">
        <v>2324</v>
      </c>
      <c r="F148" s="153" t="s">
        <v>153</v>
      </c>
      <c r="G148" s="105"/>
      <c r="H148" s="105"/>
      <c r="I148" s="105">
        <v>8</v>
      </c>
      <c r="J148" s="110">
        <f t="shared" si="20"/>
        <v>0</v>
      </c>
      <c r="K148" s="111">
        <f t="shared" si="21"/>
        <v>0</v>
      </c>
    </row>
    <row r="149" spans="1:12">
      <c r="A149" s="102">
        <v>5800</v>
      </c>
      <c r="B149" s="103">
        <v>2219</v>
      </c>
      <c r="C149" s="150" t="s">
        <v>55</v>
      </c>
      <c r="D149" s="99">
        <v>232</v>
      </c>
      <c r="E149" s="103">
        <v>2324</v>
      </c>
      <c r="F149" s="153" t="s">
        <v>153</v>
      </c>
      <c r="G149" s="105"/>
      <c r="H149" s="105"/>
      <c r="I149" s="105">
        <v>1151</v>
      </c>
      <c r="J149" s="110">
        <f t="shared" si="20"/>
        <v>0</v>
      </c>
      <c r="K149" s="111">
        <f t="shared" si="21"/>
        <v>0</v>
      </c>
      <c r="L149" s="300"/>
    </row>
    <row r="150" spans="1:12">
      <c r="A150" s="148">
        <v>6300</v>
      </c>
      <c r="B150" s="149">
        <v>3639</v>
      </c>
      <c r="C150" s="150" t="s">
        <v>130</v>
      </c>
      <c r="D150" s="97" t="str">
        <f t="shared" ref="D150:D165" si="22">(MID(E150,1,3))</f>
        <v>232</v>
      </c>
      <c r="E150" s="149">
        <v>2324</v>
      </c>
      <c r="F150" s="153" t="s">
        <v>153</v>
      </c>
      <c r="G150" s="127">
        <v>30</v>
      </c>
      <c r="H150" s="127">
        <v>30</v>
      </c>
      <c r="I150" s="127">
        <v>654</v>
      </c>
      <c r="J150" s="110">
        <f t="shared" si="20"/>
        <v>2180</v>
      </c>
      <c r="K150" s="111">
        <f t="shared" si="21"/>
        <v>2180</v>
      </c>
    </row>
    <row r="151" spans="1:12">
      <c r="A151" s="148">
        <v>6500</v>
      </c>
      <c r="B151" s="149">
        <v>6171</v>
      </c>
      <c r="C151" s="150" t="s">
        <v>9</v>
      </c>
      <c r="D151" s="97" t="str">
        <f t="shared" si="22"/>
        <v>232</v>
      </c>
      <c r="E151" s="149">
        <v>2324</v>
      </c>
      <c r="F151" s="153" t="s">
        <v>153</v>
      </c>
      <c r="G151" s="127">
        <v>150</v>
      </c>
      <c r="H151" s="127">
        <v>150</v>
      </c>
      <c r="I151" s="127">
        <v>93</v>
      </c>
      <c r="J151" s="110">
        <f t="shared" si="20"/>
        <v>62</v>
      </c>
      <c r="K151" s="111">
        <f t="shared" si="21"/>
        <v>62</v>
      </c>
    </row>
    <row r="152" spans="1:12">
      <c r="A152" s="148">
        <v>6600</v>
      </c>
      <c r="B152" s="149">
        <v>3639</v>
      </c>
      <c r="C152" s="150" t="s">
        <v>130</v>
      </c>
      <c r="D152" s="97" t="str">
        <f t="shared" si="22"/>
        <v>232</v>
      </c>
      <c r="E152" s="149">
        <v>2324</v>
      </c>
      <c r="F152" s="153" t="s">
        <v>153</v>
      </c>
      <c r="G152" s="109">
        <v>400</v>
      </c>
      <c r="H152" s="109">
        <v>400</v>
      </c>
      <c r="I152" s="109">
        <v>436</v>
      </c>
      <c r="J152" s="110">
        <f t="shared" si="20"/>
        <v>109.00000000000001</v>
      </c>
      <c r="K152" s="111">
        <f t="shared" si="21"/>
        <v>109.00000000000001</v>
      </c>
    </row>
    <row r="153" spans="1:12">
      <c r="A153" s="148">
        <v>7300</v>
      </c>
      <c r="B153" s="149">
        <v>3319</v>
      </c>
      <c r="C153" s="15" t="s">
        <v>49</v>
      </c>
      <c r="D153" s="97" t="str">
        <f>(MID(E153,1,3))</f>
        <v>232</v>
      </c>
      <c r="E153" s="149">
        <v>2324</v>
      </c>
      <c r="F153" s="153" t="s">
        <v>153</v>
      </c>
      <c r="G153" s="109"/>
      <c r="H153" s="109"/>
      <c r="I153" s="109">
        <v>14</v>
      </c>
      <c r="J153" s="110">
        <f t="shared" si="20"/>
        <v>0</v>
      </c>
      <c r="K153" s="111">
        <f t="shared" si="21"/>
        <v>0</v>
      </c>
    </row>
    <row r="154" spans="1:12">
      <c r="A154" s="148">
        <v>7500</v>
      </c>
      <c r="B154" s="149">
        <v>3322</v>
      </c>
      <c r="C154" s="150" t="s">
        <v>28</v>
      </c>
      <c r="D154" s="97" t="str">
        <f>(MID(E154,1,3))</f>
        <v>232</v>
      </c>
      <c r="E154" s="149">
        <v>2324</v>
      </c>
      <c r="F154" s="153" t="s">
        <v>153</v>
      </c>
      <c r="G154" s="109"/>
      <c r="H154" s="109"/>
      <c r="I154" s="109">
        <v>4</v>
      </c>
      <c r="J154" s="110">
        <f t="shared" si="20"/>
        <v>0</v>
      </c>
      <c r="K154" s="111">
        <f t="shared" si="21"/>
        <v>0</v>
      </c>
    </row>
    <row r="155" spans="1:12">
      <c r="A155" s="148">
        <v>8200</v>
      </c>
      <c r="B155" s="149">
        <v>5311</v>
      </c>
      <c r="C155" s="150" t="s">
        <v>92</v>
      </c>
      <c r="D155" s="97" t="str">
        <f t="shared" si="22"/>
        <v>232</v>
      </c>
      <c r="E155" s="149">
        <v>2324</v>
      </c>
      <c r="F155" s="153" t="s">
        <v>153</v>
      </c>
      <c r="G155" s="109">
        <v>50</v>
      </c>
      <c r="H155" s="109">
        <v>50</v>
      </c>
      <c r="I155" s="109">
        <v>141</v>
      </c>
      <c r="J155" s="110">
        <f t="shared" si="20"/>
        <v>282</v>
      </c>
      <c r="K155" s="111">
        <f t="shared" si="21"/>
        <v>282</v>
      </c>
    </row>
    <row r="156" spans="1:12">
      <c r="A156" s="148">
        <v>1700</v>
      </c>
      <c r="B156" s="156">
        <v>6399</v>
      </c>
      <c r="C156" s="150" t="s">
        <v>84</v>
      </c>
      <c r="D156" s="97" t="str">
        <f t="shared" si="22"/>
        <v>232</v>
      </c>
      <c r="E156" s="156">
        <v>2328</v>
      </c>
      <c r="F156" s="104" t="s">
        <v>154</v>
      </c>
      <c r="G156" s="109"/>
      <c r="H156" s="109"/>
      <c r="I156" s="109">
        <v>-205</v>
      </c>
      <c r="J156" s="110">
        <f t="shared" si="20"/>
        <v>0</v>
      </c>
      <c r="K156" s="111">
        <f t="shared" si="21"/>
        <v>0</v>
      </c>
    </row>
    <row r="157" spans="1:12">
      <c r="A157" s="148">
        <v>6600</v>
      </c>
      <c r="B157" s="149">
        <v>3639</v>
      </c>
      <c r="C157" s="121" t="s">
        <v>130</v>
      </c>
      <c r="D157" s="97" t="str">
        <f t="shared" si="22"/>
        <v>232</v>
      </c>
      <c r="E157" s="156">
        <v>2328</v>
      </c>
      <c r="F157" s="104" t="s">
        <v>154</v>
      </c>
      <c r="G157" s="109"/>
      <c r="H157" s="109"/>
      <c r="I157" s="109">
        <v>23</v>
      </c>
      <c r="J157" s="110">
        <f t="shared" si="20"/>
        <v>0</v>
      </c>
      <c r="K157" s="111">
        <f t="shared" si="21"/>
        <v>0</v>
      </c>
    </row>
    <row r="158" spans="1:12">
      <c r="A158" s="102">
        <v>6600</v>
      </c>
      <c r="B158" s="156">
        <v>6399</v>
      </c>
      <c r="C158" s="150" t="s">
        <v>84</v>
      </c>
      <c r="D158" s="97" t="str">
        <f t="shared" si="22"/>
        <v>232</v>
      </c>
      <c r="E158" s="156">
        <v>2328</v>
      </c>
      <c r="F158" s="104" t="s">
        <v>154</v>
      </c>
      <c r="G158" s="127"/>
      <c r="H158" s="127"/>
      <c r="I158" s="127">
        <v>6</v>
      </c>
      <c r="J158" s="110">
        <f t="shared" si="20"/>
        <v>0</v>
      </c>
      <c r="K158" s="111">
        <f t="shared" si="21"/>
        <v>0</v>
      </c>
    </row>
    <row r="159" spans="1:12">
      <c r="A159" s="102">
        <v>1700</v>
      </c>
      <c r="B159" s="156">
        <v>2329</v>
      </c>
      <c r="C159" s="150" t="s">
        <v>223</v>
      </c>
      <c r="D159" s="97" t="str">
        <f t="shared" si="22"/>
        <v>232</v>
      </c>
      <c r="E159" s="156">
        <v>2329</v>
      </c>
      <c r="F159" s="153" t="s">
        <v>156</v>
      </c>
      <c r="G159" s="127"/>
      <c r="H159" s="127">
        <v>18278</v>
      </c>
      <c r="I159" s="127">
        <v>18278</v>
      </c>
      <c r="J159" s="110">
        <f t="shared" si="20"/>
        <v>0</v>
      </c>
      <c r="K159" s="111">
        <f t="shared" si="21"/>
        <v>100</v>
      </c>
    </row>
    <row r="160" spans="1:12">
      <c r="A160" s="102">
        <v>1700</v>
      </c>
      <c r="B160" s="103">
        <v>6171</v>
      </c>
      <c r="C160" s="121" t="s">
        <v>9</v>
      </c>
      <c r="D160" s="97" t="str">
        <f t="shared" si="22"/>
        <v>232</v>
      </c>
      <c r="E160" s="103">
        <v>2329</v>
      </c>
      <c r="F160" s="153" t="s">
        <v>156</v>
      </c>
      <c r="G160" s="105">
        <v>100</v>
      </c>
      <c r="H160" s="105">
        <v>100</v>
      </c>
      <c r="I160" s="105">
        <v>88</v>
      </c>
      <c r="J160" s="110">
        <f t="shared" si="20"/>
        <v>88</v>
      </c>
      <c r="K160" s="111">
        <f t="shared" si="21"/>
        <v>88</v>
      </c>
    </row>
    <row r="161" spans="1:12">
      <c r="A161" s="155">
        <v>3200</v>
      </c>
      <c r="B161" s="156">
        <v>6171</v>
      </c>
      <c r="C161" s="150" t="s">
        <v>9</v>
      </c>
      <c r="D161" s="97" t="str">
        <f>(MID(E161,1,3))</f>
        <v>232</v>
      </c>
      <c r="E161" s="103">
        <v>2329</v>
      </c>
      <c r="F161" s="153" t="s">
        <v>156</v>
      </c>
      <c r="G161" s="127">
        <v>50</v>
      </c>
      <c r="H161" s="127">
        <v>50</v>
      </c>
      <c r="I161" s="127">
        <v>49</v>
      </c>
      <c r="J161" s="110">
        <f t="shared" si="20"/>
        <v>98</v>
      </c>
      <c r="K161" s="111">
        <f t="shared" si="21"/>
        <v>98</v>
      </c>
    </row>
    <row r="162" spans="1:12">
      <c r="A162" s="155">
        <v>4200</v>
      </c>
      <c r="B162" s="156">
        <v>3632</v>
      </c>
      <c r="C162" s="150" t="s">
        <v>1</v>
      </c>
      <c r="D162" s="97" t="str">
        <f>(MID(E162,1,3))</f>
        <v>232</v>
      </c>
      <c r="E162" s="103">
        <v>2329</v>
      </c>
      <c r="F162" s="153" t="s">
        <v>156</v>
      </c>
      <c r="G162" s="127"/>
      <c r="H162" s="127"/>
      <c r="I162" s="127">
        <v>6</v>
      </c>
      <c r="J162" s="110">
        <f t="shared" si="20"/>
        <v>0</v>
      </c>
      <c r="K162" s="111">
        <f t="shared" si="21"/>
        <v>0</v>
      </c>
    </row>
    <row r="163" spans="1:12">
      <c r="A163" s="155">
        <v>4200</v>
      </c>
      <c r="B163" s="156">
        <v>3722</v>
      </c>
      <c r="C163" s="10" t="s">
        <v>68</v>
      </c>
      <c r="D163" s="97" t="str">
        <f>(MID(E163,1,3))</f>
        <v>232</v>
      </c>
      <c r="E163" s="103">
        <v>2329</v>
      </c>
      <c r="F163" s="153" t="s">
        <v>156</v>
      </c>
      <c r="G163" s="127"/>
      <c r="H163" s="127"/>
      <c r="I163" s="127">
        <v>1031</v>
      </c>
      <c r="J163" s="110">
        <f t="shared" si="20"/>
        <v>0</v>
      </c>
      <c r="K163" s="111">
        <f t="shared" si="21"/>
        <v>0</v>
      </c>
      <c r="L163" s="300"/>
    </row>
    <row r="164" spans="1:12">
      <c r="A164" s="155">
        <v>4200</v>
      </c>
      <c r="B164" s="156">
        <v>3725</v>
      </c>
      <c r="C164" s="10" t="s">
        <v>69</v>
      </c>
      <c r="D164" s="97" t="str">
        <f>(MID(E164,1,3))</f>
        <v>232</v>
      </c>
      <c r="E164" s="103">
        <v>2329</v>
      </c>
      <c r="F164" s="153" t="s">
        <v>156</v>
      </c>
      <c r="G164" s="127"/>
      <c r="H164" s="127"/>
      <c r="I164" s="127">
        <v>30</v>
      </c>
      <c r="J164" s="110">
        <f t="shared" si="20"/>
        <v>0</v>
      </c>
      <c r="K164" s="111">
        <f t="shared" si="21"/>
        <v>0</v>
      </c>
    </row>
    <row r="165" spans="1:12">
      <c r="A165" s="102">
        <v>4200</v>
      </c>
      <c r="B165" s="103">
        <v>6171</v>
      </c>
      <c r="C165" s="121" t="s">
        <v>9</v>
      </c>
      <c r="D165" s="97" t="str">
        <f t="shared" si="22"/>
        <v>232</v>
      </c>
      <c r="E165" s="103">
        <v>2329</v>
      </c>
      <c r="F165" s="153" t="s">
        <v>156</v>
      </c>
      <c r="G165" s="105">
        <v>20</v>
      </c>
      <c r="H165" s="105">
        <v>20</v>
      </c>
      <c r="I165" s="105">
        <v>7</v>
      </c>
      <c r="J165" s="110">
        <f t="shared" si="20"/>
        <v>35</v>
      </c>
      <c r="K165" s="111">
        <f t="shared" si="21"/>
        <v>35</v>
      </c>
    </row>
    <row r="166" spans="1:12">
      <c r="A166" s="155">
        <v>4300</v>
      </c>
      <c r="B166" s="156">
        <v>1032</v>
      </c>
      <c r="C166" s="150" t="s">
        <v>155</v>
      </c>
      <c r="D166" s="97" t="str">
        <f t="shared" ref="D166:D184" si="23">(MID(E166,1,3))</f>
        <v>232</v>
      </c>
      <c r="E166" s="103">
        <v>2329</v>
      </c>
      <c r="F166" s="153" t="s">
        <v>156</v>
      </c>
      <c r="G166" s="127">
        <v>175</v>
      </c>
      <c r="H166" s="127">
        <v>175</v>
      </c>
      <c r="I166" s="127">
        <v>189</v>
      </c>
      <c r="J166" s="110">
        <f t="shared" si="20"/>
        <v>108</v>
      </c>
      <c r="K166" s="111">
        <f t="shared" si="21"/>
        <v>108</v>
      </c>
    </row>
    <row r="167" spans="1:12">
      <c r="A167" s="155">
        <v>5600</v>
      </c>
      <c r="B167" s="156">
        <v>2212</v>
      </c>
      <c r="C167" s="12" t="s">
        <v>19</v>
      </c>
      <c r="D167" s="97" t="str">
        <f t="shared" si="23"/>
        <v>232</v>
      </c>
      <c r="E167" s="103">
        <v>2329</v>
      </c>
      <c r="F167" s="153" t="s">
        <v>156</v>
      </c>
      <c r="G167" s="127"/>
      <c r="H167" s="127"/>
      <c r="I167" s="127">
        <v>30</v>
      </c>
      <c r="J167" s="110">
        <f t="shared" si="20"/>
        <v>0</v>
      </c>
      <c r="K167" s="111">
        <f t="shared" si="21"/>
        <v>0</v>
      </c>
    </row>
    <row r="168" spans="1:12">
      <c r="A168" s="155">
        <v>5600</v>
      </c>
      <c r="B168" s="156">
        <v>3113</v>
      </c>
      <c r="C168" s="10" t="s">
        <v>23</v>
      </c>
      <c r="D168" s="97" t="str">
        <f t="shared" si="23"/>
        <v>232</v>
      </c>
      <c r="E168" s="103">
        <v>2329</v>
      </c>
      <c r="F168" s="153" t="s">
        <v>156</v>
      </c>
      <c r="G168" s="127"/>
      <c r="H168" s="127">
        <v>120</v>
      </c>
      <c r="I168" s="127">
        <v>125</v>
      </c>
      <c r="J168" s="110">
        <f t="shared" si="20"/>
        <v>0</v>
      </c>
      <c r="K168" s="111">
        <f t="shared" si="21"/>
        <v>104.16666666666667</v>
      </c>
    </row>
    <row r="169" spans="1:12">
      <c r="A169" s="155">
        <v>5600</v>
      </c>
      <c r="B169" s="156">
        <v>3311</v>
      </c>
      <c r="C169" s="10" t="s">
        <v>24</v>
      </c>
      <c r="D169" s="97" t="str">
        <f>(MID(E169,1,3))</f>
        <v>232</v>
      </c>
      <c r="E169" s="103">
        <v>2329</v>
      </c>
      <c r="F169" s="153" t="s">
        <v>156</v>
      </c>
      <c r="G169" s="127"/>
      <c r="H169" s="127">
        <v>1421</v>
      </c>
      <c r="I169" s="127">
        <v>3421</v>
      </c>
      <c r="J169" s="110">
        <f t="shared" si="20"/>
        <v>0</v>
      </c>
      <c r="K169" s="111">
        <f t="shared" si="21"/>
        <v>240.74595355383534</v>
      </c>
      <c r="L169" s="300"/>
    </row>
    <row r="170" spans="1:12">
      <c r="A170" s="155">
        <v>5600</v>
      </c>
      <c r="B170" s="156">
        <v>3742</v>
      </c>
      <c r="C170" s="10" t="s">
        <v>7</v>
      </c>
      <c r="D170" s="97" t="str">
        <f t="shared" si="23"/>
        <v>232</v>
      </c>
      <c r="E170" s="103">
        <v>2329</v>
      </c>
      <c r="F170" s="153" t="s">
        <v>156</v>
      </c>
      <c r="G170" s="127"/>
      <c r="H170" s="127"/>
      <c r="I170" s="127">
        <v>21</v>
      </c>
      <c r="J170" s="110">
        <f t="shared" si="20"/>
        <v>0</v>
      </c>
      <c r="K170" s="111">
        <f t="shared" si="21"/>
        <v>0</v>
      </c>
    </row>
    <row r="171" spans="1:12">
      <c r="A171" s="155">
        <v>5600</v>
      </c>
      <c r="B171" s="156">
        <v>3792</v>
      </c>
      <c r="C171" s="10" t="s">
        <v>8</v>
      </c>
      <c r="D171" s="97" t="str">
        <f>(MID(E171,1,3))</f>
        <v>232</v>
      </c>
      <c r="E171" s="103">
        <v>2329</v>
      </c>
      <c r="F171" s="153" t="s">
        <v>156</v>
      </c>
      <c r="G171" s="127"/>
      <c r="H171" s="127"/>
      <c r="I171" s="127">
        <v>4</v>
      </c>
      <c r="J171" s="110">
        <f t="shared" si="20"/>
        <v>0</v>
      </c>
      <c r="K171" s="111">
        <f t="shared" si="21"/>
        <v>0</v>
      </c>
    </row>
    <row r="172" spans="1:12">
      <c r="A172" s="155">
        <v>6200</v>
      </c>
      <c r="B172" s="156">
        <v>3612</v>
      </c>
      <c r="C172" s="10" t="s">
        <v>12</v>
      </c>
      <c r="D172" s="97" t="str">
        <f>(MID(E172,1,3))</f>
        <v>232</v>
      </c>
      <c r="E172" s="103">
        <v>2329</v>
      </c>
      <c r="F172" s="153" t="s">
        <v>156</v>
      </c>
      <c r="G172" s="127"/>
      <c r="H172" s="127"/>
      <c r="I172" s="127">
        <v>5400</v>
      </c>
      <c r="J172" s="110">
        <f t="shared" si="20"/>
        <v>0</v>
      </c>
      <c r="K172" s="111">
        <f t="shared" si="21"/>
        <v>0</v>
      </c>
      <c r="L172" s="300"/>
    </row>
    <row r="173" spans="1:12">
      <c r="A173" s="148">
        <v>6300</v>
      </c>
      <c r="B173" s="149">
        <v>3639</v>
      </c>
      <c r="C173" s="150" t="s">
        <v>130</v>
      </c>
      <c r="D173" s="97" t="str">
        <f t="shared" si="23"/>
        <v>232</v>
      </c>
      <c r="E173" s="103">
        <v>2329</v>
      </c>
      <c r="F173" s="153" t="s">
        <v>156</v>
      </c>
      <c r="G173" s="109">
        <v>30</v>
      </c>
      <c r="H173" s="109">
        <v>30</v>
      </c>
      <c r="I173" s="109">
        <v>200</v>
      </c>
      <c r="J173" s="110">
        <f t="shared" si="20"/>
        <v>666.66666666666674</v>
      </c>
      <c r="K173" s="111">
        <f t="shared" si="21"/>
        <v>666.66666666666674</v>
      </c>
    </row>
    <row r="174" spans="1:12">
      <c r="A174" s="148">
        <v>6600</v>
      </c>
      <c r="B174" s="149">
        <v>3639</v>
      </c>
      <c r="C174" s="150" t="s">
        <v>130</v>
      </c>
      <c r="D174" s="97" t="str">
        <f t="shared" si="23"/>
        <v>232</v>
      </c>
      <c r="E174" s="103">
        <v>2329</v>
      </c>
      <c r="F174" s="153" t="s">
        <v>156</v>
      </c>
      <c r="G174" s="109"/>
      <c r="H174" s="109"/>
      <c r="I174" s="109">
        <v>6</v>
      </c>
      <c r="J174" s="110">
        <f t="shared" si="20"/>
        <v>0</v>
      </c>
      <c r="K174" s="111">
        <f t="shared" si="21"/>
        <v>0</v>
      </c>
    </row>
    <row r="175" spans="1:12">
      <c r="A175" s="155">
        <v>7100</v>
      </c>
      <c r="B175" s="156">
        <v>6171</v>
      </c>
      <c r="C175" s="121" t="s">
        <v>9</v>
      </c>
      <c r="D175" s="97" t="str">
        <f t="shared" si="23"/>
        <v>232</v>
      </c>
      <c r="E175" s="156">
        <v>2329</v>
      </c>
      <c r="F175" s="153" t="s">
        <v>156</v>
      </c>
      <c r="G175" s="127">
        <v>25</v>
      </c>
      <c r="H175" s="127">
        <v>25</v>
      </c>
      <c r="I175" s="127">
        <v>40</v>
      </c>
      <c r="J175" s="110">
        <f t="shared" si="20"/>
        <v>160</v>
      </c>
      <c r="K175" s="111">
        <f t="shared" si="21"/>
        <v>160</v>
      </c>
    </row>
    <row r="176" spans="1:12">
      <c r="A176" s="155">
        <v>7300</v>
      </c>
      <c r="B176" s="156">
        <v>3311</v>
      </c>
      <c r="C176" s="220" t="s">
        <v>24</v>
      </c>
      <c r="D176" s="97" t="str">
        <f t="shared" si="23"/>
        <v>232</v>
      </c>
      <c r="E176" s="156">
        <v>2329</v>
      </c>
      <c r="F176" s="153" t="s">
        <v>156</v>
      </c>
      <c r="G176" s="127"/>
      <c r="H176" s="127">
        <v>21</v>
      </c>
      <c r="I176" s="127">
        <v>21</v>
      </c>
      <c r="J176" s="110">
        <f t="shared" si="20"/>
        <v>0</v>
      </c>
      <c r="K176" s="111">
        <f t="shared" si="21"/>
        <v>100</v>
      </c>
    </row>
    <row r="177" spans="1:12">
      <c r="A177" s="155">
        <v>7300</v>
      </c>
      <c r="B177" s="156">
        <v>3312</v>
      </c>
      <c r="C177" s="220" t="s">
        <v>93</v>
      </c>
      <c r="D177" s="97" t="str">
        <f>(MID(E177,1,3))</f>
        <v>232</v>
      </c>
      <c r="E177" s="156">
        <v>2329</v>
      </c>
      <c r="F177" s="153" t="s">
        <v>156</v>
      </c>
      <c r="G177" s="127"/>
      <c r="H177" s="127">
        <v>4</v>
      </c>
      <c r="I177" s="127">
        <v>4</v>
      </c>
      <c r="J177" s="110">
        <f t="shared" si="20"/>
        <v>0</v>
      </c>
      <c r="K177" s="111">
        <f t="shared" si="21"/>
        <v>100</v>
      </c>
    </row>
    <row r="178" spans="1:12">
      <c r="A178" s="155">
        <v>7300</v>
      </c>
      <c r="B178" s="156">
        <v>3314</v>
      </c>
      <c r="C178" s="220" t="s">
        <v>94</v>
      </c>
      <c r="D178" s="97" t="str">
        <f>(MID(E178,1,3))</f>
        <v>232</v>
      </c>
      <c r="E178" s="156">
        <v>2329</v>
      </c>
      <c r="F178" s="153" t="s">
        <v>156</v>
      </c>
      <c r="G178" s="127"/>
      <c r="H178" s="127">
        <v>1</v>
      </c>
      <c r="I178" s="127">
        <v>1</v>
      </c>
      <c r="J178" s="110">
        <f t="shared" si="20"/>
        <v>0</v>
      </c>
      <c r="K178" s="111">
        <f t="shared" si="21"/>
        <v>100</v>
      </c>
    </row>
    <row r="179" spans="1:12">
      <c r="A179" s="155">
        <v>7300</v>
      </c>
      <c r="B179" s="156">
        <v>3317</v>
      </c>
      <c r="C179" s="220" t="s">
        <v>96</v>
      </c>
      <c r="D179" s="97" t="str">
        <f>(MID(E179,1,3))</f>
        <v>232</v>
      </c>
      <c r="E179" s="156">
        <v>2329</v>
      </c>
      <c r="F179" s="153" t="s">
        <v>156</v>
      </c>
      <c r="G179" s="127"/>
      <c r="H179" s="127">
        <v>3</v>
      </c>
      <c r="I179" s="127">
        <v>3</v>
      </c>
      <c r="J179" s="110">
        <f t="shared" si="20"/>
        <v>0</v>
      </c>
      <c r="K179" s="111">
        <f t="shared" si="21"/>
        <v>100</v>
      </c>
    </row>
    <row r="180" spans="1:12">
      <c r="A180" s="155">
        <v>7400</v>
      </c>
      <c r="B180" s="156">
        <v>3147</v>
      </c>
      <c r="C180" s="121" t="s">
        <v>204</v>
      </c>
      <c r="D180" s="97" t="str">
        <f t="shared" si="23"/>
        <v>232</v>
      </c>
      <c r="E180" s="156">
        <v>2329</v>
      </c>
      <c r="F180" s="153" t="s">
        <v>156</v>
      </c>
      <c r="G180" s="127"/>
      <c r="H180" s="127"/>
      <c r="I180" s="127">
        <v>26</v>
      </c>
      <c r="J180" s="110">
        <f t="shared" si="20"/>
        <v>0</v>
      </c>
      <c r="K180" s="111">
        <f t="shared" si="21"/>
        <v>0</v>
      </c>
    </row>
    <row r="181" spans="1:12">
      <c r="A181" s="155">
        <v>7400</v>
      </c>
      <c r="B181" s="156">
        <v>3419</v>
      </c>
      <c r="C181" s="195" t="s">
        <v>51</v>
      </c>
      <c r="D181" s="97" t="str">
        <f t="shared" si="23"/>
        <v>232</v>
      </c>
      <c r="E181" s="156">
        <v>2329</v>
      </c>
      <c r="F181" s="153" t="s">
        <v>156</v>
      </c>
      <c r="G181" s="127"/>
      <c r="H181" s="127"/>
      <c r="I181" s="127">
        <v>24</v>
      </c>
      <c r="J181" s="110">
        <f t="shared" si="20"/>
        <v>0</v>
      </c>
      <c r="K181" s="111">
        <f t="shared" si="21"/>
        <v>0</v>
      </c>
    </row>
    <row r="182" spans="1:12">
      <c r="A182" s="155">
        <v>8200</v>
      </c>
      <c r="B182" s="156">
        <v>1014</v>
      </c>
      <c r="C182" s="10" t="s">
        <v>178</v>
      </c>
      <c r="D182" s="97" t="str">
        <f t="shared" si="23"/>
        <v>232</v>
      </c>
      <c r="E182" s="156">
        <v>2329</v>
      </c>
      <c r="F182" s="153" t="s">
        <v>156</v>
      </c>
      <c r="G182" s="127">
        <v>200</v>
      </c>
      <c r="H182" s="127">
        <v>200</v>
      </c>
      <c r="I182" s="127">
        <v>200</v>
      </c>
      <c r="J182" s="110">
        <f t="shared" si="20"/>
        <v>100</v>
      </c>
      <c r="K182" s="111">
        <f t="shared" si="21"/>
        <v>100</v>
      </c>
    </row>
    <row r="183" spans="1:12">
      <c r="A183" s="148">
        <v>8200</v>
      </c>
      <c r="B183" s="149">
        <v>5311</v>
      </c>
      <c r="C183" s="150" t="s">
        <v>92</v>
      </c>
      <c r="D183" s="97" t="str">
        <f t="shared" si="23"/>
        <v>232</v>
      </c>
      <c r="E183" s="156">
        <v>2329</v>
      </c>
      <c r="F183" s="153" t="s">
        <v>156</v>
      </c>
      <c r="G183" s="109">
        <v>300</v>
      </c>
      <c r="H183" s="109">
        <v>300</v>
      </c>
      <c r="I183" s="109">
        <v>354</v>
      </c>
      <c r="J183" s="110">
        <f t="shared" si="20"/>
        <v>118</v>
      </c>
      <c r="K183" s="111">
        <f t="shared" si="21"/>
        <v>118</v>
      </c>
    </row>
    <row r="184" spans="1:12">
      <c r="A184" s="102">
        <v>4200</v>
      </c>
      <c r="B184" s="103">
        <v>3749</v>
      </c>
      <c r="C184" s="121" t="s">
        <v>157</v>
      </c>
      <c r="D184" s="97" t="str">
        <f t="shared" si="23"/>
        <v>234</v>
      </c>
      <c r="E184" s="103">
        <v>2343</v>
      </c>
      <c r="F184" s="130" t="s">
        <v>158</v>
      </c>
      <c r="G184" s="105">
        <v>200</v>
      </c>
      <c r="H184" s="105">
        <v>200</v>
      </c>
      <c r="I184" s="105">
        <v>154</v>
      </c>
      <c r="J184" s="151">
        <f>IF(G184&lt;=0,0,$I184/G184*100)</f>
        <v>77</v>
      </c>
      <c r="K184" s="152">
        <f>IF(H184&lt;=0,0,$I184/H184*100)</f>
        <v>77</v>
      </c>
    </row>
    <row r="185" spans="1:12" ht="13.5" thickBot="1">
      <c r="A185" s="136"/>
      <c r="B185" s="137"/>
      <c r="C185" s="251"/>
      <c r="D185" s="122" t="s">
        <v>159</v>
      </c>
      <c r="E185" s="137"/>
      <c r="F185" s="252"/>
      <c r="G185" s="166">
        <f>SUBTOTAL(9,G121:G184)</f>
        <v>18433</v>
      </c>
      <c r="H185" s="166">
        <f>SUBTOTAL(9,H121:H184)</f>
        <v>42758</v>
      </c>
      <c r="I185" s="166">
        <f>SUBTOTAL(9,I121:I184)</f>
        <v>52715</v>
      </c>
      <c r="J185" s="167">
        <f t="shared" ref="J185:J206" si="24">IF(G185&lt;=0,0,$I185/G185*100)</f>
        <v>285.98166332121735</v>
      </c>
      <c r="K185" s="253">
        <f t="shared" ref="K185:K206" si="25">IF(H185&lt;=0,0,$I185/H185*100)</f>
        <v>123.28687029327845</v>
      </c>
    </row>
    <row r="186" spans="1:12">
      <c r="A186" s="102"/>
      <c r="B186" s="103"/>
      <c r="C186" s="121"/>
      <c r="D186" s="97"/>
      <c r="E186" s="103"/>
      <c r="F186" s="104"/>
      <c r="G186" s="105"/>
      <c r="H186" s="105"/>
      <c r="I186" s="105"/>
      <c r="J186" s="110">
        <f t="shared" si="24"/>
        <v>0</v>
      </c>
      <c r="K186" s="111">
        <f t="shared" si="25"/>
        <v>0</v>
      </c>
    </row>
    <row r="187" spans="1:12">
      <c r="A187" s="129" t="s">
        <v>196</v>
      </c>
      <c r="B187" s="103"/>
      <c r="C187" s="121"/>
      <c r="D187" s="108"/>
      <c r="E187" s="103"/>
      <c r="F187" s="104"/>
      <c r="G187" s="170"/>
      <c r="H187" s="170"/>
      <c r="I187" s="170"/>
      <c r="J187" s="171">
        <f t="shared" si="24"/>
        <v>0</v>
      </c>
      <c r="K187" s="259">
        <f t="shared" si="25"/>
        <v>0</v>
      </c>
    </row>
    <row r="188" spans="1:12">
      <c r="A188" s="102">
        <v>1700</v>
      </c>
      <c r="B188" s="103"/>
      <c r="C188" s="121"/>
      <c r="D188" s="97" t="str">
        <f>(MID(E188,1,3))</f>
        <v>241</v>
      </c>
      <c r="E188" s="103">
        <v>2412</v>
      </c>
      <c r="F188" s="130" t="s">
        <v>245</v>
      </c>
      <c r="G188" s="105">
        <v>1670</v>
      </c>
      <c r="H188" s="105">
        <v>1670</v>
      </c>
      <c r="I188" s="105">
        <v>2570</v>
      </c>
      <c r="J188" s="125">
        <f t="shared" si="24"/>
        <v>153.89221556886227</v>
      </c>
      <c r="K188" s="126">
        <f t="shared" si="25"/>
        <v>153.89221556886227</v>
      </c>
      <c r="L188" s="300"/>
    </row>
    <row r="189" spans="1:12">
      <c r="A189" s="112">
        <v>6200</v>
      </c>
      <c r="B189" s="114"/>
      <c r="C189" s="131"/>
      <c r="D189" s="97" t="str">
        <f>(MID(E189,1,3))</f>
        <v>241</v>
      </c>
      <c r="E189" s="103">
        <v>2412</v>
      </c>
      <c r="F189" s="130" t="s">
        <v>245</v>
      </c>
      <c r="G189" s="128">
        <v>7289</v>
      </c>
      <c r="H189" s="128">
        <v>7289</v>
      </c>
      <c r="I189" s="128">
        <v>9433</v>
      </c>
      <c r="J189" s="125">
        <f>IF(G189&lt;=0,0,$I189/G189*100)</f>
        <v>129.41418575936342</v>
      </c>
      <c r="K189" s="126">
        <f>IF(H189&lt;=0,0,$I189/H189*100)</f>
        <v>129.41418575936342</v>
      </c>
    </row>
    <row r="190" spans="1:12" ht="13.5" thickBot="1">
      <c r="A190" s="136"/>
      <c r="B190" s="137"/>
      <c r="C190" s="251"/>
      <c r="D190" s="122" t="s">
        <v>172</v>
      </c>
      <c r="E190" s="137"/>
      <c r="F190" s="252"/>
      <c r="G190" s="166">
        <f>SUBTOTAL(9,G188:G189)</f>
        <v>8959</v>
      </c>
      <c r="H190" s="166">
        <f>SUBTOTAL(9,H188:H189)</f>
        <v>8959</v>
      </c>
      <c r="I190" s="166">
        <f>SUBTOTAL(9,I188:I189)</f>
        <v>12003</v>
      </c>
      <c r="J190" s="167">
        <f t="shared" si="24"/>
        <v>133.97700636231721</v>
      </c>
      <c r="K190" s="253">
        <f t="shared" si="25"/>
        <v>133.97700636231721</v>
      </c>
    </row>
    <row r="191" spans="1:12">
      <c r="A191" s="102"/>
      <c r="B191" s="103"/>
      <c r="C191" s="121"/>
      <c r="D191" s="97"/>
      <c r="E191" s="103"/>
      <c r="F191" s="104"/>
      <c r="G191" s="105"/>
      <c r="H191" s="105"/>
      <c r="I191" s="105"/>
      <c r="J191" s="110">
        <f>IF(G191&lt;=0,0,$I191/G191*100)</f>
        <v>0</v>
      </c>
      <c r="K191" s="111">
        <f>IF(H191&lt;=0,0,$I191/H191*100)</f>
        <v>0</v>
      </c>
    </row>
    <row r="192" spans="1:12">
      <c r="A192" s="247" t="s">
        <v>197</v>
      </c>
      <c r="B192" s="98"/>
      <c r="C192" s="97"/>
      <c r="D192" s="108"/>
      <c r="E192" s="98"/>
      <c r="F192" s="99"/>
      <c r="G192" s="168"/>
      <c r="H192" s="168"/>
      <c r="I192" s="168"/>
      <c r="J192" s="169">
        <f t="shared" si="24"/>
        <v>0</v>
      </c>
      <c r="K192" s="267">
        <f t="shared" si="25"/>
        <v>0</v>
      </c>
    </row>
    <row r="193" spans="1:11">
      <c r="A193" s="160" t="s">
        <v>180</v>
      </c>
      <c r="B193" s="103"/>
      <c r="C193" s="121"/>
      <c r="D193" s="121" t="str">
        <f>(MID(E193,1,3))</f>
        <v>244</v>
      </c>
      <c r="E193" s="103">
        <v>2441</v>
      </c>
      <c r="F193" s="104" t="s">
        <v>160</v>
      </c>
      <c r="G193" s="105">
        <v>23578</v>
      </c>
      <c r="H193" s="105">
        <v>32909</v>
      </c>
      <c r="I193" s="105">
        <v>32909</v>
      </c>
      <c r="J193" s="125">
        <f t="shared" si="24"/>
        <v>139.57502756807193</v>
      </c>
      <c r="K193" s="126">
        <f t="shared" si="25"/>
        <v>100</v>
      </c>
    </row>
    <row r="194" spans="1:11" ht="13.5" thickBot="1">
      <c r="A194" s="136"/>
      <c r="B194" s="137"/>
      <c r="C194" s="251"/>
      <c r="D194" s="122" t="s">
        <v>161</v>
      </c>
      <c r="E194" s="137"/>
      <c r="F194" s="252"/>
      <c r="G194" s="166">
        <f>SUBTOTAL(9,G193:G193)</f>
        <v>23578</v>
      </c>
      <c r="H194" s="166">
        <f>SUBTOTAL(9,H193:H193)</f>
        <v>32909</v>
      </c>
      <c r="I194" s="166">
        <f>SUBTOTAL(9,I193:I193)</f>
        <v>32909</v>
      </c>
      <c r="J194" s="167">
        <f t="shared" si="24"/>
        <v>139.57502756807193</v>
      </c>
      <c r="K194" s="253">
        <f t="shared" si="25"/>
        <v>100</v>
      </c>
    </row>
    <row r="195" spans="1:11">
      <c r="A195" s="112"/>
      <c r="B195" s="114"/>
      <c r="C195" s="273"/>
      <c r="D195" s="123"/>
      <c r="E195" s="114"/>
      <c r="F195" s="274"/>
      <c r="G195" s="176"/>
      <c r="H195" s="176"/>
      <c r="I195" s="176"/>
      <c r="J195" s="172"/>
      <c r="K195" s="270"/>
    </row>
    <row r="196" spans="1:11">
      <c r="A196" s="129" t="s">
        <v>230</v>
      </c>
      <c r="B196" s="103"/>
      <c r="C196" s="121"/>
      <c r="D196" s="144"/>
      <c r="E196" s="103"/>
      <c r="F196" s="104"/>
      <c r="G196" s="170"/>
      <c r="H196" s="170"/>
      <c r="I196" s="170"/>
      <c r="J196" s="171">
        <f t="shared" ref="J196:K200" si="26">IF(G196&lt;=0,0,$I196/G196*100)</f>
        <v>0</v>
      </c>
      <c r="K196" s="259">
        <f t="shared" si="26"/>
        <v>0</v>
      </c>
    </row>
    <row r="197" spans="1:11">
      <c r="A197" s="102">
        <v>4100</v>
      </c>
      <c r="B197" s="103"/>
      <c r="C197" s="121"/>
      <c r="D197" s="121" t="str">
        <f>(MID(E197,1,3))</f>
        <v>245</v>
      </c>
      <c r="E197" s="103">
        <v>2451</v>
      </c>
      <c r="F197" s="104" t="s">
        <v>229</v>
      </c>
      <c r="G197" s="105">
        <v>11483</v>
      </c>
      <c r="H197" s="105">
        <v>11483</v>
      </c>
      <c r="I197" s="105">
        <v>11483</v>
      </c>
      <c r="J197" s="125">
        <f t="shared" si="26"/>
        <v>100</v>
      </c>
      <c r="K197" s="126">
        <f t="shared" si="26"/>
        <v>100</v>
      </c>
    </row>
    <row r="198" spans="1:11">
      <c r="A198" s="112">
        <v>7100</v>
      </c>
      <c r="B198" s="114"/>
      <c r="C198" s="131"/>
      <c r="D198" s="121" t="str">
        <f>(MID(E198,1,3))</f>
        <v>245</v>
      </c>
      <c r="E198" s="103">
        <v>2451</v>
      </c>
      <c r="F198" s="104" t="s">
        <v>229</v>
      </c>
      <c r="G198" s="128">
        <v>20000</v>
      </c>
      <c r="H198" s="128">
        <v>20000</v>
      </c>
      <c r="I198" s="128">
        <v>20000</v>
      </c>
      <c r="J198" s="125">
        <f t="shared" si="26"/>
        <v>100</v>
      </c>
      <c r="K198" s="126">
        <f t="shared" si="26"/>
        <v>100</v>
      </c>
    </row>
    <row r="199" spans="1:11">
      <c r="A199" s="112">
        <v>7300</v>
      </c>
      <c r="B199" s="114"/>
      <c r="C199" s="131"/>
      <c r="D199" s="97" t="str">
        <f>(MID(E199,1,3))</f>
        <v>245</v>
      </c>
      <c r="E199" s="103">
        <v>2451</v>
      </c>
      <c r="F199" s="104" t="s">
        <v>229</v>
      </c>
      <c r="G199" s="128">
        <v>10000</v>
      </c>
      <c r="H199" s="128">
        <v>10000</v>
      </c>
      <c r="I199" s="128">
        <v>10000</v>
      </c>
      <c r="J199" s="125">
        <f t="shared" si="26"/>
        <v>100</v>
      </c>
      <c r="K199" s="126">
        <f t="shared" si="26"/>
        <v>100</v>
      </c>
    </row>
    <row r="200" spans="1:11" ht="13.5" thickBot="1">
      <c r="A200" s="136"/>
      <c r="B200" s="137"/>
      <c r="C200" s="251"/>
      <c r="D200" s="122" t="s">
        <v>233</v>
      </c>
      <c r="E200" s="137"/>
      <c r="F200" s="252"/>
      <c r="G200" s="166">
        <f>SUBTOTAL(9,G197:G199)</f>
        <v>41483</v>
      </c>
      <c r="H200" s="166">
        <f>SUBTOTAL(9,H197:H199)</f>
        <v>41483</v>
      </c>
      <c r="I200" s="166">
        <f>SUBTOTAL(9,I197:I199)</f>
        <v>41483</v>
      </c>
      <c r="J200" s="167">
        <f t="shared" si="26"/>
        <v>100</v>
      </c>
      <c r="K200" s="253">
        <f t="shared" si="26"/>
        <v>100</v>
      </c>
    </row>
    <row r="201" spans="1:11">
      <c r="A201" s="112"/>
      <c r="B201" s="114"/>
      <c r="C201" s="273"/>
      <c r="D201" s="123"/>
      <c r="E201" s="114"/>
      <c r="F201" s="274"/>
      <c r="G201" s="176"/>
      <c r="H201" s="176"/>
      <c r="I201" s="176"/>
      <c r="J201" s="172">
        <f t="shared" si="24"/>
        <v>0</v>
      </c>
      <c r="K201" s="270">
        <f t="shared" si="25"/>
        <v>0</v>
      </c>
    </row>
    <row r="202" spans="1:11">
      <c r="A202" s="129" t="s">
        <v>162</v>
      </c>
      <c r="B202" s="132"/>
      <c r="C202" s="133"/>
      <c r="D202" s="144"/>
      <c r="E202" s="103"/>
      <c r="F202" s="104"/>
      <c r="G202" s="170"/>
      <c r="H202" s="170"/>
      <c r="I202" s="170"/>
      <c r="J202" s="171">
        <f t="shared" si="24"/>
        <v>0</v>
      </c>
      <c r="K202" s="259">
        <f t="shared" si="25"/>
        <v>0</v>
      </c>
    </row>
    <row r="203" spans="1:11">
      <c r="A203" s="157" t="s">
        <v>180</v>
      </c>
      <c r="B203" s="103"/>
      <c r="C203" s="121"/>
      <c r="D203" s="97" t="str">
        <f>(MID(E203,1,3))</f>
        <v>246</v>
      </c>
      <c r="E203" s="103">
        <v>2460</v>
      </c>
      <c r="F203" s="104" t="s">
        <v>162</v>
      </c>
      <c r="G203" s="105">
        <v>11004</v>
      </c>
      <c r="H203" s="105">
        <v>11004</v>
      </c>
      <c r="I203" s="105">
        <v>14129</v>
      </c>
      <c r="J203" s="125">
        <f t="shared" si="24"/>
        <v>128.39876408578698</v>
      </c>
      <c r="K203" s="126">
        <f t="shared" si="25"/>
        <v>128.39876408578698</v>
      </c>
    </row>
    <row r="204" spans="1:11">
      <c r="A204" s="148">
        <v>7200</v>
      </c>
      <c r="B204" s="149"/>
      <c r="C204" s="275"/>
      <c r="D204" s="97" t="str">
        <f>(MID(E204,1,3))</f>
        <v>246</v>
      </c>
      <c r="E204" s="149">
        <v>2460</v>
      </c>
      <c r="F204" s="104" t="s">
        <v>162</v>
      </c>
      <c r="G204" s="109">
        <v>800</v>
      </c>
      <c r="H204" s="109">
        <v>800</v>
      </c>
      <c r="I204" s="109">
        <v>509</v>
      </c>
      <c r="J204" s="110">
        <f t="shared" si="24"/>
        <v>63.625</v>
      </c>
      <c r="K204" s="111">
        <f t="shared" si="25"/>
        <v>63.625</v>
      </c>
    </row>
    <row r="205" spans="1:11" ht="13.5" thickBot="1">
      <c r="A205" s="136"/>
      <c r="B205" s="137"/>
      <c r="C205" s="251"/>
      <c r="D205" s="122" t="s">
        <v>163</v>
      </c>
      <c r="E205" s="137"/>
      <c r="F205" s="252"/>
      <c r="G205" s="166">
        <f>SUBTOTAL(9,G203:G204)</f>
        <v>11804</v>
      </c>
      <c r="H205" s="166">
        <f>SUBTOTAL(9,H203:H204)</f>
        <v>11804</v>
      </c>
      <c r="I205" s="166">
        <f>SUBTOTAL(9,I203:I204)</f>
        <v>14638</v>
      </c>
      <c r="J205" s="167">
        <f t="shared" si="24"/>
        <v>124.00881057268722</v>
      </c>
      <c r="K205" s="253">
        <f t="shared" si="25"/>
        <v>124.00881057268722</v>
      </c>
    </row>
    <row r="206" spans="1:11" ht="15" thickBot="1">
      <c r="A206" s="224"/>
      <c r="B206" s="225"/>
      <c r="C206" s="226"/>
      <c r="D206" s="143" t="s">
        <v>164</v>
      </c>
      <c r="E206" s="225"/>
      <c r="F206" s="227"/>
      <c r="G206" s="276">
        <f>SUBTOTAL(9,G3:G205)</f>
        <v>512530</v>
      </c>
      <c r="H206" s="276">
        <f>SUBTOTAL(9,H3:H205)</f>
        <v>556482</v>
      </c>
      <c r="I206" s="276">
        <f>SUBTOTAL(9,I3:I205)</f>
        <v>600994</v>
      </c>
      <c r="J206" s="177">
        <f t="shared" si="24"/>
        <v>117.26025793612081</v>
      </c>
      <c r="K206" s="277">
        <f t="shared" si="25"/>
        <v>107.99882116582387</v>
      </c>
    </row>
  </sheetData>
  <phoneticPr fontId="0" type="noConversion"/>
  <printOptions horizontalCentered="1"/>
  <pageMargins left="0.59055118110236227" right="0.59055118110236227" top="0.78" bottom="0.59" header="0.46" footer="0.51181102362204722"/>
  <pageSetup paperSize="9" scale="81" fitToHeight="4" orientation="landscape" r:id="rId1"/>
  <headerFooter alignWithMargins="0">
    <oddHeader>&amp;C&amp;"Times New Roman,Tučné"&amp;14Plnění rozpočtu nedaňových příjmů města k 31.12.2012 (v tis. Kč)</oddHeader>
  </headerFooter>
  <rowBreaks count="1" manualBreakCount="1">
    <brk id="19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"/>
  <sheetViews>
    <sheetView showZeros="0" zoomScaleSheetLayoutView="75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L9" sqref="L9"/>
    </sheetView>
  </sheetViews>
  <sheetFormatPr defaultRowHeight="12.75"/>
  <cols>
    <col min="1" max="1" width="5.5703125" style="203" customWidth="1"/>
    <col min="2" max="2" width="5.5703125" style="205" customWidth="1"/>
    <col min="3" max="3" width="31.42578125" style="204" customWidth="1"/>
    <col min="4" max="4" width="7.28515625" style="204" bestFit="1" customWidth="1"/>
    <col min="5" max="5" width="5.5703125" style="205" customWidth="1"/>
    <col min="6" max="6" width="37.7109375" style="206" customWidth="1"/>
    <col min="7" max="7" width="13.42578125" style="178" customWidth="1"/>
    <col min="8" max="8" width="13.5703125" style="178" customWidth="1"/>
    <col min="9" max="9" width="15.28515625" style="178" customWidth="1"/>
    <col min="10" max="11" width="8.140625" style="179" bestFit="1" customWidth="1"/>
    <col min="12" max="16384" width="9.140625" style="147"/>
  </cols>
  <sheetData>
    <row r="1" spans="1:12" ht="13.5" thickBot="1">
      <c r="A1" s="207"/>
      <c r="B1" s="208"/>
      <c r="C1" s="209"/>
      <c r="D1" s="209"/>
      <c r="E1" s="208"/>
      <c r="F1" s="210"/>
      <c r="G1" s="211"/>
      <c r="H1" s="211"/>
      <c r="I1" s="211"/>
      <c r="J1" s="212"/>
      <c r="K1" s="212"/>
    </row>
    <row r="2" spans="1:12" s="190" customFormat="1" ht="13.5" thickBot="1">
      <c r="A2" s="285" t="s">
        <v>273</v>
      </c>
      <c r="B2" s="188" t="s">
        <v>0</v>
      </c>
      <c r="C2" s="187" t="s">
        <v>127</v>
      </c>
      <c r="D2" s="187" t="s">
        <v>104</v>
      </c>
      <c r="E2" s="188" t="s">
        <v>105</v>
      </c>
      <c r="F2" s="187" t="s">
        <v>106</v>
      </c>
      <c r="G2" s="162" t="s">
        <v>258</v>
      </c>
      <c r="H2" s="213" t="s">
        <v>292</v>
      </c>
      <c r="I2" s="213" t="s">
        <v>293</v>
      </c>
      <c r="J2" s="163" t="s">
        <v>107</v>
      </c>
      <c r="K2" s="189" t="s">
        <v>108</v>
      </c>
    </row>
    <row r="3" spans="1:12" s="190" customFormat="1">
      <c r="A3" s="214" t="s">
        <v>176</v>
      </c>
      <c r="B3" s="215"/>
      <c r="C3" s="216"/>
      <c r="D3" s="216"/>
      <c r="E3" s="215"/>
      <c r="F3" s="216"/>
      <c r="G3" s="217"/>
      <c r="H3" s="217"/>
      <c r="I3" s="217"/>
      <c r="J3" s="218"/>
      <c r="K3" s="219"/>
    </row>
    <row r="4" spans="1:12">
      <c r="A4" s="148">
        <v>5600</v>
      </c>
      <c r="B4" s="149">
        <v>2219</v>
      </c>
      <c r="C4" s="150" t="s">
        <v>55</v>
      </c>
      <c r="D4" s="121" t="str">
        <f t="shared" ref="D4:D10" si="0">(MID(E4,1,3))</f>
        <v>311</v>
      </c>
      <c r="E4" s="149">
        <v>3111</v>
      </c>
      <c r="F4" s="195" t="s">
        <v>165</v>
      </c>
      <c r="G4" s="109"/>
      <c r="H4" s="109"/>
      <c r="I4" s="109">
        <v>1697</v>
      </c>
      <c r="J4" s="125">
        <f>IF(G4&lt;=0,0,$I4/G4*100)</f>
        <v>0</v>
      </c>
      <c r="K4" s="152">
        <f>IF(H4&lt;=0,0,$I4/H4*100)</f>
        <v>0</v>
      </c>
      <c r="L4" s="300"/>
    </row>
    <row r="5" spans="1:12">
      <c r="A5" s="148">
        <v>5600</v>
      </c>
      <c r="B5" s="149">
        <v>2329</v>
      </c>
      <c r="C5" s="47" t="s">
        <v>21</v>
      </c>
      <c r="D5" s="121" t="str">
        <f>(MID(E5,1,3))</f>
        <v>311</v>
      </c>
      <c r="E5" s="149">
        <v>3111</v>
      </c>
      <c r="F5" s="195" t="s">
        <v>165</v>
      </c>
      <c r="G5" s="109"/>
      <c r="H5" s="109"/>
      <c r="I5" s="109">
        <v>27</v>
      </c>
      <c r="J5" s="125"/>
      <c r="K5" s="152"/>
    </row>
    <row r="6" spans="1:12">
      <c r="A6" s="148">
        <v>6200</v>
      </c>
      <c r="B6" s="149">
        <v>3612</v>
      </c>
      <c r="C6" s="220" t="s">
        <v>12</v>
      </c>
      <c r="D6" s="121" t="str">
        <f t="shared" si="0"/>
        <v>311</v>
      </c>
      <c r="E6" s="149">
        <v>3111</v>
      </c>
      <c r="F6" s="195" t="s">
        <v>165</v>
      </c>
      <c r="G6" s="109">
        <v>1000</v>
      </c>
      <c r="H6" s="109">
        <v>1000</v>
      </c>
      <c r="I6" s="109">
        <v>98</v>
      </c>
      <c r="J6" s="125">
        <f t="shared" ref="J6:K10" si="1">IF(G6&lt;=0,0,$I6/G6*100)</f>
        <v>9.8000000000000007</v>
      </c>
      <c r="K6" s="152">
        <f t="shared" si="1"/>
        <v>9.8000000000000007</v>
      </c>
    </row>
    <row r="7" spans="1:12">
      <c r="A7" s="148">
        <v>6300</v>
      </c>
      <c r="B7" s="149">
        <v>3639</v>
      </c>
      <c r="C7" s="150" t="s">
        <v>130</v>
      </c>
      <c r="D7" s="121" t="str">
        <f t="shared" si="0"/>
        <v>311</v>
      </c>
      <c r="E7" s="149">
        <v>3111</v>
      </c>
      <c r="F7" s="195" t="s">
        <v>165</v>
      </c>
      <c r="G7" s="109">
        <v>643200</v>
      </c>
      <c r="H7" s="109">
        <v>643200</v>
      </c>
      <c r="I7" s="109">
        <v>562878</v>
      </c>
      <c r="J7" s="125">
        <f>IF(G7&lt;=0,0,$I7/G7*100)</f>
        <v>87.512126865671647</v>
      </c>
      <c r="K7" s="152">
        <f>IF(H7&lt;=0,0,$I7/H7*100)</f>
        <v>87.512126865671647</v>
      </c>
    </row>
    <row r="8" spans="1:12">
      <c r="A8" s="160" t="s">
        <v>180</v>
      </c>
      <c r="B8" s="156">
        <v>3612</v>
      </c>
      <c r="C8" s="220" t="s">
        <v>12</v>
      </c>
      <c r="D8" s="121" t="str">
        <f t="shared" si="0"/>
        <v>311</v>
      </c>
      <c r="E8" s="156">
        <v>3112</v>
      </c>
      <c r="F8" s="12" t="s">
        <v>166</v>
      </c>
      <c r="G8" s="127">
        <v>900000</v>
      </c>
      <c r="H8" s="127">
        <v>600000</v>
      </c>
      <c r="I8" s="127">
        <v>718255</v>
      </c>
      <c r="J8" s="125">
        <f t="shared" si="1"/>
        <v>79.806111111111107</v>
      </c>
      <c r="K8" s="152">
        <f t="shared" si="1"/>
        <v>119.70916666666666</v>
      </c>
      <c r="L8" s="300"/>
    </row>
    <row r="9" spans="1:12">
      <c r="A9" s="148">
        <v>6300</v>
      </c>
      <c r="B9" s="149">
        <v>3639</v>
      </c>
      <c r="C9" s="150" t="s">
        <v>130</v>
      </c>
      <c r="D9" s="121" t="str">
        <f t="shared" si="0"/>
        <v>311</v>
      </c>
      <c r="E9" s="149">
        <v>3112</v>
      </c>
      <c r="F9" s="12" t="s">
        <v>166</v>
      </c>
      <c r="G9" s="134">
        <v>120000</v>
      </c>
      <c r="H9" s="134">
        <v>120000</v>
      </c>
      <c r="I9" s="134">
        <v>105399</v>
      </c>
      <c r="J9" s="125">
        <f t="shared" si="1"/>
        <v>87.832499999999996</v>
      </c>
      <c r="K9" s="152">
        <f t="shared" si="1"/>
        <v>87.832499999999996</v>
      </c>
    </row>
    <row r="10" spans="1:12">
      <c r="A10" s="221">
        <v>8200</v>
      </c>
      <c r="B10" s="222">
        <v>5311</v>
      </c>
      <c r="C10" s="150" t="s">
        <v>92</v>
      </c>
      <c r="D10" s="180" t="str">
        <f t="shared" si="0"/>
        <v>311</v>
      </c>
      <c r="E10" s="222">
        <v>3113</v>
      </c>
      <c r="F10" s="195" t="s">
        <v>167</v>
      </c>
      <c r="G10" s="134">
        <v>80</v>
      </c>
      <c r="H10" s="134">
        <v>300</v>
      </c>
      <c r="I10" s="134">
        <v>326</v>
      </c>
      <c r="J10" s="173">
        <f t="shared" si="1"/>
        <v>407.5</v>
      </c>
      <c r="K10" s="152">
        <f t="shared" si="1"/>
        <v>108.66666666666667</v>
      </c>
    </row>
    <row r="11" spans="1:12" ht="13.5" thickBot="1">
      <c r="A11" s="294"/>
      <c r="B11" s="295"/>
      <c r="C11" s="296"/>
      <c r="D11" s="122" t="s">
        <v>168</v>
      </c>
      <c r="E11" s="295"/>
      <c r="F11" s="297"/>
      <c r="G11" s="298">
        <f>SUBTOTAL(9,G4:G10)</f>
        <v>1664280</v>
      </c>
      <c r="H11" s="298">
        <f>SUBTOTAL(9,H4:H10)</f>
        <v>1364500</v>
      </c>
      <c r="I11" s="298">
        <f>SUBTOTAL(9,I4:I10)</f>
        <v>1388680</v>
      </c>
      <c r="J11" s="174">
        <f>IF(G11&lt;=0,0,$I11/G11*100)</f>
        <v>83.440286490254039</v>
      </c>
      <c r="K11" s="223">
        <f>IF(H11&lt;=0,0,$I11/H11*100)</f>
        <v>101.77207768413339</v>
      </c>
    </row>
    <row r="12" spans="1:12">
      <c r="A12" s="263"/>
      <c r="B12" s="264"/>
      <c r="C12" s="265"/>
      <c r="D12" s="106"/>
      <c r="E12" s="264"/>
      <c r="F12" s="266"/>
      <c r="G12" s="291"/>
      <c r="H12" s="291"/>
      <c r="I12" s="291"/>
      <c r="J12" s="292"/>
      <c r="K12" s="293"/>
    </row>
    <row r="13" spans="1:12">
      <c r="A13" s="299" t="s">
        <v>266</v>
      </c>
      <c r="B13" s="149"/>
      <c r="C13" s="150"/>
      <c r="D13" s="286"/>
      <c r="E13" s="149"/>
      <c r="F13" s="195"/>
      <c r="G13" s="287"/>
      <c r="H13" s="287"/>
      <c r="I13" s="287"/>
      <c r="J13" s="288"/>
      <c r="K13" s="289"/>
    </row>
    <row r="14" spans="1:12">
      <c r="A14" s="148">
        <v>5400</v>
      </c>
      <c r="B14" s="149">
        <v>2219</v>
      </c>
      <c r="C14" s="150" t="s">
        <v>55</v>
      </c>
      <c r="D14" s="121" t="str">
        <f>(MID(E14,1,3))</f>
        <v>320</v>
      </c>
      <c r="E14" s="149">
        <v>3201</v>
      </c>
      <c r="F14" s="12" t="s">
        <v>257</v>
      </c>
      <c r="G14" s="109"/>
      <c r="H14" s="109">
        <v>1666</v>
      </c>
      <c r="I14" s="109">
        <v>1666</v>
      </c>
      <c r="J14" s="125">
        <f t="shared" ref="J14:K16" si="2">IF(G14&lt;=0,0,$I14/G14*100)</f>
        <v>0</v>
      </c>
      <c r="K14" s="152">
        <f t="shared" si="2"/>
        <v>100</v>
      </c>
    </row>
    <row r="15" spans="1:12" ht="13.5" thickBot="1">
      <c r="A15" s="148"/>
      <c r="B15" s="149"/>
      <c r="C15" s="150"/>
      <c r="D15" s="286" t="s">
        <v>256</v>
      </c>
      <c r="E15" s="149"/>
      <c r="F15" s="195"/>
      <c r="G15" s="287">
        <f>SUBTOTAL(9,G14:G14)</f>
        <v>0</v>
      </c>
      <c r="H15" s="287">
        <f>SUBTOTAL(9,H14:H14)</f>
        <v>1666</v>
      </c>
      <c r="I15" s="287">
        <f>SUBTOTAL(9,I14:I14)</f>
        <v>1666</v>
      </c>
      <c r="J15" s="288">
        <f t="shared" si="2"/>
        <v>0</v>
      </c>
      <c r="K15" s="289">
        <f t="shared" si="2"/>
        <v>100</v>
      </c>
    </row>
    <row r="16" spans="1:12" ht="15" thickBot="1">
      <c r="A16" s="224"/>
      <c r="B16" s="225"/>
      <c r="C16" s="226"/>
      <c r="D16" s="142" t="s">
        <v>169</v>
      </c>
      <c r="E16" s="225"/>
      <c r="F16" s="227"/>
      <c r="G16" s="228">
        <f>SUBTOTAL(9,G4:G15)</f>
        <v>1664280</v>
      </c>
      <c r="H16" s="228">
        <f>SUBTOTAL(9,H4:H15)</f>
        <v>1366166</v>
      </c>
      <c r="I16" s="228">
        <f>SUBTOTAL(9,I4:I15)</f>
        <v>1390346</v>
      </c>
      <c r="J16" s="229">
        <f t="shared" si="2"/>
        <v>83.540389838248373</v>
      </c>
      <c r="K16" s="230">
        <f t="shared" si="2"/>
        <v>101.76991668655199</v>
      </c>
    </row>
  </sheetData>
  <phoneticPr fontId="0" type="noConversion"/>
  <printOptions horizontalCentered="1"/>
  <pageMargins left="0.59055118110236227" right="0.59055118110236227" top="1.19" bottom="0.70866141732283472" header="0.84" footer="0.51181102362204722"/>
  <pageSetup paperSize="9" scale="90" orientation="landscape" r:id="rId1"/>
  <headerFooter alignWithMargins="0">
    <oddHeader>&amp;C&amp;"Times New Roman,Tučné"&amp;14Plnění rozpočtu kapitálových příjmů města k 31.12.2012 (v tis. Kč)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39"/>
  <sheetViews>
    <sheetView showZeros="0" zoomScaleSheetLayoutView="75" workbookViewId="0">
      <pane xSplit="4" ySplit="2" topLeftCell="E3" activePane="bottomRight" state="frozenSplit"/>
      <selection activeCell="H14" sqref="H14"/>
      <selection pane="topRight" activeCell="H14" sqref="H14"/>
      <selection pane="bottomLeft" activeCell="H14" sqref="H14"/>
      <selection pane="bottomRight" activeCell="G26" sqref="G26"/>
    </sheetView>
  </sheetViews>
  <sheetFormatPr defaultRowHeight="12.75"/>
  <cols>
    <col min="1" max="1" width="5.42578125" style="203" customWidth="1"/>
    <col min="2" max="2" width="7.28515625" style="204" bestFit="1" customWidth="1"/>
    <col min="3" max="3" width="4.7109375" style="205" customWidth="1"/>
    <col min="4" max="4" width="44.5703125" style="206" customWidth="1"/>
    <col min="5" max="5" width="15.140625" style="178" customWidth="1"/>
    <col min="6" max="6" width="15" style="178" customWidth="1"/>
    <col min="7" max="7" width="15.85546875" style="178" customWidth="1"/>
    <col min="8" max="8" width="8.140625" style="179" customWidth="1"/>
    <col min="9" max="9" width="8.140625" style="179" bestFit="1" customWidth="1"/>
    <col min="10" max="16384" width="9.140625" style="147"/>
  </cols>
  <sheetData>
    <row r="1" spans="1:10" ht="13.5" thickBot="1">
      <c r="A1" s="207"/>
      <c r="B1" s="209"/>
      <c r="C1" s="208"/>
      <c r="D1" s="210"/>
      <c r="E1" s="211"/>
      <c r="F1" s="211"/>
      <c r="G1" s="211"/>
      <c r="H1" s="212"/>
      <c r="I1" s="212"/>
    </row>
    <row r="2" spans="1:10" s="190" customFormat="1" ht="13.5" thickBot="1">
      <c r="A2" s="285" t="s">
        <v>273</v>
      </c>
      <c r="B2" s="187" t="s">
        <v>104</v>
      </c>
      <c r="C2" s="188" t="s">
        <v>105</v>
      </c>
      <c r="D2" s="187" t="s">
        <v>106</v>
      </c>
      <c r="E2" s="162" t="s">
        <v>258</v>
      </c>
      <c r="F2" s="162" t="s">
        <v>292</v>
      </c>
      <c r="G2" s="162" t="s">
        <v>293</v>
      </c>
      <c r="H2" s="163" t="s">
        <v>107</v>
      </c>
      <c r="I2" s="189" t="s">
        <v>108</v>
      </c>
    </row>
    <row r="3" spans="1:10" s="190" customFormat="1">
      <c r="A3" s="102">
        <v>1700</v>
      </c>
      <c r="B3" s="131" t="str">
        <f t="shared" ref="B3:B17" si="0">(MID(C3,1,2))</f>
        <v>41</v>
      </c>
      <c r="C3" s="103">
        <v>4111</v>
      </c>
      <c r="D3" s="104" t="s">
        <v>191</v>
      </c>
      <c r="E3" s="105"/>
      <c r="F3" s="105">
        <v>5427</v>
      </c>
      <c r="G3" s="105">
        <v>5427</v>
      </c>
      <c r="H3" s="125">
        <f>IF(E3&lt;=0,0,$G3/E3*100)</f>
        <v>0</v>
      </c>
      <c r="I3" s="126">
        <f>IF(F3&lt;=0,0,$G3/F3*100)</f>
        <v>100</v>
      </c>
    </row>
    <row r="4" spans="1:10">
      <c r="A4" s="102">
        <v>1700</v>
      </c>
      <c r="B4" s="131" t="str">
        <f t="shared" si="0"/>
        <v>41</v>
      </c>
      <c r="C4" s="103">
        <v>4112</v>
      </c>
      <c r="D4" s="104" t="s">
        <v>192</v>
      </c>
      <c r="E4" s="105">
        <v>137808</v>
      </c>
      <c r="F4" s="105">
        <v>137810</v>
      </c>
      <c r="G4" s="105">
        <v>137810</v>
      </c>
      <c r="H4" s="125">
        <f>IF(E4&lt;=0,0,$G4/E4*100)</f>
        <v>100.00145129455473</v>
      </c>
      <c r="I4" s="126">
        <f>IF(F4&lt;=0,0,$G4/F4*100)</f>
        <v>100</v>
      </c>
    </row>
    <row r="5" spans="1:10">
      <c r="A5" s="102">
        <v>1700</v>
      </c>
      <c r="B5" s="131" t="str">
        <f>(MID(C5,1,2))</f>
        <v>41</v>
      </c>
      <c r="C5" s="103">
        <v>4113</v>
      </c>
      <c r="D5" s="104" t="s">
        <v>279</v>
      </c>
      <c r="E5" s="105"/>
      <c r="F5" s="105">
        <v>722</v>
      </c>
      <c r="G5" s="105">
        <v>722</v>
      </c>
      <c r="H5" s="125"/>
      <c r="I5" s="126">
        <f>IF(F5&lt;=0,0,$G5/F5*100)</f>
        <v>100</v>
      </c>
    </row>
    <row r="6" spans="1:10">
      <c r="A6" s="102">
        <v>1700</v>
      </c>
      <c r="B6" s="131" t="str">
        <f t="shared" si="0"/>
        <v>41</v>
      </c>
      <c r="C6" s="103">
        <v>4116</v>
      </c>
      <c r="D6" s="104" t="s">
        <v>193</v>
      </c>
      <c r="E6" s="105"/>
      <c r="F6" s="105">
        <v>33524</v>
      </c>
      <c r="G6" s="105">
        <v>33524</v>
      </c>
      <c r="H6" s="125">
        <f t="shared" ref="H6:H27" si="1">IF(E6&lt;=0,0,$G6/E6*100)</f>
        <v>0</v>
      </c>
      <c r="I6" s="126">
        <f t="shared" ref="I6:I27" si="2">IF(F6&lt;=0,0,$G6/F6*100)</f>
        <v>100</v>
      </c>
    </row>
    <row r="7" spans="1:10">
      <c r="A7" s="102">
        <v>7400</v>
      </c>
      <c r="B7" s="131" t="str">
        <f t="shared" si="0"/>
        <v>41</v>
      </c>
      <c r="C7" s="103">
        <v>4116</v>
      </c>
      <c r="D7" s="104" t="s">
        <v>193</v>
      </c>
      <c r="E7" s="105"/>
      <c r="F7" s="105">
        <v>59234</v>
      </c>
      <c r="G7" s="105">
        <v>59234</v>
      </c>
      <c r="H7" s="125">
        <f t="shared" si="1"/>
        <v>0</v>
      </c>
      <c r="I7" s="126">
        <f t="shared" si="2"/>
        <v>100</v>
      </c>
    </row>
    <row r="8" spans="1:10">
      <c r="A8" s="102">
        <v>1700</v>
      </c>
      <c r="B8" s="131" t="str">
        <f>(MID(C8,1,2))</f>
        <v>41</v>
      </c>
      <c r="C8" s="103">
        <v>4119</v>
      </c>
      <c r="D8" s="104" t="s">
        <v>286</v>
      </c>
      <c r="E8" s="105"/>
      <c r="F8" s="105"/>
      <c r="G8" s="105">
        <v>67</v>
      </c>
      <c r="H8" s="125">
        <f t="shared" si="1"/>
        <v>0</v>
      </c>
      <c r="I8" s="126"/>
    </row>
    <row r="9" spans="1:10">
      <c r="A9" s="102">
        <v>1700</v>
      </c>
      <c r="B9" s="131" t="str">
        <f>(MID(C9,1,2))</f>
        <v>41</v>
      </c>
      <c r="C9" s="103">
        <v>4121</v>
      </c>
      <c r="D9" s="104" t="s">
        <v>278</v>
      </c>
      <c r="E9" s="105"/>
      <c r="F9" s="105">
        <v>248</v>
      </c>
      <c r="G9" s="105">
        <v>247</v>
      </c>
      <c r="H9" s="125">
        <f>IF(E9&lt;=0,0,$G9/E9*100)</f>
        <v>0</v>
      </c>
      <c r="I9" s="126">
        <f>IF(F9&lt;=0,0,$G9/F9*100)</f>
        <v>99.596774193548384</v>
      </c>
    </row>
    <row r="10" spans="1:10">
      <c r="A10" s="102">
        <v>8200</v>
      </c>
      <c r="B10" s="131" t="str">
        <f t="shared" si="0"/>
        <v>41</v>
      </c>
      <c r="C10" s="103">
        <v>4121</v>
      </c>
      <c r="D10" s="104" t="s">
        <v>194</v>
      </c>
      <c r="E10" s="105">
        <v>30</v>
      </c>
      <c r="F10" s="105">
        <v>30</v>
      </c>
      <c r="G10" s="105">
        <v>10</v>
      </c>
      <c r="H10" s="125">
        <f t="shared" si="1"/>
        <v>33.333333333333329</v>
      </c>
      <c r="I10" s="126">
        <f t="shared" si="2"/>
        <v>33.333333333333329</v>
      </c>
    </row>
    <row r="11" spans="1:10">
      <c r="A11" s="102">
        <v>1700</v>
      </c>
      <c r="B11" s="131" t="str">
        <f t="shared" si="0"/>
        <v>41</v>
      </c>
      <c r="C11" s="103">
        <v>4122</v>
      </c>
      <c r="D11" s="104" t="s">
        <v>195</v>
      </c>
      <c r="E11" s="109"/>
      <c r="F11" s="109">
        <v>10872</v>
      </c>
      <c r="G11" s="109">
        <v>10872</v>
      </c>
      <c r="H11" s="125">
        <f t="shared" si="1"/>
        <v>0</v>
      </c>
      <c r="I11" s="126">
        <f t="shared" si="2"/>
        <v>100</v>
      </c>
    </row>
    <row r="12" spans="1:10">
      <c r="A12" s="102">
        <v>7400</v>
      </c>
      <c r="B12" s="131" t="str">
        <f t="shared" si="0"/>
        <v>41</v>
      </c>
      <c r="C12" s="103">
        <v>4122</v>
      </c>
      <c r="D12" s="104" t="s">
        <v>195</v>
      </c>
      <c r="E12" s="109"/>
      <c r="F12" s="109">
        <v>19467</v>
      </c>
      <c r="G12" s="109">
        <v>19467</v>
      </c>
      <c r="H12" s="125">
        <f t="shared" si="1"/>
        <v>0</v>
      </c>
      <c r="I12" s="126">
        <f t="shared" si="2"/>
        <v>100</v>
      </c>
    </row>
    <row r="13" spans="1:10">
      <c r="A13" s="102">
        <v>1700</v>
      </c>
      <c r="B13" s="131" t="str">
        <f t="shared" si="0"/>
        <v>41</v>
      </c>
      <c r="C13" s="103">
        <v>4123</v>
      </c>
      <c r="D13" s="104" t="s">
        <v>249</v>
      </c>
      <c r="E13" s="109"/>
      <c r="F13" s="109">
        <v>7314</v>
      </c>
      <c r="G13" s="109">
        <v>7314</v>
      </c>
      <c r="H13" s="125">
        <f t="shared" si="1"/>
        <v>0</v>
      </c>
      <c r="I13" s="126">
        <f t="shared" si="2"/>
        <v>100</v>
      </c>
    </row>
    <row r="14" spans="1:10">
      <c r="A14" s="102">
        <v>3200</v>
      </c>
      <c r="B14" s="131" t="str">
        <f t="shared" si="0"/>
        <v>41</v>
      </c>
      <c r="C14" s="103">
        <v>4131</v>
      </c>
      <c r="D14" s="104" t="s">
        <v>170</v>
      </c>
      <c r="E14" s="105">
        <v>75</v>
      </c>
      <c r="F14" s="105">
        <v>75</v>
      </c>
      <c r="G14" s="105">
        <v>70</v>
      </c>
      <c r="H14" s="125">
        <f t="shared" si="1"/>
        <v>93.333333333333329</v>
      </c>
      <c r="I14" s="126">
        <f t="shared" si="2"/>
        <v>93.333333333333329</v>
      </c>
    </row>
    <row r="15" spans="1:10">
      <c r="A15" s="102">
        <v>3900</v>
      </c>
      <c r="B15" s="131" t="str">
        <f t="shared" si="0"/>
        <v>41</v>
      </c>
      <c r="C15" s="103">
        <v>4131</v>
      </c>
      <c r="D15" s="104" t="s">
        <v>170</v>
      </c>
      <c r="E15" s="105">
        <v>50</v>
      </c>
      <c r="F15" s="105">
        <v>50</v>
      </c>
      <c r="G15" s="105">
        <v>50</v>
      </c>
      <c r="H15" s="125">
        <f t="shared" si="1"/>
        <v>100</v>
      </c>
      <c r="I15" s="126">
        <f t="shared" si="2"/>
        <v>100</v>
      </c>
    </row>
    <row r="16" spans="1:10">
      <c r="A16" s="102">
        <v>4200</v>
      </c>
      <c r="B16" s="131" t="str">
        <f t="shared" si="0"/>
        <v>41</v>
      </c>
      <c r="C16" s="103">
        <v>4131</v>
      </c>
      <c r="D16" s="104" t="s">
        <v>170</v>
      </c>
      <c r="E16" s="105">
        <v>19391</v>
      </c>
      <c r="F16" s="105">
        <v>19391</v>
      </c>
      <c r="G16" s="105"/>
      <c r="H16" s="125">
        <f t="shared" si="1"/>
        <v>0</v>
      </c>
      <c r="I16" s="126">
        <f t="shared" si="2"/>
        <v>0</v>
      </c>
      <c r="J16" s="300"/>
    </row>
    <row r="17" spans="1:10">
      <c r="A17" s="102">
        <v>5400</v>
      </c>
      <c r="B17" s="131" t="str">
        <f t="shared" si="0"/>
        <v>41</v>
      </c>
      <c r="C17" s="103">
        <v>4131</v>
      </c>
      <c r="D17" s="104" t="s">
        <v>170</v>
      </c>
      <c r="E17" s="105">
        <v>27500</v>
      </c>
      <c r="F17" s="105">
        <v>53500</v>
      </c>
      <c r="G17" s="105">
        <v>27500</v>
      </c>
      <c r="H17" s="125">
        <f t="shared" si="1"/>
        <v>100</v>
      </c>
      <c r="I17" s="126">
        <f t="shared" si="2"/>
        <v>51.401869158878498</v>
      </c>
      <c r="J17" s="300"/>
    </row>
    <row r="18" spans="1:10">
      <c r="A18" s="102">
        <v>5700</v>
      </c>
      <c r="B18" s="131" t="str">
        <f t="shared" ref="B18:B27" si="3">(MID(C18,1,2))</f>
        <v>41</v>
      </c>
      <c r="C18" s="103">
        <v>4131</v>
      </c>
      <c r="D18" s="104" t="s">
        <v>170</v>
      </c>
      <c r="E18" s="105">
        <v>370400</v>
      </c>
      <c r="F18" s="105">
        <v>370400</v>
      </c>
      <c r="G18" s="105">
        <v>370400</v>
      </c>
      <c r="H18" s="125">
        <f t="shared" si="1"/>
        <v>100</v>
      </c>
      <c r="I18" s="126">
        <f t="shared" si="2"/>
        <v>100</v>
      </c>
    </row>
    <row r="19" spans="1:10">
      <c r="A19" s="112">
        <v>6200</v>
      </c>
      <c r="B19" s="131" t="str">
        <f t="shared" si="3"/>
        <v>41</v>
      </c>
      <c r="C19" s="103">
        <v>4131</v>
      </c>
      <c r="D19" s="104" t="s">
        <v>170</v>
      </c>
      <c r="E19" s="128">
        <v>276</v>
      </c>
      <c r="F19" s="128">
        <v>276</v>
      </c>
      <c r="G19" s="128">
        <v>276</v>
      </c>
      <c r="H19" s="125">
        <f t="shared" si="1"/>
        <v>100</v>
      </c>
      <c r="I19" s="126">
        <f t="shared" si="2"/>
        <v>100</v>
      </c>
    </row>
    <row r="20" spans="1:10">
      <c r="A20" s="112">
        <v>6300</v>
      </c>
      <c r="B20" s="131" t="str">
        <f t="shared" si="3"/>
        <v>41</v>
      </c>
      <c r="C20" s="103">
        <v>4131</v>
      </c>
      <c r="D20" s="104" t="s">
        <v>170</v>
      </c>
      <c r="E20" s="128">
        <v>8</v>
      </c>
      <c r="F20" s="128">
        <v>8</v>
      </c>
      <c r="G20" s="128">
        <v>6</v>
      </c>
      <c r="H20" s="125">
        <f t="shared" si="1"/>
        <v>75</v>
      </c>
      <c r="I20" s="126">
        <f t="shared" si="2"/>
        <v>75</v>
      </c>
    </row>
    <row r="21" spans="1:10">
      <c r="A21" s="112">
        <v>6600</v>
      </c>
      <c r="B21" s="131" t="str">
        <f t="shared" si="3"/>
        <v>41</v>
      </c>
      <c r="C21" s="103">
        <v>4131</v>
      </c>
      <c r="D21" s="104" t="s">
        <v>170</v>
      </c>
      <c r="E21" s="128">
        <v>1900</v>
      </c>
      <c r="F21" s="128">
        <v>1900</v>
      </c>
      <c r="G21" s="128"/>
      <c r="H21" s="125">
        <f t="shared" si="1"/>
        <v>0</v>
      </c>
      <c r="I21" s="126">
        <f t="shared" si="2"/>
        <v>0</v>
      </c>
      <c r="J21" s="300"/>
    </row>
    <row r="22" spans="1:10">
      <c r="A22" s="112">
        <v>7300</v>
      </c>
      <c r="B22" s="131" t="str">
        <f>(MID(C22,1,2))</f>
        <v>41</v>
      </c>
      <c r="C22" s="103">
        <v>4131</v>
      </c>
      <c r="D22" s="104" t="s">
        <v>170</v>
      </c>
      <c r="E22" s="128"/>
      <c r="F22" s="128">
        <v>41</v>
      </c>
      <c r="G22" s="128">
        <v>41</v>
      </c>
      <c r="H22" s="125"/>
      <c r="I22" s="126">
        <f t="shared" si="2"/>
        <v>100</v>
      </c>
    </row>
    <row r="23" spans="1:10">
      <c r="A23" s="112">
        <v>3200</v>
      </c>
      <c r="B23" s="131" t="str">
        <f t="shared" si="3"/>
        <v>41</v>
      </c>
      <c r="C23" s="114">
        <v>4132</v>
      </c>
      <c r="D23" s="104" t="s">
        <v>181</v>
      </c>
      <c r="E23" s="128"/>
      <c r="F23" s="128"/>
      <c r="G23" s="128">
        <v>3811</v>
      </c>
      <c r="H23" s="125">
        <f t="shared" si="1"/>
        <v>0</v>
      </c>
      <c r="I23" s="126">
        <f t="shared" si="2"/>
        <v>0</v>
      </c>
      <c r="J23" s="300"/>
    </row>
    <row r="24" spans="1:10">
      <c r="A24" s="112">
        <v>8200</v>
      </c>
      <c r="B24" s="131" t="str">
        <f t="shared" si="3"/>
        <v>41</v>
      </c>
      <c r="C24" s="114">
        <v>4132</v>
      </c>
      <c r="D24" s="104" t="s">
        <v>181</v>
      </c>
      <c r="E24" s="128"/>
      <c r="F24" s="128"/>
      <c r="G24" s="128">
        <v>1162</v>
      </c>
      <c r="H24" s="125">
        <f t="shared" si="1"/>
        <v>0</v>
      </c>
      <c r="I24" s="126">
        <f t="shared" si="2"/>
        <v>0</v>
      </c>
      <c r="J24" s="300"/>
    </row>
    <row r="25" spans="1:10">
      <c r="A25" s="112">
        <v>1700</v>
      </c>
      <c r="B25" s="131" t="str">
        <f>(MID(C25,1,2))</f>
        <v>41</v>
      </c>
      <c r="C25" s="114">
        <v>4151</v>
      </c>
      <c r="D25" s="104" t="s">
        <v>296</v>
      </c>
      <c r="E25" s="128"/>
      <c r="F25" s="128">
        <v>2247</v>
      </c>
      <c r="G25" s="128">
        <v>2294</v>
      </c>
      <c r="H25" s="125">
        <f>IF(E25&lt;=0,0,$G25/E25*100)</f>
        <v>0</v>
      </c>
      <c r="I25" s="126">
        <f>IF(F25&lt;=0,0,$G25/F25*100)</f>
        <v>102.09167779261237</v>
      </c>
    </row>
    <row r="26" spans="1:10">
      <c r="A26" s="112">
        <v>1700</v>
      </c>
      <c r="B26" s="131" t="str">
        <f>(MID(C26,1,2))</f>
        <v>41</v>
      </c>
      <c r="C26" s="114">
        <v>4152</v>
      </c>
      <c r="D26" s="104" t="s">
        <v>250</v>
      </c>
      <c r="E26" s="128"/>
      <c r="F26" s="128">
        <v>3836</v>
      </c>
      <c r="G26" s="128">
        <v>3835</v>
      </c>
      <c r="H26" s="125">
        <f>IF(E26&lt;=0,0,$G26/E26*100)</f>
        <v>0</v>
      </c>
      <c r="I26" s="126">
        <f>IF(F26&lt;=0,0,$G26/F26*100)</f>
        <v>99.973931178310735</v>
      </c>
    </row>
    <row r="27" spans="1:10">
      <c r="A27" s="112">
        <v>3200</v>
      </c>
      <c r="B27" s="131" t="str">
        <f t="shared" si="3"/>
        <v>41</v>
      </c>
      <c r="C27" s="114">
        <v>4152</v>
      </c>
      <c r="D27" s="104" t="s">
        <v>250</v>
      </c>
      <c r="E27" s="128"/>
      <c r="F27" s="128">
        <v>973</v>
      </c>
      <c r="G27" s="128">
        <v>973</v>
      </c>
      <c r="H27" s="125">
        <f t="shared" si="1"/>
        <v>0</v>
      </c>
      <c r="I27" s="126">
        <f t="shared" si="2"/>
        <v>100</v>
      </c>
    </row>
    <row r="28" spans="1:10" ht="13.5" thickBot="1">
      <c r="A28" s="136"/>
      <c r="B28" s="122" t="s">
        <v>188</v>
      </c>
      <c r="C28" s="137"/>
      <c r="D28" s="138"/>
      <c r="E28" s="139">
        <f>SUBTOTAL(9,E3:E27)</f>
        <v>557438</v>
      </c>
      <c r="F28" s="139">
        <f>SUBTOTAL(9,F3:F27)</f>
        <v>727345</v>
      </c>
      <c r="G28" s="139">
        <f>SUBTOTAL(9,G3:G27)</f>
        <v>685112</v>
      </c>
      <c r="H28" s="231">
        <f>IF(E28&lt;=0,0,$G28/E28*100)</f>
        <v>122.903713058672</v>
      </c>
      <c r="I28" s="232">
        <f>IF(F28&lt;=0,0,$G28/F28*100)</f>
        <v>94.193539517010493</v>
      </c>
    </row>
    <row r="29" spans="1:10">
      <c r="A29" s="233"/>
      <c r="B29" s="234"/>
      <c r="C29" s="235"/>
      <c r="D29" s="236"/>
      <c r="F29" s="237"/>
      <c r="H29" s="238">
        <f>IF(E29&lt;=0,0,$G29/E29*100)</f>
        <v>0</v>
      </c>
      <c r="I29" s="199">
        <f>IF(F29&lt;=0,0,$G29/F29*100)</f>
        <v>0</v>
      </c>
    </row>
    <row r="30" spans="1:10">
      <c r="A30" s="155">
        <v>1700</v>
      </c>
      <c r="B30" s="220" t="str">
        <f t="shared" ref="B30:B37" si="4">(MID(C30,1,2))</f>
        <v>42</v>
      </c>
      <c r="C30" s="239">
        <v>4213</v>
      </c>
      <c r="D30" s="104" t="s">
        <v>275</v>
      </c>
      <c r="E30" s="240"/>
      <c r="F30" s="241">
        <v>3818</v>
      </c>
      <c r="G30" s="241">
        <v>3818</v>
      </c>
      <c r="H30" s="242"/>
      <c r="I30" s="126">
        <f t="shared" ref="I30:I39" si="5">IF(F30&lt;=0,0,$G30/F30*100)</f>
        <v>100</v>
      </c>
    </row>
    <row r="31" spans="1:10">
      <c r="A31" s="155">
        <v>1700</v>
      </c>
      <c r="B31" s="220" t="str">
        <f t="shared" si="4"/>
        <v>42</v>
      </c>
      <c r="C31" s="239">
        <v>4216</v>
      </c>
      <c r="D31" s="104" t="s">
        <v>240</v>
      </c>
      <c r="E31" s="240"/>
      <c r="F31" s="241">
        <v>267757</v>
      </c>
      <c r="G31" s="241">
        <v>267549</v>
      </c>
      <c r="H31" s="242"/>
      <c r="I31" s="126">
        <f t="shared" si="5"/>
        <v>99.92231762381563</v>
      </c>
    </row>
    <row r="32" spans="1:10">
      <c r="A32" s="155">
        <v>7400</v>
      </c>
      <c r="B32" s="220" t="str">
        <f t="shared" si="4"/>
        <v>42</v>
      </c>
      <c r="C32" s="239">
        <v>4216</v>
      </c>
      <c r="D32" s="104" t="s">
        <v>240</v>
      </c>
      <c r="E32" s="240"/>
      <c r="F32" s="241">
        <v>850</v>
      </c>
      <c r="G32" s="241">
        <v>850</v>
      </c>
      <c r="H32" s="242"/>
      <c r="I32" s="126">
        <f t="shared" si="5"/>
        <v>100</v>
      </c>
    </row>
    <row r="33" spans="1:9">
      <c r="A33" s="155">
        <v>1700</v>
      </c>
      <c r="B33" s="220" t="str">
        <f t="shared" si="4"/>
        <v>42</v>
      </c>
      <c r="C33" s="239">
        <v>4221</v>
      </c>
      <c r="D33" s="104" t="s">
        <v>276</v>
      </c>
      <c r="E33" s="240"/>
      <c r="F33" s="241">
        <v>1560</v>
      </c>
      <c r="G33" s="241">
        <v>1559</v>
      </c>
      <c r="H33" s="242"/>
      <c r="I33" s="126">
        <f t="shared" si="5"/>
        <v>99.935897435897431</v>
      </c>
    </row>
    <row r="34" spans="1:9">
      <c r="A34" s="155">
        <v>1700</v>
      </c>
      <c r="B34" s="220" t="str">
        <f>(MID(C34,1,2))</f>
        <v>42</v>
      </c>
      <c r="C34" s="239">
        <v>4222</v>
      </c>
      <c r="D34" s="104" t="s">
        <v>261</v>
      </c>
      <c r="E34" s="240"/>
      <c r="F34" s="241">
        <v>1242</v>
      </c>
      <c r="G34" s="241">
        <v>1242</v>
      </c>
      <c r="H34" s="242"/>
      <c r="I34" s="126">
        <f>IF(F34&lt;=0,0,$G34/F34*100)</f>
        <v>100</v>
      </c>
    </row>
    <row r="35" spans="1:9">
      <c r="A35" s="155">
        <v>7400</v>
      </c>
      <c r="B35" s="220" t="str">
        <f t="shared" si="4"/>
        <v>42</v>
      </c>
      <c r="C35" s="239">
        <v>4222</v>
      </c>
      <c r="D35" s="104" t="s">
        <v>261</v>
      </c>
      <c r="E35" s="240"/>
      <c r="F35" s="241">
        <v>194</v>
      </c>
      <c r="G35" s="241">
        <v>194</v>
      </c>
      <c r="H35" s="242"/>
      <c r="I35" s="126">
        <f t="shared" si="5"/>
        <v>100</v>
      </c>
    </row>
    <row r="36" spans="1:9">
      <c r="A36" s="155">
        <v>1700</v>
      </c>
      <c r="B36" s="220" t="str">
        <f>(MID(C36,1,2))</f>
        <v>42</v>
      </c>
      <c r="C36" s="239">
        <v>4223</v>
      </c>
      <c r="D36" s="104" t="s">
        <v>277</v>
      </c>
      <c r="E36" s="240"/>
      <c r="F36" s="241">
        <v>237325</v>
      </c>
      <c r="G36" s="241">
        <v>237325</v>
      </c>
      <c r="H36" s="242"/>
      <c r="I36" s="126">
        <f>IF(F36&lt;=0,0,$G36/F36*100)</f>
        <v>100</v>
      </c>
    </row>
    <row r="37" spans="1:9">
      <c r="A37" s="155">
        <v>1700</v>
      </c>
      <c r="B37" s="220" t="str">
        <f t="shared" si="4"/>
        <v>42</v>
      </c>
      <c r="C37" s="239">
        <v>4229</v>
      </c>
      <c r="D37" s="104" t="s">
        <v>295</v>
      </c>
      <c r="E37" s="240"/>
      <c r="F37" s="241">
        <v>102</v>
      </c>
      <c r="G37" s="241">
        <v>101</v>
      </c>
      <c r="H37" s="242"/>
      <c r="I37" s="126">
        <f t="shared" si="5"/>
        <v>99.019607843137265</v>
      </c>
    </row>
    <row r="38" spans="1:9" ht="13.5" thickBot="1">
      <c r="A38" s="243"/>
      <c r="B38" s="244" t="s">
        <v>189</v>
      </c>
      <c r="C38" s="245"/>
      <c r="D38" s="246"/>
      <c r="E38" s="166">
        <f>SUBTOTAL(9,E30:E35)</f>
        <v>0</v>
      </c>
      <c r="F38" s="166">
        <f>SUBTOTAL(9,F30:F37)</f>
        <v>512848</v>
      </c>
      <c r="G38" s="166">
        <f>SUBTOTAL(9,G30:G37)</f>
        <v>512638</v>
      </c>
      <c r="H38" s="231">
        <f>IF(E38&lt;=0,0,$G38/E38*100)</f>
        <v>0</v>
      </c>
      <c r="I38" s="232">
        <f t="shared" si="5"/>
        <v>99.959052194802354</v>
      </c>
    </row>
    <row r="39" spans="1:9" ht="15" thickBot="1">
      <c r="A39" s="136"/>
      <c r="B39" s="141" t="s">
        <v>190</v>
      </c>
      <c r="C39" s="137"/>
      <c r="D39" s="138"/>
      <c r="E39" s="139">
        <f>SUBTOTAL(9,E3:E38)</f>
        <v>557438</v>
      </c>
      <c r="F39" s="139">
        <f>SUBTOTAL(9,F3:F38)</f>
        <v>1240193</v>
      </c>
      <c r="G39" s="139">
        <f>SUBTOTAL(9,G3:G38)</f>
        <v>1197750</v>
      </c>
      <c r="H39" s="231">
        <f>IF(E39&lt;=0,0,$G39/E39*100)</f>
        <v>214.86694484409031</v>
      </c>
      <c r="I39" s="232">
        <f t="shared" si="5"/>
        <v>96.577710082221074</v>
      </c>
    </row>
  </sheetData>
  <phoneticPr fontId="0" type="noConversion"/>
  <printOptions horizontalCentered="1"/>
  <pageMargins left="0.59055118110236227" right="0.39370078740157483" top="0.93" bottom="0.56999999999999995" header="0.64" footer="0.51181102362204722"/>
  <pageSetup paperSize="9" scale="108" orientation="landscape" r:id="rId1"/>
  <headerFooter alignWithMargins="0">
    <oddHeader>&amp;C&amp;"Times New Roman,Tučné"&amp;13Transfery přijaté městem k 31.12.2012 (v tis. Kč)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223"/>
  <sheetViews>
    <sheetView showZeros="0" zoomScaleNormal="100" zoomScaleSheetLayoutView="75" workbookViewId="0"/>
  </sheetViews>
  <sheetFormatPr defaultRowHeight="12.75"/>
  <cols>
    <col min="1" max="2" width="7.7109375" customWidth="1"/>
    <col min="3" max="3" width="39.28515625" customWidth="1"/>
    <col min="4" max="4" width="13.42578125" customWidth="1"/>
    <col min="5" max="5" width="14.42578125" customWidth="1"/>
    <col min="6" max="6" width="13.85546875" customWidth="1"/>
    <col min="7" max="8" width="8.85546875" customWidth="1"/>
    <col min="9" max="13" width="9.140625" style="147"/>
  </cols>
  <sheetData>
    <row r="1" spans="1:13" ht="13.5" thickBot="1">
      <c r="A1" s="56" t="s">
        <v>273</v>
      </c>
      <c r="B1" s="2" t="s">
        <v>0</v>
      </c>
      <c r="C1" s="2" t="s">
        <v>3</v>
      </c>
      <c r="D1" s="45" t="s">
        <v>258</v>
      </c>
      <c r="E1" s="45" t="s">
        <v>292</v>
      </c>
      <c r="F1" s="45" t="s">
        <v>294</v>
      </c>
      <c r="G1" s="38" t="s">
        <v>52</v>
      </c>
      <c r="H1" s="39" t="s">
        <v>53</v>
      </c>
      <c r="I1" s="306" t="s">
        <v>300</v>
      </c>
    </row>
    <row r="2" spans="1:13">
      <c r="A2" s="28" t="s">
        <v>44</v>
      </c>
      <c r="B2" s="17"/>
      <c r="C2" s="10"/>
      <c r="D2" s="40"/>
      <c r="E2" s="40"/>
      <c r="F2" s="41"/>
      <c r="G2" s="50">
        <f t="shared" ref="G2:G21" si="0">IF(D2&lt;=0,0,$F2/D2*100)</f>
        <v>0</v>
      </c>
      <c r="H2" s="51">
        <f t="shared" ref="H2:H22" si="1">IF(E2&lt;=0,0,$F2/E2*100)</f>
        <v>0</v>
      </c>
    </row>
    <row r="3" spans="1:13" s="82" customFormat="1">
      <c r="A3" s="57">
        <v>1700</v>
      </c>
      <c r="B3" s="17">
        <v>3511</v>
      </c>
      <c r="C3" s="10" t="s">
        <v>13</v>
      </c>
      <c r="D3" s="9">
        <v>1200</v>
      </c>
      <c r="E3" s="9">
        <v>1200</v>
      </c>
      <c r="F3" s="23">
        <v>234</v>
      </c>
      <c r="G3" s="48">
        <f t="shared" si="0"/>
        <v>19.5</v>
      </c>
      <c r="H3" s="49">
        <f t="shared" si="1"/>
        <v>19.5</v>
      </c>
      <c r="I3" s="260"/>
      <c r="J3" s="260"/>
      <c r="K3" s="260"/>
      <c r="L3" s="260"/>
      <c r="M3" s="260"/>
    </row>
    <row r="4" spans="1:13">
      <c r="A4" s="57">
        <v>1700</v>
      </c>
      <c r="B4" s="83">
        <v>6171</v>
      </c>
      <c r="C4" s="11" t="s">
        <v>9</v>
      </c>
      <c r="D4" s="9">
        <v>9105</v>
      </c>
      <c r="E4" s="9">
        <v>9105</v>
      </c>
      <c r="F4" s="24">
        <v>6500</v>
      </c>
      <c r="G4" s="48">
        <f t="shared" si="0"/>
        <v>71.389346512904993</v>
      </c>
      <c r="H4" s="49">
        <f t="shared" si="1"/>
        <v>71.389346512904993</v>
      </c>
    </row>
    <row r="5" spans="1:13">
      <c r="A5" s="57">
        <v>1700</v>
      </c>
      <c r="B5" s="17">
        <v>6310</v>
      </c>
      <c r="C5" s="84" t="s">
        <v>143</v>
      </c>
      <c r="D5" s="9">
        <v>266646</v>
      </c>
      <c r="E5" s="9">
        <v>266646</v>
      </c>
      <c r="F5" s="24">
        <v>98983</v>
      </c>
      <c r="G5" s="48">
        <f t="shared" si="0"/>
        <v>37.121501916398522</v>
      </c>
      <c r="H5" s="49">
        <f t="shared" si="1"/>
        <v>37.121501916398522</v>
      </c>
      <c r="I5" s="300"/>
    </row>
    <row r="6" spans="1:13">
      <c r="A6" s="57">
        <v>1700</v>
      </c>
      <c r="B6" s="17">
        <v>6399</v>
      </c>
      <c r="C6" s="11" t="s">
        <v>64</v>
      </c>
      <c r="D6" s="9">
        <v>350000</v>
      </c>
      <c r="E6" s="9">
        <v>229817</v>
      </c>
      <c r="F6" s="24">
        <v>229815</v>
      </c>
      <c r="G6" s="48">
        <f>IF(D6&lt;=0,0,$F6/D6*100)</f>
        <v>65.661428571428573</v>
      </c>
      <c r="H6" s="49">
        <f>IF(E6&lt;=0,0,$F6/E6*100)</f>
        <v>99.999129742360225</v>
      </c>
    </row>
    <row r="7" spans="1:13">
      <c r="A7" s="57">
        <v>1700</v>
      </c>
      <c r="B7" s="17">
        <v>6402</v>
      </c>
      <c r="C7" s="11" t="s">
        <v>65</v>
      </c>
      <c r="D7" s="9"/>
      <c r="E7" s="9">
        <v>120749</v>
      </c>
      <c r="F7" s="24">
        <v>120639</v>
      </c>
      <c r="G7" s="48">
        <f>IF(D7&lt;=0,0,$F7/D7*100)</f>
        <v>0</v>
      </c>
      <c r="H7" s="49">
        <f>IF(E7&lt;=0,0,$F7/E7*100)</f>
        <v>99.908901937076095</v>
      </c>
    </row>
    <row r="8" spans="1:13">
      <c r="A8" s="57">
        <v>1700</v>
      </c>
      <c r="B8" s="17">
        <v>6409</v>
      </c>
      <c r="C8" s="11" t="s">
        <v>39</v>
      </c>
      <c r="D8" s="9">
        <v>998545</v>
      </c>
      <c r="E8" s="9">
        <v>1006456</v>
      </c>
      <c r="F8" s="24">
        <v>995254</v>
      </c>
      <c r="G8" s="48">
        <f t="shared" si="0"/>
        <v>99.670420461771883</v>
      </c>
      <c r="H8" s="49">
        <f t="shared" si="1"/>
        <v>98.886985620831908</v>
      </c>
    </row>
    <row r="9" spans="1:13">
      <c r="A9" s="28" t="s">
        <v>209</v>
      </c>
      <c r="B9" s="17"/>
      <c r="C9" s="11"/>
      <c r="D9" s="40">
        <f>SUBTOTAL(9,D3:D8)</f>
        <v>1625496</v>
      </c>
      <c r="E9" s="40">
        <f>SUBTOTAL(9,E3:E8)</f>
        <v>1633973</v>
      </c>
      <c r="F9" s="41">
        <f>SUBTOTAL(9,F3:F8)</f>
        <v>1451425</v>
      </c>
      <c r="G9" s="50">
        <f t="shared" si="0"/>
        <v>89.291207114628406</v>
      </c>
      <c r="H9" s="51">
        <f t="shared" si="1"/>
        <v>88.827967169592156</v>
      </c>
    </row>
    <row r="10" spans="1:13">
      <c r="A10" s="28"/>
      <c r="B10" s="17"/>
      <c r="C10" s="11"/>
      <c r="D10" s="40"/>
      <c r="E10" s="40"/>
      <c r="F10" s="41"/>
      <c r="G10" s="50">
        <f t="shared" si="0"/>
        <v>0</v>
      </c>
      <c r="H10" s="51">
        <f t="shared" si="1"/>
        <v>0</v>
      </c>
    </row>
    <row r="11" spans="1:13">
      <c r="A11" s="33" t="s">
        <v>175</v>
      </c>
      <c r="B11" s="20"/>
      <c r="C11" s="12"/>
      <c r="D11" s="40"/>
      <c r="E11" s="40"/>
      <c r="F11" s="41"/>
      <c r="G11" s="101">
        <f t="shared" si="0"/>
        <v>0</v>
      </c>
      <c r="H11" s="51">
        <f t="shared" si="1"/>
        <v>0</v>
      </c>
    </row>
    <row r="12" spans="1:13">
      <c r="A12" s="57">
        <v>1900</v>
      </c>
      <c r="B12" s="17">
        <v>2143</v>
      </c>
      <c r="C12" s="10" t="s">
        <v>198</v>
      </c>
      <c r="D12" s="9">
        <v>38221</v>
      </c>
      <c r="E12" s="9">
        <v>41873</v>
      </c>
      <c r="F12" s="23">
        <v>41840</v>
      </c>
      <c r="G12" s="48">
        <f t="shared" si="0"/>
        <v>109.46861672902331</v>
      </c>
      <c r="H12" s="49">
        <f t="shared" si="1"/>
        <v>99.921190265803745</v>
      </c>
    </row>
    <row r="13" spans="1:13">
      <c r="A13" s="57">
        <v>1900</v>
      </c>
      <c r="B13" s="17">
        <v>3349</v>
      </c>
      <c r="C13" s="10" t="s">
        <v>59</v>
      </c>
      <c r="D13" s="9">
        <v>16601</v>
      </c>
      <c r="E13" s="9">
        <v>18779</v>
      </c>
      <c r="F13" s="23">
        <v>16015</v>
      </c>
      <c r="G13" s="48">
        <f t="shared" si="0"/>
        <v>96.4700921631227</v>
      </c>
      <c r="H13" s="49">
        <f t="shared" si="1"/>
        <v>85.28143138612279</v>
      </c>
    </row>
    <row r="14" spans="1:13">
      <c r="A14" s="57">
        <v>1900</v>
      </c>
      <c r="B14" s="17">
        <v>3636</v>
      </c>
      <c r="C14" s="10" t="s">
        <v>174</v>
      </c>
      <c r="D14" s="9">
        <v>11410</v>
      </c>
      <c r="E14" s="9">
        <v>11250</v>
      </c>
      <c r="F14" s="23">
        <v>7100</v>
      </c>
      <c r="G14" s="48">
        <f t="shared" si="0"/>
        <v>62.226117440841364</v>
      </c>
      <c r="H14" s="49">
        <f t="shared" si="1"/>
        <v>63.111111111111107</v>
      </c>
      <c r="I14" s="300"/>
    </row>
    <row r="15" spans="1:13">
      <c r="A15" s="57">
        <v>1900</v>
      </c>
      <c r="B15" s="17">
        <v>3809</v>
      </c>
      <c r="C15" s="10" t="s">
        <v>228</v>
      </c>
      <c r="D15" s="9">
        <v>9500</v>
      </c>
      <c r="E15" s="9">
        <v>9500</v>
      </c>
      <c r="F15" s="23">
        <v>9290</v>
      </c>
      <c r="G15" s="48">
        <f>IF(D15&lt;=0,0,$F15/D15*100)</f>
        <v>97.78947368421052</v>
      </c>
      <c r="H15" s="49">
        <f>IF(E15&lt;=0,0,$F15/E15*100)</f>
        <v>97.78947368421052</v>
      </c>
    </row>
    <row r="16" spans="1:13">
      <c r="A16" s="57">
        <v>1900</v>
      </c>
      <c r="B16" s="17">
        <v>6171</v>
      </c>
      <c r="C16" s="10" t="s">
        <v>9</v>
      </c>
      <c r="D16" s="9">
        <v>700</v>
      </c>
      <c r="E16" s="9">
        <v>3563</v>
      </c>
      <c r="F16" s="23">
        <v>3558</v>
      </c>
      <c r="G16" s="48">
        <f t="shared" si="0"/>
        <v>508.28571428571428</v>
      </c>
      <c r="H16" s="49">
        <f t="shared" si="1"/>
        <v>99.85966881841145</v>
      </c>
    </row>
    <row r="17" spans="1:9">
      <c r="A17" s="28" t="s">
        <v>173</v>
      </c>
      <c r="B17" s="17"/>
      <c r="C17" s="10"/>
      <c r="D17" s="40">
        <f>SUBTOTAL(9,D12:D16)</f>
        <v>76432</v>
      </c>
      <c r="E17" s="40">
        <f>SUBTOTAL(9,E12:E16)</f>
        <v>84965</v>
      </c>
      <c r="F17" s="40">
        <f>SUBTOTAL(9,F12:F16)</f>
        <v>77803</v>
      </c>
      <c r="G17" s="50">
        <f t="shared" si="0"/>
        <v>101.79375130835253</v>
      </c>
      <c r="H17" s="51">
        <f t="shared" si="1"/>
        <v>91.570646736891661</v>
      </c>
    </row>
    <row r="18" spans="1:9">
      <c r="A18" s="28"/>
      <c r="B18" s="17"/>
      <c r="C18" s="10"/>
      <c r="D18" s="40"/>
      <c r="E18" s="40"/>
      <c r="F18" s="41"/>
      <c r="G18" s="50">
        <f t="shared" si="0"/>
        <v>0</v>
      </c>
      <c r="H18" s="51">
        <f t="shared" si="1"/>
        <v>0</v>
      </c>
    </row>
    <row r="19" spans="1:9">
      <c r="A19" s="308" t="s">
        <v>37</v>
      </c>
      <c r="B19" s="309"/>
      <c r="C19" s="310"/>
      <c r="D19" s="43"/>
      <c r="E19" s="43"/>
      <c r="F19" s="44"/>
      <c r="G19" s="135">
        <f t="shared" si="0"/>
        <v>0</v>
      </c>
      <c r="H19" s="146">
        <f t="shared" si="1"/>
        <v>0</v>
      </c>
    </row>
    <row r="20" spans="1:9">
      <c r="A20" s="57">
        <v>3200</v>
      </c>
      <c r="B20" s="19">
        <v>2143</v>
      </c>
      <c r="C20" s="10" t="s">
        <v>198</v>
      </c>
      <c r="D20" s="9">
        <v>705</v>
      </c>
      <c r="E20" s="9">
        <v>705</v>
      </c>
      <c r="F20" s="23">
        <v>571</v>
      </c>
      <c r="G20" s="48">
        <f>IF(D20&lt;=0,0,$F20/D20*100)</f>
        <v>80.99290780141844</v>
      </c>
      <c r="H20" s="49">
        <f>IF(E20&lt;=0,0,$F20/E20*100)</f>
        <v>80.99290780141844</v>
      </c>
    </row>
    <row r="21" spans="1:9">
      <c r="A21" s="57">
        <v>3200</v>
      </c>
      <c r="B21" s="19">
        <v>2271</v>
      </c>
      <c r="C21" s="158" t="s">
        <v>20</v>
      </c>
      <c r="D21" s="9">
        <v>1221</v>
      </c>
      <c r="E21" s="9">
        <v>1554</v>
      </c>
      <c r="F21" s="23">
        <v>1208</v>
      </c>
      <c r="G21" s="48">
        <f t="shared" si="0"/>
        <v>98.935298935298931</v>
      </c>
      <c r="H21" s="49">
        <f t="shared" si="1"/>
        <v>77.734877734877742</v>
      </c>
    </row>
    <row r="22" spans="1:9">
      <c r="A22" s="57">
        <v>3200</v>
      </c>
      <c r="B22" s="19">
        <v>3299</v>
      </c>
      <c r="C22" s="158" t="s">
        <v>297</v>
      </c>
      <c r="D22" s="9"/>
      <c r="E22" s="9">
        <v>215</v>
      </c>
      <c r="F22" s="23">
        <v>97</v>
      </c>
      <c r="G22" s="48"/>
      <c r="H22" s="49">
        <f t="shared" si="1"/>
        <v>45.116279069767437</v>
      </c>
    </row>
    <row r="23" spans="1:9">
      <c r="A23" s="57">
        <v>3200</v>
      </c>
      <c r="B23" s="19">
        <v>3349</v>
      </c>
      <c r="C23" s="10" t="s">
        <v>59</v>
      </c>
      <c r="D23" s="9">
        <v>3168</v>
      </c>
      <c r="E23" s="9">
        <v>3168</v>
      </c>
      <c r="F23" s="23">
        <v>2456</v>
      </c>
      <c r="G23" s="48">
        <f>IF(D23&lt;=0,0,$F23/D23*100)</f>
        <v>77.525252525252526</v>
      </c>
      <c r="H23" s="49">
        <f>IF(E23&lt;=0,0,$F23/E23*100)</f>
        <v>77.525252525252526</v>
      </c>
    </row>
    <row r="24" spans="1:9">
      <c r="A24" s="57">
        <v>3200</v>
      </c>
      <c r="B24" s="19">
        <v>3429</v>
      </c>
      <c r="C24" s="8" t="s">
        <v>60</v>
      </c>
      <c r="D24" s="9">
        <v>64</v>
      </c>
      <c r="E24" s="9">
        <v>64</v>
      </c>
      <c r="F24" s="23">
        <v>39</v>
      </c>
      <c r="G24" s="48">
        <f t="shared" ref="G24:H32" si="2">IF(D24&lt;=0,0,$F24/D24*100)</f>
        <v>60.9375</v>
      </c>
      <c r="H24" s="49">
        <f t="shared" si="2"/>
        <v>60.9375</v>
      </c>
    </row>
    <row r="25" spans="1:9">
      <c r="A25" s="57">
        <v>3200</v>
      </c>
      <c r="B25" s="17">
        <v>3635</v>
      </c>
      <c r="C25" s="8" t="s">
        <v>75</v>
      </c>
      <c r="D25" s="9">
        <v>656</v>
      </c>
      <c r="E25" s="9">
        <v>881</v>
      </c>
      <c r="F25" s="23">
        <v>757</v>
      </c>
      <c r="G25" s="48">
        <f t="shared" si="2"/>
        <v>115.39634146341464</v>
      </c>
      <c r="H25" s="49">
        <f t="shared" si="2"/>
        <v>85.925085130533489</v>
      </c>
    </row>
    <row r="26" spans="1:9">
      <c r="A26" s="57">
        <v>3200</v>
      </c>
      <c r="B26" s="17">
        <v>3636</v>
      </c>
      <c r="C26" s="10" t="s">
        <v>174</v>
      </c>
      <c r="D26" s="9">
        <v>4504</v>
      </c>
      <c r="E26" s="9">
        <v>4754</v>
      </c>
      <c r="F26" s="23">
        <v>4522</v>
      </c>
      <c r="G26" s="48">
        <f t="shared" si="2"/>
        <v>100.39964476021315</v>
      </c>
      <c r="H26" s="49">
        <f t="shared" si="2"/>
        <v>95.119899032393775</v>
      </c>
    </row>
    <row r="27" spans="1:9">
      <c r="A27" s="57">
        <v>3200</v>
      </c>
      <c r="B27" s="17">
        <v>3727</v>
      </c>
      <c r="C27" s="10" t="s">
        <v>231</v>
      </c>
      <c r="D27" s="9">
        <v>646</v>
      </c>
      <c r="E27" s="9">
        <v>806</v>
      </c>
      <c r="F27" s="23">
        <v>682</v>
      </c>
      <c r="G27" s="48">
        <f t="shared" si="2"/>
        <v>105.57275541795666</v>
      </c>
      <c r="H27" s="49">
        <f t="shared" si="2"/>
        <v>84.615384615384613</v>
      </c>
    </row>
    <row r="28" spans="1:9">
      <c r="A28" s="57">
        <v>3200</v>
      </c>
      <c r="B28" s="17">
        <v>5319</v>
      </c>
      <c r="C28" s="15" t="s">
        <v>216</v>
      </c>
      <c r="D28" s="9"/>
      <c r="E28" s="9">
        <v>160</v>
      </c>
      <c r="F28" s="23">
        <v>160</v>
      </c>
      <c r="G28" s="48"/>
      <c r="H28" s="49">
        <f t="shared" si="2"/>
        <v>100</v>
      </c>
    </row>
    <row r="29" spans="1:9">
      <c r="A29" s="57">
        <v>3200</v>
      </c>
      <c r="B29" s="19">
        <v>5511</v>
      </c>
      <c r="C29" s="8" t="s">
        <v>259</v>
      </c>
      <c r="D29" s="9">
        <v>3000</v>
      </c>
      <c r="E29" s="9">
        <v>3000</v>
      </c>
      <c r="F29" s="23">
        <v>3000</v>
      </c>
      <c r="G29" s="48">
        <f t="shared" si="2"/>
        <v>100</v>
      </c>
      <c r="H29" s="49">
        <f t="shared" si="2"/>
        <v>100</v>
      </c>
    </row>
    <row r="30" spans="1:9">
      <c r="A30" s="57">
        <v>3200</v>
      </c>
      <c r="B30" s="19">
        <v>6112</v>
      </c>
      <c r="C30" s="8" t="s">
        <v>61</v>
      </c>
      <c r="D30" s="9">
        <v>21032</v>
      </c>
      <c r="E30" s="9">
        <v>21032</v>
      </c>
      <c r="F30" s="23">
        <v>18013</v>
      </c>
      <c r="G30" s="48">
        <f t="shared" si="2"/>
        <v>85.645682769113733</v>
      </c>
      <c r="H30" s="49">
        <f t="shared" si="2"/>
        <v>85.645682769113733</v>
      </c>
    </row>
    <row r="31" spans="1:9">
      <c r="A31" s="57">
        <v>3200</v>
      </c>
      <c r="B31" s="19">
        <v>6115</v>
      </c>
      <c r="C31" s="8" t="s">
        <v>298</v>
      </c>
      <c r="D31" s="9"/>
      <c r="E31" s="9">
        <v>63</v>
      </c>
      <c r="F31" s="23">
        <v>90</v>
      </c>
      <c r="G31" s="48"/>
      <c r="H31" s="49">
        <f t="shared" si="2"/>
        <v>142.85714285714286</v>
      </c>
      <c r="I31" s="300"/>
    </row>
    <row r="32" spans="1:9">
      <c r="A32" s="57">
        <v>3200</v>
      </c>
      <c r="B32" s="19">
        <v>6171</v>
      </c>
      <c r="C32" s="15" t="s">
        <v>26</v>
      </c>
      <c r="D32" s="9">
        <v>572883</v>
      </c>
      <c r="E32" s="9">
        <v>590150</v>
      </c>
      <c r="F32" s="23">
        <v>564185</v>
      </c>
      <c r="G32" s="48">
        <f t="shared" si="2"/>
        <v>98.481714416381706</v>
      </c>
      <c r="H32" s="49">
        <f t="shared" si="2"/>
        <v>95.600271117512492</v>
      </c>
    </row>
    <row r="33" spans="1:8">
      <c r="A33" s="57">
        <v>3200</v>
      </c>
      <c r="B33" s="19">
        <v>6223</v>
      </c>
      <c r="C33" s="8" t="s">
        <v>260</v>
      </c>
      <c r="D33" s="9">
        <v>8410</v>
      </c>
      <c r="E33" s="9">
        <v>9110</v>
      </c>
      <c r="F33" s="23">
        <v>7218</v>
      </c>
      <c r="G33" s="48">
        <f>IF(D33&lt;=0,0,$F33/D33*100)</f>
        <v>85.826397146254465</v>
      </c>
      <c r="H33" s="49">
        <f>IF(E33&lt;=0,0,$F33/E33*100)</f>
        <v>79.231613611416023</v>
      </c>
    </row>
    <row r="34" spans="1:8">
      <c r="A34" s="57">
        <v>3200</v>
      </c>
      <c r="B34" s="19">
        <v>6399</v>
      </c>
      <c r="C34" s="8" t="s">
        <v>84</v>
      </c>
      <c r="D34" s="9"/>
      <c r="E34" s="9"/>
      <c r="F34" s="23">
        <v>293</v>
      </c>
      <c r="G34" s="48"/>
      <c r="H34" s="49"/>
    </row>
    <row r="35" spans="1:8">
      <c r="A35" s="57">
        <v>3200</v>
      </c>
      <c r="B35" s="19">
        <v>6409</v>
      </c>
      <c r="C35" s="8" t="s">
        <v>39</v>
      </c>
      <c r="D35" s="9"/>
      <c r="E35" s="9">
        <v>80</v>
      </c>
      <c r="F35" s="23">
        <v>80</v>
      </c>
      <c r="G35" s="48">
        <f>IF(D35&lt;=0,0,$F35/D35*100)</f>
        <v>0</v>
      </c>
      <c r="H35" s="49">
        <f>IF(E35&lt;=0,0,$F35/E35*100)</f>
        <v>100</v>
      </c>
    </row>
    <row r="36" spans="1:8">
      <c r="A36" s="32" t="s">
        <v>34</v>
      </c>
      <c r="B36" s="19"/>
      <c r="C36" s="8"/>
      <c r="D36" s="40">
        <f>SUBTOTAL(9,D20:D35)</f>
        <v>616289</v>
      </c>
      <c r="E36" s="40">
        <f>SUBTOTAL(9,E20:E35)</f>
        <v>635742</v>
      </c>
      <c r="F36" s="40">
        <f>SUBTOTAL(9,F20:F35)</f>
        <v>603371</v>
      </c>
      <c r="G36" s="50">
        <f t="shared" ref="G36:G66" si="3">IF(D36&lt;=0,0,$F36/D36*100)</f>
        <v>97.903905472919362</v>
      </c>
      <c r="H36" s="51">
        <f t="shared" ref="H36:H66" si="4">IF(E36&lt;=0,0,$F36/E36*100)</f>
        <v>94.908154565845891</v>
      </c>
    </row>
    <row r="37" spans="1:8">
      <c r="A37" s="32"/>
      <c r="B37" s="19"/>
      <c r="C37" s="8"/>
      <c r="D37" s="40"/>
      <c r="E37" s="40"/>
      <c r="F37" s="41"/>
      <c r="G37" s="50">
        <f t="shared" si="3"/>
        <v>0</v>
      </c>
      <c r="H37" s="51">
        <f t="shared" si="4"/>
        <v>0</v>
      </c>
    </row>
    <row r="38" spans="1:8">
      <c r="A38" s="33" t="s">
        <v>62</v>
      </c>
      <c r="B38" s="20"/>
      <c r="C38" s="12"/>
      <c r="D38" s="40"/>
      <c r="E38" s="40"/>
      <c r="F38" s="41"/>
      <c r="G38" s="50">
        <f t="shared" si="3"/>
        <v>0</v>
      </c>
      <c r="H38" s="51">
        <f t="shared" si="4"/>
        <v>0</v>
      </c>
    </row>
    <row r="39" spans="1:8">
      <c r="A39" s="57">
        <v>3600</v>
      </c>
      <c r="B39" s="17">
        <v>5212</v>
      </c>
      <c r="C39" s="154" t="s">
        <v>265</v>
      </c>
      <c r="D39" s="9">
        <v>500</v>
      </c>
      <c r="E39" s="9">
        <v>500</v>
      </c>
      <c r="F39" s="23">
        <v>6</v>
      </c>
      <c r="G39" s="48">
        <f>IF(D39&lt;=0,0,$F39/D39*100)</f>
        <v>1.2</v>
      </c>
      <c r="H39" s="49">
        <f>IF(E39&lt;=0,0,$F39/E39*100)</f>
        <v>1.2</v>
      </c>
    </row>
    <row r="40" spans="1:8">
      <c r="A40" s="57">
        <v>3600</v>
      </c>
      <c r="B40" s="17">
        <v>5269</v>
      </c>
      <c r="C40" s="10" t="s">
        <v>267</v>
      </c>
      <c r="D40" s="9">
        <v>200</v>
      </c>
      <c r="E40" s="9">
        <v>200</v>
      </c>
      <c r="F40" s="23"/>
      <c r="G40" s="48">
        <f>IF(D40&lt;=0,0,$F40/D40*100)</f>
        <v>0</v>
      </c>
      <c r="H40" s="49">
        <f>IF(E40&lt;=0,0,$F40/E40*100)</f>
        <v>0</v>
      </c>
    </row>
    <row r="41" spans="1:8">
      <c r="A41" s="57">
        <v>3600</v>
      </c>
      <c r="B41" s="17">
        <v>5273</v>
      </c>
      <c r="C41" s="10" t="s">
        <v>268</v>
      </c>
      <c r="D41" s="9">
        <v>300</v>
      </c>
      <c r="E41" s="9">
        <v>300</v>
      </c>
      <c r="F41" s="23"/>
      <c r="G41" s="48">
        <f t="shared" si="3"/>
        <v>0</v>
      </c>
      <c r="H41" s="49">
        <f t="shared" si="4"/>
        <v>0</v>
      </c>
    </row>
    <row r="42" spans="1:8">
      <c r="A42" s="28" t="s">
        <v>63</v>
      </c>
      <c r="B42" s="17"/>
      <c r="C42" s="10"/>
      <c r="D42" s="40">
        <f>SUBTOTAL(9,D39:D41)</f>
        <v>1000</v>
      </c>
      <c r="E42" s="40">
        <f>SUBTOTAL(9,E39:E41)</f>
        <v>1000</v>
      </c>
      <c r="F42" s="41">
        <f>SUBTOTAL(9,F39:F41)</f>
        <v>6</v>
      </c>
      <c r="G42" s="50">
        <f t="shared" si="3"/>
        <v>0.6</v>
      </c>
      <c r="H42" s="51">
        <f t="shared" si="4"/>
        <v>0.6</v>
      </c>
    </row>
    <row r="43" spans="1:8">
      <c r="A43" s="28"/>
      <c r="B43" s="17"/>
      <c r="C43" s="10"/>
      <c r="D43" s="40"/>
      <c r="E43" s="40"/>
      <c r="F43" s="41"/>
      <c r="G43" s="50">
        <f t="shared" si="3"/>
        <v>0</v>
      </c>
      <c r="H43" s="51">
        <f t="shared" si="4"/>
        <v>0</v>
      </c>
    </row>
    <row r="44" spans="1:8">
      <c r="A44" s="34" t="s">
        <v>57</v>
      </c>
      <c r="B44" s="5"/>
      <c r="C44" s="15"/>
      <c r="D44" s="40"/>
      <c r="E44" s="40"/>
      <c r="F44" s="41"/>
      <c r="G44" s="50">
        <f t="shared" si="3"/>
        <v>0</v>
      </c>
      <c r="H44" s="51">
        <f t="shared" si="4"/>
        <v>0</v>
      </c>
    </row>
    <row r="45" spans="1:8">
      <c r="A45" s="57">
        <v>3900</v>
      </c>
      <c r="B45" s="17">
        <v>6211</v>
      </c>
      <c r="C45" s="10" t="s">
        <v>58</v>
      </c>
      <c r="D45" s="9">
        <v>1872</v>
      </c>
      <c r="E45" s="9">
        <v>1872</v>
      </c>
      <c r="F45" s="23">
        <v>1653</v>
      </c>
      <c r="G45" s="48">
        <f t="shared" si="3"/>
        <v>88.301282051282044</v>
      </c>
      <c r="H45" s="49">
        <f t="shared" si="4"/>
        <v>88.301282051282044</v>
      </c>
    </row>
    <row r="46" spans="1:8">
      <c r="A46" s="91" t="s">
        <v>220</v>
      </c>
      <c r="B46" s="92"/>
      <c r="C46" s="93"/>
      <c r="D46" s="75">
        <f>SUBTOTAL(9,D45:D45)</f>
        <v>1872</v>
      </c>
      <c r="E46" s="75">
        <f>SUBTOTAL(9,E45:E45)</f>
        <v>1872</v>
      </c>
      <c r="F46" s="76">
        <f>SUBTOTAL(9,F45:F45)</f>
        <v>1653</v>
      </c>
      <c r="G46" s="77">
        <f t="shared" si="3"/>
        <v>88.301282051282044</v>
      </c>
      <c r="H46" s="78">
        <f t="shared" si="4"/>
        <v>88.301282051282044</v>
      </c>
    </row>
    <row r="47" spans="1:8">
      <c r="A47" s="28"/>
      <c r="B47" s="17"/>
      <c r="C47" s="10"/>
      <c r="D47" s="40"/>
      <c r="E47" s="40"/>
      <c r="F47" s="41"/>
      <c r="G47" s="50">
        <f t="shared" si="3"/>
        <v>0</v>
      </c>
      <c r="H47" s="51">
        <f t="shared" si="4"/>
        <v>0</v>
      </c>
    </row>
    <row r="48" spans="1:8">
      <c r="A48" s="34" t="s">
        <v>86</v>
      </c>
      <c r="B48" s="5"/>
      <c r="C48" s="15"/>
      <c r="D48" s="40"/>
      <c r="E48" s="40"/>
      <c r="F48" s="41"/>
      <c r="G48" s="50">
        <f t="shared" si="3"/>
        <v>0</v>
      </c>
      <c r="H48" s="51">
        <f t="shared" si="4"/>
        <v>0</v>
      </c>
    </row>
    <row r="49" spans="1:9">
      <c r="A49" s="58">
        <v>4100</v>
      </c>
      <c r="B49" s="5">
        <v>2143</v>
      </c>
      <c r="C49" s="15" t="s">
        <v>198</v>
      </c>
      <c r="D49" s="6">
        <v>4440</v>
      </c>
      <c r="E49" s="6">
        <v>4743</v>
      </c>
      <c r="F49" s="25">
        <v>4684</v>
      </c>
      <c r="G49" s="48">
        <f t="shared" si="3"/>
        <v>105.4954954954955</v>
      </c>
      <c r="H49" s="49">
        <f t="shared" si="4"/>
        <v>98.756061564410714</v>
      </c>
    </row>
    <row r="50" spans="1:9">
      <c r="A50" s="58">
        <v>4100</v>
      </c>
      <c r="B50" s="5">
        <v>2219</v>
      </c>
      <c r="C50" s="12" t="s">
        <v>55</v>
      </c>
      <c r="D50" s="6">
        <v>550</v>
      </c>
      <c r="E50" s="6">
        <v>1025</v>
      </c>
      <c r="F50" s="25">
        <v>864</v>
      </c>
      <c r="G50" s="48">
        <f t="shared" si="3"/>
        <v>157.09090909090909</v>
      </c>
      <c r="H50" s="49">
        <f t="shared" si="4"/>
        <v>84.292682926829272</v>
      </c>
    </row>
    <row r="51" spans="1:9">
      <c r="A51" s="58">
        <v>4100</v>
      </c>
      <c r="B51" s="5">
        <v>2229</v>
      </c>
      <c r="C51" s="15" t="s">
        <v>235</v>
      </c>
      <c r="D51" s="6">
        <v>300</v>
      </c>
      <c r="E51" s="6">
        <v>406</v>
      </c>
      <c r="F51" s="25">
        <v>405</v>
      </c>
      <c r="G51" s="48">
        <f t="shared" si="3"/>
        <v>135</v>
      </c>
      <c r="H51" s="49">
        <f t="shared" si="4"/>
        <v>99.753694581280783</v>
      </c>
    </row>
    <row r="52" spans="1:9">
      <c r="A52" s="58">
        <v>4100</v>
      </c>
      <c r="B52" s="5">
        <v>3113</v>
      </c>
      <c r="C52" s="10" t="s">
        <v>23</v>
      </c>
      <c r="D52" s="6">
        <v>400</v>
      </c>
      <c r="E52" s="6">
        <v>4926</v>
      </c>
      <c r="F52" s="25">
        <v>4707</v>
      </c>
      <c r="G52" s="48">
        <f t="shared" si="3"/>
        <v>1176.75</v>
      </c>
      <c r="H52" s="49">
        <f t="shared" si="4"/>
        <v>95.55420219244823</v>
      </c>
    </row>
    <row r="53" spans="1:9">
      <c r="A53" s="58">
        <v>4100</v>
      </c>
      <c r="B53" s="5">
        <v>3315</v>
      </c>
      <c r="C53" s="15" t="s">
        <v>95</v>
      </c>
      <c r="D53" s="6">
        <v>800</v>
      </c>
      <c r="E53" s="6">
        <v>800</v>
      </c>
      <c r="F53" s="25">
        <v>761</v>
      </c>
      <c r="G53" s="48">
        <f t="shared" si="3"/>
        <v>95.125</v>
      </c>
      <c r="H53" s="49">
        <f t="shared" si="4"/>
        <v>95.125</v>
      </c>
    </row>
    <row r="54" spans="1:9">
      <c r="A54" s="58">
        <v>4100</v>
      </c>
      <c r="B54" s="5">
        <v>3319</v>
      </c>
      <c r="C54" s="15" t="s">
        <v>49</v>
      </c>
      <c r="D54" s="6">
        <v>2497</v>
      </c>
      <c r="E54" s="6">
        <v>2802</v>
      </c>
      <c r="F54" s="25">
        <v>2110</v>
      </c>
      <c r="G54" s="48">
        <f t="shared" si="3"/>
        <v>84.501401682018411</v>
      </c>
      <c r="H54" s="49">
        <f t="shared" si="4"/>
        <v>75.303354746609557</v>
      </c>
    </row>
    <row r="55" spans="1:9">
      <c r="A55" s="58">
        <v>4100</v>
      </c>
      <c r="B55" s="5">
        <v>3322</v>
      </c>
      <c r="C55" s="15" t="s">
        <v>28</v>
      </c>
      <c r="D55" s="6">
        <v>100</v>
      </c>
      <c r="E55" s="6">
        <v>100</v>
      </c>
      <c r="F55" s="25"/>
      <c r="G55" s="48">
        <f t="shared" si="3"/>
        <v>0</v>
      </c>
      <c r="H55" s="49">
        <f t="shared" si="4"/>
        <v>0</v>
      </c>
    </row>
    <row r="56" spans="1:9">
      <c r="A56" s="58">
        <v>4100</v>
      </c>
      <c r="B56" s="5">
        <v>3326</v>
      </c>
      <c r="C56" s="15" t="s">
        <v>177</v>
      </c>
      <c r="D56" s="6">
        <v>100</v>
      </c>
      <c r="E56" s="6">
        <v>135</v>
      </c>
      <c r="F56" s="25"/>
      <c r="G56" s="48">
        <f t="shared" si="3"/>
        <v>0</v>
      </c>
      <c r="H56" s="49">
        <f t="shared" si="4"/>
        <v>0</v>
      </c>
    </row>
    <row r="57" spans="1:9">
      <c r="A57" s="58">
        <v>4100</v>
      </c>
      <c r="B57" s="5">
        <v>3412</v>
      </c>
      <c r="C57" s="15" t="s">
        <v>224</v>
      </c>
      <c r="D57" s="6">
        <v>200</v>
      </c>
      <c r="E57" s="6">
        <v>200</v>
      </c>
      <c r="F57" s="25">
        <v>162</v>
      </c>
      <c r="G57" s="48">
        <f>IF(D57&lt;=0,0,$F57/D57*100)</f>
        <v>81</v>
      </c>
      <c r="H57" s="49">
        <f>IF(E57&lt;=0,0,$F57/E57*100)</f>
        <v>81</v>
      </c>
    </row>
    <row r="58" spans="1:9">
      <c r="A58" s="58">
        <v>4100</v>
      </c>
      <c r="B58" s="5">
        <v>3421</v>
      </c>
      <c r="C58" s="10" t="s">
        <v>98</v>
      </c>
      <c r="D58" s="6">
        <v>200</v>
      </c>
      <c r="E58" s="6">
        <v>2108</v>
      </c>
      <c r="F58" s="25">
        <v>1908</v>
      </c>
      <c r="G58" s="48">
        <f t="shared" si="3"/>
        <v>953.99999999999989</v>
      </c>
      <c r="H58" s="49">
        <f t="shared" si="4"/>
        <v>90.512333965844405</v>
      </c>
    </row>
    <row r="59" spans="1:9">
      <c r="A59" s="58">
        <v>4100</v>
      </c>
      <c r="B59" s="5">
        <v>3612</v>
      </c>
      <c r="C59" s="10" t="s">
        <v>12</v>
      </c>
      <c r="D59" s="6"/>
      <c r="E59" s="6">
        <v>100</v>
      </c>
      <c r="F59" s="25">
        <v>97</v>
      </c>
      <c r="G59" s="48"/>
      <c r="H59" s="49">
        <f t="shared" si="4"/>
        <v>97</v>
      </c>
    </row>
    <row r="60" spans="1:9">
      <c r="A60" s="58">
        <v>4100</v>
      </c>
      <c r="B60" s="20">
        <v>3635</v>
      </c>
      <c r="C60" s="12" t="s">
        <v>75</v>
      </c>
      <c r="D60" s="13">
        <v>12404</v>
      </c>
      <c r="E60" s="13">
        <v>9604</v>
      </c>
      <c r="F60" s="26">
        <v>3871</v>
      </c>
      <c r="G60" s="48">
        <f t="shared" si="3"/>
        <v>31.207674943566595</v>
      </c>
      <c r="H60" s="49">
        <f t="shared" si="4"/>
        <v>40.306122448979593</v>
      </c>
      <c r="I60" s="300"/>
    </row>
    <row r="61" spans="1:9">
      <c r="A61" s="58">
        <v>4100</v>
      </c>
      <c r="B61" s="20">
        <v>3636</v>
      </c>
      <c r="C61" s="10" t="s">
        <v>174</v>
      </c>
      <c r="D61" s="13">
        <v>3510</v>
      </c>
      <c r="E61" s="13">
        <v>3583</v>
      </c>
      <c r="F61" s="26">
        <v>1519</v>
      </c>
      <c r="G61" s="48">
        <f t="shared" si="3"/>
        <v>43.276353276353277</v>
      </c>
      <c r="H61" s="49">
        <f t="shared" si="4"/>
        <v>42.394641361987162</v>
      </c>
      <c r="I61" s="300"/>
    </row>
    <row r="62" spans="1:9">
      <c r="A62" s="58">
        <v>4100</v>
      </c>
      <c r="B62" s="20">
        <v>3639</v>
      </c>
      <c r="C62" s="12" t="s">
        <v>42</v>
      </c>
      <c r="D62" s="13">
        <v>12450</v>
      </c>
      <c r="E62" s="13">
        <v>3793</v>
      </c>
      <c r="F62" s="26">
        <v>2491</v>
      </c>
      <c r="G62" s="48">
        <f t="shared" si="3"/>
        <v>20.008032128514056</v>
      </c>
      <c r="H62" s="49">
        <f t="shared" si="4"/>
        <v>65.673609280253103</v>
      </c>
      <c r="I62" s="300"/>
    </row>
    <row r="63" spans="1:9">
      <c r="A63" s="58">
        <v>4100</v>
      </c>
      <c r="B63" s="20">
        <v>3743</v>
      </c>
      <c r="C63" s="12" t="s">
        <v>280</v>
      </c>
      <c r="D63" s="13"/>
      <c r="E63" s="13">
        <v>17</v>
      </c>
      <c r="F63" s="26">
        <v>16</v>
      </c>
      <c r="G63" s="48"/>
      <c r="H63" s="49">
        <f t="shared" si="4"/>
        <v>94.117647058823522</v>
      </c>
    </row>
    <row r="64" spans="1:9">
      <c r="A64" s="58">
        <v>4100</v>
      </c>
      <c r="B64" s="20">
        <v>3745</v>
      </c>
      <c r="C64" s="120" t="s">
        <v>2</v>
      </c>
      <c r="D64" s="13">
        <v>9840</v>
      </c>
      <c r="E64" s="13">
        <v>14548</v>
      </c>
      <c r="F64" s="26">
        <v>13616</v>
      </c>
      <c r="G64" s="48">
        <f t="shared" si="3"/>
        <v>138.3739837398374</v>
      </c>
      <c r="H64" s="49">
        <f t="shared" si="4"/>
        <v>93.593621116304647</v>
      </c>
    </row>
    <row r="65" spans="1:9">
      <c r="A65" s="58">
        <v>4100</v>
      </c>
      <c r="B65" s="20">
        <v>4341</v>
      </c>
      <c r="C65" s="12" t="s">
        <v>90</v>
      </c>
      <c r="D65" s="13">
        <v>95</v>
      </c>
      <c r="E65" s="13">
        <v>95</v>
      </c>
      <c r="F65" s="26">
        <v>83</v>
      </c>
      <c r="G65" s="48">
        <f t="shared" si="3"/>
        <v>87.368421052631589</v>
      </c>
      <c r="H65" s="49">
        <f t="shared" si="4"/>
        <v>87.368421052631589</v>
      </c>
    </row>
    <row r="66" spans="1:9">
      <c r="A66" s="58">
        <v>4100</v>
      </c>
      <c r="B66" s="20">
        <v>6171</v>
      </c>
      <c r="C66" s="15" t="s">
        <v>26</v>
      </c>
      <c r="D66" s="13">
        <v>1140</v>
      </c>
      <c r="E66" s="13">
        <v>4962</v>
      </c>
      <c r="F66" s="26">
        <v>2908</v>
      </c>
      <c r="G66" s="48">
        <f t="shared" si="3"/>
        <v>255.08771929824562</v>
      </c>
      <c r="H66" s="49">
        <f t="shared" si="4"/>
        <v>58.605401047964534</v>
      </c>
      <c r="I66" s="300"/>
    </row>
    <row r="67" spans="1:9">
      <c r="A67" s="34" t="s">
        <v>211</v>
      </c>
      <c r="B67" s="5"/>
      <c r="C67" s="15"/>
      <c r="D67" s="40">
        <f>SUBTOTAL(9,D49:D66)</f>
        <v>49026</v>
      </c>
      <c r="E67" s="40">
        <f>SUBTOTAL(9,E49:E66)</f>
        <v>53947</v>
      </c>
      <c r="F67" s="40">
        <f>SUBTOTAL(9,F49:F66)</f>
        <v>40202</v>
      </c>
      <c r="G67" s="50">
        <f t="shared" ref="G67:H80" si="5">IF(D67&lt;=0,0,$F67/D67*100)</f>
        <v>82.001387019132707</v>
      </c>
      <c r="H67" s="51">
        <f t="shared" si="5"/>
        <v>74.521289413683803</v>
      </c>
    </row>
    <row r="68" spans="1:9">
      <c r="A68" s="28"/>
      <c r="B68" s="17"/>
      <c r="C68" s="10"/>
      <c r="D68" s="40"/>
      <c r="E68" s="40"/>
      <c r="F68" s="41"/>
      <c r="G68" s="50">
        <f t="shared" si="5"/>
        <v>0</v>
      </c>
      <c r="H68" s="51">
        <f t="shared" si="5"/>
        <v>0</v>
      </c>
    </row>
    <row r="69" spans="1:9">
      <c r="A69" s="28" t="s">
        <v>4</v>
      </c>
      <c r="B69" s="17"/>
      <c r="C69" s="11"/>
      <c r="D69" s="40"/>
      <c r="E69" s="40"/>
      <c r="F69" s="41"/>
      <c r="G69" s="50">
        <f t="shared" si="5"/>
        <v>0</v>
      </c>
      <c r="H69" s="51">
        <f t="shared" si="5"/>
        <v>0</v>
      </c>
    </row>
    <row r="70" spans="1:9">
      <c r="A70" s="57">
        <v>4200</v>
      </c>
      <c r="B70" s="17">
        <v>1014</v>
      </c>
      <c r="C70" s="10" t="s">
        <v>66</v>
      </c>
      <c r="D70" s="9">
        <v>150</v>
      </c>
      <c r="E70" s="9">
        <v>150</v>
      </c>
      <c r="F70" s="23">
        <v>114</v>
      </c>
      <c r="G70" s="48">
        <f t="shared" si="5"/>
        <v>76</v>
      </c>
      <c r="H70" s="49">
        <f t="shared" si="5"/>
        <v>76</v>
      </c>
    </row>
    <row r="71" spans="1:9">
      <c r="A71" s="57">
        <v>4200</v>
      </c>
      <c r="B71" s="17">
        <v>3632</v>
      </c>
      <c r="C71" s="10" t="s">
        <v>1</v>
      </c>
      <c r="D71" s="9">
        <v>24749</v>
      </c>
      <c r="E71" s="9">
        <v>27153</v>
      </c>
      <c r="F71" s="23">
        <v>26509</v>
      </c>
      <c r="G71" s="48">
        <f t="shared" si="5"/>
        <v>107.11139844034103</v>
      </c>
      <c r="H71" s="49">
        <f t="shared" si="5"/>
        <v>97.628254704820833</v>
      </c>
    </row>
    <row r="72" spans="1:9">
      <c r="A72" s="57">
        <v>4200</v>
      </c>
      <c r="B72" s="17">
        <v>3716</v>
      </c>
      <c r="C72" s="10" t="s">
        <v>67</v>
      </c>
      <c r="D72" s="9">
        <v>2828</v>
      </c>
      <c r="E72" s="9">
        <v>2828</v>
      </c>
      <c r="F72" s="23">
        <v>2437</v>
      </c>
      <c r="G72" s="48">
        <f t="shared" si="5"/>
        <v>86.173974540311178</v>
      </c>
      <c r="H72" s="49">
        <f t="shared" si="5"/>
        <v>86.173974540311178</v>
      </c>
    </row>
    <row r="73" spans="1:9">
      <c r="A73" s="57">
        <v>4200</v>
      </c>
      <c r="B73" s="17">
        <v>3722</v>
      </c>
      <c r="C73" s="10" t="s">
        <v>68</v>
      </c>
      <c r="D73" s="9">
        <v>193108</v>
      </c>
      <c r="E73" s="9">
        <v>181466</v>
      </c>
      <c r="F73" s="23">
        <v>179525</v>
      </c>
      <c r="G73" s="48">
        <f t="shared" si="5"/>
        <v>92.966112227354643</v>
      </c>
      <c r="H73" s="49">
        <f t="shared" si="5"/>
        <v>98.930378142461947</v>
      </c>
    </row>
    <row r="74" spans="1:9">
      <c r="A74" s="57">
        <v>4200</v>
      </c>
      <c r="B74" s="17">
        <v>3725</v>
      </c>
      <c r="C74" s="10" t="s">
        <v>69</v>
      </c>
      <c r="D74" s="9">
        <v>182873</v>
      </c>
      <c r="E74" s="9">
        <v>172365</v>
      </c>
      <c r="F74" s="23">
        <v>120832</v>
      </c>
      <c r="G74" s="48">
        <f t="shared" si="5"/>
        <v>66.074270121887864</v>
      </c>
      <c r="H74" s="49">
        <f t="shared" si="5"/>
        <v>70.102398978911026</v>
      </c>
    </row>
    <row r="75" spans="1:9">
      <c r="A75" s="57">
        <v>4200</v>
      </c>
      <c r="B75" s="17">
        <v>3727</v>
      </c>
      <c r="C75" s="10" t="s">
        <v>231</v>
      </c>
      <c r="D75" s="9">
        <v>1140</v>
      </c>
      <c r="E75" s="9">
        <v>2350</v>
      </c>
      <c r="F75" s="23">
        <v>1942</v>
      </c>
      <c r="G75" s="48">
        <f t="shared" si="5"/>
        <v>170.35087719298247</v>
      </c>
      <c r="H75" s="49">
        <f t="shared" si="5"/>
        <v>82.638297872340431</v>
      </c>
      <c r="I75" s="302"/>
    </row>
    <row r="76" spans="1:9">
      <c r="A76" s="57">
        <v>4200</v>
      </c>
      <c r="B76" s="17">
        <v>3729</v>
      </c>
      <c r="C76" s="10" t="s">
        <v>70</v>
      </c>
      <c r="D76" s="9">
        <v>3510</v>
      </c>
      <c r="E76" s="9">
        <v>3510</v>
      </c>
      <c r="F76" s="23">
        <v>926</v>
      </c>
      <c r="G76" s="48">
        <f t="shared" si="5"/>
        <v>26.381766381766379</v>
      </c>
      <c r="H76" s="49">
        <f t="shared" si="5"/>
        <v>26.381766381766379</v>
      </c>
    </row>
    <row r="77" spans="1:9">
      <c r="A77" s="57">
        <v>4200</v>
      </c>
      <c r="B77" s="17">
        <v>3733</v>
      </c>
      <c r="C77" s="10" t="s">
        <v>71</v>
      </c>
      <c r="D77" s="9">
        <v>642</v>
      </c>
      <c r="E77" s="9">
        <v>642</v>
      </c>
      <c r="F77" s="23">
        <v>525</v>
      </c>
      <c r="G77" s="48">
        <f t="shared" si="5"/>
        <v>81.775700934579447</v>
      </c>
      <c r="H77" s="49">
        <f t="shared" si="5"/>
        <v>81.775700934579447</v>
      </c>
    </row>
    <row r="78" spans="1:9">
      <c r="A78" s="57">
        <v>4200</v>
      </c>
      <c r="B78" s="17">
        <v>3739</v>
      </c>
      <c r="C78" s="10" t="s">
        <v>72</v>
      </c>
      <c r="D78" s="9">
        <v>910</v>
      </c>
      <c r="E78" s="9">
        <v>910</v>
      </c>
      <c r="F78" s="23">
        <v>451</v>
      </c>
      <c r="G78" s="48">
        <f t="shared" si="5"/>
        <v>49.560439560439562</v>
      </c>
      <c r="H78" s="49">
        <f t="shared" si="5"/>
        <v>49.560439560439562</v>
      </c>
    </row>
    <row r="79" spans="1:9">
      <c r="A79" s="57">
        <v>4200</v>
      </c>
      <c r="B79" s="17">
        <v>3741</v>
      </c>
      <c r="C79" s="10" t="s">
        <v>6</v>
      </c>
      <c r="D79" s="9">
        <v>34169</v>
      </c>
      <c r="E79" s="9">
        <v>36761</v>
      </c>
      <c r="F79" s="23">
        <v>36736</v>
      </c>
      <c r="G79" s="48">
        <f t="shared" si="5"/>
        <v>107.51265767215898</v>
      </c>
      <c r="H79" s="49">
        <f t="shared" si="5"/>
        <v>99.931993144909001</v>
      </c>
    </row>
    <row r="80" spans="1:9">
      <c r="A80" s="57">
        <v>4200</v>
      </c>
      <c r="B80" s="17">
        <v>3742</v>
      </c>
      <c r="C80" s="10" t="s">
        <v>7</v>
      </c>
      <c r="D80" s="9">
        <v>730</v>
      </c>
      <c r="E80" s="9">
        <v>730</v>
      </c>
      <c r="F80" s="23">
        <v>444</v>
      </c>
      <c r="G80" s="48">
        <f t="shared" si="5"/>
        <v>60.821917808219183</v>
      </c>
      <c r="H80" s="49">
        <f t="shared" si="5"/>
        <v>60.821917808219183</v>
      </c>
    </row>
    <row r="81" spans="1:9">
      <c r="A81" s="57">
        <v>4200</v>
      </c>
      <c r="B81" s="17">
        <v>3745</v>
      </c>
      <c r="C81" s="10" t="s">
        <v>2</v>
      </c>
      <c r="D81" s="9">
        <v>27777</v>
      </c>
      <c r="E81" s="9">
        <v>29229</v>
      </c>
      <c r="F81" s="23">
        <v>29219</v>
      </c>
      <c r="G81" s="48">
        <f t="shared" ref="G81:H89" si="6">IF(D81&lt;=0,0,$F81/D81*100)</f>
        <v>105.19134535767</v>
      </c>
      <c r="H81" s="49">
        <f t="shared" si="6"/>
        <v>99.965787402921762</v>
      </c>
    </row>
    <row r="82" spans="1:9">
      <c r="A82" s="57">
        <v>4200</v>
      </c>
      <c r="B82" s="17">
        <v>3792</v>
      </c>
      <c r="C82" s="10" t="s">
        <v>8</v>
      </c>
      <c r="D82" s="9">
        <v>2418</v>
      </c>
      <c r="E82" s="9">
        <v>2418</v>
      </c>
      <c r="F82" s="23">
        <v>1860</v>
      </c>
      <c r="G82" s="48">
        <f t="shared" si="6"/>
        <v>76.923076923076934</v>
      </c>
      <c r="H82" s="49">
        <f t="shared" si="6"/>
        <v>76.923076923076934</v>
      </c>
    </row>
    <row r="83" spans="1:9">
      <c r="A83" s="57">
        <v>4200</v>
      </c>
      <c r="B83" s="17">
        <v>5319</v>
      </c>
      <c r="C83" s="15" t="s">
        <v>216</v>
      </c>
      <c r="D83" s="9"/>
      <c r="E83" s="9">
        <v>20</v>
      </c>
      <c r="F83" s="23">
        <v>20</v>
      </c>
      <c r="G83" s="48">
        <f t="shared" si="6"/>
        <v>0</v>
      </c>
      <c r="H83" s="49">
        <f t="shared" si="6"/>
        <v>100</v>
      </c>
    </row>
    <row r="84" spans="1:9">
      <c r="A84" s="28" t="s">
        <v>210</v>
      </c>
      <c r="B84" s="17"/>
      <c r="C84" s="10"/>
      <c r="D84" s="40">
        <f>SUBTOTAL(9,D70:D83)</f>
        <v>475004</v>
      </c>
      <c r="E84" s="40">
        <f>SUBTOTAL(9,E70:E83)</f>
        <v>460532</v>
      </c>
      <c r="F84" s="40">
        <f>SUBTOTAL(9,F70:F83)</f>
        <v>401540</v>
      </c>
      <c r="G84" s="50">
        <f t="shared" si="6"/>
        <v>84.53402497663177</v>
      </c>
      <c r="H84" s="51">
        <f t="shared" si="6"/>
        <v>87.190466677668439</v>
      </c>
    </row>
    <row r="85" spans="1:9">
      <c r="A85" s="28"/>
      <c r="B85" s="17"/>
      <c r="C85" s="10"/>
      <c r="D85" s="40"/>
      <c r="E85" s="40"/>
      <c r="F85" s="41"/>
      <c r="G85" s="50">
        <f t="shared" si="6"/>
        <v>0</v>
      </c>
      <c r="H85" s="51">
        <f t="shared" si="6"/>
        <v>0</v>
      </c>
    </row>
    <row r="86" spans="1:9">
      <c r="A86" s="28" t="s">
        <v>45</v>
      </c>
      <c r="B86" s="17"/>
      <c r="C86" s="10"/>
      <c r="D86" s="40"/>
      <c r="E86" s="40"/>
      <c r="F86" s="41"/>
      <c r="G86" s="50">
        <f t="shared" si="6"/>
        <v>0</v>
      </c>
      <c r="H86" s="51">
        <f t="shared" si="6"/>
        <v>0</v>
      </c>
    </row>
    <row r="87" spans="1:9">
      <c r="A87" s="58">
        <v>4300</v>
      </c>
      <c r="B87" s="5">
        <v>1014</v>
      </c>
      <c r="C87" s="10" t="s">
        <v>178</v>
      </c>
      <c r="D87" s="6">
        <v>50</v>
      </c>
      <c r="E87" s="6">
        <v>50</v>
      </c>
      <c r="F87" s="25">
        <v>0</v>
      </c>
      <c r="G87" s="48">
        <f t="shared" si="6"/>
        <v>0</v>
      </c>
      <c r="H87" s="49">
        <f t="shared" si="6"/>
        <v>0</v>
      </c>
    </row>
    <row r="88" spans="1:9">
      <c r="A88" s="58">
        <v>4300</v>
      </c>
      <c r="B88" s="5">
        <v>1037</v>
      </c>
      <c r="C88" s="15" t="s">
        <v>73</v>
      </c>
      <c r="D88" s="6">
        <v>70</v>
      </c>
      <c r="E88" s="6">
        <v>105</v>
      </c>
      <c r="F88" s="25">
        <v>84</v>
      </c>
      <c r="G88" s="48">
        <f t="shared" si="6"/>
        <v>120</v>
      </c>
      <c r="H88" s="49">
        <f t="shared" si="6"/>
        <v>80</v>
      </c>
    </row>
    <row r="89" spans="1:9">
      <c r="A89" s="58">
        <v>4300</v>
      </c>
      <c r="B89" s="5">
        <v>1039</v>
      </c>
      <c r="C89" s="15" t="s">
        <v>274</v>
      </c>
      <c r="D89" s="6"/>
      <c r="E89" s="6">
        <v>345</v>
      </c>
      <c r="F89" s="25">
        <v>345</v>
      </c>
      <c r="G89" s="48"/>
      <c r="H89" s="49">
        <f t="shared" si="6"/>
        <v>100</v>
      </c>
    </row>
    <row r="90" spans="1:9">
      <c r="A90" s="58">
        <v>4300</v>
      </c>
      <c r="B90" s="5">
        <v>2310</v>
      </c>
      <c r="C90" s="15" t="s">
        <v>74</v>
      </c>
      <c r="D90" s="6">
        <v>100</v>
      </c>
      <c r="E90" s="6">
        <v>100</v>
      </c>
      <c r="F90" s="25"/>
      <c r="G90" s="48">
        <f t="shared" ref="G90:G95" si="7">IF(D90&lt;=0,0,$F90/D90*100)</f>
        <v>0</v>
      </c>
      <c r="H90" s="49">
        <f t="shared" ref="H90:H95" si="8">IF(E90&lt;=0,0,$F90/E90*100)</f>
        <v>0</v>
      </c>
    </row>
    <row r="91" spans="1:9">
      <c r="A91" s="58">
        <v>4300</v>
      </c>
      <c r="B91" s="5">
        <v>2321</v>
      </c>
      <c r="C91" s="47" t="s">
        <v>54</v>
      </c>
      <c r="D91" s="6">
        <v>408</v>
      </c>
      <c r="E91" s="6">
        <v>408</v>
      </c>
      <c r="F91" s="25">
        <v>236</v>
      </c>
      <c r="G91" s="48">
        <f t="shared" si="7"/>
        <v>57.843137254901968</v>
      </c>
      <c r="H91" s="49">
        <f t="shared" si="8"/>
        <v>57.843137254901968</v>
      </c>
    </row>
    <row r="92" spans="1:9">
      <c r="A92" s="58">
        <v>4300</v>
      </c>
      <c r="B92" s="5">
        <v>2331</v>
      </c>
      <c r="C92" s="15" t="s">
        <v>203</v>
      </c>
      <c r="D92" s="6">
        <v>3800</v>
      </c>
      <c r="E92" s="6">
        <v>3800</v>
      </c>
      <c r="F92" s="25"/>
      <c r="G92" s="48">
        <f t="shared" si="7"/>
        <v>0</v>
      </c>
      <c r="H92" s="49">
        <f t="shared" si="8"/>
        <v>0</v>
      </c>
      <c r="I92" s="300"/>
    </row>
    <row r="93" spans="1:9">
      <c r="A93" s="58">
        <v>4300</v>
      </c>
      <c r="B93" s="5">
        <v>2333</v>
      </c>
      <c r="C93" s="15" t="s">
        <v>22</v>
      </c>
      <c r="D93" s="6">
        <v>3600</v>
      </c>
      <c r="E93" s="6">
        <v>3600</v>
      </c>
      <c r="F93" s="25">
        <v>3597</v>
      </c>
      <c r="G93" s="48">
        <f t="shared" si="7"/>
        <v>99.916666666666671</v>
      </c>
      <c r="H93" s="49">
        <f t="shared" si="8"/>
        <v>99.916666666666671</v>
      </c>
    </row>
    <row r="94" spans="1:9">
      <c r="A94" s="58">
        <v>4300</v>
      </c>
      <c r="B94" s="5">
        <v>3739</v>
      </c>
      <c r="C94" s="15" t="s">
        <v>72</v>
      </c>
      <c r="D94" s="6">
        <v>250</v>
      </c>
      <c r="E94" s="6">
        <v>250</v>
      </c>
      <c r="F94" s="25"/>
      <c r="G94" s="48"/>
      <c r="H94" s="49"/>
    </row>
    <row r="95" spans="1:9">
      <c r="A95" s="58">
        <v>4300</v>
      </c>
      <c r="B95" s="5">
        <v>3744</v>
      </c>
      <c r="C95" s="15" t="s">
        <v>76</v>
      </c>
      <c r="D95" s="6">
        <v>396</v>
      </c>
      <c r="E95" s="6">
        <v>396</v>
      </c>
      <c r="F95" s="25"/>
      <c r="G95" s="48">
        <f t="shared" si="7"/>
        <v>0</v>
      </c>
      <c r="H95" s="49">
        <f t="shared" si="8"/>
        <v>0</v>
      </c>
    </row>
    <row r="96" spans="1:9">
      <c r="A96" s="58">
        <v>4300</v>
      </c>
      <c r="B96" s="5">
        <v>3745</v>
      </c>
      <c r="C96" s="10" t="s">
        <v>2</v>
      </c>
      <c r="D96" s="6">
        <v>10958</v>
      </c>
      <c r="E96" s="6">
        <v>10958</v>
      </c>
      <c r="F96" s="25">
        <v>10949</v>
      </c>
      <c r="G96" s="48">
        <f>IF(D96&lt;=0,0,$F96/D96*100)</f>
        <v>99.917868224128497</v>
      </c>
      <c r="H96" s="49">
        <f>IF(E96&lt;=0,0,$F96/E96*100)</f>
        <v>99.917868224128497</v>
      </c>
    </row>
    <row r="97" spans="1:8">
      <c r="A97" s="34" t="s">
        <v>212</v>
      </c>
      <c r="B97" s="5"/>
      <c r="C97" s="15"/>
      <c r="D97" s="40">
        <f>SUBTOTAL(9,D87:D96)</f>
        <v>19632</v>
      </c>
      <c r="E97" s="40">
        <f>SUBTOTAL(9,E87:E96)</f>
        <v>20012</v>
      </c>
      <c r="F97" s="40">
        <f>SUBTOTAL(9,F87:F96)</f>
        <v>15211</v>
      </c>
      <c r="G97" s="50">
        <f t="shared" ref="G97:G153" si="9">IF(D97&lt;=0,0,$F97/D97*100)</f>
        <v>77.480643846780765</v>
      </c>
      <c r="H97" s="51">
        <f t="shared" ref="H97:H153" si="10">IF(E97&lt;=0,0,$F97/E97*100)</f>
        <v>76.009394363381972</v>
      </c>
    </row>
    <row r="98" spans="1:8">
      <c r="A98" s="34"/>
      <c r="B98" s="5"/>
      <c r="C98" s="15"/>
      <c r="D98" s="40"/>
      <c r="E98" s="40"/>
      <c r="F98" s="41"/>
      <c r="G98" s="50">
        <f t="shared" si="9"/>
        <v>0</v>
      </c>
      <c r="H98" s="51">
        <f t="shared" si="10"/>
        <v>0</v>
      </c>
    </row>
    <row r="99" spans="1:8">
      <c r="A99" s="32" t="s">
        <v>38</v>
      </c>
      <c r="B99" s="19"/>
      <c r="C99" s="8"/>
      <c r="D99" s="40"/>
      <c r="E99" s="40"/>
      <c r="F99" s="41"/>
      <c r="G99" s="50">
        <f t="shared" si="9"/>
        <v>0</v>
      </c>
      <c r="H99" s="51">
        <f t="shared" si="10"/>
        <v>0</v>
      </c>
    </row>
    <row r="100" spans="1:8">
      <c r="A100" s="57">
        <v>5300</v>
      </c>
      <c r="B100" s="17">
        <v>6171</v>
      </c>
      <c r="C100" s="10" t="s">
        <v>9</v>
      </c>
      <c r="D100" s="9">
        <v>202755</v>
      </c>
      <c r="E100" s="9">
        <v>202521</v>
      </c>
      <c r="F100" s="23">
        <v>185677</v>
      </c>
      <c r="G100" s="48">
        <f>IF(D100&lt;=0,0,$F100/D100*100)</f>
        <v>91.577026460506531</v>
      </c>
      <c r="H100" s="49">
        <f>IF(E100&lt;=0,0,$F100/E100*100)</f>
        <v>91.682837829163404</v>
      </c>
    </row>
    <row r="101" spans="1:8">
      <c r="A101" s="28" t="s">
        <v>43</v>
      </c>
      <c r="B101" s="17"/>
      <c r="C101" s="10"/>
      <c r="D101" s="40">
        <f>SUBTOTAL(9,D100:D100)</f>
        <v>202755</v>
      </c>
      <c r="E101" s="40">
        <f>SUBTOTAL(9,E100:E100)</f>
        <v>202521</v>
      </c>
      <c r="F101" s="41">
        <f>SUBTOTAL(9,F100:F100)</f>
        <v>185677</v>
      </c>
      <c r="G101" s="50">
        <f t="shared" si="9"/>
        <v>91.577026460506531</v>
      </c>
      <c r="H101" s="51">
        <f t="shared" si="10"/>
        <v>91.682837829163404</v>
      </c>
    </row>
    <row r="102" spans="1:8">
      <c r="A102" s="33"/>
      <c r="B102" s="20"/>
      <c r="C102" s="12"/>
      <c r="D102" s="40"/>
      <c r="E102" s="40"/>
      <c r="F102" s="41"/>
      <c r="G102" s="50">
        <f t="shared" si="9"/>
        <v>0</v>
      </c>
      <c r="H102" s="51">
        <f t="shared" si="10"/>
        <v>0</v>
      </c>
    </row>
    <row r="103" spans="1:8">
      <c r="A103" s="33" t="s">
        <v>17</v>
      </c>
      <c r="B103" s="20"/>
      <c r="C103" s="12"/>
      <c r="D103" s="40"/>
      <c r="E103" s="40"/>
      <c r="F103" s="41"/>
      <c r="G103" s="50">
        <f t="shared" si="9"/>
        <v>0</v>
      </c>
      <c r="H103" s="51">
        <f t="shared" si="10"/>
        <v>0</v>
      </c>
    </row>
    <row r="104" spans="1:8">
      <c r="A104" s="59">
        <v>5400</v>
      </c>
      <c r="B104" s="20">
        <v>2143</v>
      </c>
      <c r="C104" s="12" t="s">
        <v>198</v>
      </c>
      <c r="D104" s="13">
        <v>1486</v>
      </c>
      <c r="E104" s="13">
        <v>1486</v>
      </c>
      <c r="F104" s="26">
        <v>1486</v>
      </c>
      <c r="G104" s="48">
        <f>IF(D104&lt;=0,0,$F104/D104*100)</f>
        <v>100</v>
      </c>
      <c r="H104" s="49">
        <f>IF(E104&lt;=0,0,$F104/E104*100)</f>
        <v>100</v>
      </c>
    </row>
    <row r="105" spans="1:8">
      <c r="A105" s="59">
        <v>5400</v>
      </c>
      <c r="B105" s="20">
        <v>2212</v>
      </c>
      <c r="C105" s="12" t="s">
        <v>19</v>
      </c>
      <c r="D105" s="13">
        <v>579862</v>
      </c>
      <c r="E105" s="13">
        <v>578363</v>
      </c>
      <c r="F105" s="26">
        <v>574874</v>
      </c>
      <c r="G105" s="53">
        <f t="shared" si="9"/>
        <v>99.13979533061314</v>
      </c>
      <c r="H105" s="54">
        <f t="shared" si="10"/>
        <v>99.396745642442554</v>
      </c>
    </row>
    <row r="106" spans="1:8">
      <c r="A106" s="59">
        <v>5400</v>
      </c>
      <c r="B106" s="20">
        <v>2219</v>
      </c>
      <c r="C106" s="12" t="s">
        <v>55</v>
      </c>
      <c r="D106" s="13">
        <v>27500</v>
      </c>
      <c r="E106" s="13">
        <v>28876</v>
      </c>
      <c r="F106" s="26">
        <v>2865</v>
      </c>
      <c r="G106" s="53">
        <f t="shared" si="9"/>
        <v>10.418181818181818</v>
      </c>
      <c r="H106" s="54">
        <f t="shared" si="10"/>
        <v>9.921734312231612</v>
      </c>
    </row>
    <row r="107" spans="1:8">
      <c r="A107" s="59">
        <v>5400</v>
      </c>
      <c r="B107" s="20">
        <v>2229</v>
      </c>
      <c r="C107" s="12" t="s">
        <v>235</v>
      </c>
      <c r="D107" s="13">
        <v>1731000</v>
      </c>
      <c r="E107" s="13">
        <v>1732765</v>
      </c>
      <c r="F107" s="26">
        <v>1732765</v>
      </c>
      <c r="G107" s="53">
        <f t="shared" si="9"/>
        <v>100.10196418255344</v>
      </c>
      <c r="H107" s="54">
        <f t="shared" si="10"/>
        <v>100</v>
      </c>
    </row>
    <row r="108" spans="1:8">
      <c r="A108" s="59">
        <v>5400</v>
      </c>
      <c r="B108" s="20">
        <v>2242</v>
      </c>
      <c r="C108" s="12" t="s">
        <v>299</v>
      </c>
      <c r="D108" s="13"/>
      <c r="E108" s="13">
        <v>134</v>
      </c>
      <c r="F108" s="26">
        <v>133</v>
      </c>
      <c r="G108" s="53"/>
      <c r="H108" s="54">
        <f t="shared" si="10"/>
        <v>99.253731343283576</v>
      </c>
    </row>
    <row r="109" spans="1:8">
      <c r="A109" s="59">
        <v>5400</v>
      </c>
      <c r="B109" s="20">
        <v>2271</v>
      </c>
      <c r="C109" s="12" t="s">
        <v>20</v>
      </c>
      <c r="D109" s="13">
        <v>4475</v>
      </c>
      <c r="E109" s="13">
        <v>5020</v>
      </c>
      <c r="F109" s="26">
        <v>4516</v>
      </c>
      <c r="G109" s="48">
        <f t="shared" ref="G109:H111" si="11">IF(D109&lt;=0,0,$F109/D109*100)</f>
        <v>100.91620111731842</v>
      </c>
      <c r="H109" s="49">
        <f t="shared" si="11"/>
        <v>89.960159362549803</v>
      </c>
    </row>
    <row r="110" spans="1:8">
      <c r="A110" s="59">
        <v>5400</v>
      </c>
      <c r="B110" s="20">
        <v>2299</v>
      </c>
      <c r="C110" s="12" t="s">
        <v>77</v>
      </c>
      <c r="D110" s="13">
        <v>5500</v>
      </c>
      <c r="E110" s="13">
        <v>4495</v>
      </c>
      <c r="F110" s="26">
        <v>4494</v>
      </c>
      <c r="G110" s="48">
        <f t="shared" si="11"/>
        <v>81.709090909090904</v>
      </c>
      <c r="H110" s="49">
        <f t="shared" si="11"/>
        <v>99.977753058954391</v>
      </c>
    </row>
    <row r="111" spans="1:8">
      <c r="A111" s="59">
        <v>5400</v>
      </c>
      <c r="B111" s="20">
        <v>3636</v>
      </c>
      <c r="C111" s="12" t="s">
        <v>174</v>
      </c>
      <c r="D111" s="13">
        <v>1500</v>
      </c>
      <c r="E111" s="13">
        <v>4300</v>
      </c>
      <c r="F111" s="26">
        <v>3596</v>
      </c>
      <c r="G111" s="48">
        <f t="shared" si="11"/>
        <v>239.73333333333335</v>
      </c>
      <c r="H111" s="49">
        <f t="shared" si="11"/>
        <v>83.627906976744185</v>
      </c>
    </row>
    <row r="112" spans="1:8">
      <c r="A112" s="33" t="s">
        <v>15</v>
      </c>
      <c r="B112" s="20"/>
      <c r="C112" s="12"/>
      <c r="D112" s="40">
        <f>SUBTOTAL(9,D104:D111)</f>
        <v>2351323</v>
      </c>
      <c r="E112" s="40">
        <f>SUBTOTAL(9,E104:E111)</f>
        <v>2355439</v>
      </c>
      <c r="F112" s="41">
        <f>SUBTOTAL(9,F104:F111)</f>
        <v>2324729</v>
      </c>
      <c r="G112" s="50">
        <f t="shared" si="9"/>
        <v>98.868977167322385</v>
      </c>
      <c r="H112" s="51">
        <f t="shared" si="10"/>
        <v>98.69620907185454</v>
      </c>
    </row>
    <row r="113" spans="1:9">
      <c r="A113" s="33"/>
      <c r="B113" s="20"/>
      <c r="C113" s="12"/>
      <c r="D113" s="40"/>
      <c r="E113" s="40"/>
      <c r="F113" s="41"/>
      <c r="G113" s="50">
        <f t="shared" si="9"/>
        <v>0</v>
      </c>
      <c r="H113" s="51">
        <f t="shared" si="10"/>
        <v>0</v>
      </c>
    </row>
    <row r="114" spans="1:9">
      <c r="A114" s="33" t="s">
        <v>18</v>
      </c>
      <c r="B114" s="20"/>
      <c r="C114" s="12"/>
      <c r="D114" s="40"/>
      <c r="E114" s="40"/>
      <c r="F114" s="41"/>
      <c r="G114" s="50">
        <f t="shared" si="9"/>
        <v>0</v>
      </c>
      <c r="H114" s="51">
        <f t="shared" si="10"/>
        <v>0</v>
      </c>
    </row>
    <row r="115" spans="1:9">
      <c r="A115" s="59">
        <v>5600</v>
      </c>
      <c r="B115" s="20">
        <v>3111</v>
      </c>
      <c r="C115" s="12" t="s">
        <v>99</v>
      </c>
      <c r="D115" s="13"/>
      <c r="E115" s="13">
        <v>214</v>
      </c>
      <c r="F115" s="26">
        <v>213</v>
      </c>
      <c r="G115" s="53">
        <f>IF(D115&lt;=0,0,$F115/D115*100)</f>
        <v>0</v>
      </c>
      <c r="H115" s="54">
        <f>IF(E115&lt;=0,0,$F115/E115*100)</f>
        <v>99.532710280373834</v>
      </c>
    </row>
    <row r="116" spans="1:9">
      <c r="A116" s="59">
        <v>5600</v>
      </c>
      <c r="B116" s="20">
        <v>3639</v>
      </c>
      <c r="C116" s="12" t="s">
        <v>42</v>
      </c>
      <c r="D116" s="13">
        <v>2400</v>
      </c>
      <c r="E116" s="13">
        <v>2400</v>
      </c>
      <c r="F116" s="26">
        <v>491</v>
      </c>
      <c r="G116" s="53">
        <f t="shared" si="9"/>
        <v>20.458333333333336</v>
      </c>
      <c r="H116" s="54">
        <f t="shared" si="10"/>
        <v>20.458333333333336</v>
      </c>
      <c r="I116" s="300"/>
    </row>
    <row r="117" spans="1:9">
      <c r="A117" s="59">
        <v>5600</v>
      </c>
      <c r="B117" s="20">
        <v>3745</v>
      </c>
      <c r="C117" s="12" t="s">
        <v>2</v>
      </c>
      <c r="D117" s="13"/>
      <c r="E117" s="13">
        <v>110</v>
      </c>
      <c r="F117" s="26">
        <v>69</v>
      </c>
      <c r="G117" s="53">
        <f>IF(D117&lt;=0,0,$F117/D117*100)</f>
        <v>0</v>
      </c>
      <c r="H117" s="54">
        <f>IF(E117&lt;=0,0,$F117/E117*100)</f>
        <v>62.727272727272734</v>
      </c>
    </row>
    <row r="118" spans="1:9">
      <c r="A118" s="33" t="s">
        <v>16</v>
      </c>
      <c r="B118" s="20"/>
      <c r="C118" s="12"/>
      <c r="D118" s="40">
        <f>SUBTOTAL(9,D115:D117)</f>
        <v>2400</v>
      </c>
      <c r="E118" s="40">
        <f>SUBTOTAL(9,E115:E117)</f>
        <v>2724</v>
      </c>
      <c r="F118" s="40">
        <f>SUBTOTAL(9,F115:F117)</f>
        <v>773</v>
      </c>
      <c r="G118" s="50">
        <f t="shared" si="9"/>
        <v>32.208333333333336</v>
      </c>
      <c r="H118" s="51">
        <f t="shared" si="10"/>
        <v>28.377386196769454</v>
      </c>
    </row>
    <row r="119" spans="1:9">
      <c r="A119" s="33"/>
      <c r="B119" s="20"/>
      <c r="C119" s="12"/>
      <c r="D119" s="40"/>
      <c r="E119" s="40"/>
      <c r="F119" s="41"/>
      <c r="G119" s="50">
        <f t="shared" si="9"/>
        <v>0</v>
      </c>
      <c r="H119" s="51">
        <f t="shared" si="10"/>
        <v>0</v>
      </c>
    </row>
    <row r="120" spans="1:9">
      <c r="A120" s="33" t="s">
        <v>46</v>
      </c>
      <c r="B120" s="20"/>
      <c r="C120" s="12"/>
      <c r="D120" s="40"/>
      <c r="E120" s="40"/>
      <c r="F120" s="41"/>
      <c r="G120" s="50">
        <f t="shared" si="9"/>
        <v>0</v>
      </c>
      <c r="H120" s="51">
        <f t="shared" si="10"/>
        <v>0</v>
      </c>
    </row>
    <row r="121" spans="1:9">
      <c r="A121" s="58">
        <v>5700</v>
      </c>
      <c r="B121" s="5">
        <v>2310</v>
      </c>
      <c r="C121" s="15" t="s">
        <v>74</v>
      </c>
      <c r="D121" s="6">
        <v>2701</v>
      </c>
      <c r="E121" s="6">
        <v>2701</v>
      </c>
      <c r="F121" s="25">
        <v>73</v>
      </c>
      <c r="G121" s="48">
        <f t="shared" si="9"/>
        <v>2.7027027027027026</v>
      </c>
      <c r="H121" s="49">
        <f t="shared" si="10"/>
        <v>2.7027027027027026</v>
      </c>
    </row>
    <row r="122" spans="1:9">
      <c r="A122" s="58">
        <v>5700</v>
      </c>
      <c r="B122" s="5">
        <v>2321</v>
      </c>
      <c r="C122" s="15" t="s">
        <v>78</v>
      </c>
      <c r="D122" s="6">
        <v>1406</v>
      </c>
      <c r="E122" s="6">
        <v>1406</v>
      </c>
      <c r="F122" s="25">
        <v>670</v>
      </c>
      <c r="G122" s="48">
        <f t="shared" si="9"/>
        <v>47.652916073968704</v>
      </c>
      <c r="H122" s="49">
        <f t="shared" si="10"/>
        <v>47.652916073968704</v>
      </c>
      <c r="I122" s="300"/>
    </row>
    <row r="123" spans="1:9">
      <c r="A123" s="58">
        <v>5700</v>
      </c>
      <c r="B123" s="5">
        <v>3319</v>
      </c>
      <c r="C123" s="15" t="s">
        <v>49</v>
      </c>
      <c r="D123" s="6"/>
      <c r="E123" s="6">
        <v>1750</v>
      </c>
      <c r="F123" s="25">
        <v>1750</v>
      </c>
      <c r="G123" s="48"/>
      <c r="H123" s="49">
        <f t="shared" si="10"/>
        <v>100</v>
      </c>
    </row>
    <row r="124" spans="1:9">
      <c r="A124" s="58">
        <v>5700</v>
      </c>
      <c r="B124" s="5">
        <v>3631</v>
      </c>
      <c r="C124" s="15" t="s">
        <v>10</v>
      </c>
      <c r="D124" s="6">
        <v>136842</v>
      </c>
      <c r="E124" s="6">
        <v>139640</v>
      </c>
      <c r="F124" s="25">
        <v>137660</v>
      </c>
      <c r="G124" s="48">
        <f t="shared" si="9"/>
        <v>100.59776969059206</v>
      </c>
      <c r="H124" s="49">
        <f t="shared" si="10"/>
        <v>98.582068175307938</v>
      </c>
    </row>
    <row r="125" spans="1:9">
      <c r="A125" s="58">
        <v>5700</v>
      </c>
      <c r="B125" s="5">
        <v>3633</v>
      </c>
      <c r="C125" s="15" t="s">
        <v>47</v>
      </c>
      <c r="D125" s="6">
        <v>18791</v>
      </c>
      <c r="E125" s="6">
        <v>18791</v>
      </c>
      <c r="F125" s="25">
        <v>18159</v>
      </c>
      <c r="G125" s="52">
        <f t="shared" si="9"/>
        <v>96.636687776063013</v>
      </c>
      <c r="H125" s="46">
        <f t="shared" si="10"/>
        <v>96.636687776063013</v>
      </c>
    </row>
    <row r="126" spans="1:9">
      <c r="A126" s="58">
        <v>5700</v>
      </c>
      <c r="B126" s="5">
        <v>3699</v>
      </c>
      <c r="C126" s="15" t="s">
        <v>79</v>
      </c>
      <c r="D126" s="6">
        <v>8160</v>
      </c>
      <c r="E126" s="6">
        <v>4279</v>
      </c>
      <c r="F126" s="25">
        <v>1932</v>
      </c>
      <c r="G126" s="52">
        <f t="shared" si="9"/>
        <v>23.676470588235293</v>
      </c>
      <c r="H126" s="46">
        <f t="shared" si="10"/>
        <v>45.150736153306845</v>
      </c>
    </row>
    <row r="127" spans="1:9">
      <c r="A127" s="34" t="s">
        <v>11</v>
      </c>
      <c r="B127" s="5"/>
      <c r="C127" s="15"/>
      <c r="D127" s="40">
        <f>SUBTOTAL(9,D121:D126)</f>
        <v>167900</v>
      </c>
      <c r="E127" s="40">
        <f>SUBTOTAL(9,E121:E126)</f>
        <v>168567</v>
      </c>
      <c r="F127" s="41">
        <f>SUBTOTAL(9,F121:F126)</f>
        <v>160244</v>
      </c>
      <c r="G127" s="50">
        <f t="shared" si="9"/>
        <v>95.44014294222751</v>
      </c>
      <c r="H127" s="51">
        <f t="shared" si="10"/>
        <v>95.062497404592833</v>
      </c>
    </row>
    <row r="128" spans="1:9">
      <c r="A128" s="34"/>
      <c r="B128" s="5"/>
      <c r="C128" s="15"/>
      <c r="D128" s="40"/>
      <c r="E128" s="40"/>
      <c r="F128" s="41"/>
      <c r="G128" s="50">
        <f t="shared" si="9"/>
        <v>0</v>
      </c>
      <c r="H128" s="51">
        <f t="shared" si="10"/>
        <v>0</v>
      </c>
    </row>
    <row r="129" spans="1:13">
      <c r="A129" s="34" t="s">
        <v>237</v>
      </c>
      <c r="B129" s="5"/>
      <c r="C129" s="15"/>
      <c r="D129" s="40"/>
      <c r="E129" s="40"/>
      <c r="F129" s="41"/>
      <c r="G129" s="50">
        <f t="shared" si="9"/>
        <v>0</v>
      </c>
      <c r="H129" s="51">
        <f t="shared" si="10"/>
        <v>0</v>
      </c>
    </row>
    <row r="130" spans="1:13">
      <c r="A130" s="58">
        <v>6200</v>
      </c>
      <c r="B130" s="5">
        <v>3612</v>
      </c>
      <c r="C130" s="14" t="s">
        <v>12</v>
      </c>
      <c r="D130" s="6">
        <v>674733</v>
      </c>
      <c r="E130" s="6">
        <v>598544</v>
      </c>
      <c r="F130" s="25">
        <v>368470</v>
      </c>
      <c r="G130" s="48">
        <f>IF(D130&lt;=0,0,$F130/D130*100)</f>
        <v>54.60974933788625</v>
      </c>
      <c r="H130" s="49">
        <f>IF(E130&lt;=0,0,$F130/E130*100)</f>
        <v>61.56105482637868</v>
      </c>
      <c r="I130" s="300"/>
    </row>
    <row r="131" spans="1:13">
      <c r="A131" s="58">
        <v>6200</v>
      </c>
      <c r="B131" s="5">
        <v>3619</v>
      </c>
      <c r="C131" s="14" t="s">
        <v>82</v>
      </c>
      <c r="D131" s="6">
        <v>40850</v>
      </c>
      <c r="E131" s="6">
        <v>37440</v>
      </c>
      <c r="F131" s="25">
        <v>11071</v>
      </c>
      <c r="G131" s="52">
        <f t="shared" si="9"/>
        <v>27.1015911872705</v>
      </c>
      <c r="H131" s="46">
        <f t="shared" si="10"/>
        <v>29.569978632478634</v>
      </c>
      <c r="I131" s="300"/>
    </row>
    <row r="132" spans="1:13">
      <c r="A132" s="34" t="s">
        <v>81</v>
      </c>
      <c r="B132" s="5"/>
      <c r="C132" s="15"/>
      <c r="D132" s="40">
        <f>SUBTOTAL(9,D130:D131)</f>
        <v>715583</v>
      </c>
      <c r="E132" s="40">
        <f>SUBTOTAL(9,E130:E131)</f>
        <v>635984</v>
      </c>
      <c r="F132" s="41">
        <f>SUBTOTAL(9,F130:F131)</f>
        <v>379541</v>
      </c>
      <c r="G132" s="50">
        <f t="shared" si="9"/>
        <v>53.039409823877868</v>
      </c>
      <c r="H132" s="51">
        <f t="shared" si="10"/>
        <v>59.677759188910414</v>
      </c>
    </row>
    <row r="133" spans="1:13">
      <c r="A133" s="34"/>
      <c r="B133" s="5"/>
      <c r="C133" s="15"/>
      <c r="D133" s="40"/>
      <c r="E133" s="40"/>
      <c r="F133" s="41"/>
      <c r="G133" s="50">
        <f t="shared" si="9"/>
        <v>0</v>
      </c>
      <c r="H133" s="51">
        <f t="shared" si="10"/>
        <v>0</v>
      </c>
      <c r="J133" s="261"/>
    </row>
    <row r="134" spans="1:13">
      <c r="A134" s="34" t="s">
        <v>221</v>
      </c>
      <c r="B134" s="5"/>
      <c r="C134" s="15"/>
      <c r="D134" s="40"/>
      <c r="E134" s="40"/>
      <c r="F134" s="41"/>
      <c r="G134" s="50">
        <f t="shared" si="9"/>
        <v>0</v>
      </c>
      <c r="H134" s="51">
        <f t="shared" si="10"/>
        <v>0</v>
      </c>
      <c r="J134" s="261"/>
    </row>
    <row r="135" spans="1:13">
      <c r="A135" s="58">
        <v>6300</v>
      </c>
      <c r="B135" s="5" t="s">
        <v>80</v>
      </c>
      <c r="C135" s="12" t="s">
        <v>42</v>
      </c>
      <c r="D135" s="6">
        <v>39841</v>
      </c>
      <c r="E135" s="6">
        <v>40718</v>
      </c>
      <c r="F135" s="25">
        <v>40040</v>
      </c>
      <c r="G135" s="48">
        <f>IF(D135&lt;=0,0,$F135/D135*100)</f>
        <v>100.49948545468237</v>
      </c>
      <c r="H135" s="49">
        <f>IF(E135&lt;=0,0,$F135/E135*100)</f>
        <v>98.334888746991496</v>
      </c>
      <c r="J135" s="261"/>
    </row>
    <row r="136" spans="1:13">
      <c r="A136" s="34" t="s">
        <v>222</v>
      </c>
      <c r="B136" s="5"/>
      <c r="C136" s="15"/>
      <c r="D136" s="40">
        <f>SUBTOTAL(9,D133:D135)</f>
        <v>39841</v>
      </c>
      <c r="E136" s="40">
        <f>SUBTOTAL(9,E133:E135)</f>
        <v>40718</v>
      </c>
      <c r="F136" s="41">
        <f>SUBTOTAL(9,F133:F135)</f>
        <v>40040</v>
      </c>
      <c r="G136" s="50">
        <f t="shared" si="9"/>
        <v>100.49948545468237</v>
      </c>
      <c r="H136" s="51">
        <f t="shared" si="10"/>
        <v>98.334888746991496</v>
      </c>
      <c r="J136" s="261"/>
    </row>
    <row r="137" spans="1:13">
      <c r="A137" s="34"/>
      <c r="B137" s="5"/>
      <c r="C137" s="15"/>
      <c r="D137" s="40"/>
      <c r="E137" s="40"/>
      <c r="F137" s="41"/>
      <c r="G137" s="50">
        <f t="shared" si="9"/>
        <v>0</v>
      </c>
      <c r="H137" s="51">
        <f t="shared" si="10"/>
        <v>0</v>
      </c>
      <c r="J137" s="261"/>
    </row>
    <row r="138" spans="1:13">
      <c r="A138" s="35" t="s">
        <v>244</v>
      </c>
      <c r="B138" s="16"/>
      <c r="C138" s="14"/>
      <c r="D138" s="40"/>
      <c r="E138" s="40"/>
      <c r="F138" s="41"/>
      <c r="G138" s="50">
        <f t="shared" si="9"/>
        <v>0</v>
      </c>
      <c r="H138" s="51">
        <f t="shared" si="10"/>
        <v>0</v>
      </c>
    </row>
    <row r="139" spans="1:13" s="82" customFormat="1">
      <c r="A139" s="60">
        <v>6600</v>
      </c>
      <c r="B139" s="16">
        <v>2333</v>
      </c>
      <c r="C139" s="14" t="s">
        <v>22</v>
      </c>
      <c r="D139" s="9">
        <v>500</v>
      </c>
      <c r="E139" s="9">
        <v>450</v>
      </c>
      <c r="F139" s="23">
        <v>366</v>
      </c>
      <c r="G139" s="48">
        <f t="shared" si="9"/>
        <v>73.2</v>
      </c>
      <c r="H139" s="49">
        <f t="shared" si="10"/>
        <v>81.333333333333329</v>
      </c>
      <c r="I139" s="260"/>
      <c r="J139" s="260"/>
      <c r="K139" s="260"/>
      <c r="L139" s="260"/>
      <c r="M139" s="260"/>
    </row>
    <row r="140" spans="1:13" s="82" customFormat="1">
      <c r="A140" s="60">
        <v>6600</v>
      </c>
      <c r="B140" s="16">
        <v>3322</v>
      </c>
      <c r="C140" s="14" t="s">
        <v>28</v>
      </c>
      <c r="D140" s="9">
        <v>500</v>
      </c>
      <c r="E140" s="9">
        <v>550</v>
      </c>
      <c r="F140" s="23">
        <v>368</v>
      </c>
      <c r="G140" s="52">
        <f t="shared" si="9"/>
        <v>73.599999999999994</v>
      </c>
      <c r="H140" s="46">
        <f t="shared" si="10"/>
        <v>66.909090909090907</v>
      </c>
      <c r="I140" s="260"/>
      <c r="J140" s="260"/>
      <c r="K140" s="260"/>
      <c r="L140" s="260"/>
      <c r="M140" s="260"/>
    </row>
    <row r="141" spans="1:13" s="82" customFormat="1">
      <c r="A141" s="60">
        <v>6600</v>
      </c>
      <c r="B141" s="5">
        <v>3612</v>
      </c>
      <c r="C141" s="14" t="s">
        <v>12</v>
      </c>
      <c r="D141" s="9">
        <v>35900</v>
      </c>
      <c r="E141" s="9">
        <v>50863</v>
      </c>
      <c r="F141" s="23">
        <v>26433</v>
      </c>
      <c r="G141" s="52">
        <f t="shared" si="9"/>
        <v>73.629526462395546</v>
      </c>
      <c r="H141" s="46">
        <f t="shared" si="10"/>
        <v>51.969014804474767</v>
      </c>
      <c r="I141" s="307"/>
      <c r="J141" s="260"/>
      <c r="K141" s="260"/>
      <c r="L141" s="260"/>
      <c r="M141" s="260"/>
    </row>
    <row r="142" spans="1:13">
      <c r="A142" s="60">
        <v>6600</v>
      </c>
      <c r="B142" s="5">
        <v>3639</v>
      </c>
      <c r="C142" s="12" t="s">
        <v>42</v>
      </c>
      <c r="D142" s="6">
        <v>55189</v>
      </c>
      <c r="E142" s="6">
        <v>61793</v>
      </c>
      <c r="F142" s="25">
        <v>52422</v>
      </c>
      <c r="G142" s="52">
        <f t="shared" si="9"/>
        <v>94.986319737628875</v>
      </c>
      <c r="H142" s="46">
        <f t="shared" si="10"/>
        <v>84.834851844060012</v>
      </c>
    </row>
    <row r="143" spans="1:13">
      <c r="A143" s="60">
        <v>6600</v>
      </c>
      <c r="B143" s="5">
        <v>4341</v>
      </c>
      <c r="C143" s="95" t="s">
        <v>83</v>
      </c>
      <c r="D143" s="6">
        <v>3273</v>
      </c>
      <c r="E143" s="6">
        <v>4773</v>
      </c>
      <c r="F143" s="25">
        <v>4396</v>
      </c>
      <c r="G143" s="52">
        <f t="shared" si="9"/>
        <v>134.31102963641919</v>
      </c>
      <c r="H143" s="46">
        <f t="shared" si="10"/>
        <v>92.101403729310704</v>
      </c>
    </row>
    <row r="144" spans="1:13">
      <c r="A144" s="60">
        <v>6600</v>
      </c>
      <c r="B144" s="5">
        <v>6171</v>
      </c>
      <c r="C144" s="15" t="s">
        <v>9</v>
      </c>
      <c r="D144" s="6">
        <v>76936</v>
      </c>
      <c r="E144" s="6">
        <v>73685</v>
      </c>
      <c r="F144" s="25">
        <v>66742</v>
      </c>
      <c r="G144" s="52">
        <f t="shared" si="9"/>
        <v>86.750025995632726</v>
      </c>
      <c r="H144" s="46">
        <f t="shared" si="10"/>
        <v>90.577458098663229</v>
      </c>
    </row>
    <row r="145" spans="1:8">
      <c r="A145" s="60">
        <v>6600</v>
      </c>
      <c r="B145" s="5">
        <v>6211</v>
      </c>
      <c r="C145" s="15" t="s">
        <v>58</v>
      </c>
      <c r="D145" s="6">
        <v>4590</v>
      </c>
      <c r="E145" s="6">
        <v>5390</v>
      </c>
      <c r="F145" s="25">
        <v>4910</v>
      </c>
      <c r="G145" s="52">
        <f>IF(D145&lt;=0,0,$F145/D145*100)</f>
        <v>106.97167755991286</v>
      </c>
      <c r="H145" s="46">
        <f>IF(E145&lt;=0,0,$F145/E145*100)</f>
        <v>91.094619666048231</v>
      </c>
    </row>
    <row r="146" spans="1:8">
      <c r="A146" s="60">
        <v>6600</v>
      </c>
      <c r="B146" s="5">
        <v>6399</v>
      </c>
      <c r="C146" s="15" t="s">
        <v>84</v>
      </c>
      <c r="D146" s="6"/>
      <c r="E146" s="6"/>
      <c r="F146" s="25">
        <v>-39</v>
      </c>
      <c r="G146" s="52">
        <f>IF(D146&lt;=0,0,$F146/D146*100)</f>
        <v>0</v>
      </c>
      <c r="H146" s="46">
        <f>IF(E146&lt;=0,0,$F146/E146*100)</f>
        <v>0</v>
      </c>
    </row>
    <row r="147" spans="1:8">
      <c r="A147" s="34" t="s">
        <v>85</v>
      </c>
      <c r="B147" s="5"/>
      <c r="C147" s="15"/>
      <c r="D147" s="40">
        <f>SUBTOTAL(9,D139:D146)</f>
        <v>176888</v>
      </c>
      <c r="E147" s="40">
        <f>SUBTOTAL(9,E139:E146)</f>
        <v>197504</v>
      </c>
      <c r="F147" s="40">
        <f>SUBTOTAL(9,F139:F146)</f>
        <v>155598</v>
      </c>
      <c r="G147" s="50">
        <f t="shared" si="9"/>
        <v>87.964135498168332</v>
      </c>
      <c r="H147" s="51">
        <f t="shared" si="10"/>
        <v>78.782201879455599</v>
      </c>
    </row>
    <row r="148" spans="1:8">
      <c r="A148" s="34"/>
      <c r="B148" s="5"/>
      <c r="C148" s="15"/>
      <c r="D148" s="40"/>
      <c r="E148" s="40"/>
      <c r="F148" s="41"/>
      <c r="G148" s="50">
        <f t="shared" si="9"/>
        <v>0</v>
      </c>
      <c r="H148" s="51">
        <f t="shared" si="10"/>
        <v>0</v>
      </c>
    </row>
    <row r="149" spans="1:8">
      <c r="A149" s="33" t="s">
        <v>205</v>
      </c>
      <c r="B149" s="5"/>
      <c r="C149" s="15"/>
      <c r="D149" s="40"/>
      <c r="E149" s="40"/>
      <c r="F149" s="41"/>
      <c r="G149" s="50">
        <f t="shared" si="9"/>
        <v>0</v>
      </c>
      <c r="H149" s="51">
        <f t="shared" si="10"/>
        <v>0</v>
      </c>
    </row>
    <row r="150" spans="1:8">
      <c r="A150" s="60">
        <v>7100</v>
      </c>
      <c r="B150" s="16">
        <v>3511</v>
      </c>
      <c r="C150" s="14" t="s">
        <v>13</v>
      </c>
      <c r="D150" s="7">
        <v>8116</v>
      </c>
      <c r="E150" s="7">
        <v>8116</v>
      </c>
      <c r="F150" s="27">
        <v>8116</v>
      </c>
      <c r="G150" s="55">
        <f t="shared" si="9"/>
        <v>100</v>
      </c>
      <c r="H150" s="85">
        <f t="shared" si="10"/>
        <v>100</v>
      </c>
    </row>
    <row r="151" spans="1:8">
      <c r="A151" s="60">
        <v>7100</v>
      </c>
      <c r="B151" s="16">
        <v>3522</v>
      </c>
      <c r="C151" s="14" t="s">
        <v>225</v>
      </c>
      <c r="D151" s="7">
        <v>53712</v>
      </c>
      <c r="E151" s="7">
        <v>42249</v>
      </c>
      <c r="F151" s="27">
        <v>42249</v>
      </c>
      <c r="G151" s="48">
        <f t="shared" si="9"/>
        <v>78.658400357462028</v>
      </c>
      <c r="H151" s="49">
        <f t="shared" si="10"/>
        <v>100</v>
      </c>
    </row>
    <row r="152" spans="1:8">
      <c r="A152" s="60">
        <v>7100</v>
      </c>
      <c r="B152" s="16">
        <v>3523</v>
      </c>
      <c r="C152" s="14" t="s">
        <v>87</v>
      </c>
      <c r="D152" s="7">
        <v>10881</v>
      </c>
      <c r="E152" s="7">
        <v>10881</v>
      </c>
      <c r="F152" s="27">
        <v>10881</v>
      </c>
      <c r="G152" s="55">
        <f t="shared" si="9"/>
        <v>100</v>
      </c>
      <c r="H152" s="85">
        <f t="shared" si="10"/>
        <v>100</v>
      </c>
    </row>
    <row r="153" spans="1:8">
      <c r="A153" s="60">
        <v>7100</v>
      </c>
      <c r="B153" s="16">
        <v>3529</v>
      </c>
      <c r="C153" s="14" t="s">
        <v>48</v>
      </c>
      <c r="D153" s="7">
        <v>44836</v>
      </c>
      <c r="E153" s="7">
        <v>42948</v>
      </c>
      <c r="F153" s="27">
        <v>41954</v>
      </c>
      <c r="G153" s="55">
        <f t="shared" si="9"/>
        <v>93.572129538763491</v>
      </c>
      <c r="H153" s="85">
        <f t="shared" si="10"/>
        <v>97.685573251373754</v>
      </c>
    </row>
    <row r="154" spans="1:8">
      <c r="A154" s="60">
        <v>7100</v>
      </c>
      <c r="B154" s="16">
        <v>3539</v>
      </c>
      <c r="C154" s="14" t="s">
        <v>88</v>
      </c>
      <c r="D154" s="7">
        <v>6981</v>
      </c>
      <c r="E154" s="7">
        <v>6981</v>
      </c>
      <c r="F154" s="86">
        <v>6981</v>
      </c>
      <c r="G154" s="87">
        <f t="shared" ref="G154:G210" si="12">IF(D154&lt;=0,0,$F154/D154*100)</f>
        <v>100</v>
      </c>
      <c r="H154" s="88">
        <f t="shared" ref="H154:H210" si="13">IF(E154&lt;=0,0,$F154/E154*100)</f>
        <v>100</v>
      </c>
    </row>
    <row r="155" spans="1:8">
      <c r="A155" s="60">
        <v>7100</v>
      </c>
      <c r="B155" s="16">
        <v>3599</v>
      </c>
      <c r="C155" s="14" t="s">
        <v>89</v>
      </c>
      <c r="D155" s="7">
        <v>7245</v>
      </c>
      <c r="E155" s="7">
        <v>8183</v>
      </c>
      <c r="F155" s="27">
        <v>7507</v>
      </c>
      <c r="G155" s="55">
        <f t="shared" si="12"/>
        <v>103.61628709454796</v>
      </c>
      <c r="H155" s="85">
        <f t="shared" si="13"/>
        <v>91.738971037516805</v>
      </c>
    </row>
    <row r="156" spans="1:8">
      <c r="A156" s="35" t="s">
        <v>14</v>
      </c>
      <c r="B156" s="16"/>
      <c r="C156" s="14"/>
      <c r="D156" s="40">
        <f>SUBTOTAL(9,D150:D155)</f>
        <v>131771</v>
      </c>
      <c r="E156" s="40">
        <f>SUBTOTAL(9,E150:E155)</f>
        <v>119358</v>
      </c>
      <c r="F156" s="41">
        <f>SUBTOTAL(9,F150:F155)</f>
        <v>117688</v>
      </c>
      <c r="G156" s="50">
        <f t="shared" si="12"/>
        <v>89.312519446615724</v>
      </c>
      <c r="H156" s="51">
        <f t="shared" si="13"/>
        <v>98.600847869434801</v>
      </c>
    </row>
    <row r="157" spans="1:8">
      <c r="A157" s="35"/>
      <c r="B157" s="16"/>
      <c r="C157" s="14"/>
      <c r="D157" s="40"/>
      <c r="E157" s="40"/>
      <c r="F157" s="41"/>
      <c r="G157" s="50">
        <f t="shared" si="12"/>
        <v>0</v>
      </c>
      <c r="H157" s="51">
        <f t="shared" si="13"/>
        <v>0</v>
      </c>
    </row>
    <row r="158" spans="1:8">
      <c r="A158" s="35" t="s">
        <v>40</v>
      </c>
      <c r="B158" s="16"/>
      <c r="C158" s="14"/>
      <c r="D158" s="40"/>
      <c r="E158" s="40"/>
      <c r="F158" s="41"/>
      <c r="G158" s="50">
        <f t="shared" si="12"/>
        <v>0</v>
      </c>
      <c r="H158" s="51">
        <f t="shared" si="13"/>
        <v>0</v>
      </c>
    </row>
    <row r="159" spans="1:8">
      <c r="A159" s="59">
        <v>7200</v>
      </c>
      <c r="B159" s="16">
        <v>3541</v>
      </c>
      <c r="C159" s="14" t="s">
        <v>234</v>
      </c>
      <c r="D159" s="182">
        <v>5855</v>
      </c>
      <c r="E159" s="182">
        <v>5855</v>
      </c>
      <c r="F159" s="183">
        <v>5855</v>
      </c>
      <c r="G159" s="48">
        <f t="shared" si="12"/>
        <v>100</v>
      </c>
      <c r="H159" s="49">
        <f t="shared" si="13"/>
        <v>100</v>
      </c>
    </row>
    <row r="160" spans="1:8">
      <c r="A160" s="59">
        <v>7200</v>
      </c>
      <c r="B160" s="16">
        <v>3691</v>
      </c>
      <c r="C160" s="14" t="s">
        <v>281</v>
      </c>
      <c r="D160" s="182"/>
      <c r="E160" s="182">
        <v>445</v>
      </c>
      <c r="F160" s="183">
        <v>209</v>
      </c>
      <c r="G160" s="48"/>
      <c r="H160" s="49">
        <f>IF(E160&lt;=0,0,$F160/E160*100)</f>
        <v>46.966292134831463</v>
      </c>
    </row>
    <row r="161" spans="1:8">
      <c r="A161" s="59">
        <v>7200</v>
      </c>
      <c r="B161" s="20">
        <v>4311</v>
      </c>
      <c r="C161" s="89" t="s">
        <v>248</v>
      </c>
      <c r="D161" s="184">
        <v>0</v>
      </c>
      <c r="E161" s="184">
        <v>1540</v>
      </c>
      <c r="F161" s="185">
        <v>1540</v>
      </c>
      <c r="G161" s="48">
        <f t="shared" si="12"/>
        <v>0</v>
      </c>
      <c r="H161" s="49">
        <f t="shared" si="13"/>
        <v>100</v>
      </c>
    </row>
    <row r="162" spans="1:8">
      <c r="A162" s="59">
        <v>7200</v>
      </c>
      <c r="B162" s="20">
        <v>4324</v>
      </c>
      <c r="C162" s="89" t="s">
        <v>239</v>
      </c>
      <c r="D162" s="184"/>
      <c r="E162" s="184">
        <v>248</v>
      </c>
      <c r="F162" s="185">
        <v>231</v>
      </c>
      <c r="G162" s="48">
        <f t="shared" si="12"/>
        <v>0</v>
      </c>
      <c r="H162" s="49">
        <f t="shared" si="13"/>
        <v>93.145161290322577</v>
      </c>
    </row>
    <row r="163" spans="1:8">
      <c r="A163" s="59">
        <v>7200</v>
      </c>
      <c r="B163" s="20">
        <v>4341</v>
      </c>
      <c r="C163" s="12" t="s">
        <v>243</v>
      </c>
      <c r="D163" s="184">
        <v>2619</v>
      </c>
      <c r="E163" s="184">
        <v>2789</v>
      </c>
      <c r="F163" s="185">
        <v>2479</v>
      </c>
      <c r="G163" s="48">
        <f t="shared" si="12"/>
        <v>94.654448262695695</v>
      </c>
      <c r="H163" s="49">
        <f t="shared" si="13"/>
        <v>88.884904983865184</v>
      </c>
    </row>
    <row r="164" spans="1:8">
      <c r="A164" s="59">
        <v>7200</v>
      </c>
      <c r="B164" s="20">
        <v>4342</v>
      </c>
      <c r="C164" s="12" t="s">
        <v>91</v>
      </c>
      <c r="D164" s="184">
        <v>950</v>
      </c>
      <c r="E164" s="184">
        <v>1110</v>
      </c>
      <c r="F164" s="185">
        <v>1110</v>
      </c>
      <c r="G164" s="48">
        <f t="shared" si="12"/>
        <v>116.8421052631579</v>
      </c>
      <c r="H164" s="49">
        <f t="shared" si="13"/>
        <v>100</v>
      </c>
    </row>
    <row r="165" spans="1:8">
      <c r="A165" s="59">
        <v>7200</v>
      </c>
      <c r="B165" s="20">
        <v>4344</v>
      </c>
      <c r="C165" s="12" t="s">
        <v>232</v>
      </c>
      <c r="D165" s="184"/>
      <c r="E165" s="184">
        <v>225</v>
      </c>
      <c r="F165" s="185">
        <v>225</v>
      </c>
      <c r="G165" s="48">
        <f t="shared" si="12"/>
        <v>0</v>
      </c>
      <c r="H165" s="49">
        <f t="shared" si="13"/>
        <v>100</v>
      </c>
    </row>
    <row r="166" spans="1:8">
      <c r="A166" s="59">
        <v>7200</v>
      </c>
      <c r="B166" s="20">
        <v>4351</v>
      </c>
      <c r="C166" s="12" t="s">
        <v>183</v>
      </c>
      <c r="D166" s="184">
        <v>0</v>
      </c>
      <c r="E166" s="184">
        <v>9010</v>
      </c>
      <c r="F166" s="185">
        <v>9010</v>
      </c>
      <c r="G166" s="48">
        <f t="shared" si="12"/>
        <v>0</v>
      </c>
      <c r="H166" s="49">
        <f t="shared" si="13"/>
        <v>100</v>
      </c>
    </row>
    <row r="167" spans="1:8">
      <c r="A167" s="59">
        <v>7200</v>
      </c>
      <c r="B167" s="20">
        <v>4353</v>
      </c>
      <c r="C167" s="12" t="s">
        <v>213</v>
      </c>
      <c r="D167" s="184">
        <v>0</v>
      </c>
      <c r="E167" s="184">
        <v>100</v>
      </c>
      <c r="F167" s="185">
        <v>100</v>
      </c>
      <c r="G167" s="48">
        <f t="shared" si="12"/>
        <v>0</v>
      </c>
      <c r="H167" s="49">
        <f t="shared" si="13"/>
        <v>100</v>
      </c>
    </row>
    <row r="168" spans="1:8">
      <c r="A168" s="59">
        <v>7200</v>
      </c>
      <c r="B168" s="20">
        <v>4354</v>
      </c>
      <c r="C168" s="12" t="s">
        <v>206</v>
      </c>
      <c r="D168" s="184">
        <v>0</v>
      </c>
      <c r="E168" s="184">
        <v>2820</v>
      </c>
      <c r="F168" s="185">
        <v>2820</v>
      </c>
      <c r="G168" s="48">
        <f t="shared" si="12"/>
        <v>0</v>
      </c>
      <c r="H168" s="49">
        <f t="shared" si="13"/>
        <v>100</v>
      </c>
    </row>
    <row r="169" spans="1:8">
      <c r="A169" s="59">
        <v>7200</v>
      </c>
      <c r="B169" s="20">
        <v>4356</v>
      </c>
      <c r="C169" s="12" t="s">
        <v>207</v>
      </c>
      <c r="D169" s="184">
        <v>0</v>
      </c>
      <c r="E169" s="184">
        <v>4220</v>
      </c>
      <c r="F169" s="185">
        <v>4220</v>
      </c>
      <c r="G169" s="48">
        <f t="shared" si="12"/>
        <v>0</v>
      </c>
      <c r="H169" s="49">
        <f t="shared" si="13"/>
        <v>100</v>
      </c>
    </row>
    <row r="170" spans="1:8">
      <c r="A170" s="59">
        <v>7200</v>
      </c>
      <c r="B170" s="20">
        <v>4357</v>
      </c>
      <c r="C170" s="12" t="s">
        <v>184</v>
      </c>
      <c r="D170" s="184">
        <v>221126</v>
      </c>
      <c r="E170" s="184">
        <v>249341</v>
      </c>
      <c r="F170" s="185">
        <v>249341</v>
      </c>
      <c r="G170" s="48">
        <f t="shared" si="12"/>
        <v>112.75969356837278</v>
      </c>
      <c r="H170" s="49">
        <f t="shared" si="13"/>
        <v>100</v>
      </c>
    </row>
    <row r="171" spans="1:8">
      <c r="A171" s="59">
        <v>7200</v>
      </c>
      <c r="B171" s="20">
        <v>4359</v>
      </c>
      <c r="C171" s="12" t="s">
        <v>208</v>
      </c>
      <c r="D171" s="184">
        <v>44200</v>
      </c>
      <c r="E171" s="184">
        <v>2050</v>
      </c>
      <c r="F171" s="185">
        <v>2050</v>
      </c>
      <c r="G171" s="48">
        <f t="shared" si="12"/>
        <v>4.6380090497737561</v>
      </c>
      <c r="H171" s="49">
        <f t="shared" si="13"/>
        <v>100</v>
      </c>
    </row>
    <row r="172" spans="1:8">
      <c r="A172" s="59">
        <v>7200</v>
      </c>
      <c r="B172" s="20">
        <v>4371</v>
      </c>
      <c r="C172" s="95" t="s">
        <v>217</v>
      </c>
      <c r="D172" s="184">
        <v>0</v>
      </c>
      <c r="E172" s="184">
        <v>845</v>
      </c>
      <c r="F172" s="185">
        <v>845</v>
      </c>
      <c r="G172" s="48">
        <f t="shared" si="12"/>
        <v>0</v>
      </c>
      <c r="H172" s="49">
        <f t="shared" si="13"/>
        <v>100</v>
      </c>
    </row>
    <row r="173" spans="1:8">
      <c r="A173" s="59">
        <v>7200</v>
      </c>
      <c r="B173" s="20">
        <v>4372</v>
      </c>
      <c r="C173" s="12" t="s">
        <v>199</v>
      </c>
      <c r="D173" s="184">
        <v>0</v>
      </c>
      <c r="E173" s="184">
        <v>250</v>
      </c>
      <c r="F173" s="185">
        <v>250</v>
      </c>
      <c r="G173" s="48">
        <f t="shared" si="12"/>
        <v>0</v>
      </c>
      <c r="H173" s="49">
        <f t="shared" si="13"/>
        <v>100</v>
      </c>
    </row>
    <row r="174" spans="1:8">
      <c r="A174" s="59">
        <v>7200</v>
      </c>
      <c r="B174" s="20">
        <v>4374</v>
      </c>
      <c r="C174" s="12" t="s">
        <v>200</v>
      </c>
      <c r="D174" s="184">
        <v>0</v>
      </c>
      <c r="E174" s="184">
        <v>970</v>
      </c>
      <c r="F174" s="185">
        <v>970</v>
      </c>
      <c r="G174" s="48">
        <f t="shared" si="12"/>
        <v>0</v>
      </c>
      <c r="H174" s="49">
        <f t="shared" si="13"/>
        <v>100</v>
      </c>
    </row>
    <row r="175" spans="1:8">
      <c r="A175" s="59">
        <v>7200</v>
      </c>
      <c r="B175" s="20">
        <v>4375</v>
      </c>
      <c r="C175" s="12" t="s">
        <v>214</v>
      </c>
      <c r="D175" s="184">
        <v>0</v>
      </c>
      <c r="E175" s="184">
        <v>510</v>
      </c>
      <c r="F175" s="185">
        <v>510</v>
      </c>
      <c r="G175" s="48">
        <f t="shared" si="12"/>
        <v>0</v>
      </c>
      <c r="H175" s="49">
        <f t="shared" si="13"/>
        <v>100</v>
      </c>
    </row>
    <row r="176" spans="1:8">
      <c r="A176" s="59">
        <v>7200</v>
      </c>
      <c r="B176" s="20">
        <v>4376</v>
      </c>
      <c r="C176" s="12" t="s">
        <v>201</v>
      </c>
      <c r="D176" s="184">
        <v>0</v>
      </c>
      <c r="E176" s="184">
        <v>440</v>
      </c>
      <c r="F176" s="185">
        <v>440</v>
      </c>
      <c r="G176" s="48">
        <f t="shared" si="12"/>
        <v>0</v>
      </c>
      <c r="H176" s="49">
        <f t="shared" si="13"/>
        <v>100</v>
      </c>
    </row>
    <row r="177" spans="1:8">
      <c r="A177" s="59">
        <v>7200</v>
      </c>
      <c r="B177" s="20">
        <v>4378</v>
      </c>
      <c r="C177" s="12" t="s">
        <v>215</v>
      </c>
      <c r="D177" s="184">
        <v>0</v>
      </c>
      <c r="E177" s="184">
        <v>50</v>
      </c>
      <c r="F177" s="185">
        <v>50</v>
      </c>
      <c r="G177" s="48">
        <f t="shared" si="12"/>
        <v>0</v>
      </c>
      <c r="H177" s="49">
        <f t="shared" si="13"/>
        <v>100</v>
      </c>
    </row>
    <row r="178" spans="1:8">
      <c r="A178" s="59">
        <v>7200</v>
      </c>
      <c r="B178" s="20">
        <v>4379</v>
      </c>
      <c r="C178" s="12" t="s">
        <v>202</v>
      </c>
      <c r="D178" s="184">
        <v>995</v>
      </c>
      <c r="E178" s="184">
        <v>2165</v>
      </c>
      <c r="F178" s="185">
        <v>2165</v>
      </c>
      <c r="G178" s="48">
        <f t="shared" si="12"/>
        <v>217.58793969849245</v>
      </c>
      <c r="H178" s="49">
        <f t="shared" si="13"/>
        <v>100</v>
      </c>
    </row>
    <row r="179" spans="1:8">
      <c r="A179" s="59">
        <v>7200</v>
      </c>
      <c r="B179" s="20">
        <v>4399</v>
      </c>
      <c r="C179" s="12" t="s">
        <v>289</v>
      </c>
      <c r="D179" s="184"/>
      <c r="E179" s="184">
        <v>40</v>
      </c>
      <c r="F179" s="185">
        <v>40</v>
      </c>
      <c r="G179" s="48"/>
      <c r="H179" s="49">
        <f t="shared" si="13"/>
        <v>100</v>
      </c>
    </row>
    <row r="180" spans="1:8">
      <c r="A180" s="59">
        <v>7200</v>
      </c>
      <c r="B180" s="20">
        <v>5319</v>
      </c>
      <c r="C180" s="15" t="s">
        <v>216</v>
      </c>
      <c r="D180" s="184">
        <v>2500</v>
      </c>
      <c r="E180" s="184">
        <v>1644</v>
      </c>
      <c r="F180" s="185">
        <v>1582</v>
      </c>
      <c r="G180" s="48">
        <f t="shared" si="12"/>
        <v>63.28</v>
      </c>
      <c r="H180" s="49">
        <f t="shared" si="13"/>
        <v>96.228710462287097</v>
      </c>
    </row>
    <row r="181" spans="1:8">
      <c r="A181" s="59">
        <v>7200</v>
      </c>
      <c r="B181" s="20">
        <v>6409</v>
      </c>
      <c r="C181" s="15" t="s">
        <v>39</v>
      </c>
      <c r="D181" s="184"/>
      <c r="E181" s="184">
        <v>350</v>
      </c>
      <c r="F181" s="185">
        <v>350</v>
      </c>
      <c r="G181" s="48">
        <f t="shared" si="12"/>
        <v>0</v>
      </c>
      <c r="H181" s="49">
        <f t="shared" si="13"/>
        <v>100</v>
      </c>
    </row>
    <row r="182" spans="1:8">
      <c r="A182" s="33" t="s">
        <v>35</v>
      </c>
      <c r="B182" s="20"/>
      <c r="C182" s="12"/>
      <c r="D182" s="40">
        <f>SUBTOTAL(9,D159:D180)</f>
        <v>278245</v>
      </c>
      <c r="E182" s="40">
        <f>SUBTOTAL(9,E159:E181)</f>
        <v>287017</v>
      </c>
      <c r="F182" s="40">
        <f>SUBTOTAL(9,F159:F181)</f>
        <v>286392</v>
      </c>
      <c r="G182" s="50">
        <f t="shared" si="12"/>
        <v>102.92799511222124</v>
      </c>
      <c r="H182" s="51">
        <f t="shared" si="13"/>
        <v>99.782242863663129</v>
      </c>
    </row>
    <row r="183" spans="1:8">
      <c r="A183" s="33"/>
      <c r="B183" s="20"/>
      <c r="C183" s="12"/>
      <c r="D183" s="40"/>
      <c r="E183" s="40"/>
      <c r="F183" s="41"/>
      <c r="G183" s="50">
        <f t="shared" si="12"/>
        <v>0</v>
      </c>
      <c r="H183" s="51">
        <f t="shared" si="13"/>
        <v>0</v>
      </c>
    </row>
    <row r="184" spans="1:8">
      <c r="A184" s="33" t="s">
        <v>30</v>
      </c>
      <c r="B184" s="20"/>
      <c r="C184" s="12"/>
      <c r="D184" s="40"/>
      <c r="E184" s="40"/>
      <c r="F184" s="41"/>
      <c r="G184" s="50">
        <f t="shared" si="12"/>
        <v>0</v>
      </c>
      <c r="H184" s="51">
        <f t="shared" si="13"/>
        <v>0</v>
      </c>
    </row>
    <row r="185" spans="1:8">
      <c r="A185" s="58">
        <v>7300</v>
      </c>
      <c r="B185" s="5">
        <v>3311</v>
      </c>
      <c r="C185" s="15" t="s">
        <v>24</v>
      </c>
      <c r="D185" s="6">
        <v>495590</v>
      </c>
      <c r="E185" s="6">
        <v>526283</v>
      </c>
      <c r="F185" s="25">
        <v>526283</v>
      </c>
      <c r="G185" s="52">
        <f t="shared" si="12"/>
        <v>106.1932242377772</v>
      </c>
      <c r="H185" s="46">
        <f t="shared" si="13"/>
        <v>100</v>
      </c>
    </row>
    <row r="186" spans="1:8">
      <c r="A186" s="58">
        <v>7300</v>
      </c>
      <c r="B186" s="5">
        <v>3312</v>
      </c>
      <c r="C186" s="15" t="s">
        <v>93</v>
      </c>
      <c r="D186" s="6">
        <v>57283</v>
      </c>
      <c r="E186" s="6">
        <v>61844</v>
      </c>
      <c r="F186" s="25">
        <v>61711</v>
      </c>
      <c r="G186" s="52">
        <f t="shared" si="12"/>
        <v>107.73004207181887</v>
      </c>
      <c r="H186" s="46">
        <f t="shared" si="13"/>
        <v>99.784942759200561</v>
      </c>
    </row>
    <row r="187" spans="1:8">
      <c r="A187" s="58">
        <v>7300</v>
      </c>
      <c r="B187" s="5">
        <v>3314</v>
      </c>
      <c r="C187" s="15" t="s">
        <v>94</v>
      </c>
      <c r="D187" s="6">
        <v>44733</v>
      </c>
      <c r="E187" s="6">
        <v>48083</v>
      </c>
      <c r="F187" s="25">
        <v>48083</v>
      </c>
      <c r="G187" s="52">
        <f t="shared" si="12"/>
        <v>107.48887845662038</v>
      </c>
      <c r="H187" s="46">
        <f t="shared" si="13"/>
        <v>100</v>
      </c>
    </row>
    <row r="188" spans="1:8">
      <c r="A188" s="58">
        <v>7300</v>
      </c>
      <c r="B188" s="5">
        <v>3315</v>
      </c>
      <c r="C188" s="15" t="s">
        <v>95</v>
      </c>
      <c r="D188" s="6">
        <v>42386</v>
      </c>
      <c r="E188" s="6">
        <v>44172</v>
      </c>
      <c r="F188" s="25">
        <v>43812</v>
      </c>
      <c r="G188" s="52">
        <f t="shared" si="12"/>
        <v>103.36431840702119</v>
      </c>
      <c r="H188" s="46">
        <f t="shared" si="13"/>
        <v>99.185004074979616</v>
      </c>
    </row>
    <row r="189" spans="1:8">
      <c r="A189" s="58">
        <v>7300</v>
      </c>
      <c r="B189" s="5">
        <v>3317</v>
      </c>
      <c r="C189" s="15" t="s">
        <v>96</v>
      </c>
      <c r="D189" s="6">
        <v>12290</v>
      </c>
      <c r="E189" s="6">
        <v>13697</v>
      </c>
      <c r="F189" s="25">
        <v>13647</v>
      </c>
      <c r="G189" s="52">
        <f t="shared" si="12"/>
        <v>111.04149715215624</v>
      </c>
      <c r="H189" s="46">
        <f t="shared" si="13"/>
        <v>99.634956559830627</v>
      </c>
    </row>
    <row r="190" spans="1:8">
      <c r="A190" s="58">
        <v>7300</v>
      </c>
      <c r="B190" s="5">
        <v>3319</v>
      </c>
      <c r="C190" s="15" t="s">
        <v>49</v>
      </c>
      <c r="D190" s="6">
        <v>18082</v>
      </c>
      <c r="E190" s="6">
        <v>13052</v>
      </c>
      <c r="F190" s="25">
        <v>12808</v>
      </c>
      <c r="G190" s="52">
        <f t="shared" si="12"/>
        <v>70.832872469859538</v>
      </c>
      <c r="H190" s="46">
        <f t="shared" si="13"/>
        <v>98.130554704259893</v>
      </c>
    </row>
    <row r="191" spans="1:8">
      <c r="A191" s="58">
        <v>7300</v>
      </c>
      <c r="B191" s="5">
        <v>3326</v>
      </c>
      <c r="C191" s="15" t="s">
        <v>177</v>
      </c>
      <c r="D191" s="6">
        <v>1200</v>
      </c>
      <c r="E191" s="6">
        <v>1167</v>
      </c>
      <c r="F191" s="25">
        <v>995</v>
      </c>
      <c r="G191" s="48">
        <f t="shared" si="12"/>
        <v>82.916666666666671</v>
      </c>
      <c r="H191" s="49">
        <f t="shared" si="13"/>
        <v>85.261353898886028</v>
      </c>
    </row>
    <row r="192" spans="1:8">
      <c r="A192" s="58">
        <v>7300</v>
      </c>
      <c r="B192" s="5">
        <v>3329</v>
      </c>
      <c r="C192" s="12" t="s">
        <v>179</v>
      </c>
      <c r="D192" s="6">
        <v>100</v>
      </c>
      <c r="E192" s="6">
        <v>150</v>
      </c>
      <c r="F192" s="25">
        <v>150</v>
      </c>
      <c r="G192" s="52">
        <f t="shared" si="12"/>
        <v>150</v>
      </c>
      <c r="H192" s="46">
        <f t="shared" si="13"/>
        <v>100</v>
      </c>
    </row>
    <row r="193" spans="1:8">
      <c r="A193" s="34" t="s">
        <v>27</v>
      </c>
      <c r="B193" s="5"/>
      <c r="C193" s="15"/>
      <c r="D193" s="40">
        <f>SUBTOTAL(9,D185:D192)</f>
        <v>671664</v>
      </c>
      <c r="E193" s="40">
        <f>SUBTOTAL(9,E185:E192)</f>
        <v>708448</v>
      </c>
      <c r="F193" s="41">
        <f>SUBTOTAL(9,F185:F192)</f>
        <v>707489</v>
      </c>
      <c r="G193" s="50">
        <f t="shared" si="12"/>
        <v>105.33376807451344</v>
      </c>
      <c r="H193" s="51">
        <f t="shared" si="13"/>
        <v>99.864633678124576</v>
      </c>
    </row>
    <row r="194" spans="1:8">
      <c r="A194" s="34"/>
      <c r="B194" s="5"/>
      <c r="C194" s="15"/>
      <c r="D194" s="40"/>
      <c r="E194" s="40"/>
      <c r="F194" s="41"/>
      <c r="G194" s="50">
        <f t="shared" si="12"/>
        <v>0</v>
      </c>
      <c r="H194" s="51">
        <f t="shared" si="13"/>
        <v>0</v>
      </c>
    </row>
    <row r="195" spans="1:8">
      <c r="A195" s="34" t="s">
        <v>41</v>
      </c>
      <c r="B195" s="5"/>
      <c r="C195" s="15"/>
      <c r="D195" s="40"/>
      <c r="E195" s="40"/>
      <c r="F195" s="41"/>
      <c r="G195" s="50">
        <f t="shared" si="12"/>
        <v>0</v>
      </c>
      <c r="H195" s="51">
        <f t="shared" si="13"/>
        <v>0</v>
      </c>
    </row>
    <row r="196" spans="1:8">
      <c r="A196" s="57">
        <v>7400</v>
      </c>
      <c r="B196" s="5">
        <v>3111</v>
      </c>
      <c r="C196" s="15" t="s">
        <v>99</v>
      </c>
      <c r="D196" s="9">
        <v>2449</v>
      </c>
      <c r="E196" s="9">
        <v>2449</v>
      </c>
      <c r="F196" s="23">
        <v>2399</v>
      </c>
      <c r="G196" s="48">
        <f t="shared" si="12"/>
        <v>97.95835034708044</v>
      </c>
      <c r="H196" s="49">
        <f t="shared" si="13"/>
        <v>97.95835034708044</v>
      </c>
    </row>
    <row r="197" spans="1:8">
      <c r="A197" s="57">
        <v>7400</v>
      </c>
      <c r="B197" s="17">
        <v>3113</v>
      </c>
      <c r="C197" s="10" t="s">
        <v>23</v>
      </c>
      <c r="D197" s="9">
        <v>21047</v>
      </c>
      <c r="E197" s="9">
        <v>107710</v>
      </c>
      <c r="F197" s="23">
        <v>99354</v>
      </c>
      <c r="G197" s="48">
        <f t="shared" si="12"/>
        <v>472.05777545493419</v>
      </c>
      <c r="H197" s="49">
        <f t="shared" si="13"/>
        <v>92.242131649800385</v>
      </c>
    </row>
    <row r="198" spans="1:8">
      <c r="A198" s="57">
        <v>7400</v>
      </c>
      <c r="B198" s="17">
        <v>3141</v>
      </c>
      <c r="C198" s="10" t="s">
        <v>171</v>
      </c>
      <c r="D198" s="9">
        <v>2000</v>
      </c>
      <c r="E198" s="9"/>
      <c r="F198" s="23"/>
      <c r="G198" s="48">
        <f t="shared" si="12"/>
        <v>0</v>
      </c>
      <c r="H198" s="49">
        <f t="shared" si="13"/>
        <v>0</v>
      </c>
    </row>
    <row r="199" spans="1:8">
      <c r="A199" s="57">
        <v>7400</v>
      </c>
      <c r="B199" s="17">
        <v>3149</v>
      </c>
      <c r="C199" s="10" t="s">
        <v>97</v>
      </c>
      <c r="D199" s="9">
        <v>1270</v>
      </c>
      <c r="E199" s="9">
        <v>1270</v>
      </c>
      <c r="F199" s="23">
        <v>410</v>
      </c>
      <c r="G199" s="48">
        <f t="shared" si="12"/>
        <v>32.283464566929133</v>
      </c>
      <c r="H199" s="49">
        <f t="shared" si="13"/>
        <v>32.283464566929133</v>
      </c>
    </row>
    <row r="200" spans="1:8">
      <c r="A200" s="57">
        <v>7400</v>
      </c>
      <c r="B200" s="17">
        <v>3419</v>
      </c>
      <c r="C200" s="10" t="s">
        <v>51</v>
      </c>
      <c r="D200" s="9">
        <v>154309</v>
      </c>
      <c r="E200" s="9">
        <v>203853</v>
      </c>
      <c r="F200" s="23">
        <v>203716</v>
      </c>
      <c r="G200" s="48">
        <f t="shared" si="12"/>
        <v>132.01822317557628</v>
      </c>
      <c r="H200" s="49">
        <f t="shared" si="13"/>
        <v>99.932794709913523</v>
      </c>
    </row>
    <row r="201" spans="1:8">
      <c r="A201" s="57">
        <v>7400</v>
      </c>
      <c r="B201" s="17">
        <v>3421</v>
      </c>
      <c r="C201" s="10" t="s">
        <v>98</v>
      </c>
      <c r="D201" s="9">
        <v>12900</v>
      </c>
      <c r="E201" s="9">
        <v>11136</v>
      </c>
      <c r="F201" s="23">
        <v>10909</v>
      </c>
      <c r="G201" s="48">
        <f>IF(D201&lt;=0,0,$F201/D201*100)</f>
        <v>84.565891472868216</v>
      </c>
      <c r="H201" s="49">
        <f>IF(E201&lt;=0,0,$F201/E201*100)</f>
        <v>97.961566091954026</v>
      </c>
    </row>
    <row r="202" spans="1:8">
      <c r="A202" s="57">
        <v>7400</v>
      </c>
      <c r="B202" s="17">
        <v>6409</v>
      </c>
      <c r="C202" s="10" t="s">
        <v>39</v>
      </c>
      <c r="D202" s="9"/>
      <c r="E202" s="9">
        <v>6965</v>
      </c>
      <c r="F202" s="23">
        <v>6965</v>
      </c>
      <c r="G202" s="48">
        <f>IF(D202&lt;=0,0,$F202/D202*100)</f>
        <v>0</v>
      </c>
      <c r="H202" s="49">
        <f>IF(E202&lt;=0,0,$F202/E202*100)</f>
        <v>100</v>
      </c>
    </row>
    <row r="203" spans="1:8">
      <c r="A203" s="36" t="s">
        <v>36</v>
      </c>
      <c r="B203" s="21"/>
      <c r="C203" s="10"/>
      <c r="D203" s="40">
        <f>SUBTOTAL(9,D196:D202)</f>
        <v>193975</v>
      </c>
      <c r="E203" s="40">
        <f>SUBTOTAL(9,E196:E202)</f>
        <v>333383</v>
      </c>
      <c r="F203" s="40">
        <f>SUBTOTAL(9,F196:F202)</f>
        <v>323753</v>
      </c>
      <c r="G203" s="50">
        <f t="shared" si="12"/>
        <v>166.90449800231988</v>
      </c>
      <c r="H203" s="51">
        <f t="shared" si="13"/>
        <v>97.111430396870873</v>
      </c>
    </row>
    <row r="204" spans="1:8">
      <c r="A204" s="36"/>
      <c r="B204" s="21"/>
      <c r="C204" s="10"/>
      <c r="D204" s="40"/>
      <c r="E204" s="40"/>
      <c r="F204" s="41"/>
      <c r="G204" s="50">
        <f t="shared" si="12"/>
        <v>0</v>
      </c>
      <c r="H204" s="51">
        <f t="shared" si="13"/>
        <v>0</v>
      </c>
    </row>
    <row r="205" spans="1:8">
      <c r="A205" s="90" t="s">
        <v>101</v>
      </c>
      <c r="B205" s="17"/>
      <c r="C205" s="10"/>
      <c r="D205" s="40"/>
      <c r="E205" s="40"/>
      <c r="F205" s="41"/>
      <c r="G205" s="50">
        <f t="shared" si="12"/>
        <v>0</v>
      </c>
      <c r="H205" s="51">
        <f t="shared" si="13"/>
        <v>0</v>
      </c>
    </row>
    <row r="206" spans="1:8">
      <c r="A206" s="58">
        <v>7500</v>
      </c>
      <c r="B206" s="5">
        <v>3322</v>
      </c>
      <c r="C206" s="15" t="s">
        <v>28</v>
      </c>
      <c r="D206" s="6">
        <v>10850</v>
      </c>
      <c r="E206" s="6">
        <v>12045</v>
      </c>
      <c r="F206" s="25">
        <v>11475</v>
      </c>
      <c r="G206" s="48">
        <f t="shared" si="12"/>
        <v>105.76036866359446</v>
      </c>
      <c r="H206" s="49">
        <f t="shared" si="13"/>
        <v>95.267745952677458</v>
      </c>
    </row>
    <row r="207" spans="1:8">
      <c r="A207" s="57">
        <v>7500</v>
      </c>
      <c r="B207" s="17">
        <v>6409</v>
      </c>
      <c r="C207" s="10" t="s">
        <v>39</v>
      </c>
      <c r="D207" s="9"/>
      <c r="E207" s="9">
        <v>680</v>
      </c>
      <c r="F207" s="23">
        <v>680</v>
      </c>
      <c r="G207" s="48">
        <f>IF(D207&lt;=0,0,$F207/D207*100)</f>
        <v>0</v>
      </c>
      <c r="H207" s="49">
        <f>IF(E207&lt;=0,0,$F207/E207*100)</f>
        <v>100</v>
      </c>
    </row>
    <row r="208" spans="1:8">
      <c r="A208" s="34" t="s">
        <v>102</v>
      </c>
      <c r="B208" s="5"/>
      <c r="C208" s="15"/>
      <c r="D208" s="40">
        <f>SUBTOTAL(9,D206:D207)</f>
        <v>10850</v>
      </c>
      <c r="E208" s="40">
        <f>SUBTOTAL(9,E206:E207)</f>
        <v>12725</v>
      </c>
      <c r="F208" s="40">
        <f>SUBTOTAL(9,F206:F207)</f>
        <v>12155</v>
      </c>
      <c r="G208" s="140">
        <f t="shared" si="12"/>
        <v>112.02764976958525</v>
      </c>
      <c r="H208" s="51">
        <f t="shared" si="13"/>
        <v>95.520628683693516</v>
      </c>
    </row>
    <row r="209" spans="1:8">
      <c r="A209" s="34"/>
      <c r="B209" s="5"/>
      <c r="C209" s="15"/>
      <c r="D209" s="40"/>
      <c r="E209" s="40"/>
      <c r="F209" s="41"/>
      <c r="G209" s="50">
        <f t="shared" si="12"/>
        <v>0</v>
      </c>
      <c r="H209" s="51">
        <f t="shared" si="13"/>
        <v>0</v>
      </c>
    </row>
    <row r="210" spans="1:8">
      <c r="A210" s="34" t="s">
        <v>31</v>
      </c>
      <c r="B210" s="5"/>
      <c r="C210" s="15"/>
      <c r="D210" s="40"/>
      <c r="E210" s="40"/>
      <c r="F210" s="41"/>
      <c r="G210" s="50">
        <f t="shared" si="12"/>
        <v>0</v>
      </c>
      <c r="H210" s="51">
        <f t="shared" si="13"/>
        <v>0</v>
      </c>
    </row>
    <row r="211" spans="1:8">
      <c r="A211" s="58">
        <v>8200</v>
      </c>
      <c r="B211" s="5">
        <v>1014</v>
      </c>
      <c r="C211" s="10" t="s">
        <v>178</v>
      </c>
      <c r="D211" s="9">
        <v>15963</v>
      </c>
      <c r="E211" s="9">
        <v>16144</v>
      </c>
      <c r="F211" s="23">
        <v>14764</v>
      </c>
      <c r="G211" s="48">
        <f t="shared" ref="G211:H214" si="14">IF(D211&lt;=0,0,$F211/D211*100)</f>
        <v>92.48888053624006</v>
      </c>
      <c r="H211" s="49">
        <f t="shared" si="14"/>
        <v>91.451932606541135</v>
      </c>
    </row>
    <row r="212" spans="1:8">
      <c r="A212" s="58">
        <v>8200</v>
      </c>
      <c r="B212" s="5" t="s">
        <v>32</v>
      </c>
      <c r="C212" s="15" t="s">
        <v>33</v>
      </c>
      <c r="D212" s="6">
        <v>340477</v>
      </c>
      <c r="E212" s="6">
        <v>334144</v>
      </c>
      <c r="F212" s="26">
        <v>327869</v>
      </c>
      <c r="G212" s="52">
        <f t="shared" si="14"/>
        <v>96.296959853382162</v>
      </c>
      <c r="H212" s="49">
        <f t="shared" si="14"/>
        <v>98.122067132733193</v>
      </c>
    </row>
    <row r="213" spans="1:8">
      <c r="A213" s="58">
        <v>8200</v>
      </c>
      <c r="B213" s="5">
        <v>5319</v>
      </c>
      <c r="C213" s="15" t="s">
        <v>216</v>
      </c>
      <c r="D213" s="6">
        <v>654</v>
      </c>
      <c r="E213" s="6">
        <v>1711</v>
      </c>
      <c r="F213" s="25">
        <v>1522</v>
      </c>
      <c r="G213" s="52">
        <f t="shared" si="14"/>
        <v>232.72171253822629</v>
      </c>
      <c r="H213" s="49">
        <f t="shared" si="14"/>
        <v>88.953828170660429</v>
      </c>
    </row>
    <row r="214" spans="1:8">
      <c r="A214" s="34" t="s">
        <v>29</v>
      </c>
      <c r="B214" s="5"/>
      <c r="C214" s="15"/>
      <c r="D214" s="40">
        <f>SUBTOTAL(9,D211:D213)</f>
        <v>357094</v>
      </c>
      <c r="E214" s="40">
        <f>SUBTOTAL(9,E211:E213)</f>
        <v>351999</v>
      </c>
      <c r="F214" s="40">
        <f>SUBTOTAL(9,F211:F213)</f>
        <v>344155</v>
      </c>
      <c r="G214" s="50">
        <f t="shared" si="14"/>
        <v>96.376584316734522</v>
      </c>
      <c r="H214" s="51">
        <f t="shared" si="14"/>
        <v>97.771584578365278</v>
      </c>
    </row>
    <row r="215" spans="1:8">
      <c r="A215" s="72"/>
      <c r="B215" s="73"/>
      <c r="C215" s="74"/>
      <c r="D215" s="75"/>
      <c r="E215" s="75"/>
      <c r="F215" s="76"/>
      <c r="G215" s="77"/>
      <c r="H215" s="78"/>
    </row>
    <row r="216" spans="1:8">
      <c r="A216" s="90" t="s">
        <v>262</v>
      </c>
      <c r="B216" s="17"/>
      <c r="C216" s="10"/>
      <c r="D216" s="40"/>
      <c r="E216" s="40"/>
      <c r="F216" s="41"/>
      <c r="G216" s="50">
        <f t="shared" ref="G216:H218" si="15">IF(D216&lt;=0,0,$F216/D216*100)</f>
        <v>0</v>
      </c>
      <c r="H216" s="51">
        <f t="shared" si="15"/>
        <v>0</v>
      </c>
    </row>
    <row r="217" spans="1:8">
      <c r="A217" s="58">
        <v>8887</v>
      </c>
      <c r="B217" s="5">
        <v>6399</v>
      </c>
      <c r="C217" s="15" t="s">
        <v>84</v>
      </c>
      <c r="D217" s="6"/>
      <c r="E217" s="6"/>
      <c r="F217" s="25">
        <v>-2238</v>
      </c>
      <c r="G217" s="48">
        <f t="shared" si="15"/>
        <v>0</v>
      </c>
      <c r="H217" s="49">
        <f t="shared" si="15"/>
        <v>0</v>
      </c>
    </row>
    <row r="218" spans="1:8">
      <c r="A218" s="34" t="s">
        <v>263</v>
      </c>
      <c r="B218" s="5"/>
      <c r="C218" s="15"/>
      <c r="D218" s="40">
        <f>SUBTOTAL(9,D217:D217)</f>
        <v>0</v>
      </c>
      <c r="E218" s="40">
        <f>SUBTOTAL(9,E217:E217)</f>
        <v>0</v>
      </c>
      <c r="F218" s="40">
        <f>SUBTOTAL(9,F217:F217)</f>
        <v>-2238</v>
      </c>
      <c r="G218" s="140">
        <f t="shared" si="15"/>
        <v>0</v>
      </c>
      <c r="H218" s="51">
        <f t="shared" si="15"/>
        <v>0</v>
      </c>
    </row>
    <row r="219" spans="1:8" ht="12" customHeight="1" thickBot="1">
      <c r="A219" s="29"/>
      <c r="B219" s="30"/>
      <c r="C219" s="31"/>
      <c r="D219" s="42"/>
      <c r="E219" s="42"/>
      <c r="F219" s="61"/>
      <c r="G219" s="62">
        <f>IF(D219&lt;=0,0,$F219/D219*100)</f>
        <v>0</v>
      </c>
      <c r="H219" s="63">
        <f>IF(E219&lt;=0,0,$F219/E219*100)</f>
        <v>0</v>
      </c>
    </row>
    <row r="220" spans="1:8" ht="16.5" thickBot="1">
      <c r="A220" s="94" t="s">
        <v>103</v>
      </c>
      <c r="B220" s="67"/>
      <c r="C220" s="68"/>
      <c r="D220" s="64">
        <f>SUBTOTAL(9,D2:D219)</f>
        <v>8165040</v>
      </c>
      <c r="E220" s="64">
        <f>SUBTOTAL(9,E2:E219)</f>
        <v>8308430</v>
      </c>
      <c r="F220" s="64">
        <f>SUBTOTAL(9,F2:F219)</f>
        <v>7627207</v>
      </c>
      <c r="G220" s="65">
        <f>IF(D220&lt;=0,0,$F220/D220*100)</f>
        <v>93.412977768633098</v>
      </c>
      <c r="H220" s="66">
        <f>IF(E220&lt;=0,0,$F220/E220*100)</f>
        <v>91.800821575195314</v>
      </c>
    </row>
    <row r="222" spans="1:8">
      <c r="E222" s="145"/>
      <c r="F222" s="145"/>
    </row>
    <row r="223" spans="1:8">
      <c r="E223" s="145"/>
      <c r="F223" s="145"/>
    </row>
  </sheetData>
  <mergeCells count="1">
    <mergeCell ref="A19:C19"/>
  </mergeCells>
  <phoneticPr fontId="0" type="noConversion"/>
  <pageMargins left="0.64" right="0.78740157480314965" top="0.89" bottom="0.74" header="0.51181102362204722" footer="0.51181102362204722"/>
  <pageSetup paperSize="9" scale="78" fitToHeight="0" orientation="portrait" r:id="rId1"/>
  <headerFooter alignWithMargins="0">
    <oddHeader>&amp;C&amp;"Times New Roman CE,Tučné"&amp;14Čerpání rozpočtu provozních výdajů města k 31.12.2012 (v tis. Kč)</oddHeader>
  </headerFooter>
  <rowBreaks count="1" manualBreakCount="1">
    <brk id="148" max="7" man="1"/>
  </rowBreaks>
  <ignoredErrors>
    <ignoredError sqref="B2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L1322"/>
  <sheetViews>
    <sheetView showZeros="0" zoomScale="85" zoomScaleNormal="85" zoomScaleSheetLayoutView="80" workbookViewId="0">
      <pane xSplit="5" ySplit="1" topLeftCell="F122" activePane="bottomRight" state="frozenSplit"/>
      <selection pane="topRight" activeCell="F1" sqref="F1"/>
      <selection pane="bottomLeft" activeCell="A3" sqref="A3"/>
      <selection pane="bottomRight" activeCell="G131" sqref="G131"/>
    </sheetView>
  </sheetViews>
  <sheetFormatPr defaultRowHeight="12.75"/>
  <cols>
    <col min="1" max="1" width="5.140625" style="323" customWidth="1"/>
    <col min="2" max="3" width="6" style="206" customWidth="1"/>
    <col min="4" max="4" width="40.28515625" style="323" customWidth="1"/>
    <col min="5" max="5" width="5.140625" style="206" bestFit="1" customWidth="1"/>
    <col min="6" max="6" width="50.7109375" style="323" customWidth="1"/>
    <col min="7" max="7" width="19.7109375" style="323" customWidth="1"/>
    <col min="8" max="8" width="10.42578125" style="323" customWidth="1"/>
    <col min="9" max="9" width="10.5703125" style="323" customWidth="1"/>
    <col min="10" max="10" width="12.42578125" style="682" customWidth="1"/>
    <col min="11" max="11" width="10.7109375" style="323" customWidth="1"/>
    <col min="12" max="12" width="8.42578125" style="323" customWidth="1"/>
    <col min="13" max="13" width="9.140625" style="323"/>
    <col min="14" max="14" width="8.7109375" style="323" customWidth="1"/>
    <col min="15" max="16384" width="9.140625" style="323"/>
  </cols>
  <sheetData>
    <row r="1" spans="1:12" ht="13.5" thickBot="1">
      <c r="A1" s="315" t="s">
        <v>303</v>
      </c>
      <c r="B1" s="316" t="s">
        <v>273</v>
      </c>
      <c r="C1" s="317" t="s">
        <v>0</v>
      </c>
      <c r="D1" s="317" t="s">
        <v>3</v>
      </c>
      <c r="E1" s="317" t="s">
        <v>105</v>
      </c>
      <c r="F1" s="317" t="s">
        <v>106</v>
      </c>
      <c r="G1" s="318" t="s">
        <v>304</v>
      </c>
      <c r="H1" s="319" t="s">
        <v>258</v>
      </c>
      <c r="I1" s="317" t="s">
        <v>305</v>
      </c>
      <c r="J1" s="320" t="s">
        <v>306</v>
      </c>
      <c r="K1" s="321" t="s">
        <v>307</v>
      </c>
      <c r="L1" s="322" t="s">
        <v>308</v>
      </c>
    </row>
    <row r="2" spans="1:12" ht="12.75" customHeight="1">
      <c r="A2" s="315">
        <v>1</v>
      </c>
      <c r="B2" s="324"/>
      <c r="C2" s="325"/>
      <c r="D2" s="325"/>
      <c r="E2" s="325"/>
      <c r="F2" s="325"/>
      <c r="G2" s="326"/>
      <c r="H2" s="327"/>
      <c r="I2" s="328"/>
      <c r="J2" s="329"/>
      <c r="K2" s="330"/>
      <c r="L2" s="331"/>
    </row>
    <row r="3" spans="1:12" ht="15.75">
      <c r="A3" s="315">
        <f>A2+1</f>
        <v>2</v>
      </c>
      <c r="B3" s="332" t="s">
        <v>44</v>
      </c>
      <c r="C3" s="10"/>
      <c r="D3" s="10"/>
      <c r="E3" s="10"/>
      <c r="F3" s="10"/>
      <c r="G3" s="333"/>
      <c r="H3" s="334"/>
      <c r="I3" s="335"/>
      <c r="J3" s="336"/>
      <c r="K3" s="337"/>
      <c r="L3" s="338"/>
    </row>
    <row r="4" spans="1:12">
      <c r="A4" s="315">
        <f t="shared" ref="A4:A67" si="0">A3+1</f>
        <v>3</v>
      </c>
      <c r="B4" s="339">
        <v>1700</v>
      </c>
      <c r="C4" s="340">
        <v>3511</v>
      </c>
      <c r="D4" s="340" t="s">
        <v>13</v>
      </c>
      <c r="E4" s="340">
        <v>5166</v>
      </c>
      <c r="F4" s="10" t="s">
        <v>309</v>
      </c>
      <c r="G4" s="333" t="s">
        <v>310</v>
      </c>
      <c r="H4" s="334">
        <v>200</v>
      </c>
      <c r="I4" s="335">
        <v>200</v>
      </c>
      <c r="J4" s="336">
        <v>0</v>
      </c>
      <c r="K4" s="337">
        <f>J4-I4</f>
        <v>-200</v>
      </c>
      <c r="L4" s="338">
        <f>IF(I4&lt;=0,0,J4/I4*100)</f>
        <v>0</v>
      </c>
    </row>
    <row r="5" spans="1:12">
      <c r="A5" s="315">
        <f t="shared" si="0"/>
        <v>4</v>
      </c>
      <c r="B5" s="339">
        <v>1700</v>
      </c>
      <c r="C5" s="340">
        <v>3511</v>
      </c>
      <c r="D5" s="340" t="s">
        <v>13</v>
      </c>
      <c r="E5" s="340">
        <v>5429</v>
      </c>
      <c r="F5" s="10" t="s">
        <v>311</v>
      </c>
      <c r="G5" s="333" t="s">
        <v>310</v>
      </c>
      <c r="H5" s="334">
        <v>1000</v>
      </c>
      <c r="I5" s="335">
        <v>1000</v>
      </c>
      <c r="J5" s="336">
        <v>234</v>
      </c>
      <c r="K5" s="337">
        <f t="shared" ref="K5:K68" si="1">J5-I5</f>
        <v>-766</v>
      </c>
      <c r="L5" s="338">
        <f t="shared" ref="L5:L68" si="2">IF(I5&lt;=0,0,J5/I5*100)</f>
        <v>23.400000000000002</v>
      </c>
    </row>
    <row r="6" spans="1:12">
      <c r="A6" s="315">
        <f t="shared" si="0"/>
        <v>5</v>
      </c>
      <c r="B6" s="341"/>
      <c r="C6" s="342" t="s">
        <v>312</v>
      </c>
      <c r="D6" s="342"/>
      <c r="E6" s="342"/>
      <c r="F6" s="343"/>
      <c r="G6" s="344"/>
      <c r="H6" s="345">
        <f>SUBTOTAL(9,H4:H5)</f>
        <v>1200</v>
      </c>
      <c r="I6" s="346">
        <f>SUBTOTAL(9,I4:I5)</f>
        <v>1200</v>
      </c>
      <c r="J6" s="347">
        <f>SUBTOTAL(9,J4:J5)</f>
        <v>234</v>
      </c>
      <c r="K6" s="348">
        <f t="shared" si="1"/>
        <v>-966</v>
      </c>
      <c r="L6" s="349">
        <f t="shared" si="2"/>
        <v>19.5</v>
      </c>
    </row>
    <row r="7" spans="1:12">
      <c r="A7" s="315">
        <f t="shared" si="0"/>
        <v>6</v>
      </c>
      <c r="B7" s="339">
        <v>1700</v>
      </c>
      <c r="C7" s="340">
        <v>6171</v>
      </c>
      <c r="D7" s="340" t="s">
        <v>26</v>
      </c>
      <c r="E7" s="340">
        <v>5166</v>
      </c>
      <c r="F7" s="10" t="s">
        <v>309</v>
      </c>
      <c r="G7" s="333"/>
      <c r="H7" s="334">
        <v>1105</v>
      </c>
      <c r="I7" s="335">
        <v>693</v>
      </c>
      <c r="J7" s="336">
        <v>274</v>
      </c>
      <c r="K7" s="337">
        <f t="shared" si="1"/>
        <v>-419</v>
      </c>
      <c r="L7" s="338">
        <f t="shared" si="2"/>
        <v>39.538239538239537</v>
      </c>
    </row>
    <row r="8" spans="1:12">
      <c r="A8" s="315">
        <f t="shared" si="0"/>
        <v>7</v>
      </c>
      <c r="B8" s="339">
        <v>1700</v>
      </c>
      <c r="C8" s="340">
        <v>6171</v>
      </c>
      <c r="D8" s="340" t="s">
        <v>26</v>
      </c>
      <c r="E8" s="340">
        <v>5169</v>
      </c>
      <c r="F8" s="10" t="s">
        <v>313</v>
      </c>
      <c r="G8" s="333"/>
      <c r="H8" s="334">
        <v>8000</v>
      </c>
      <c r="I8" s="335">
        <v>8000</v>
      </c>
      <c r="J8" s="336">
        <v>5984</v>
      </c>
      <c r="K8" s="337">
        <f t="shared" si="1"/>
        <v>-2016</v>
      </c>
      <c r="L8" s="338">
        <f t="shared" si="2"/>
        <v>74.8</v>
      </c>
    </row>
    <row r="9" spans="1:12">
      <c r="A9" s="315">
        <f t="shared" si="0"/>
        <v>8</v>
      </c>
      <c r="B9" s="339">
        <v>1700</v>
      </c>
      <c r="C9" s="340">
        <v>6171</v>
      </c>
      <c r="D9" s="340" t="s">
        <v>26</v>
      </c>
      <c r="E9" s="340">
        <v>5363</v>
      </c>
      <c r="F9" s="10" t="s">
        <v>314</v>
      </c>
      <c r="G9" s="333"/>
      <c r="H9" s="334"/>
      <c r="I9" s="335">
        <v>412</v>
      </c>
      <c r="J9" s="336">
        <v>242</v>
      </c>
      <c r="K9" s="337">
        <f t="shared" si="1"/>
        <v>-170</v>
      </c>
      <c r="L9" s="338">
        <f t="shared" si="2"/>
        <v>58.737864077669897</v>
      </c>
    </row>
    <row r="10" spans="1:12">
      <c r="A10" s="315">
        <f t="shared" si="0"/>
        <v>9</v>
      </c>
      <c r="B10" s="341"/>
      <c r="C10" s="342" t="s">
        <v>315</v>
      </c>
      <c r="D10" s="342"/>
      <c r="E10" s="342"/>
      <c r="F10" s="343"/>
      <c r="G10" s="344"/>
      <c r="H10" s="345">
        <f>SUBTOTAL(9,H7:H9)</f>
        <v>9105</v>
      </c>
      <c r="I10" s="346">
        <f>SUBTOTAL(9,I7:I9)</f>
        <v>9105</v>
      </c>
      <c r="J10" s="347">
        <f>SUBTOTAL(9,J7:J9)</f>
        <v>6500</v>
      </c>
      <c r="K10" s="348">
        <f t="shared" si="1"/>
        <v>-2605</v>
      </c>
      <c r="L10" s="349">
        <f t="shared" si="2"/>
        <v>71.389346512904993</v>
      </c>
    </row>
    <row r="11" spans="1:12">
      <c r="A11" s="315">
        <f t="shared" si="0"/>
        <v>10</v>
      </c>
      <c r="B11" s="339">
        <v>1700</v>
      </c>
      <c r="C11" s="340">
        <v>6310</v>
      </c>
      <c r="D11" s="350" t="s">
        <v>143</v>
      </c>
      <c r="E11" s="340">
        <v>5141</v>
      </c>
      <c r="F11" s="340" t="s">
        <v>316</v>
      </c>
      <c r="G11" s="351"/>
      <c r="H11" s="334">
        <v>265446</v>
      </c>
      <c r="I11" s="335">
        <v>265346</v>
      </c>
      <c r="J11" s="336">
        <v>98245</v>
      </c>
      <c r="K11" s="337">
        <f t="shared" si="1"/>
        <v>-167101</v>
      </c>
      <c r="L11" s="338">
        <f t="shared" si="2"/>
        <v>37.025242513548349</v>
      </c>
    </row>
    <row r="12" spans="1:12">
      <c r="A12" s="315">
        <f t="shared" si="0"/>
        <v>11</v>
      </c>
      <c r="B12" s="339">
        <v>1700</v>
      </c>
      <c r="C12" s="340">
        <v>6310</v>
      </c>
      <c r="D12" s="350" t="s">
        <v>143</v>
      </c>
      <c r="E12" s="340">
        <v>5142</v>
      </c>
      <c r="F12" s="340" t="s">
        <v>317</v>
      </c>
      <c r="G12" s="351"/>
      <c r="H12" s="334">
        <v>100</v>
      </c>
      <c r="I12" s="335">
        <v>200</v>
      </c>
      <c r="J12" s="336">
        <v>187</v>
      </c>
      <c r="K12" s="337">
        <f t="shared" si="1"/>
        <v>-13</v>
      </c>
      <c r="L12" s="338">
        <f t="shared" si="2"/>
        <v>93.5</v>
      </c>
    </row>
    <row r="13" spans="1:12">
      <c r="A13" s="315">
        <f t="shared" si="0"/>
        <v>12</v>
      </c>
      <c r="B13" s="339">
        <v>1700</v>
      </c>
      <c r="C13" s="340">
        <v>6310</v>
      </c>
      <c r="D13" s="350" t="s">
        <v>143</v>
      </c>
      <c r="E13" s="340">
        <v>5163</v>
      </c>
      <c r="F13" s="340" t="s">
        <v>318</v>
      </c>
      <c r="G13" s="351" t="s">
        <v>319</v>
      </c>
      <c r="H13" s="334">
        <v>1100</v>
      </c>
      <c r="I13" s="335">
        <v>1100</v>
      </c>
      <c r="J13" s="336">
        <v>551</v>
      </c>
      <c r="K13" s="337">
        <f t="shared" si="1"/>
        <v>-549</v>
      </c>
      <c r="L13" s="338">
        <f t="shared" si="2"/>
        <v>50.090909090909086</v>
      </c>
    </row>
    <row r="14" spans="1:12">
      <c r="A14" s="315">
        <f t="shared" si="0"/>
        <v>13</v>
      </c>
      <c r="B14" s="341"/>
      <c r="C14" s="342" t="s">
        <v>320</v>
      </c>
      <c r="D14" s="342"/>
      <c r="E14" s="342"/>
      <c r="F14" s="342"/>
      <c r="G14" s="352"/>
      <c r="H14" s="345">
        <f>SUBTOTAL(9,H11:H13)</f>
        <v>266646</v>
      </c>
      <c r="I14" s="346">
        <f>SUBTOTAL(9,I11:I13)</f>
        <v>266646</v>
      </c>
      <c r="J14" s="347">
        <f>SUBTOTAL(9,J11:J13)</f>
        <v>98983</v>
      </c>
      <c r="K14" s="348">
        <f t="shared" si="1"/>
        <v>-167663</v>
      </c>
      <c r="L14" s="349">
        <f t="shared" si="2"/>
        <v>37.121501916398522</v>
      </c>
    </row>
    <row r="15" spans="1:12">
      <c r="A15" s="315">
        <f t="shared" si="0"/>
        <v>14</v>
      </c>
      <c r="B15" s="339">
        <v>1700</v>
      </c>
      <c r="C15" s="340">
        <v>6399</v>
      </c>
      <c r="D15" s="340" t="s">
        <v>64</v>
      </c>
      <c r="E15" s="340">
        <v>5362</v>
      </c>
      <c r="F15" s="10" t="s">
        <v>321</v>
      </c>
      <c r="G15" s="351" t="s">
        <v>322</v>
      </c>
      <c r="H15" s="334">
        <v>350000</v>
      </c>
      <c r="I15" s="335">
        <v>229817</v>
      </c>
      <c r="J15" s="336">
        <v>229817</v>
      </c>
      <c r="K15" s="337">
        <f t="shared" si="1"/>
        <v>0</v>
      </c>
      <c r="L15" s="338">
        <f t="shared" si="2"/>
        <v>100</v>
      </c>
    </row>
    <row r="16" spans="1:12">
      <c r="A16" s="315">
        <f t="shared" si="0"/>
        <v>15</v>
      </c>
      <c r="B16" s="339">
        <v>1700</v>
      </c>
      <c r="C16" s="340">
        <v>6399</v>
      </c>
      <c r="D16" s="340" t="s">
        <v>64</v>
      </c>
      <c r="E16" s="340">
        <v>5909</v>
      </c>
      <c r="F16" s="353" t="s">
        <v>323</v>
      </c>
      <c r="G16" s="351"/>
      <c r="H16" s="334"/>
      <c r="I16" s="335"/>
      <c r="J16" s="336">
        <v>-2</v>
      </c>
      <c r="K16" s="337">
        <f t="shared" si="1"/>
        <v>-2</v>
      </c>
      <c r="L16" s="338">
        <f t="shared" si="2"/>
        <v>0</v>
      </c>
    </row>
    <row r="17" spans="1:12">
      <c r="A17" s="315">
        <f t="shared" si="0"/>
        <v>16</v>
      </c>
      <c r="B17" s="341"/>
      <c r="C17" s="342" t="s">
        <v>324</v>
      </c>
      <c r="D17" s="342"/>
      <c r="E17" s="342"/>
      <c r="F17" s="354"/>
      <c r="G17" s="355"/>
      <c r="H17" s="345">
        <f>SUBTOTAL(9,H15:H16)</f>
        <v>350000</v>
      </c>
      <c r="I17" s="346">
        <f>SUBTOTAL(9,I15:I16)</f>
        <v>229817</v>
      </c>
      <c r="J17" s="347">
        <f>SUBTOTAL(9,J15:J16)</f>
        <v>229815</v>
      </c>
      <c r="K17" s="348">
        <f t="shared" si="1"/>
        <v>-2</v>
      </c>
      <c r="L17" s="349">
        <f t="shared" si="2"/>
        <v>99.999129742360225</v>
      </c>
    </row>
    <row r="18" spans="1:12">
      <c r="A18" s="315">
        <f t="shared" si="0"/>
        <v>17</v>
      </c>
      <c r="B18" s="339">
        <v>1700</v>
      </c>
      <c r="C18" s="340">
        <v>6402</v>
      </c>
      <c r="D18" s="10" t="s">
        <v>100</v>
      </c>
      <c r="E18" s="340">
        <v>5366</v>
      </c>
      <c r="F18" s="10" t="s">
        <v>325</v>
      </c>
      <c r="G18" s="351"/>
      <c r="H18" s="334">
        <v>0</v>
      </c>
      <c r="I18" s="335">
        <v>11973</v>
      </c>
      <c r="J18" s="336">
        <v>11973</v>
      </c>
      <c r="K18" s="337">
        <f t="shared" si="1"/>
        <v>0</v>
      </c>
      <c r="L18" s="338">
        <f t="shared" si="2"/>
        <v>100</v>
      </c>
    </row>
    <row r="19" spans="1:12">
      <c r="A19" s="315">
        <f t="shared" si="0"/>
        <v>18</v>
      </c>
      <c r="B19" s="339">
        <v>1700</v>
      </c>
      <c r="C19" s="340">
        <v>6402</v>
      </c>
      <c r="D19" s="10" t="s">
        <v>100</v>
      </c>
      <c r="E19" s="340">
        <v>5367</v>
      </c>
      <c r="F19" s="356" t="s">
        <v>326</v>
      </c>
      <c r="G19" s="351"/>
      <c r="H19" s="334">
        <v>0</v>
      </c>
      <c r="I19" s="335">
        <v>108751</v>
      </c>
      <c r="J19" s="336">
        <v>108641</v>
      </c>
      <c r="K19" s="337">
        <f t="shared" si="1"/>
        <v>-110</v>
      </c>
      <c r="L19" s="338">
        <f t="shared" si="2"/>
        <v>99.898851504813749</v>
      </c>
    </row>
    <row r="20" spans="1:12">
      <c r="A20" s="315">
        <f t="shared" si="0"/>
        <v>19</v>
      </c>
      <c r="B20" s="339">
        <v>1700</v>
      </c>
      <c r="C20" s="340">
        <v>6402</v>
      </c>
      <c r="D20" s="10" t="s">
        <v>100</v>
      </c>
      <c r="E20" s="340">
        <v>5902</v>
      </c>
      <c r="F20" s="356" t="s">
        <v>327</v>
      </c>
      <c r="G20" s="351"/>
      <c r="H20" s="334"/>
      <c r="I20" s="335">
        <v>25</v>
      </c>
      <c r="J20" s="336">
        <v>25</v>
      </c>
      <c r="K20" s="337">
        <f t="shared" si="1"/>
        <v>0</v>
      </c>
      <c r="L20" s="338">
        <f t="shared" si="2"/>
        <v>100</v>
      </c>
    </row>
    <row r="21" spans="1:12">
      <c r="A21" s="315">
        <f t="shared" si="0"/>
        <v>20</v>
      </c>
      <c r="B21" s="341"/>
      <c r="C21" s="342" t="s">
        <v>328</v>
      </c>
      <c r="D21" s="343"/>
      <c r="E21" s="342"/>
      <c r="F21" s="342"/>
      <c r="G21" s="352"/>
      <c r="H21" s="345">
        <f>SUBTOTAL(9,H18:H20)</f>
        <v>0</v>
      </c>
      <c r="I21" s="346">
        <f>SUBTOTAL(9,I18:I20)</f>
        <v>120749</v>
      </c>
      <c r="J21" s="347">
        <f>SUBTOTAL(9,J18:J20)</f>
        <v>120639</v>
      </c>
      <c r="K21" s="348">
        <f t="shared" si="1"/>
        <v>-110</v>
      </c>
      <c r="L21" s="349">
        <f t="shared" si="2"/>
        <v>99.908901937076095</v>
      </c>
    </row>
    <row r="22" spans="1:12">
      <c r="A22" s="315">
        <f t="shared" si="0"/>
        <v>21</v>
      </c>
      <c r="B22" s="339">
        <v>1700</v>
      </c>
      <c r="C22" s="340">
        <v>6409</v>
      </c>
      <c r="D22" s="340" t="s">
        <v>329</v>
      </c>
      <c r="E22" s="340">
        <v>5321</v>
      </c>
      <c r="F22" s="12" t="s">
        <v>330</v>
      </c>
      <c r="G22" s="351"/>
      <c r="H22" s="334">
        <v>982595</v>
      </c>
      <c r="I22" s="335">
        <f>995403-I23</f>
        <v>982595</v>
      </c>
      <c r="J22" s="336">
        <f>995254-J23</f>
        <v>982595</v>
      </c>
      <c r="K22" s="337">
        <f t="shared" si="1"/>
        <v>0</v>
      </c>
      <c r="L22" s="338">
        <f t="shared" si="2"/>
        <v>100</v>
      </c>
    </row>
    <row r="23" spans="1:12">
      <c r="A23" s="315">
        <f t="shared" si="0"/>
        <v>22</v>
      </c>
      <c r="B23" s="339">
        <v>1700</v>
      </c>
      <c r="C23" s="340">
        <v>6409</v>
      </c>
      <c r="D23" s="340" t="s">
        <v>329</v>
      </c>
      <c r="E23" s="340">
        <v>5321</v>
      </c>
      <c r="F23" s="12" t="s">
        <v>330</v>
      </c>
      <c r="G23" s="351" t="s">
        <v>331</v>
      </c>
      <c r="H23" s="334"/>
      <c r="I23" s="335">
        <v>12808</v>
      </c>
      <c r="J23" s="336">
        <v>12659</v>
      </c>
      <c r="K23" s="337">
        <f t="shared" si="1"/>
        <v>-149</v>
      </c>
      <c r="L23" s="338">
        <f t="shared" si="2"/>
        <v>98.836664584634605</v>
      </c>
    </row>
    <row r="24" spans="1:12">
      <c r="A24" s="315">
        <f t="shared" si="0"/>
        <v>23</v>
      </c>
      <c r="B24" s="339">
        <v>1700</v>
      </c>
      <c r="C24" s="340">
        <v>6409</v>
      </c>
      <c r="D24" s="340" t="s">
        <v>329</v>
      </c>
      <c r="E24" s="340">
        <v>5901</v>
      </c>
      <c r="F24" s="340" t="s">
        <v>332</v>
      </c>
      <c r="G24" s="351"/>
      <c r="H24" s="334">
        <v>5950</v>
      </c>
      <c r="I24" s="335">
        <v>1053</v>
      </c>
      <c r="J24" s="336">
        <v>0</v>
      </c>
      <c r="K24" s="337">
        <f t="shared" si="1"/>
        <v>-1053</v>
      </c>
      <c r="L24" s="338">
        <f t="shared" si="2"/>
        <v>0</v>
      </c>
    </row>
    <row r="25" spans="1:12">
      <c r="A25" s="315">
        <f t="shared" si="0"/>
        <v>24</v>
      </c>
      <c r="B25" s="339">
        <v>1700</v>
      </c>
      <c r="C25" s="340">
        <v>6409</v>
      </c>
      <c r="D25" s="340" t="s">
        <v>329</v>
      </c>
      <c r="E25" s="340">
        <v>5909</v>
      </c>
      <c r="F25" s="353" t="s">
        <v>323</v>
      </c>
      <c r="G25" s="351" t="s">
        <v>333</v>
      </c>
      <c r="H25" s="334">
        <v>10000</v>
      </c>
      <c r="I25" s="335">
        <v>10000</v>
      </c>
      <c r="J25" s="336">
        <v>0</v>
      </c>
      <c r="K25" s="337">
        <f t="shared" si="1"/>
        <v>-10000</v>
      </c>
      <c r="L25" s="338">
        <f t="shared" si="2"/>
        <v>0</v>
      </c>
    </row>
    <row r="26" spans="1:12">
      <c r="A26" s="315">
        <f t="shared" si="0"/>
        <v>25</v>
      </c>
      <c r="B26" s="341"/>
      <c r="C26" s="342" t="s">
        <v>334</v>
      </c>
      <c r="D26" s="342"/>
      <c r="E26" s="342"/>
      <c r="F26" s="354"/>
      <c r="G26" s="352"/>
      <c r="H26" s="345">
        <f>SUBTOTAL(9,H22:H25)</f>
        <v>998545</v>
      </c>
      <c r="I26" s="346">
        <f>SUBTOTAL(9,I22:I25)</f>
        <v>1006456</v>
      </c>
      <c r="J26" s="347">
        <f>SUBTOTAL(9,J22:J25)</f>
        <v>995254</v>
      </c>
      <c r="K26" s="348">
        <f t="shared" si="1"/>
        <v>-11202</v>
      </c>
      <c r="L26" s="349">
        <f t="shared" si="2"/>
        <v>98.886985620831908</v>
      </c>
    </row>
    <row r="27" spans="1:12" ht="13.5" thickBot="1">
      <c r="A27" s="315">
        <f t="shared" si="0"/>
        <v>26</v>
      </c>
      <c r="B27" s="29" t="s">
        <v>209</v>
      </c>
      <c r="C27" s="357"/>
      <c r="D27" s="357"/>
      <c r="E27" s="357"/>
      <c r="F27" s="357"/>
      <c r="G27" s="358"/>
      <c r="H27" s="359">
        <f>SUBTOTAL(9,H4:H26)</f>
        <v>1625496</v>
      </c>
      <c r="I27" s="360">
        <f>SUBTOTAL(9,I4:I26)</f>
        <v>1633973</v>
      </c>
      <c r="J27" s="361">
        <f>SUBTOTAL(9,J4:J26)</f>
        <v>1451425</v>
      </c>
      <c r="K27" s="362">
        <f t="shared" si="1"/>
        <v>-182548</v>
      </c>
      <c r="L27" s="363">
        <f t="shared" si="2"/>
        <v>88.827967169592156</v>
      </c>
    </row>
    <row r="28" spans="1:12" ht="12.75" customHeight="1">
      <c r="A28" s="315">
        <f t="shared" si="0"/>
        <v>27</v>
      </c>
      <c r="B28" s="364"/>
      <c r="C28" s="365"/>
      <c r="D28" s="365"/>
      <c r="E28" s="365"/>
      <c r="F28" s="366"/>
      <c r="G28" s="367"/>
      <c r="H28" s="368"/>
      <c r="I28" s="369"/>
      <c r="J28" s="370"/>
      <c r="K28" s="371">
        <f t="shared" si="1"/>
        <v>0</v>
      </c>
      <c r="L28" s="372">
        <f t="shared" si="2"/>
        <v>0</v>
      </c>
    </row>
    <row r="29" spans="1:12" ht="15.75">
      <c r="A29" s="315">
        <f t="shared" si="0"/>
        <v>28</v>
      </c>
      <c r="B29" s="373" t="s">
        <v>175</v>
      </c>
      <c r="C29" s="374"/>
      <c r="D29" s="374"/>
      <c r="E29" s="374"/>
      <c r="F29" s="374"/>
      <c r="G29" s="375"/>
      <c r="H29" s="376"/>
      <c r="I29" s="377"/>
      <c r="J29" s="378"/>
      <c r="K29" s="379">
        <f t="shared" si="1"/>
        <v>0</v>
      </c>
      <c r="L29" s="380">
        <f t="shared" si="2"/>
        <v>0</v>
      </c>
    </row>
    <row r="30" spans="1:12">
      <c r="A30" s="315">
        <f t="shared" si="0"/>
        <v>29</v>
      </c>
      <c r="B30" s="381">
        <v>1900</v>
      </c>
      <c r="C30" s="10">
        <v>2143</v>
      </c>
      <c r="D30" s="382" t="s">
        <v>198</v>
      </c>
      <c r="E30" s="10">
        <v>5169</v>
      </c>
      <c r="F30" s="383" t="s">
        <v>313</v>
      </c>
      <c r="G30" s="333"/>
      <c r="H30" s="334">
        <v>4200</v>
      </c>
      <c r="I30" s="335">
        <v>4200</v>
      </c>
      <c r="J30" s="336">
        <v>4173</v>
      </c>
      <c r="K30" s="384">
        <f t="shared" si="1"/>
        <v>-27</v>
      </c>
      <c r="L30" s="385">
        <f t="shared" si="2"/>
        <v>99.357142857142861</v>
      </c>
    </row>
    <row r="31" spans="1:12">
      <c r="A31" s="315">
        <f t="shared" si="0"/>
        <v>30</v>
      </c>
      <c r="B31" s="381">
        <v>1900</v>
      </c>
      <c r="C31" s="10">
        <v>2143</v>
      </c>
      <c r="D31" s="382" t="s">
        <v>198</v>
      </c>
      <c r="E31" s="10">
        <v>5175</v>
      </c>
      <c r="F31" s="383" t="s">
        <v>335</v>
      </c>
      <c r="G31" s="375"/>
      <c r="H31" s="334">
        <v>20</v>
      </c>
      <c r="I31" s="335">
        <v>20</v>
      </c>
      <c r="J31" s="336">
        <v>14</v>
      </c>
      <c r="K31" s="384">
        <f t="shared" si="1"/>
        <v>-6</v>
      </c>
      <c r="L31" s="385">
        <f t="shared" si="2"/>
        <v>70</v>
      </c>
    </row>
    <row r="32" spans="1:12">
      <c r="A32" s="315">
        <f t="shared" si="0"/>
        <v>31</v>
      </c>
      <c r="B32" s="381">
        <v>1900</v>
      </c>
      <c r="C32" s="10">
        <v>2143</v>
      </c>
      <c r="D32" s="382" t="s">
        <v>198</v>
      </c>
      <c r="E32" s="10">
        <v>5229</v>
      </c>
      <c r="F32" s="383" t="s">
        <v>336</v>
      </c>
      <c r="G32" s="386" t="s">
        <v>337</v>
      </c>
      <c r="H32" s="334">
        <v>2000</v>
      </c>
      <c r="I32" s="335">
        <v>2000</v>
      </c>
      <c r="J32" s="336">
        <v>2000</v>
      </c>
      <c r="K32" s="384">
        <f t="shared" si="1"/>
        <v>0</v>
      </c>
      <c r="L32" s="385">
        <f t="shared" si="2"/>
        <v>100</v>
      </c>
    </row>
    <row r="33" spans="1:12" s="387" customFormat="1">
      <c r="A33" s="315">
        <f t="shared" si="0"/>
        <v>32</v>
      </c>
      <c r="B33" s="381">
        <v>1900</v>
      </c>
      <c r="C33" s="10">
        <v>2143</v>
      </c>
      <c r="D33" s="382" t="s">
        <v>198</v>
      </c>
      <c r="E33" s="10">
        <v>5331</v>
      </c>
      <c r="F33" s="383" t="s">
        <v>338</v>
      </c>
      <c r="G33" s="386" t="s">
        <v>339</v>
      </c>
      <c r="H33" s="334">
        <v>32001</v>
      </c>
      <c r="I33" s="335">
        <v>34098</v>
      </c>
      <c r="J33" s="336">
        <v>34098</v>
      </c>
      <c r="K33" s="384">
        <f t="shared" si="1"/>
        <v>0</v>
      </c>
      <c r="L33" s="385">
        <f t="shared" si="2"/>
        <v>100</v>
      </c>
    </row>
    <row r="34" spans="1:12" s="387" customFormat="1">
      <c r="A34" s="315">
        <f t="shared" si="0"/>
        <v>33</v>
      </c>
      <c r="B34" s="381">
        <v>1900</v>
      </c>
      <c r="C34" s="10">
        <v>2143</v>
      </c>
      <c r="D34" s="382" t="s">
        <v>198</v>
      </c>
      <c r="E34" s="10">
        <v>5336</v>
      </c>
      <c r="F34" s="10" t="s">
        <v>340</v>
      </c>
      <c r="G34" s="386" t="s">
        <v>339</v>
      </c>
      <c r="H34" s="334">
        <v>0</v>
      </c>
      <c r="I34" s="335">
        <v>1555</v>
      </c>
      <c r="J34" s="336">
        <v>1555</v>
      </c>
      <c r="K34" s="384">
        <f t="shared" si="1"/>
        <v>0</v>
      </c>
      <c r="L34" s="385">
        <f t="shared" si="2"/>
        <v>100</v>
      </c>
    </row>
    <row r="35" spans="1:12">
      <c r="A35" s="315">
        <f t="shared" si="0"/>
        <v>34</v>
      </c>
      <c r="B35" s="28"/>
      <c r="C35" s="343" t="s">
        <v>341</v>
      </c>
      <c r="D35" s="343"/>
      <c r="E35" s="343"/>
      <c r="F35" s="343"/>
      <c r="G35" s="375"/>
      <c r="H35" s="388">
        <f>SUBTOTAL(9,H30:H33)</f>
        <v>38221</v>
      </c>
      <c r="I35" s="168">
        <f>SUBTOTAL(9,I30:I34)</f>
        <v>41873</v>
      </c>
      <c r="J35" s="389">
        <f>SUBTOTAL(9,J30:J34)</f>
        <v>41840</v>
      </c>
      <c r="K35" s="390">
        <f t="shared" si="1"/>
        <v>-33</v>
      </c>
      <c r="L35" s="391">
        <f t="shared" si="2"/>
        <v>99.921190265803745</v>
      </c>
    </row>
    <row r="36" spans="1:12">
      <c r="A36" s="315">
        <f t="shared" si="0"/>
        <v>35</v>
      </c>
      <c r="B36" s="392">
        <v>1900</v>
      </c>
      <c r="C36" s="393">
        <v>3349</v>
      </c>
      <c r="D36" s="393" t="s">
        <v>59</v>
      </c>
      <c r="E36" s="394">
        <v>5139</v>
      </c>
      <c r="F36" s="10" t="s">
        <v>342</v>
      </c>
      <c r="G36" s="375"/>
      <c r="H36" s="334">
        <v>3936</v>
      </c>
      <c r="I36" s="335">
        <v>2136</v>
      </c>
      <c r="J36" s="336">
        <v>1999</v>
      </c>
      <c r="K36" s="384">
        <f t="shared" si="1"/>
        <v>-137</v>
      </c>
      <c r="L36" s="385">
        <f t="shared" si="2"/>
        <v>93.586142322097373</v>
      </c>
    </row>
    <row r="37" spans="1:12">
      <c r="A37" s="315">
        <f t="shared" si="0"/>
        <v>36</v>
      </c>
      <c r="B37" s="392">
        <v>1900</v>
      </c>
      <c r="C37" s="393">
        <v>3349</v>
      </c>
      <c r="D37" s="393" t="s">
        <v>59</v>
      </c>
      <c r="E37" s="340">
        <v>5169</v>
      </c>
      <c r="F37" s="340" t="s">
        <v>313</v>
      </c>
      <c r="G37" s="333"/>
      <c r="H37" s="334">
        <v>12450</v>
      </c>
      <c r="I37" s="335">
        <v>16278</v>
      </c>
      <c r="J37" s="336">
        <v>13700</v>
      </c>
      <c r="K37" s="384">
        <f t="shared" si="1"/>
        <v>-2578</v>
      </c>
      <c r="L37" s="385">
        <f t="shared" si="2"/>
        <v>84.162673547118814</v>
      </c>
    </row>
    <row r="38" spans="1:12">
      <c r="A38" s="315">
        <f t="shared" si="0"/>
        <v>37</v>
      </c>
      <c r="B38" s="392">
        <v>1900</v>
      </c>
      <c r="C38" s="393">
        <v>3349</v>
      </c>
      <c r="D38" s="393" t="s">
        <v>59</v>
      </c>
      <c r="E38" s="340">
        <v>5194</v>
      </c>
      <c r="F38" s="340" t="s">
        <v>343</v>
      </c>
      <c r="G38" s="375"/>
      <c r="H38" s="334">
        <v>215</v>
      </c>
      <c r="I38" s="335">
        <v>365</v>
      </c>
      <c r="J38" s="336">
        <v>316</v>
      </c>
      <c r="K38" s="384">
        <f t="shared" si="1"/>
        <v>-49</v>
      </c>
      <c r="L38" s="385">
        <f t="shared" si="2"/>
        <v>86.575342465753423</v>
      </c>
    </row>
    <row r="39" spans="1:12">
      <c r="A39" s="315">
        <f t="shared" si="0"/>
        <v>38</v>
      </c>
      <c r="B39" s="28"/>
      <c r="C39" s="343" t="s">
        <v>344</v>
      </c>
      <c r="D39" s="343"/>
      <c r="E39" s="343"/>
      <c r="F39" s="343"/>
      <c r="G39" s="375"/>
      <c r="H39" s="388">
        <f>SUBTOTAL(9,H36:H38)</f>
        <v>16601</v>
      </c>
      <c r="I39" s="168">
        <f>SUBTOTAL(9,I36:I38)</f>
        <v>18779</v>
      </c>
      <c r="J39" s="389">
        <f>SUBTOTAL(9,J36:J38)</f>
        <v>16015</v>
      </c>
      <c r="K39" s="390">
        <f t="shared" si="1"/>
        <v>-2764</v>
      </c>
      <c r="L39" s="391">
        <f t="shared" si="2"/>
        <v>85.28143138612279</v>
      </c>
    </row>
    <row r="40" spans="1:12">
      <c r="A40" s="315">
        <f t="shared" si="0"/>
        <v>39</v>
      </c>
      <c r="B40" s="392">
        <v>1900</v>
      </c>
      <c r="C40" s="393">
        <v>3636</v>
      </c>
      <c r="D40" s="393" t="s">
        <v>174</v>
      </c>
      <c r="E40" s="393">
        <v>5041</v>
      </c>
      <c r="F40" s="393" t="s">
        <v>345</v>
      </c>
      <c r="G40" s="375"/>
      <c r="H40" s="388"/>
      <c r="I40" s="395">
        <v>130</v>
      </c>
      <c r="J40" s="396">
        <v>70</v>
      </c>
      <c r="K40" s="390">
        <f t="shared" si="1"/>
        <v>-60</v>
      </c>
      <c r="L40" s="391">
        <f t="shared" si="2"/>
        <v>53.846153846153847</v>
      </c>
    </row>
    <row r="41" spans="1:12">
      <c r="A41" s="315">
        <f t="shared" si="0"/>
        <v>40</v>
      </c>
      <c r="B41" s="381">
        <v>1900</v>
      </c>
      <c r="C41" s="10">
        <v>3636</v>
      </c>
      <c r="D41" s="12" t="s">
        <v>174</v>
      </c>
      <c r="E41" s="10">
        <v>5137</v>
      </c>
      <c r="F41" s="10" t="s">
        <v>346</v>
      </c>
      <c r="G41" s="375"/>
      <c r="H41" s="334">
        <v>85</v>
      </c>
      <c r="I41" s="335">
        <v>85</v>
      </c>
      <c r="J41" s="336">
        <v>1</v>
      </c>
      <c r="K41" s="384">
        <f t="shared" si="1"/>
        <v>-84</v>
      </c>
      <c r="L41" s="385">
        <f t="shared" si="2"/>
        <v>1.1764705882352942</v>
      </c>
    </row>
    <row r="42" spans="1:12">
      <c r="A42" s="315">
        <f t="shared" si="0"/>
        <v>41</v>
      </c>
      <c r="B42" s="381">
        <v>1900</v>
      </c>
      <c r="C42" s="10">
        <v>3636</v>
      </c>
      <c r="D42" s="12" t="s">
        <v>174</v>
      </c>
      <c r="E42" s="10">
        <v>5139</v>
      </c>
      <c r="F42" s="10" t="s">
        <v>342</v>
      </c>
      <c r="G42" s="375"/>
      <c r="H42" s="334">
        <v>775</v>
      </c>
      <c r="I42" s="335">
        <v>775</v>
      </c>
      <c r="J42" s="336">
        <v>95</v>
      </c>
      <c r="K42" s="384">
        <f t="shared" si="1"/>
        <v>-680</v>
      </c>
      <c r="L42" s="385">
        <f t="shared" si="2"/>
        <v>12.258064516129032</v>
      </c>
    </row>
    <row r="43" spans="1:12">
      <c r="A43" s="315">
        <f t="shared" si="0"/>
        <v>42</v>
      </c>
      <c r="B43" s="381">
        <v>1900</v>
      </c>
      <c r="C43" s="10">
        <v>3636</v>
      </c>
      <c r="D43" s="12" t="s">
        <v>174</v>
      </c>
      <c r="E43" s="394">
        <v>5151</v>
      </c>
      <c r="F43" s="397" t="s">
        <v>347</v>
      </c>
      <c r="G43" s="375"/>
      <c r="H43" s="334">
        <v>2</v>
      </c>
      <c r="I43" s="335">
        <v>2</v>
      </c>
      <c r="J43" s="336"/>
      <c r="K43" s="384">
        <f t="shared" si="1"/>
        <v>-2</v>
      </c>
      <c r="L43" s="385">
        <f t="shared" si="2"/>
        <v>0</v>
      </c>
    </row>
    <row r="44" spans="1:12">
      <c r="A44" s="315">
        <f t="shared" si="0"/>
        <v>43</v>
      </c>
      <c r="B44" s="381">
        <v>1900</v>
      </c>
      <c r="C44" s="10">
        <v>3636</v>
      </c>
      <c r="D44" s="12" t="s">
        <v>174</v>
      </c>
      <c r="E44" s="394">
        <v>5152</v>
      </c>
      <c r="F44" s="394" t="s">
        <v>348</v>
      </c>
      <c r="G44" s="375"/>
      <c r="H44" s="334">
        <v>9</v>
      </c>
      <c r="I44" s="335">
        <v>9</v>
      </c>
      <c r="J44" s="336"/>
      <c r="K44" s="384">
        <f t="shared" si="1"/>
        <v>-9</v>
      </c>
      <c r="L44" s="385">
        <f t="shared" si="2"/>
        <v>0</v>
      </c>
    </row>
    <row r="45" spans="1:12">
      <c r="A45" s="315">
        <f t="shared" si="0"/>
        <v>44</v>
      </c>
      <c r="B45" s="381">
        <v>1900</v>
      </c>
      <c r="C45" s="10">
        <v>3636</v>
      </c>
      <c r="D45" s="12" t="s">
        <v>174</v>
      </c>
      <c r="E45" s="394">
        <v>5154</v>
      </c>
      <c r="F45" s="398" t="s">
        <v>349</v>
      </c>
      <c r="G45" s="375"/>
      <c r="H45" s="334">
        <v>17</v>
      </c>
      <c r="I45" s="335">
        <v>17</v>
      </c>
      <c r="J45" s="336">
        <v>3</v>
      </c>
      <c r="K45" s="384">
        <f t="shared" si="1"/>
        <v>-14</v>
      </c>
      <c r="L45" s="385">
        <f t="shared" si="2"/>
        <v>17.647058823529413</v>
      </c>
    </row>
    <row r="46" spans="1:12">
      <c r="A46" s="315">
        <f t="shared" si="0"/>
        <v>45</v>
      </c>
      <c r="B46" s="381">
        <v>1900</v>
      </c>
      <c r="C46" s="10">
        <v>3636</v>
      </c>
      <c r="D46" s="12" t="s">
        <v>174</v>
      </c>
      <c r="E46" s="10">
        <v>5163</v>
      </c>
      <c r="F46" s="10" t="s">
        <v>318</v>
      </c>
      <c r="G46" s="375"/>
      <c r="H46" s="334">
        <v>25</v>
      </c>
      <c r="I46" s="335">
        <v>25</v>
      </c>
      <c r="J46" s="336">
        <v>19</v>
      </c>
      <c r="K46" s="384">
        <f t="shared" si="1"/>
        <v>-6</v>
      </c>
      <c r="L46" s="385">
        <f t="shared" si="2"/>
        <v>76</v>
      </c>
    </row>
    <row r="47" spans="1:12">
      <c r="A47" s="315">
        <f t="shared" si="0"/>
        <v>46</v>
      </c>
      <c r="B47" s="381">
        <v>1900</v>
      </c>
      <c r="C47" s="10">
        <v>3636</v>
      </c>
      <c r="D47" s="12" t="s">
        <v>174</v>
      </c>
      <c r="E47" s="10">
        <v>5164</v>
      </c>
      <c r="F47" s="10" t="s">
        <v>350</v>
      </c>
      <c r="G47" s="375"/>
      <c r="H47" s="334">
        <v>52</v>
      </c>
      <c r="I47" s="335">
        <v>52</v>
      </c>
      <c r="J47" s="336">
        <v>16</v>
      </c>
      <c r="K47" s="384">
        <f t="shared" si="1"/>
        <v>-36</v>
      </c>
      <c r="L47" s="385">
        <f t="shared" si="2"/>
        <v>30.76923076923077</v>
      </c>
    </row>
    <row r="48" spans="1:12">
      <c r="A48" s="315">
        <f t="shared" si="0"/>
        <v>47</v>
      </c>
      <c r="B48" s="381">
        <v>1900</v>
      </c>
      <c r="C48" s="10">
        <v>3636</v>
      </c>
      <c r="D48" s="12" t="s">
        <v>174</v>
      </c>
      <c r="E48" s="10">
        <v>5166</v>
      </c>
      <c r="F48" s="10" t="s">
        <v>309</v>
      </c>
      <c r="G48" s="375"/>
      <c r="H48" s="334">
        <v>2700</v>
      </c>
      <c r="I48" s="335">
        <v>2519</v>
      </c>
      <c r="J48" s="336">
        <v>603</v>
      </c>
      <c r="K48" s="384">
        <f t="shared" si="1"/>
        <v>-1916</v>
      </c>
      <c r="L48" s="385">
        <f t="shared" si="2"/>
        <v>23.93807066296149</v>
      </c>
    </row>
    <row r="49" spans="1:12">
      <c r="A49" s="315">
        <f t="shared" si="0"/>
        <v>48</v>
      </c>
      <c r="B49" s="381">
        <v>1900</v>
      </c>
      <c r="C49" s="10">
        <v>3636</v>
      </c>
      <c r="D49" s="12" t="s">
        <v>174</v>
      </c>
      <c r="E49" s="10">
        <v>5169</v>
      </c>
      <c r="F49" s="10" t="s">
        <v>313</v>
      </c>
      <c r="G49" s="333"/>
      <c r="H49" s="334">
        <v>5480</v>
      </c>
      <c r="I49" s="335">
        <v>5350</v>
      </c>
      <c r="J49" s="336">
        <v>4223</v>
      </c>
      <c r="K49" s="384">
        <f t="shared" si="1"/>
        <v>-1127</v>
      </c>
      <c r="L49" s="385">
        <f t="shared" si="2"/>
        <v>78.934579439252346</v>
      </c>
    </row>
    <row r="50" spans="1:12">
      <c r="A50" s="315">
        <f t="shared" si="0"/>
        <v>49</v>
      </c>
      <c r="B50" s="381">
        <v>1900</v>
      </c>
      <c r="C50" s="10">
        <v>3636</v>
      </c>
      <c r="D50" s="12" t="s">
        <v>174</v>
      </c>
      <c r="E50" s="10">
        <v>5175</v>
      </c>
      <c r="F50" s="10" t="s">
        <v>335</v>
      </c>
      <c r="G50" s="375"/>
      <c r="H50" s="334">
        <v>140</v>
      </c>
      <c r="I50" s="335">
        <v>140</v>
      </c>
      <c r="J50" s="336">
        <v>28</v>
      </c>
      <c r="K50" s="384">
        <f t="shared" si="1"/>
        <v>-112</v>
      </c>
      <c r="L50" s="385">
        <f t="shared" si="2"/>
        <v>20</v>
      </c>
    </row>
    <row r="51" spans="1:12">
      <c r="A51" s="315">
        <f t="shared" si="0"/>
        <v>50</v>
      </c>
      <c r="B51" s="381">
        <v>1900</v>
      </c>
      <c r="C51" s="10">
        <v>3636</v>
      </c>
      <c r="D51" s="12" t="s">
        <v>174</v>
      </c>
      <c r="E51" s="10">
        <v>5192</v>
      </c>
      <c r="F51" s="10" t="s">
        <v>351</v>
      </c>
      <c r="G51" s="375"/>
      <c r="H51" s="334">
        <v>25</v>
      </c>
      <c r="I51" s="335">
        <v>25</v>
      </c>
      <c r="J51" s="336">
        <v>21</v>
      </c>
      <c r="K51" s="384">
        <f t="shared" si="1"/>
        <v>-4</v>
      </c>
      <c r="L51" s="385">
        <f t="shared" si="2"/>
        <v>84</v>
      </c>
    </row>
    <row r="52" spans="1:12">
      <c r="A52" s="315">
        <f t="shared" si="0"/>
        <v>51</v>
      </c>
      <c r="B52" s="381">
        <v>1900</v>
      </c>
      <c r="C52" s="10">
        <v>3636</v>
      </c>
      <c r="D52" s="12" t="s">
        <v>174</v>
      </c>
      <c r="E52" s="10">
        <v>5194</v>
      </c>
      <c r="F52" s="10" t="s">
        <v>343</v>
      </c>
      <c r="G52" s="375"/>
      <c r="H52" s="334">
        <v>100</v>
      </c>
      <c r="I52" s="335">
        <v>100</v>
      </c>
      <c r="J52" s="336"/>
      <c r="K52" s="384">
        <f t="shared" si="1"/>
        <v>-100</v>
      </c>
      <c r="L52" s="385">
        <f t="shared" si="2"/>
        <v>0</v>
      </c>
    </row>
    <row r="53" spans="1:12">
      <c r="A53" s="315">
        <f t="shared" si="0"/>
        <v>52</v>
      </c>
      <c r="B53" s="381">
        <v>1900</v>
      </c>
      <c r="C53" s="10">
        <v>3636</v>
      </c>
      <c r="D53" s="12" t="s">
        <v>174</v>
      </c>
      <c r="E53" s="10">
        <v>5229</v>
      </c>
      <c r="F53" s="383" t="s">
        <v>336</v>
      </c>
      <c r="G53" s="399" t="s">
        <v>352</v>
      </c>
      <c r="H53" s="334">
        <v>2000</v>
      </c>
      <c r="I53" s="335">
        <v>2000</v>
      </c>
      <c r="J53" s="336">
        <v>2000</v>
      </c>
      <c r="K53" s="384">
        <f t="shared" si="1"/>
        <v>0</v>
      </c>
      <c r="L53" s="385">
        <f t="shared" si="2"/>
        <v>100</v>
      </c>
    </row>
    <row r="54" spans="1:12">
      <c r="A54" s="315">
        <f t="shared" si="0"/>
        <v>53</v>
      </c>
      <c r="B54" s="381">
        <v>1900</v>
      </c>
      <c r="C54" s="10">
        <v>3636</v>
      </c>
      <c r="D54" s="382" t="s">
        <v>174</v>
      </c>
      <c r="E54" s="10">
        <v>5331</v>
      </c>
      <c r="F54" s="383" t="s">
        <v>338</v>
      </c>
      <c r="G54" s="386" t="s">
        <v>339</v>
      </c>
      <c r="H54" s="334">
        <v>0</v>
      </c>
      <c r="I54" s="335">
        <v>21</v>
      </c>
      <c r="J54" s="336">
        <v>21</v>
      </c>
      <c r="K54" s="384">
        <f t="shared" si="1"/>
        <v>0</v>
      </c>
      <c r="L54" s="385">
        <f t="shared" si="2"/>
        <v>100</v>
      </c>
    </row>
    <row r="55" spans="1:12">
      <c r="A55" s="315">
        <f t="shared" si="0"/>
        <v>54</v>
      </c>
      <c r="B55" s="28"/>
      <c r="C55" s="343" t="s">
        <v>353</v>
      </c>
      <c r="D55" s="343"/>
      <c r="E55" s="343"/>
      <c r="F55" s="343"/>
      <c r="G55" s="375"/>
      <c r="H55" s="400">
        <f>SUBTOTAL(9,H40:H53)</f>
        <v>11410</v>
      </c>
      <c r="I55" s="401">
        <f>SUBTOTAL(9,I40:I54)</f>
        <v>11250</v>
      </c>
      <c r="J55" s="402">
        <f>SUBTOTAL(9,J40:J54)</f>
        <v>7100</v>
      </c>
      <c r="K55" s="403">
        <f t="shared" si="1"/>
        <v>-4150</v>
      </c>
      <c r="L55" s="404">
        <f t="shared" si="2"/>
        <v>63.111111111111107</v>
      </c>
    </row>
    <row r="56" spans="1:12">
      <c r="A56" s="315">
        <f t="shared" si="0"/>
        <v>55</v>
      </c>
      <c r="B56" s="392">
        <v>1900</v>
      </c>
      <c r="C56" s="393">
        <v>3809</v>
      </c>
      <c r="D56" s="393" t="s">
        <v>354</v>
      </c>
      <c r="E56" s="393">
        <v>5222</v>
      </c>
      <c r="F56" s="383" t="s">
        <v>355</v>
      </c>
      <c r="G56" s="386" t="s">
        <v>356</v>
      </c>
      <c r="H56" s="334">
        <v>1500</v>
      </c>
      <c r="I56" s="335">
        <v>1500</v>
      </c>
      <c r="J56" s="336">
        <v>1290</v>
      </c>
      <c r="K56" s="384">
        <f t="shared" si="1"/>
        <v>-210</v>
      </c>
      <c r="L56" s="385">
        <f t="shared" si="2"/>
        <v>86</v>
      </c>
    </row>
    <row r="57" spans="1:12">
      <c r="A57" s="315">
        <f t="shared" si="0"/>
        <v>56</v>
      </c>
      <c r="B57" s="392">
        <v>1900</v>
      </c>
      <c r="C57" s="393">
        <v>3809</v>
      </c>
      <c r="D57" s="393" t="s">
        <v>354</v>
      </c>
      <c r="E57" s="393">
        <v>5229</v>
      </c>
      <c r="F57" s="383" t="s">
        <v>336</v>
      </c>
      <c r="G57" s="386" t="s">
        <v>357</v>
      </c>
      <c r="H57" s="334">
        <v>8000</v>
      </c>
      <c r="I57" s="335">
        <v>8000</v>
      </c>
      <c r="J57" s="336">
        <v>8000</v>
      </c>
      <c r="K57" s="384">
        <f t="shared" si="1"/>
        <v>0</v>
      </c>
      <c r="L57" s="385">
        <f t="shared" si="2"/>
        <v>100</v>
      </c>
    </row>
    <row r="58" spans="1:12">
      <c r="A58" s="315">
        <f t="shared" si="0"/>
        <v>57</v>
      </c>
      <c r="B58" s="28"/>
      <c r="C58" s="343" t="s">
        <v>358</v>
      </c>
      <c r="D58" s="343"/>
      <c r="E58" s="343"/>
      <c r="F58" s="343"/>
      <c r="G58" s="375"/>
      <c r="H58" s="388">
        <f>SUBTOTAL(9,H56:H57)</f>
        <v>9500</v>
      </c>
      <c r="I58" s="168">
        <f>SUBTOTAL(9,I56:I57)</f>
        <v>9500</v>
      </c>
      <c r="J58" s="389">
        <f>SUBTOTAL(9,J56:J57)</f>
        <v>9290</v>
      </c>
      <c r="K58" s="390">
        <f t="shared" si="1"/>
        <v>-210</v>
      </c>
      <c r="L58" s="391">
        <f t="shared" si="2"/>
        <v>97.78947368421052</v>
      </c>
    </row>
    <row r="59" spans="1:12">
      <c r="A59" s="315">
        <f t="shared" si="0"/>
        <v>58</v>
      </c>
      <c r="B59" s="392">
        <v>1900</v>
      </c>
      <c r="C59" s="393">
        <v>6171</v>
      </c>
      <c r="D59" s="393" t="s">
        <v>9</v>
      </c>
      <c r="E59" s="393">
        <v>5166</v>
      </c>
      <c r="F59" s="10" t="s">
        <v>309</v>
      </c>
      <c r="G59" s="405" t="s">
        <v>359</v>
      </c>
      <c r="H59" s="334">
        <v>700</v>
      </c>
      <c r="I59" s="335">
        <v>3563</v>
      </c>
      <c r="J59" s="336">
        <v>3558</v>
      </c>
      <c r="K59" s="406">
        <f t="shared" si="1"/>
        <v>-5</v>
      </c>
      <c r="L59" s="407">
        <f t="shared" si="2"/>
        <v>99.85966881841145</v>
      </c>
    </row>
    <row r="60" spans="1:12">
      <c r="A60" s="315">
        <f t="shared" si="0"/>
        <v>59</v>
      </c>
      <c r="B60" s="28"/>
      <c r="C60" s="343" t="s">
        <v>315</v>
      </c>
      <c r="D60" s="343"/>
      <c r="E60" s="343"/>
      <c r="F60" s="343"/>
      <c r="G60" s="375"/>
      <c r="H60" s="388">
        <f>SUBTOTAL(9,H58:H59)</f>
        <v>700</v>
      </c>
      <c r="I60" s="168">
        <f>SUBTOTAL(9,I58:I59)</f>
        <v>3563</v>
      </c>
      <c r="J60" s="389">
        <f>SUBTOTAL(9,J58:J59)</f>
        <v>3558</v>
      </c>
      <c r="K60" s="390">
        <f t="shared" si="1"/>
        <v>-5</v>
      </c>
      <c r="L60" s="391">
        <f t="shared" si="2"/>
        <v>99.85966881841145</v>
      </c>
    </row>
    <row r="61" spans="1:12" s="408" customFormat="1" ht="13.5" thickBot="1">
      <c r="A61" s="315">
        <f t="shared" si="0"/>
        <v>60</v>
      </c>
      <c r="B61" s="29" t="s">
        <v>173</v>
      </c>
      <c r="C61" s="357"/>
      <c r="D61" s="357"/>
      <c r="E61" s="357"/>
      <c r="F61" s="357"/>
      <c r="G61" s="358"/>
      <c r="H61" s="359">
        <f>SUBTOTAL(9,H30:H60)</f>
        <v>76432</v>
      </c>
      <c r="I61" s="360">
        <f>SUBTOTAL(9,I30:I60)</f>
        <v>84965</v>
      </c>
      <c r="J61" s="361">
        <f>SUBTOTAL(9,J30:J60)</f>
        <v>77803</v>
      </c>
      <c r="K61" s="362">
        <f t="shared" si="1"/>
        <v>-7162</v>
      </c>
      <c r="L61" s="363">
        <f t="shared" si="2"/>
        <v>91.570646736891661</v>
      </c>
    </row>
    <row r="62" spans="1:12" s="408" customFormat="1">
      <c r="A62" s="315">
        <f t="shared" si="0"/>
        <v>61</v>
      </c>
      <c r="B62" s="91"/>
      <c r="C62" s="409"/>
      <c r="D62" s="409"/>
      <c r="E62" s="409"/>
      <c r="F62" s="409"/>
      <c r="G62" s="410"/>
      <c r="H62" s="411"/>
      <c r="I62" s="412"/>
      <c r="J62" s="413"/>
      <c r="K62" s="414">
        <f t="shared" si="1"/>
        <v>0</v>
      </c>
      <c r="L62" s="415">
        <f t="shared" si="2"/>
        <v>0</v>
      </c>
    </row>
    <row r="63" spans="1:12" ht="15.75">
      <c r="A63" s="315">
        <f t="shared" si="0"/>
        <v>62</v>
      </c>
      <c r="B63" s="416" t="s">
        <v>37</v>
      </c>
      <c r="C63" s="417"/>
      <c r="D63" s="417"/>
      <c r="E63" s="417"/>
      <c r="F63" s="417"/>
      <c r="G63" s="418"/>
      <c r="H63" s="419"/>
      <c r="I63" s="420"/>
      <c r="J63" s="421"/>
      <c r="K63" s="422">
        <f t="shared" si="1"/>
        <v>0</v>
      </c>
      <c r="L63" s="423">
        <f t="shared" si="2"/>
        <v>0</v>
      </c>
    </row>
    <row r="64" spans="1:12">
      <c r="A64" s="315">
        <f t="shared" si="0"/>
        <v>63</v>
      </c>
      <c r="B64" s="381">
        <v>3200</v>
      </c>
      <c r="C64" s="10">
        <v>2143</v>
      </c>
      <c r="D64" s="10" t="s">
        <v>198</v>
      </c>
      <c r="E64" s="10">
        <v>5011</v>
      </c>
      <c r="F64" s="10" t="s">
        <v>360</v>
      </c>
      <c r="G64" s="333" t="s">
        <v>359</v>
      </c>
      <c r="H64" s="334">
        <v>150</v>
      </c>
      <c r="I64" s="335">
        <v>150</v>
      </c>
      <c r="J64" s="336">
        <v>150</v>
      </c>
      <c r="K64" s="337">
        <f t="shared" si="1"/>
        <v>0</v>
      </c>
      <c r="L64" s="338">
        <f t="shared" si="2"/>
        <v>100</v>
      </c>
    </row>
    <row r="65" spans="1:12">
      <c r="A65" s="315">
        <f t="shared" si="0"/>
        <v>64</v>
      </c>
      <c r="B65" s="381">
        <v>3200</v>
      </c>
      <c r="C65" s="10">
        <v>2143</v>
      </c>
      <c r="D65" s="10" t="s">
        <v>198</v>
      </c>
      <c r="E65" s="10">
        <v>5031</v>
      </c>
      <c r="F65" s="10" t="s">
        <v>361</v>
      </c>
      <c r="G65" s="333" t="s">
        <v>359</v>
      </c>
      <c r="H65" s="334">
        <v>38</v>
      </c>
      <c r="I65" s="335">
        <v>38</v>
      </c>
      <c r="J65" s="336">
        <v>36</v>
      </c>
      <c r="K65" s="337">
        <f t="shared" si="1"/>
        <v>-2</v>
      </c>
      <c r="L65" s="338">
        <f t="shared" si="2"/>
        <v>94.73684210526315</v>
      </c>
    </row>
    <row r="66" spans="1:12">
      <c r="A66" s="315">
        <f t="shared" si="0"/>
        <v>65</v>
      </c>
      <c r="B66" s="381">
        <v>3200</v>
      </c>
      <c r="C66" s="10">
        <v>2143</v>
      </c>
      <c r="D66" s="10" t="s">
        <v>198</v>
      </c>
      <c r="E66" s="10">
        <v>5032</v>
      </c>
      <c r="F66" s="10" t="s">
        <v>362</v>
      </c>
      <c r="G66" s="333" t="s">
        <v>359</v>
      </c>
      <c r="H66" s="334">
        <v>12</v>
      </c>
      <c r="I66" s="335">
        <v>12</v>
      </c>
      <c r="J66" s="336">
        <v>12</v>
      </c>
      <c r="K66" s="337">
        <f t="shared" si="1"/>
        <v>0</v>
      </c>
      <c r="L66" s="338">
        <f t="shared" si="2"/>
        <v>100</v>
      </c>
    </row>
    <row r="67" spans="1:12">
      <c r="A67" s="315">
        <f t="shared" si="0"/>
        <v>66</v>
      </c>
      <c r="B67" s="381">
        <v>3200</v>
      </c>
      <c r="C67" s="10">
        <v>2143</v>
      </c>
      <c r="D67" s="10" t="s">
        <v>198</v>
      </c>
      <c r="E67" s="10">
        <v>5139</v>
      </c>
      <c r="F67" s="10" t="s">
        <v>342</v>
      </c>
      <c r="G67" s="333" t="s">
        <v>359</v>
      </c>
      <c r="H67" s="334">
        <v>230</v>
      </c>
      <c r="I67" s="335">
        <v>238</v>
      </c>
      <c r="J67" s="336">
        <v>237</v>
      </c>
      <c r="K67" s="337">
        <f t="shared" si="1"/>
        <v>-1</v>
      </c>
      <c r="L67" s="338">
        <f t="shared" si="2"/>
        <v>99.579831932773118</v>
      </c>
    </row>
    <row r="68" spans="1:12">
      <c r="A68" s="315">
        <f t="shared" ref="A68:A131" si="3">A67+1</f>
        <v>67</v>
      </c>
      <c r="B68" s="381">
        <v>3200</v>
      </c>
      <c r="C68" s="10">
        <v>2143</v>
      </c>
      <c r="D68" s="10" t="s">
        <v>198</v>
      </c>
      <c r="E68" s="10">
        <v>5169</v>
      </c>
      <c r="F68" s="10" t="s">
        <v>313</v>
      </c>
      <c r="G68" s="333" t="s">
        <v>359</v>
      </c>
      <c r="H68" s="334">
        <v>220</v>
      </c>
      <c r="I68" s="335">
        <v>212</v>
      </c>
      <c r="J68" s="336">
        <v>119</v>
      </c>
      <c r="K68" s="337">
        <f t="shared" si="1"/>
        <v>-93</v>
      </c>
      <c r="L68" s="338">
        <f t="shared" si="2"/>
        <v>56.132075471698116</v>
      </c>
    </row>
    <row r="69" spans="1:12">
      <c r="A69" s="315">
        <f t="shared" si="3"/>
        <v>68</v>
      </c>
      <c r="B69" s="381">
        <v>3200</v>
      </c>
      <c r="C69" s="10">
        <v>2143</v>
      </c>
      <c r="D69" s="10" t="s">
        <v>198</v>
      </c>
      <c r="E69" s="10">
        <v>5173</v>
      </c>
      <c r="F69" s="383" t="s">
        <v>363</v>
      </c>
      <c r="G69" s="333" t="s">
        <v>359</v>
      </c>
      <c r="H69" s="334">
        <v>45</v>
      </c>
      <c r="I69" s="335">
        <v>45</v>
      </c>
      <c r="J69" s="336">
        <v>17</v>
      </c>
      <c r="K69" s="337">
        <f t="shared" ref="K69:K132" si="4">J69-I69</f>
        <v>-28</v>
      </c>
      <c r="L69" s="338">
        <f t="shared" ref="L69:L132" si="5">IF(I69&lt;=0,0,J69/I69*100)</f>
        <v>37.777777777777779</v>
      </c>
    </row>
    <row r="70" spans="1:12" s="408" customFormat="1">
      <c r="A70" s="315">
        <f t="shared" si="3"/>
        <v>69</v>
      </c>
      <c r="B70" s="381">
        <v>3200</v>
      </c>
      <c r="C70" s="10">
        <v>2143</v>
      </c>
      <c r="D70" s="10" t="s">
        <v>198</v>
      </c>
      <c r="E70" s="10">
        <v>5175</v>
      </c>
      <c r="F70" s="383" t="s">
        <v>335</v>
      </c>
      <c r="G70" s="333" t="s">
        <v>359</v>
      </c>
      <c r="H70" s="334">
        <v>10</v>
      </c>
      <c r="I70" s="335">
        <v>10</v>
      </c>
      <c r="J70" s="336">
        <v>0</v>
      </c>
      <c r="K70" s="337">
        <f t="shared" si="4"/>
        <v>-10</v>
      </c>
      <c r="L70" s="338">
        <f t="shared" si="5"/>
        <v>0</v>
      </c>
    </row>
    <row r="71" spans="1:12">
      <c r="A71" s="315">
        <f t="shared" si="3"/>
        <v>70</v>
      </c>
      <c r="B71" s="424"/>
      <c r="C71" s="425" t="s">
        <v>341</v>
      </c>
      <c r="D71" s="425"/>
      <c r="E71" s="425"/>
      <c r="F71" s="425"/>
      <c r="G71" s="426"/>
      <c r="H71" s="427">
        <f>SUBTOTAL(9,H64:H70)</f>
        <v>705</v>
      </c>
      <c r="I71" s="428">
        <f>SUBTOTAL(9,I64:I70)</f>
        <v>705</v>
      </c>
      <c r="J71" s="429">
        <f>SUBTOTAL(9,J64:J70)</f>
        <v>571</v>
      </c>
      <c r="K71" s="430">
        <f t="shared" si="4"/>
        <v>-134</v>
      </c>
      <c r="L71" s="431">
        <f t="shared" si="5"/>
        <v>80.99290780141844</v>
      </c>
    </row>
    <row r="72" spans="1:12">
      <c r="A72" s="315">
        <f t="shared" si="3"/>
        <v>71</v>
      </c>
      <c r="B72" s="381">
        <v>3200</v>
      </c>
      <c r="C72" s="10">
        <v>2271</v>
      </c>
      <c r="D72" s="10" t="s">
        <v>20</v>
      </c>
      <c r="E72" s="10">
        <v>5011</v>
      </c>
      <c r="F72" s="10" t="s">
        <v>360</v>
      </c>
      <c r="G72" s="333" t="s">
        <v>359</v>
      </c>
      <c r="H72" s="334">
        <v>500</v>
      </c>
      <c r="I72" s="335">
        <v>785</v>
      </c>
      <c r="J72" s="336">
        <v>743</v>
      </c>
      <c r="K72" s="337">
        <f t="shared" si="4"/>
        <v>-42</v>
      </c>
      <c r="L72" s="338">
        <f t="shared" si="5"/>
        <v>94.649681528662427</v>
      </c>
    </row>
    <row r="73" spans="1:12">
      <c r="A73" s="315">
        <f t="shared" si="3"/>
        <v>72</v>
      </c>
      <c r="B73" s="381">
        <v>3200</v>
      </c>
      <c r="C73" s="10">
        <v>2271</v>
      </c>
      <c r="D73" s="10" t="s">
        <v>20</v>
      </c>
      <c r="E73" s="10">
        <v>5021</v>
      </c>
      <c r="F73" s="10" t="s">
        <v>364</v>
      </c>
      <c r="G73" s="333" t="s">
        <v>359</v>
      </c>
      <c r="H73" s="334">
        <v>50</v>
      </c>
      <c r="I73" s="335">
        <v>100</v>
      </c>
      <c r="J73" s="336">
        <v>0</v>
      </c>
      <c r="K73" s="337">
        <f t="shared" si="4"/>
        <v>-100</v>
      </c>
      <c r="L73" s="338">
        <f t="shared" si="5"/>
        <v>0</v>
      </c>
    </row>
    <row r="74" spans="1:12">
      <c r="A74" s="315">
        <f t="shared" si="3"/>
        <v>73</v>
      </c>
      <c r="B74" s="381">
        <v>3200</v>
      </c>
      <c r="C74" s="10">
        <v>2271</v>
      </c>
      <c r="D74" s="10" t="s">
        <v>20</v>
      </c>
      <c r="E74" s="10">
        <v>5031</v>
      </c>
      <c r="F74" s="10" t="s">
        <v>361</v>
      </c>
      <c r="G74" s="333" t="s">
        <v>359</v>
      </c>
      <c r="H74" s="334">
        <v>125</v>
      </c>
      <c r="I74" s="335">
        <v>197</v>
      </c>
      <c r="J74" s="336">
        <v>186</v>
      </c>
      <c r="K74" s="337">
        <f t="shared" si="4"/>
        <v>-11</v>
      </c>
      <c r="L74" s="338">
        <f t="shared" si="5"/>
        <v>94.416243654822338</v>
      </c>
    </row>
    <row r="75" spans="1:12">
      <c r="A75" s="315">
        <f t="shared" si="3"/>
        <v>74</v>
      </c>
      <c r="B75" s="381">
        <v>3200</v>
      </c>
      <c r="C75" s="10">
        <v>2271</v>
      </c>
      <c r="D75" s="10" t="s">
        <v>20</v>
      </c>
      <c r="E75" s="10">
        <v>5032</v>
      </c>
      <c r="F75" s="10" t="s">
        <v>362</v>
      </c>
      <c r="G75" s="333" t="s">
        <v>359</v>
      </c>
      <c r="H75" s="334">
        <v>45</v>
      </c>
      <c r="I75" s="335">
        <v>71</v>
      </c>
      <c r="J75" s="336">
        <v>67</v>
      </c>
      <c r="K75" s="337">
        <f t="shared" si="4"/>
        <v>-4</v>
      </c>
      <c r="L75" s="338">
        <f t="shared" si="5"/>
        <v>94.366197183098592</v>
      </c>
    </row>
    <row r="76" spans="1:12">
      <c r="A76" s="315">
        <f t="shared" si="3"/>
        <v>75</v>
      </c>
      <c r="B76" s="381">
        <v>3200</v>
      </c>
      <c r="C76" s="10">
        <v>2271</v>
      </c>
      <c r="D76" s="10" t="s">
        <v>20</v>
      </c>
      <c r="E76" s="10">
        <v>5169</v>
      </c>
      <c r="F76" s="10" t="s">
        <v>313</v>
      </c>
      <c r="G76" s="333" t="s">
        <v>359</v>
      </c>
      <c r="H76" s="334">
        <v>60</v>
      </c>
      <c r="I76" s="335">
        <v>60</v>
      </c>
      <c r="J76" s="336">
        <v>0</v>
      </c>
      <c r="K76" s="337">
        <f t="shared" si="4"/>
        <v>-60</v>
      </c>
      <c r="L76" s="338">
        <f t="shared" si="5"/>
        <v>0</v>
      </c>
    </row>
    <row r="77" spans="1:12">
      <c r="A77" s="315">
        <f t="shared" si="3"/>
        <v>76</v>
      </c>
      <c r="B77" s="381">
        <v>3200</v>
      </c>
      <c r="C77" s="10">
        <v>2271</v>
      </c>
      <c r="D77" s="10" t="s">
        <v>20</v>
      </c>
      <c r="E77" s="10">
        <v>5173</v>
      </c>
      <c r="F77" s="383" t="s">
        <v>363</v>
      </c>
      <c r="G77" s="333" t="s">
        <v>359</v>
      </c>
      <c r="H77" s="334">
        <v>441</v>
      </c>
      <c r="I77" s="335">
        <v>341</v>
      </c>
      <c r="J77" s="336">
        <v>212</v>
      </c>
      <c r="K77" s="337">
        <f t="shared" si="4"/>
        <v>-129</v>
      </c>
      <c r="L77" s="338">
        <f t="shared" si="5"/>
        <v>62.170087976539591</v>
      </c>
    </row>
    <row r="78" spans="1:12">
      <c r="A78" s="315">
        <f t="shared" si="3"/>
        <v>77</v>
      </c>
      <c r="B78" s="424"/>
      <c r="C78" s="425" t="s">
        <v>365</v>
      </c>
      <c r="D78" s="425"/>
      <c r="E78" s="425"/>
      <c r="F78" s="425"/>
      <c r="G78" s="426"/>
      <c r="H78" s="427">
        <f>SUBTOTAL(9,H72:H77)</f>
        <v>1221</v>
      </c>
      <c r="I78" s="428">
        <f>SUBTOTAL(9,I72:I77)</f>
        <v>1554</v>
      </c>
      <c r="J78" s="429">
        <f>SUBTOTAL(9,J72:J77)</f>
        <v>1208</v>
      </c>
      <c r="K78" s="430">
        <f t="shared" si="4"/>
        <v>-346</v>
      </c>
      <c r="L78" s="431">
        <f t="shared" si="5"/>
        <v>77.734877734877742</v>
      </c>
    </row>
    <row r="79" spans="1:12">
      <c r="A79" s="315">
        <f t="shared" si="3"/>
        <v>78</v>
      </c>
      <c r="B79" s="381">
        <v>3200</v>
      </c>
      <c r="C79" s="10">
        <v>3299</v>
      </c>
      <c r="D79" s="10" t="s">
        <v>297</v>
      </c>
      <c r="E79" s="10">
        <v>5011</v>
      </c>
      <c r="F79" s="10" t="s">
        <v>360</v>
      </c>
      <c r="G79" s="333"/>
      <c r="H79" s="334"/>
      <c r="I79" s="335">
        <v>160</v>
      </c>
      <c r="J79" s="336">
        <v>72</v>
      </c>
      <c r="K79" s="337">
        <f>J79-I79</f>
        <v>-88</v>
      </c>
      <c r="L79" s="338">
        <f>IF(I79&lt;=0,0,J79/I79*100)</f>
        <v>45</v>
      </c>
    </row>
    <row r="80" spans="1:12">
      <c r="A80" s="315">
        <f t="shared" si="3"/>
        <v>79</v>
      </c>
      <c r="B80" s="381">
        <v>3200</v>
      </c>
      <c r="C80" s="10">
        <v>3299</v>
      </c>
      <c r="D80" s="10" t="s">
        <v>297</v>
      </c>
      <c r="E80" s="10">
        <v>5031</v>
      </c>
      <c r="F80" s="10" t="s">
        <v>361</v>
      </c>
      <c r="G80" s="333"/>
      <c r="H80" s="334"/>
      <c r="I80" s="335">
        <v>40</v>
      </c>
      <c r="J80" s="336">
        <v>18</v>
      </c>
      <c r="K80" s="337">
        <f>J80-I80</f>
        <v>-22</v>
      </c>
      <c r="L80" s="338">
        <f>IF(I80&lt;=0,0,J80/I80*100)</f>
        <v>45</v>
      </c>
    </row>
    <row r="81" spans="1:12">
      <c r="A81" s="315">
        <f t="shared" si="3"/>
        <v>80</v>
      </c>
      <c r="B81" s="381">
        <v>3200</v>
      </c>
      <c r="C81" s="10">
        <v>3299</v>
      </c>
      <c r="D81" s="10" t="s">
        <v>297</v>
      </c>
      <c r="E81" s="10">
        <v>5032</v>
      </c>
      <c r="F81" s="10" t="s">
        <v>362</v>
      </c>
      <c r="G81" s="333"/>
      <c r="H81" s="334"/>
      <c r="I81" s="335">
        <v>15</v>
      </c>
      <c r="J81" s="336">
        <v>7</v>
      </c>
      <c r="K81" s="337">
        <f>J81-I81</f>
        <v>-8</v>
      </c>
      <c r="L81" s="338">
        <f>IF(I81&lt;=0,0,J81/I81*100)</f>
        <v>46.666666666666664</v>
      </c>
    </row>
    <row r="82" spans="1:12">
      <c r="A82" s="315">
        <f t="shared" si="3"/>
        <v>81</v>
      </c>
      <c r="B82" s="424"/>
      <c r="C82" s="425" t="s">
        <v>366</v>
      </c>
      <c r="D82" s="425"/>
      <c r="E82" s="425"/>
      <c r="F82" s="425"/>
      <c r="G82" s="426"/>
      <c r="H82" s="427">
        <f>SUBTOTAL(9,H79:H81)</f>
        <v>0</v>
      </c>
      <c r="I82" s="428">
        <f>SUBTOTAL(9,I79:I81)</f>
        <v>215</v>
      </c>
      <c r="J82" s="429">
        <f>SUBTOTAL(9,J79:J81)</f>
        <v>97</v>
      </c>
      <c r="K82" s="430">
        <f>J82-I82</f>
        <v>-118</v>
      </c>
      <c r="L82" s="431">
        <f>IF(I82&lt;=0,0,J82/I82*100)</f>
        <v>45.116279069767437</v>
      </c>
    </row>
    <row r="83" spans="1:12">
      <c r="A83" s="315">
        <f t="shared" si="3"/>
        <v>82</v>
      </c>
      <c r="B83" s="381">
        <v>3200</v>
      </c>
      <c r="C83" s="10">
        <v>3349</v>
      </c>
      <c r="D83" s="10" t="s">
        <v>59</v>
      </c>
      <c r="E83" s="10">
        <v>5139</v>
      </c>
      <c r="F83" s="10" t="s">
        <v>342</v>
      </c>
      <c r="G83" s="333"/>
      <c r="H83" s="334">
        <v>700</v>
      </c>
      <c r="I83" s="335">
        <v>700</v>
      </c>
      <c r="J83" s="336">
        <v>677</v>
      </c>
      <c r="K83" s="337">
        <f t="shared" si="4"/>
        <v>-23</v>
      </c>
      <c r="L83" s="338">
        <f t="shared" si="5"/>
        <v>96.714285714285722</v>
      </c>
    </row>
    <row r="84" spans="1:12">
      <c r="A84" s="315">
        <f t="shared" si="3"/>
        <v>83</v>
      </c>
      <c r="B84" s="381">
        <v>3200</v>
      </c>
      <c r="C84" s="10">
        <v>3349</v>
      </c>
      <c r="D84" s="10" t="s">
        <v>59</v>
      </c>
      <c r="E84" s="10">
        <v>5169</v>
      </c>
      <c r="F84" s="10" t="s">
        <v>313</v>
      </c>
      <c r="G84" s="333"/>
      <c r="H84" s="334">
        <v>1086</v>
      </c>
      <c r="I84" s="335">
        <v>1086</v>
      </c>
      <c r="J84" s="336">
        <v>699</v>
      </c>
      <c r="K84" s="337">
        <f t="shared" si="4"/>
        <v>-387</v>
      </c>
      <c r="L84" s="338">
        <f t="shared" si="5"/>
        <v>64.364640883977899</v>
      </c>
    </row>
    <row r="85" spans="1:12">
      <c r="A85" s="315">
        <f t="shared" si="3"/>
        <v>84</v>
      </c>
      <c r="B85" s="381">
        <v>3200</v>
      </c>
      <c r="C85" s="10">
        <v>3349</v>
      </c>
      <c r="D85" s="10" t="s">
        <v>59</v>
      </c>
      <c r="E85" s="10">
        <v>5194</v>
      </c>
      <c r="F85" s="10" t="s">
        <v>343</v>
      </c>
      <c r="G85" s="333"/>
      <c r="H85" s="334">
        <v>1382</v>
      </c>
      <c r="I85" s="335">
        <v>1382</v>
      </c>
      <c r="J85" s="336">
        <v>1080</v>
      </c>
      <c r="K85" s="337">
        <f t="shared" si="4"/>
        <v>-302</v>
      </c>
      <c r="L85" s="338">
        <f t="shared" si="5"/>
        <v>78.147612156295224</v>
      </c>
    </row>
    <row r="86" spans="1:12">
      <c r="A86" s="315">
        <f t="shared" si="3"/>
        <v>85</v>
      </c>
      <c r="B86" s="424"/>
      <c r="C86" s="425" t="s">
        <v>344</v>
      </c>
      <c r="D86" s="425"/>
      <c r="E86" s="425"/>
      <c r="F86" s="425"/>
      <c r="G86" s="426"/>
      <c r="H86" s="427">
        <f>SUBTOTAL(9,H83:H85)</f>
        <v>3168</v>
      </c>
      <c r="I86" s="428">
        <f>SUBTOTAL(9,I83:I85)</f>
        <v>3168</v>
      </c>
      <c r="J86" s="429">
        <f>SUBTOTAL(9,J83:J85)</f>
        <v>2456</v>
      </c>
      <c r="K86" s="430">
        <f t="shared" si="4"/>
        <v>-712</v>
      </c>
      <c r="L86" s="431">
        <f t="shared" si="5"/>
        <v>77.525252525252526</v>
      </c>
    </row>
    <row r="87" spans="1:12">
      <c r="A87" s="315">
        <f t="shared" si="3"/>
        <v>86</v>
      </c>
      <c r="B87" s="381">
        <v>3200</v>
      </c>
      <c r="C87" s="10">
        <v>3429</v>
      </c>
      <c r="D87" s="10" t="s">
        <v>60</v>
      </c>
      <c r="E87" s="10">
        <v>5021</v>
      </c>
      <c r="F87" s="10" t="s">
        <v>364</v>
      </c>
      <c r="G87" s="333" t="s">
        <v>367</v>
      </c>
      <c r="H87" s="334">
        <v>47</v>
      </c>
      <c r="I87" s="335">
        <v>47</v>
      </c>
      <c r="J87" s="336">
        <v>32</v>
      </c>
      <c r="K87" s="337">
        <f t="shared" si="4"/>
        <v>-15</v>
      </c>
      <c r="L87" s="338">
        <f t="shared" si="5"/>
        <v>68.085106382978722</v>
      </c>
    </row>
    <row r="88" spans="1:12">
      <c r="A88" s="315">
        <f t="shared" si="3"/>
        <v>87</v>
      </c>
      <c r="B88" s="381">
        <v>3200</v>
      </c>
      <c r="C88" s="10">
        <v>3429</v>
      </c>
      <c r="D88" s="10" t="s">
        <v>60</v>
      </c>
      <c r="E88" s="10">
        <v>5031</v>
      </c>
      <c r="F88" s="10" t="s">
        <v>361</v>
      </c>
      <c r="G88" s="333" t="s">
        <v>367</v>
      </c>
      <c r="H88" s="334">
        <v>12</v>
      </c>
      <c r="I88" s="335">
        <v>12</v>
      </c>
      <c r="J88" s="336">
        <v>4</v>
      </c>
      <c r="K88" s="337">
        <f t="shared" si="4"/>
        <v>-8</v>
      </c>
      <c r="L88" s="338">
        <f t="shared" si="5"/>
        <v>33.333333333333329</v>
      </c>
    </row>
    <row r="89" spans="1:12">
      <c r="A89" s="315">
        <f t="shared" si="3"/>
        <v>88</v>
      </c>
      <c r="B89" s="381">
        <v>3200</v>
      </c>
      <c r="C89" s="10">
        <v>3429</v>
      </c>
      <c r="D89" s="10" t="s">
        <v>60</v>
      </c>
      <c r="E89" s="10">
        <v>5032</v>
      </c>
      <c r="F89" s="10" t="s">
        <v>362</v>
      </c>
      <c r="G89" s="333" t="s">
        <v>367</v>
      </c>
      <c r="H89" s="334">
        <v>5</v>
      </c>
      <c r="I89" s="335">
        <v>5</v>
      </c>
      <c r="J89" s="336">
        <v>2</v>
      </c>
      <c r="K89" s="337">
        <f>J89-I89</f>
        <v>-3</v>
      </c>
      <c r="L89" s="338">
        <f>IF(I89&lt;=0,0,J89/I89*100)</f>
        <v>40</v>
      </c>
    </row>
    <row r="90" spans="1:12">
      <c r="A90" s="315">
        <f t="shared" si="3"/>
        <v>89</v>
      </c>
      <c r="B90" s="381">
        <v>3200</v>
      </c>
      <c r="C90" s="10">
        <v>3429</v>
      </c>
      <c r="D90" s="10" t="s">
        <v>60</v>
      </c>
      <c r="E90" s="10">
        <v>5909</v>
      </c>
      <c r="F90" s="10" t="s">
        <v>323</v>
      </c>
      <c r="G90" s="333"/>
      <c r="H90" s="334">
        <v>0</v>
      </c>
      <c r="I90" s="335">
        <v>0</v>
      </c>
      <c r="J90" s="336">
        <v>1</v>
      </c>
      <c r="K90" s="337">
        <f t="shared" si="4"/>
        <v>1</v>
      </c>
      <c r="L90" s="338">
        <f t="shared" si="5"/>
        <v>0</v>
      </c>
    </row>
    <row r="91" spans="1:12">
      <c r="A91" s="315">
        <f t="shared" si="3"/>
        <v>90</v>
      </c>
      <c r="B91" s="424"/>
      <c r="C91" s="425" t="s">
        <v>368</v>
      </c>
      <c r="D91" s="425"/>
      <c r="E91" s="425"/>
      <c r="F91" s="425"/>
      <c r="G91" s="426"/>
      <c r="H91" s="427">
        <f>SUBTOTAL(9,H87:H90)</f>
        <v>64</v>
      </c>
      <c r="I91" s="428">
        <f>SUBTOTAL(9,I87:I90)</f>
        <v>64</v>
      </c>
      <c r="J91" s="429">
        <f>SUBTOTAL(9,J87:J90)</f>
        <v>39</v>
      </c>
      <c r="K91" s="430">
        <f t="shared" si="4"/>
        <v>-25</v>
      </c>
      <c r="L91" s="431">
        <f t="shared" si="5"/>
        <v>60.9375</v>
      </c>
    </row>
    <row r="92" spans="1:12">
      <c r="A92" s="315">
        <f t="shared" si="3"/>
        <v>91</v>
      </c>
      <c r="B92" s="381">
        <v>3200</v>
      </c>
      <c r="C92" s="10">
        <v>3635</v>
      </c>
      <c r="D92" s="12" t="s">
        <v>75</v>
      </c>
      <c r="E92" s="10">
        <v>5011</v>
      </c>
      <c r="F92" s="10" t="s">
        <v>360</v>
      </c>
      <c r="G92" s="333" t="s">
        <v>359</v>
      </c>
      <c r="H92" s="334">
        <v>400</v>
      </c>
      <c r="I92" s="335">
        <v>571</v>
      </c>
      <c r="J92" s="336">
        <v>552</v>
      </c>
      <c r="K92" s="432">
        <f t="shared" si="4"/>
        <v>-19</v>
      </c>
      <c r="L92" s="433">
        <f t="shared" si="5"/>
        <v>96.672504378283705</v>
      </c>
    </row>
    <row r="93" spans="1:12" s="408" customFormat="1">
      <c r="A93" s="315">
        <f t="shared" si="3"/>
        <v>92</v>
      </c>
      <c r="B93" s="381">
        <v>3200</v>
      </c>
      <c r="C93" s="10">
        <v>3635</v>
      </c>
      <c r="D93" s="12" t="s">
        <v>75</v>
      </c>
      <c r="E93" s="10">
        <v>5031</v>
      </c>
      <c r="F93" s="10" t="s">
        <v>361</v>
      </c>
      <c r="G93" s="333" t="s">
        <v>359</v>
      </c>
      <c r="H93" s="334">
        <v>100</v>
      </c>
      <c r="I93" s="335">
        <v>140</v>
      </c>
      <c r="J93" s="336">
        <v>138</v>
      </c>
      <c r="K93" s="432">
        <f t="shared" si="4"/>
        <v>-2</v>
      </c>
      <c r="L93" s="433">
        <f t="shared" si="5"/>
        <v>98.571428571428584</v>
      </c>
    </row>
    <row r="94" spans="1:12">
      <c r="A94" s="315">
        <f t="shared" si="3"/>
        <v>93</v>
      </c>
      <c r="B94" s="381">
        <v>3200</v>
      </c>
      <c r="C94" s="10">
        <v>3635</v>
      </c>
      <c r="D94" s="12" t="s">
        <v>75</v>
      </c>
      <c r="E94" s="10">
        <v>5032</v>
      </c>
      <c r="F94" s="10" t="s">
        <v>362</v>
      </c>
      <c r="G94" s="333" t="s">
        <v>359</v>
      </c>
      <c r="H94" s="334">
        <v>36</v>
      </c>
      <c r="I94" s="335">
        <v>50</v>
      </c>
      <c r="J94" s="336">
        <v>50</v>
      </c>
      <c r="K94" s="432">
        <f t="shared" si="4"/>
        <v>0</v>
      </c>
      <c r="L94" s="433">
        <f t="shared" si="5"/>
        <v>100</v>
      </c>
    </row>
    <row r="95" spans="1:12">
      <c r="A95" s="315">
        <f t="shared" si="3"/>
        <v>94</v>
      </c>
      <c r="B95" s="381">
        <v>3200</v>
      </c>
      <c r="C95" s="10">
        <v>3635</v>
      </c>
      <c r="D95" s="12" t="s">
        <v>75</v>
      </c>
      <c r="E95" s="10">
        <v>5173</v>
      </c>
      <c r="F95" s="383" t="s">
        <v>363</v>
      </c>
      <c r="G95" s="333" t="s">
        <v>359</v>
      </c>
      <c r="H95" s="334">
        <v>120</v>
      </c>
      <c r="I95" s="335">
        <v>120</v>
      </c>
      <c r="J95" s="336">
        <v>17</v>
      </c>
      <c r="K95" s="432">
        <f t="shared" si="4"/>
        <v>-103</v>
      </c>
      <c r="L95" s="433">
        <f t="shared" si="5"/>
        <v>14.166666666666666</v>
      </c>
    </row>
    <row r="96" spans="1:12" s="408" customFormat="1">
      <c r="A96" s="315">
        <f t="shared" si="3"/>
        <v>95</v>
      </c>
      <c r="B96" s="424"/>
      <c r="C96" s="425" t="s">
        <v>369</v>
      </c>
      <c r="D96" s="425"/>
      <c r="E96" s="425"/>
      <c r="F96" s="425"/>
      <c r="G96" s="426"/>
      <c r="H96" s="427">
        <f>SUBTOTAL(9,H92:H95)</f>
        <v>656</v>
      </c>
      <c r="I96" s="428">
        <f>SUBTOTAL(9,I92:I95)</f>
        <v>881</v>
      </c>
      <c r="J96" s="429">
        <f>SUBTOTAL(9,J92:J95)</f>
        <v>757</v>
      </c>
      <c r="K96" s="430">
        <f t="shared" si="4"/>
        <v>-124</v>
      </c>
      <c r="L96" s="431">
        <f t="shared" si="5"/>
        <v>85.925085130533489</v>
      </c>
    </row>
    <row r="97" spans="1:12">
      <c r="A97" s="315">
        <f t="shared" si="3"/>
        <v>96</v>
      </c>
      <c r="B97" s="381">
        <v>3200</v>
      </c>
      <c r="C97" s="10">
        <v>3636</v>
      </c>
      <c r="D97" s="12" t="s">
        <v>174</v>
      </c>
      <c r="E97" s="10">
        <v>5011</v>
      </c>
      <c r="F97" s="10" t="s">
        <v>360</v>
      </c>
      <c r="G97" s="333" t="s">
        <v>359</v>
      </c>
      <c r="H97" s="334">
        <v>600</v>
      </c>
      <c r="I97" s="335">
        <v>600</v>
      </c>
      <c r="J97" s="336">
        <v>600</v>
      </c>
      <c r="K97" s="432">
        <f t="shared" si="4"/>
        <v>0</v>
      </c>
      <c r="L97" s="433">
        <f t="shared" si="5"/>
        <v>100</v>
      </c>
    </row>
    <row r="98" spans="1:12" s="408" customFormat="1">
      <c r="A98" s="315">
        <f t="shared" si="3"/>
        <v>97</v>
      </c>
      <c r="B98" s="381">
        <v>3200</v>
      </c>
      <c r="C98" s="10">
        <v>3636</v>
      </c>
      <c r="D98" s="12" t="s">
        <v>174</v>
      </c>
      <c r="E98" s="10">
        <v>5031</v>
      </c>
      <c r="F98" s="10" t="s">
        <v>361</v>
      </c>
      <c r="G98" s="333" t="s">
        <v>359</v>
      </c>
      <c r="H98" s="334">
        <v>150</v>
      </c>
      <c r="I98" s="335">
        <v>150</v>
      </c>
      <c r="J98" s="336">
        <v>150</v>
      </c>
      <c r="K98" s="432">
        <f t="shared" si="4"/>
        <v>0</v>
      </c>
      <c r="L98" s="433">
        <f t="shared" si="5"/>
        <v>100</v>
      </c>
    </row>
    <row r="99" spans="1:12">
      <c r="A99" s="315">
        <f t="shared" si="3"/>
        <v>98</v>
      </c>
      <c r="B99" s="381">
        <v>3200</v>
      </c>
      <c r="C99" s="10">
        <v>3636</v>
      </c>
      <c r="D99" s="12" t="s">
        <v>174</v>
      </c>
      <c r="E99" s="10">
        <v>5032</v>
      </c>
      <c r="F99" s="10" t="s">
        <v>362</v>
      </c>
      <c r="G99" s="333" t="s">
        <v>359</v>
      </c>
      <c r="H99" s="334">
        <v>54</v>
      </c>
      <c r="I99" s="335">
        <v>54</v>
      </c>
      <c r="J99" s="336">
        <v>54</v>
      </c>
      <c r="K99" s="432">
        <f t="shared" si="4"/>
        <v>0</v>
      </c>
      <c r="L99" s="433">
        <f t="shared" si="5"/>
        <v>100</v>
      </c>
    </row>
    <row r="100" spans="1:12">
      <c r="A100" s="315">
        <f t="shared" si="3"/>
        <v>99</v>
      </c>
      <c r="B100" s="381">
        <v>3200</v>
      </c>
      <c r="C100" s="10">
        <v>3636</v>
      </c>
      <c r="D100" s="12" t="s">
        <v>174</v>
      </c>
      <c r="E100" s="10">
        <v>5169</v>
      </c>
      <c r="F100" s="10" t="s">
        <v>313</v>
      </c>
      <c r="G100" s="333" t="s">
        <v>359</v>
      </c>
      <c r="H100" s="334">
        <v>50</v>
      </c>
      <c r="I100" s="335">
        <v>145</v>
      </c>
      <c r="J100" s="336">
        <v>53</v>
      </c>
      <c r="K100" s="432">
        <f t="shared" si="4"/>
        <v>-92</v>
      </c>
      <c r="L100" s="433">
        <f t="shared" si="5"/>
        <v>36.551724137931032</v>
      </c>
    </row>
    <row r="101" spans="1:12">
      <c r="A101" s="315">
        <f t="shared" si="3"/>
        <v>100</v>
      </c>
      <c r="B101" s="381">
        <v>3200</v>
      </c>
      <c r="C101" s="10">
        <v>3636</v>
      </c>
      <c r="D101" s="12" t="s">
        <v>174</v>
      </c>
      <c r="E101" s="10">
        <v>5173</v>
      </c>
      <c r="F101" s="383" t="s">
        <v>363</v>
      </c>
      <c r="G101" s="333" t="s">
        <v>359</v>
      </c>
      <c r="H101" s="334">
        <v>450</v>
      </c>
      <c r="I101" s="335">
        <v>605</v>
      </c>
      <c r="J101" s="336">
        <v>483</v>
      </c>
      <c r="K101" s="432">
        <f t="shared" si="4"/>
        <v>-122</v>
      </c>
      <c r="L101" s="433">
        <f t="shared" si="5"/>
        <v>79.834710743801651</v>
      </c>
    </row>
    <row r="102" spans="1:12" s="408" customFormat="1">
      <c r="A102" s="315">
        <f t="shared" si="3"/>
        <v>101</v>
      </c>
      <c r="B102" s="381">
        <v>3200</v>
      </c>
      <c r="C102" s="10">
        <v>3636</v>
      </c>
      <c r="D102" s="12" t="s">
        <v>174</v>
      </c>
      <c r="E102" s="10">
        <v>5520</v>
      </c>
      <c r="F102" s="10" t="s">
        <v>370</v>
      </c>
      <c r="G102" s="333" t="s">
        <v>359</v>
      </c>
      <c r="H102" s="334">
        <v>3200</v>
      </c>
      <c r="I102" s="335">
        <v>3200</v>
      </c>
      <c r="J102" s="336">
        <v>3182</v>
      </c>
      <c r="K102" s="432">
        <f t="shared" si="4"/>
        <v>-18</v>
      </c>
      <c r="L102" s="433">
        <f t="shared" si="5"/>
        <v>99.4375</v>
      </c>
    </row>
    <row r="103" spans="1:12" s="387" customFormat="1">
      <c r="A103" s="315">
        <f t="shared" si="3"/>
        <v>102</v>
      </c>
      <c r="B103" s="424"/>
      <c r="C103" s="425" t="s">
        <v>353</v>
      </c>
      <c r="D103" s="425"/>
      <c r="E103" s="425"/>
      <c r="F103" s="425"/>
      <c r="G103" s="426"/>
      <c r="H103" s="427">
        <f>SUBTOTAL(9,H97:H102)</f>
        <v>4504</v>
      </c>
      <c r="I103" s="428">
        <f>SUBTOTAL(9,I97:I102)</f>
        <v>4754</v>
      </c>
      <c r="J103" s="429">
        <f>SUBTOTAL(9,J97:J102)</f>
        <v>4522</v>
      </c>
      <c r="K103" s="430">
        <f t="shared" si="4"/>
        <v>-232</v>
      </c>
      <c r="L103" s="431">
        <f t="shared" si="5"/>
        <v>95.119899032393775</v>
      </c>
    </row>
    <row r="104" spans="1:12" s="408" customFormat="1">
      <c r="A104" s="315">
        <f t="shared" si="3"/>
        <v>103</v>
      </c>
      <c r="B104" s="381">
        <v>3200</v>
      </c>
      <c r="C104" s="10">
        <v>3727</v>
      </c>
      <c r="D104" s="10" t="s">
        <v>231</v>
      </c>
      <c r="E104" s="10">
        <v>5011</v>
      </c>
      <c r="F104" s="10" t="s">
        <v>360</v>
      </c>
      <c r="G104" s="333" t="s">
        <v>359</v>
      </c>
      <c r="H104" s="334">
        <v>270</v>
      </c>
      <c r="I104" s="335">
        <v>270</v>
      </c>
      <c r="J104" s="336">
        <v>238</v>
      </c>
      <c r="K104" s="432">
        <f t="shared" si="4"/>
        <v>-32</v>
      </c>
      <c r="L104" s="433">
        <f t="shared" si="5"/>
        <v>88.148148148148152</v>
      </c>
    </row>
    <row r="105" spans="1:12" s="387" customFormat="1">
      <c r="A105" s="315">
        <f t="shared" si="3"/>
        <v>104</v>
      </c>
      <c r="B105" s="381">
        <v>3200</v>
      </c>
      <c r="C105" s="10">
        <v>3727</v>
      </c>
      <c r="D105" s="10" t="s">
        <v>231</v>
      </c>
      <c r="E105" s="10">
        <v>5031</v>
      </c>
      <c r="F105" s="10" t="s">
        <v>361</v>
      </c>
      <c r="G105" s="333" t="s">
        <v>359</v>
      </c>
      <c r="H105" s="334">
        <v>65</v>
      </c>
      <c r="I105" s="335">
        <v>65</v>
      </c>
      <c r="J105" s="336">
        <v>59</v>
      </c>
      <c r="K105" s="432">
        <f t="shared" si="4"/>
        <v>-6</v>
      </c>
      <c r="L105" s="433">
        <f t="shared" si="5"/>
        <v>90.769230769230774</v>
      </c>
    </row>
    <row r="106" spans="1:12" s="408" customFormat="1">
      <c r="A106" s="315">
        <f t="shared" si="3"/>
        <v>105</v>
      </c>
      <c r="B106" s="381">
        <v>3200</v>
      </c>
      <c r="C106" s="10">
        <v>3727</v>
      </c>
      <c r="D106" s="10" t="s">
        <v>231</v>
      </c>
      <c r="E106" s="10">
        <v>5032</v>
      </c>
      <c r="F106" s="10" t="s">
        <v>362</v>
      </c>
      <c r="G106" s="333" t="s">
        <v>359</v>
      </c>
      <c r="H106" s="334">
        <v>21</v>
      </c>
      <c r="I106" s="335">
        <v>21</v>
      </c>
      <c r="J106" s="336">
        <v>21</v>
      </c>
      <c r="K106" s="432">
        <f t="shared" si="4"/>
        <v>0</v>
      </c>
      <c r="L106" s="433">
        <f t="shared" si="5"/>
        <v>100</v>
      </c>
    </row>
    <row r="107" spans="1:12">
      <c r="A107" s="315">
        <f t="shared" si="3"/>
        <v>106</v>
      </c>
      <c r="B107" s="381">
        <v>3200</v>
      </c>
      <c r="C107" s="10">
        <v>3727</v>
      </c>
      <c r="D107" s="10" t="s">
        <v>231</v>
      </c>
      <c r="E107" s="10">
        <v>5169</v>
      </c>
      <c r="F107" s="10" t="s">
        <v>313</v>
      </c>
      <c r="G107" s="333" t="s">
        <v>359</v>
      </c>
      <c r="H107" s="334">
        <v>70</v>
      </c>
      <c r="I107" s="335">
        <v>213</v>
      </c>
      <c r="J107" s="336">
        <v>151</v>
      </c>
      <c r="K107" s="432">
        <f t="shared" si="4"/>
        <v>-62</v>
      </c>
      <c r="L107" s="433">
        <f t="shared" si="5"/>
        <v>70.89201877934272</v>
      </c>
    </row>
    <row r="108" spans="1:12">
      <c r="A108" s="315">
        <f t="shared" si="3"/>
        <v>107</v>
      </c>
      <c r="B108" s="381">
        <v>3200</v>
      </c>
      <c r="C108" s="10">
        <v>3727</v>
      </c>
      <c r="D108" s="10" t="s">
        <v>231</v>
      </c>
      <c r="E108" s="10">
        <v>5173</v>
      </c>
      <c r="F108" s="383" t="s">
        <v>363</v>
      </c>
      <c r="G108" s="333" t="s">
        <v>359</v>
      </c>
      <c r="H108" s="334">
        <v>220</v>
      </c>
      <c r="I108" s="335">
        <v>237</v>
      </c>
      <c r="J108" s="336">
        <v>212</v>
      </c>
      <c r="K108" s="432">
        <f t="shared" si="4"/>
        <v>-25</v>
      </c>
      <c r="L108" s="433">
        <f t="shared" si="5"/>
        <v>89.451476793248943</v>
      </c>
    </row>
    <row r="109" spans="1:12">
      <c r="A109" s="315">
        <f t="shared" si="3"/>
        <v>108</v>
      </c>
      <c r="B109" s="424"/>
      <c r="C109" s="425" t="s">
        <v>371</v>
      </c>
      <c r="D109" s="425"/>
      <c r="E109" s="425"/>
      <c r="F109" s="425"/>
      <c r="G109" s="426"/>
      <c r="H109" s="427">
        <f>SUBTOTAL(9,H104:H108)</f>
        <v>646</v>
      </c>
      <c r="I109" s="428">
        <f>SUBTOTAL(9,I104:I108)</f>
        <v>806</v>
      </c>
      <c r="J109" s="429">
        <f>SUBTOTAL(9,J104:J108)</f>
        <v>681</v>
      </c>
      <c r="K109" s="430">
        <f t="shared" si="4"/>
        <v>-125</v>
      </c>
      <c r="L109" s="431">
        <f t="shared" si="5"/>
        <v>84.49131513647643</v>
      </c>
    </row>
    <row r="110" spans="1:12" s="408" customFormat="1">
      <c r="A110" s="315">
        <f t="shared" si="3"/>
        <v>109</v>
      </c>
      <c r="B110" s="392">
        <v>3200</v>
      </c>
      <c r="C110" s="393">
        <v>5319</v>
      </c>
      <c r="D110" s="434" t="s">
        <v>372</v>
      </c>
      <c r="E110" s="393">
        <v>5173</v>
      </c>
      <c r="F110" s="383" t="s">
        <v>363</v>
      </c>
      <c r="G110" s="435"/>
      <c r="H110" s="334">
        <v>0</v>
      </c>
      <c r="I110" s="335">
        <v>160</v>
      </c>
      <c r="J110" s="336">
        <v>160</v>
      </c>
      <c r="K110" s="432">
        <f t="shared" si="4"/>
        <v>0</v>
      </c>
      <c r="L110" s="433">
        <f t="shared" si="5"/>
        <v>100</v>
      </c>
    </row>
    <row r="111" spans="1:12" s="408" customFormat="1">
      <c r="A111" s="315">
        <f t="shared" si="3"/>
        <v>110</v>
      </c>
      <c r="B111" s="424"/>
      <c r="C111" s="425" t="s">
        <v>373</v>
      </c>
      <c r="D111" s="425"/>
      <c r="E111" s="425"/>
      <c r="F111" s="425"/>
      <c r="G111" s="426"/>
      <c r="H111" s="427">
        <f>SUBTOTAL(9,H110:H110)</f>
        <v>0</v>
      </c>
      <c r="I111" s="428">
        <f>SUBTOTAL(9,I110:I110)</f>
        <v>160</v>
      </c>
      <c r="J111" s="429">
        <f>SUBTOTAL(9,J110:J110)</f>
        <v>160</v>
      </c>
      <c r="K111" s="430">
        <f t="shared" si="4"/>
        <v>0</v>
      </c>
      <c r="L111" s="431">
        <f t="shared" si="5"/>
        <v>100</v>
      </c>
    </row>
    <row r="112" spans="1:12" s="408" customFormat="1">
      <c r="A112" s="315">
        <f t="shared" si="3"/>
        <v>111</v>
      </c>
      <c r="B112" s="381">
        <v>3200</v>
      </c>
      <c r="C112" s="10">
        <v>5511</v>
      </c>
      <c r="D112" s="10" t="s">
        <v>259</v>
      </c>
      <c r="E112" s="10">
        <v>5319</v>
      </c>
      <c r="F112" s="10" t="s">
        <v>374</v>
      </c>
      <c r="G112" s="333" t="s">
        <v>375</v>
      </c>
      <c r="H112" s="334">
        <v>3000</v>
      </c>
      <c r="I112" s="335">
        <v>3000</v>
      </c>
      <c r="J112" s="336">
        <v>3000</v>
      </c>
      <c r="K112" s="436">
        <f t="shared" si="4"/>
        <v>0</v>
      </c>
      <c r="L112" s="437">
        <f t="shared" si="5"/>
        <v>100</v>
      </c>
    </row>
    <row r="113" spans="1:12" s="408" customFormat="1">
      <c r="A113" s="315">
        <f t="shared" si="3"/>
        <v>112</v>
      </c>
      <c r="B113" s="424"/>
      <c r="C113" s="425" t="s">
        <v>376</v>
      </c>
      <c r="D113" s="425"/>
      <c r="E113" s="425"/>
      <c r="F113" s="425"/>
      <c r="G113" s="426"/>
      <c r="H113" s="427">
        <f>SUBTOTAL(9,H112:H112)</f>
        <v>3000</v>
      </c>
      <c r="I113" s="428">
        <f>SUBTOTAL(9,I112:I112)</f>
        <v>3000</v>
      </c>
      <c r="J113" s="429">
        <f>SUBTOTAL(9,J112:J112)</f>
        <v>3000</v>
      </c>
      <c r="K113" s="430">
        <f t="shared" si="4"/>
        <v>0</v>
      </c>
      <c r="L113" s="431">
        <f t="shared" si="5"/>
        <v>100</v>
      </c>
    </row>
    <row r="114" spans="1:12" s="408" customFormat="1">
      <c r="A114" s="315">
        <f t="shared" si="3"/>
        <v>113</v>
      </c>
      <c r="B114" s="381">
        <v>3200</v>
      </c>
      <c r="C114" s="10">
        <v>6112</v>
      </c>
      <c r="D114" s="10" t="s">
        <v>61</v>
      </c>
      <c r="E114" s="10">
        <v>5019</v>
      </c>
      <c r="F114" s="10" t="s">
        <v>377</v>
      </c>
      <c r="G114" s="333"/>
      <c r="H114" s="334">
        <v>300</v>
      </c>
      <c r="I114" s="335">
        <v>300</v>
      </c>
      <c r="J114" s="336">
        <v>257</v>
      </c>
      <c r="K114" s="337">
        <f t="shared" si="4"/>
        <v>-43</v>
      </c>
      <c r="L114" s="338">
        <f t="shared" si="5"/>
        <v>85.666666666666671</v>
      </c>
    </row>
    <row r="115" spans="1:12" s="408" customFormat="1">
      <c r="A115" s="315">
        <f t="shared" si="3"/>
        <v>114</v>
      </c>
      <c r="B115" s="381">
        <v>3200</v>
      </c>
      <c r="C115" s="10">
        <v>6112</v>
      </c>
      <c r="D115" s="10" t="s">
        <v>61</v>
      </c>
      <c r="E115" s="10">
        <v>5023</v>
      </c>
      <c r="F115" s="10" t="s">
        <v>378</v>
      </c>
      <c r="G115" s="333"/>
      <c r="H115" s="334">
        <v>17000</v>
      </c>
      <c r="I115" s="335">
        <v>17000</v>
      </c>
      <c r="J115" s="336">
        <v>14506</v>
      </c>
      <c r="K115" s="337">
        <f t="shared" si="4"/>
        <v>-2494</v>
      </c>
      <c r="L115" s="338">
        <f t="shared" si="5"/>
        <v>85.329411764705881</v>
      </c>
    </row>
    <row r="116" spans="1:12" s="408" customFormat="1">
      <c r="A116" s="315">
        <f t="shared" si="3"/>
        <v>115</v>
      </c>
      <c r="B116" s="381">
        <v>3200</v>
      </c>
      <c r="C116" s="10">
        <v>6112</v>
      </c>
      <c r="D116" s="10" t="s">
        <v>61</v>
      </c>
      <c r="E116" s="10">
        <v>5031</v>
      </c>
      <c r="F116" s="10" t="s">
        <v>361</v>
      </c>
      <c r="G116" s="333"/>
      <c r="H116" s="334">
        <v>2125</v>
      </c>
      <c r="I116" s="335">
        <v>2125</v>
      </c>
      <c r="J116" s="336">
        <v>1851</v>
      </c>
      <c r="K116" s="337">
        <f t="shared" si="4"/>
        <v>-274</v>
      </c>
      <c r="L116" s="338">
        <f t="shared" si="5"/>
        <v>87.10588235294118</v>
      </c>
    </row>
    <row r="117" spans="1:12" s="408" customFormat="1">
      <c r="A117" s="315">
        <f t="shared" si="3"/>
        <v>116</v>
      </c>
      <c r="B117" s="381">
        <v>3200</v>
      </c>
      <c r="C117" s="10">
        <v>6112</v>
      </c>
      <c r="D117" s="10" t="s">
        <v>61</v>
      </c>
      <c r="E117" s="10">
        <v>5032</v>
      </c>
      <c r="F117" s="10" t="s">
        <v>362</v>
      </c>
      <c r="G117" s="333"/>
      <c r="H117" s="334">
        <v>1557</v>
      </c>
      <c r="I117" s="335">
        <v>1557</v>
      </c>
      <c r="J117" s="336">
        <v>1311</v>
      </c>
      <c r="K117" s="337">
        <f t="shared" si="4"/>
        <v>-246</v>
      </c>
      <c r="L117" s="338">
        <f t="shared" si="5"/>
        <v>84.200385356454717</v>
      </c>
    </row>
    <row r="118" spans="1:12" s="408" customFormat="1">
      <c r="A118" s="315">
        <f t="shared" si="3"/>
        <v>117</v>
      </c>
      <c r="B118" s="381">
        <v>3200</v>
      </c>
      <c r="C118" s="10">
        <v>6112</v>
      </c>
      <c r="D118" s="10" t="s">
        <v>61</v>
      </c>
      <c r="E118" s="10">
        <v>5039</v>
      </c>
      <c r="F118" s="10" t="s">
        <v>379</v>
      </c>
      <c r="G118" s="333"/>
      <c r="H118" s="334">
        <v>50</v>
      </c>
      <c r="I118" s="335">
        <v>50</v>
      </c>
      <c r="J118" s="336">
        <v>25</v>
      </c>
      <c r="K118" s="337">
        <f>J118-I118</f>
        <v>-25</v>
      </c>
      <c r="L118" s="338">
        <f>IF(I118&lt;=0,0,J118/I118*100)</f>
        <v>50</v>
      </c>
    </row>
    <row r="119" spans="1:12" s="408" customFormat="1">
      <c r="A119" s="315">
        <f t="shared" si="3"/>
        <v>118</v>
      </c>
      <c r="B119" s="381">
        <v>3200</v>
      </c>
      <c r="C119" s="10">
        <v>6112</v>
      </c>
      <c r="D119" s="10" t="s">
        <v>61</v>
      </c>
      <c r="E119" s="10">
        <v>5909</v>
      </c>
      <c r="F119" s="10" t="s">
        <v>323</v>
      </c>
      <c r="G119" s="333"/>
      <c r="H119" s="334"/>
      <c r="I119" s="335"/>
      <c r="J119" s="336">
        <v>63</v>
      </c>
      <c r="K119" s="337">
        <f t="shared" si="4"/>
        <v>63</v>
      </c>
      <c r="L119" s="338">
        <f t="shared" si="5"/>
        <v>0</v>
      </c>
    </row>
    <row r="120" spans="1:12" s="408" customFormat="1">
      <c r="A120" s="315">
        <f t="shared" si="3"/>
        <v>119</v>
      </c>
      <c r="B120" s="424"/>
      <c r="C120" s="425" t="s">
        <v>380</v>
      </c>
      <c r="D120" s="425"/>
      <c r="E120" s="425"/>
      <c r="F120" s="425"/>
      <c r="G120" s="426"/>
      <c r="H120" s="427">
        <f>SUBTOTAL(9,H114:H119)</f>
        <v>21032</v>
      </c>
      <c r="I120" s="428">
        <f>SUBTOTAL(9,I114:I119)</f>
        <v>21032</v>
      </c>
      <c r="J120" s="429">
        <f>SUBTOTAL(9,J114:J119)</f>
        <v>18013</v>
      </c>
      <c r="K120" s="430">
        <f t="shared" si="4"/>
        <v>-3019</v>
      </c>
      <c r="L120" s="431">
        <f t="shared" si="5"/>
        <v>85.645682769113733</v>
      </c>
    </row>
    <row r="121" spans="1:12" s="408" customFormat="1">
      <c r="A121" s="315">
        <f t="shared" si="3"/>
        <v>120</v>
      </c>
      <c r="B121" s="381">
        <v>3200</v>
      </c>
      <c r="C121" s="438">
        <v>6115</v>
      </c>
      <c r="D121" s="8" t="s">
        <v>298</v>
      </c>
      <c r="E121" s="10">
        <v>5011</v>
      </c>
      <c r="F121" s="10" t="s">
        <v>360</v>
      </c>
      <c r="G121" s="333"/>
      <c r="H121" s="334"/>
      <c r="I121" s="335">
        <v>36</v>
      </c>
      <c r="J121" s="336">
        <v>59</v>
      </c>
      <c r="K121" s="337">
        <f t="shared" si="4"/>
        <v>23</v>
      </c>
      <c r="L121" s="338">
        <f t="shared" si="5"/>
        <v>163.88888888888889</v>
      </c>
    </row>
    <row r="122" spans="1:12" s="408" customFormat="1">
      <c r="A122" s="315">
        <f t="shared" si="3"/>
        <v>121</v>
      </c>
      <c r="B122" s="381">
        <v>3200</v>
      </c>
      <c r="C122" s="438">
        <v>6115</v>
      </c>
      <c r="D122" s="8" t="s">
        <v>298</v>
      </c>
      <c r="E122" s="10">
        <v>5031</v>
      </c>
      <c r="F122" s="10" t="s">
        <v>361</v>
      </c>
      <c r="G122" s="333"/>
      <c r="H122" s="334">
        <v>0</v>
      </c>
      <c r="I122" s="335">
        <v>9</v>
      </c>
      <c r="J122" s="336">
        <v>15</v>
      </c>
      <c r="K122" s="337">
        <f t="shared" si="4"/>
        <v>6</v>
      </c>
      <c r="L122" s="338">
        <f t="shared" si="5"/>
        <v>166.66666666666669</v>
      </c>
    </row>
    <row r="123" spans="1:12" s="408" customFormat="1">
      <c r="A123" s="315">
        <f t="shared" si="3"/>
        <v>122</v>
      </c>
      <c r="B123" s="381">
        <v>3200</v>
      </c>
      <c r="C123" s="438">
        <v>6115</v>
      </c>
      <c r="D123" s="8" t="s">
        <v>298</v>
      </c>
      <c r="E123" s="10">
        <v>5032</v>
      </c>
      <c r="F123" s="10" t="s">
        <v>362</v>
      </c>
      <c r="G123" s="333"/>
      <c r="H123" s="334">
        <v>0</v>
      </c>
      <c r="I123" s="335">
        <v>4</v>
      </c>
      <c r="J123" s="336">
        <v>5</v>
      </c>
      <c r="K123" s="337">
        <f t="shared" si="4"/>
        <v>1</v>
      </c>
      <c r="L123" s="338">
        <f t="shared" si="5"/>
        <v>125</v>
      </c>
    </row>
    <row r="124" spans="1:12" s="408" customFormat="1">
      <c r="A124" s="315">
        <f t="shared" si="3"/>
        <v>123</v>
      </c>
      <c r="B124" s="381">
        <v>3200</v>
      </c>
      <c r="C124" s="438">
        <v>6115</v>
      </c>
      <c r="D124" s="8" t="s">
        <v>298</v>
      </c>
      <c r="E124" s="10">
        <v>5156</v>
      </c>
      <c r="F124" s="10" t="s">
        <v>381</v>
      </c>
      <c r="G124" s="333"/>
      <c r="H124" s="334">
        <v>0</v>
      </c>
      <c r="I124" s="335">
        <v>3</v>
      </c>
      <c r="J124" s="336">
        <v>4</v>
      </c>
      <c r="K124" s="337">
        <f t="shared" si="4"/>
        <v>1</v>
      </c>
      <c r="L124" s="338">
        <f t="shared" si="5"/>
        <v>133.33333333333331</v>
      </c>
    </row>
    <row r="125" spans="1:12" s="408" customFormat="1">
      <c r="A125" s="315">
        <f t="shared" si="3"/>
        <v>124</v>
      </c>
      <c r="B125" s="381">
        <v>3200</v>
      </c>
      <c r="C125" s="438">
        <v>6115</v>
      </c>
      <c r="D125" s="8" t="s">
        <v>298</v>
      </c>
      <c r="E125" s="10">
        <v>5161</v>
      </c>
      <c r="F125" s="10" t="s">
        <v>382</v>
      </c>
      <c r="G125" s="333"/>
      <c r="H125" s="334">
        <v>0</v>
      </c>
      <c r="I125" s="335">
        <v>1</v>
      </c>
      <c r="J125" s="336">
        <v>1</v>
      </c>
      <c r="K125" s="337">
        <f t="shared" si="4"/>
        <v>0</v>
      </c>
      <c r="L125" s="338">
        <f t="shared" si="5"/>
        <v>100</v>
      </c>
    </row>
    <row r="126" spans="1:12" s="408" customFormat="1">
      <c r="A126" s="315">
        <f t="shared" si="3"/>
        <v>125</v>
      </c>
      <c r="B126" s="381">
        <v>3200</v>
      </c>
      <c r="C126" s="438">
        <v>6115</v>
      </c>
      <c r="D126" s="8" t="s">
        <v>298</v>
      </c>
      <c r="E126" s="10">
        <v>5169</v>
      </c>
      <c r="F126" s="10" t="s">
        <v>313</v>
      </c>
      <c r="G126" s="333"/>
      <c r="H126" s="334">
        <v>0</v>
      </c>
      <c r="I126" s="335">
        <v>10</v>
      </c>
      <c r="J126" s="336">
        <v>6</v>
      </c>
      <c r="K126" s="337">
        <f t="shared" si="4"/>
        <v>-4</v>
      </c>
      <c r="L126" s="338">
        <f t="shared" si="5"/>
        <v>60</v>
      </c>
    </row>
    <row r="127" spans="1:12" s="408" customFormat="1">
      <c r="A127" s="315">
        <f t="shared" si="3"/>
        <v>126</v>
      </c>
      <c r="B127" s="424"/>
      <c r="C127" s="425" t="s">
        <v>383</v>
      </c>
      <c r="D127" s="425"/>
      <c r="E127" s="425"/>
      <c r="F127" s="425"/>
      <c r="G127" s="426"/>
      <c r="H127" s="427">
        <f>SUBTOTAL(9,H121:H126)</f>
        <v>0</v>
      </c>
      <c r="I127" s="428">
        <f>SUBTOTAL(9,I121:I126)</f>
        <v>63</v>
      </c>
      <c r="J127" s="429">
        <f>SUBTOTAL(9,J121:J126)</f>
        <v>90</v>
      </c>
      <c r="K127" s="430">
        <f t="shared" si="4"/>
        <v>27</v>
      </c>
      <c r="L127" s="431">
        <f t="shared" si="5"/>
        <v>142.85714285714286</v>
      </c>
    </row>
    <row r="128" spans="1:12" s="408" customFormat="1">
      <c r="A128" s="315">
        <f t="shared" si="3"/>
        <v>127</v>
      </c>
      <c r="B128" s="381">
        <v>3200</v>
      </c>
      <c r="C128" s="10">
        <v>6171</v>
      </c>
      <c r="D128" s="12" t="s">
        <v>26</v>
      </c>
      <c r="E128" s="10">
        <v>5011</v>
      </c>
      <c r="F128" s="10" t="s">
        <v>360</v>
      </c>
      <c r="G128" s="333"/>
      <c r="H128" s="334">
        <v>359676</v>
      </c>
      <c r="I128" s="335">
        <v>363002</v>
      </c>
      <c r="J128" s="336">
        <v>357351</v>
      </c>
      <c r="K128" s="439">
        <f t="shared" si="4"/>
        <v>-5651</v>
      </c>
      <c r="L128" s="440">
        <f t="shared" si="5"/>
        <v>98.44325926578918</v>
      </c>
    </row>
    <row r="129" spans="1:12">
      <c r="A129" s="315">
        <f t="shared" si="3"/>
        <v>128</v>
      </c>
      <c r="B129" s="381">
        <v>3200</v>
      </c>
      <c r="C129" s="10">
        <v>6171</v>
      </c>
      <c r="D129" s="12" t="s">
        <v>26</v>
      </c>
      <c r="E129" s="10">
        <v>5011</v>
      </c>
      <c r="F129" s="10" t="s">
        <v>360</v>
      </c>
      <c r="G129" s="333" t="s">
        <v>384</v>
      </c>
      <c r="H129" s="334">
        <v>5000</v>
      </c>
      <c r="I129" s="335">
        <v>6320</v>
      </c>
      <c r="J129" s="336">
        <v>3150</v>
      </c>
      <c r="K129" s="441">
        <f t="shared" si="4"/>
        <v>-3170</v>
      </c>
      <c r="L129" s="442">
        <f t="shared" si="5"/>
        <v>49.841772151898731</v>
      </c>
    </row>
    <row r="130" spans="1:12" s="408" customFormat="1">
      <c r="A130" s="315">
        <f t="shared" si="3"/>
        <v>129</v>
      </c>
      <c r="B130" s="381">
        <v>3200</v>
      </c>
      <c r="C130" s="10">
        <v>6171</v>
      </c>
      <c r="D130" s="12" t="s">
        <v>26</v>
      </c>
      <c r="E130" s="10">
        <v>5011</v>
      </c>
      <c r="F130" s="10" t="s">
        <v>360</v>
      </c>
      <c r="G130" s="333" t="s">
        <v>359</v>
      </c>
      <c r="H130" s="334">
        <v>1550</v>
      </c>
      <c r="I130" s="335">
        <v>5983</v>
      </c>
      <c r="J130" s="336">
        <v>5336</v>
      </c>
      <c r="K130" s="337">
        <f t="shared" si="4"/>
        <v>-647</v>
      </c>
      <c r="L130" s="338">
        <f t="shared" si="5"/>
        <v>89.186027076717366</v>
      </c>
    </row>
    <row r="131" spans="1:12">
      <c r="A131" s="315">
        <f t="shared" si="3"/>
        <v>130</v>
      </c>
      <c r="B131" s="381">
        <v>3200</v>
      </c>
      <c r="C131" s="10">
        <v>6171</v>
      </c>
      <c r="D131" s="12" t="s">
        <v>26</v>
      </c>
      <c r="E131" s="10">
        <v>5019</v>
      </c>
      <c r="F131" s="10" t="s">
        <v>377</v>
      </c>
      <c r="G131" s="333"/>
      <c r="H131" s="334">
        <v>30</v>
      </c>
      <c r="I131" s="335">
        <v>30</v>
      </c>
      <c r="J131" s="336">
        <v>0</v>
      </c>
      <c r="K131" s="337">
        <f t="shared" si="4"/>
        <v>-30</v>
      </c>
      <c r="L131" s="338">
        <f t="shared" si="5"/>
        <v>0</v>
      </c>
    </row>
    <row r="132" spans="1:12">
      <c r="A132" s="315">
        <f t="shared" ref="A132:A195" si="6">A131+1</f>
        <v>131</v>
      </c>
      <c r="B132" s="381">
        <v>3200</v>
      </c>
      <c r="C132" s="10">
        <v>6171</v>
      </c>
      <c r="D132" s="12" t="s">
        <v>26</v>
      </c>
      <c r="E132" s="10">
        <v>5021</v>
      </c>
      <c r="F132" s="10" t="s">
        <v>364</v>
      </c>
      <c r="G132" s="333"/>
      <c r="H132" s="334">
        <v>901</v>
      </c>
      <c r="I132" s="335">
        <v>935</v>
      </c>
      <c r="J132" s="336">
        <v>773</v>
      </c>
      <c r="K132" s="337">
        <f t="shared" si="4"/>
        <v>-162</v>
      </c>
      <c r="L132" s="338">
        <f t="shared" si="5"/>
        <v>82.673796791443849</v>
      </c>
    </row>
    <row r="133" spans="1:12">
      <c r="A133" s="315">
        <f t="shared" si="6"/>
        <v>132</v>
      </c>
      <c r="B133" s="381">
        <v>3200</v>
      </c>
      <c r="C133" s="10">
        <v>6171</v>
      </c>
      <c r="D133" s="12" t="s">
        <v>26</v>
      </c>
      <c r="E133" s="10">
        <v>5021</v>
      </c>
      <c r="F133" s="10" t="s">
        <v>364</v>
      </c>
      <c r="G133" s="333" t="s">
        <v>367</v>
      </c>
      <c r="H133" s="334">
        <v>60</v>
      </c>
      <c r="I133" s="335">
        <v>60</v>
      </c>
      <c r="J133" s="336">
        <v>47</v>
      </c>
      <c r="K133" s="337">
        <f t="shared" ref="K133:K196" si="7">J133-I133</f>
        <v>-13</v>
      </c>
      <c r="L133" s="338">
        <f t="shared" ref="L133:L196" si="8">IF(I133&lt;=0,0,J133/I133*100)</f>
        <v>78.333333333333329</v>
      </c>
    </row>
    <row r="134" spans="1:12" s="408" customFormat="1">
      <c r="A134" s="315">
        <f t="shared" si="6"/>
        <v>133</v>
      </c>
      <c r="B134" s="381">
        <v>3200</v>
      </c>
      <c r="C134" s="10">
        <v>6171</v>
      </c>
      <c r="D134" s="12" t="s">
        <v>26</v>
      </c>
      <c r="E134" s="10">
        <v>5024</v>
      </c>
      <c r="F134" s="10" t="s">
        <v>385</v>
      </c>
      <c r="G134" s="333"/>
      <c r="H134" s="334">
        <v>750</v>
      </c>
      <c r="I134" s="335">
        <v>1250</v>
      </c>
      <c r="J134" s="336">
        <v>1210</v>
      </c>
      <c r="K134" s="337">
        <f t="shared" si="7"/>
        <v>-40</v>
      </c>
      <c r="L134" s="338">
        <f t="shared" si="8"/>
        <v>96.8</v>
      </c>
    </row>
    <row r="135" spans="1:12" s="408" customFormat="1">
      <c r="A135" s="315">
        <f t="shared" si="6"/>
        <v>134</v>
      </c>
      <c r="B135" s="381">
        <v>3200</v>
      </c>
      <c r="C135" s="10">
        <v>6171</v>
      </c>
      <c r="D135" s="12" t="s">
        <v>26</v>
      </c>
      <c r="E135" s="10">
        <v>5031</v>
      </c>
      <c r="F135" s="10" t="s">
        <v>361</v>
      </c>
      <c r="G135" s="333"/>
      <c r="H135" s="334">
        <v>93135</v>
      </c>
      <c r="I135" s="335">
        <v>94092</v>
      </c>
      <c r="J135" s="336">
        <v>90601</v>
      </c>
      <c r="K135" s="441">
        <f t="shared" si="7"/>
        <v>-3491</v>
      </c>
      <c r="L135" s="442">
        <f t="shared" si="8"/>
        <v>96.289801470900812</v>
      </c>
    </row>
    <row r="136" spans="1:12" s="408" customFormat="1">
      <c r="A136" s="315">
        <f t="shared" si="6"/>
        <v>135</v>
      </c>
      <c r="B136" s="381">
        <v>3200</v>
      </c>
      <c r="C136" s="10">
        <v>6171</v>
      </c>
      <c r="D136" s="12" t="s">
        <v>26</v>
      </c>
      <c r="E136" s="10">
        <v>5031</v>
      </c>
      <c r="F136" s="10" t="s">
        <v>361</v>
      </c>
      <c r="G136" s="333" t="s">
        <v>384</v>
      </c>
      <c r="H136" s="334">
        <v>1250</v>
      </c>
      <c r="I136" s="335">
        <v>1750</v>
      </c>
      <c r="J136" s="336">
        <v>787</v>
      </c>
      <c r="K136" s="443">
        <f t="shared" si="7"/>
        <v>-963</v>
      </c>
      <c r="L136" s="444">
        <f t="shared" si="8"/>
        <v>44.971428571428575</v>
      </c>
    </row>
    <row r="137" spans="1:12" s="408" customFormat="1">
      <c r="A137" s="315">
        <f t="shared" si="6"/>
        <v>136</v>
      </c>
      <c r="B137" s="381">
        <v>3200</v>
      </c>
      <c r="C137" s="10">
        <v>6171</v>
      </c>
      <c r="D137" s="12" t="s">
        <v>26</v>
      </c>
      <c r="E137" s="10">
        <v>5031</v>
      </c>
      <c r="F137" s="10" t="s">
        <v>361</v>
      </c>
      <c r="G137" s="333" t="s">
        <v>359</v>
      </c>
      <c r="H137" s="334">
        <v>390</v>
      </c>
      <c r="I137" s="335">
        <v>1499</v>
      </c>
      <c r="J137" s="336">
        <v>1334</v>
      </c>
      <c r="K137" s="337">
        <f t="shared" si="7"/>
        <v>-165</v>
      </c>
      <c r="L137" s="338">
        <f t="shared" si="8"/>
        <v>88.99266177451635</v>
      </c>
    </row>
    <row r="138" spans="1:12" s="408" customFormat="1">
      <c r="A138" s="315">
        <f t="shared" si="6"/>
        <v>137</v>
      </c>
      <c r="B138" s="381">
        <v>3200</v>
      </c>
      <c r="C138" s="10">
        <v>6171</v>
      </c>
      <c r="D138" s="10" t="s">
        <v>9</v>
      </c>
      <c r="E138" s="10">
        <v>5032</v>
      </c>
      <c r="F138" s="10" t="s">
        <v>362</v>
      </c>
      <c r="G138" s="333"/>
      <c r="H138" s="334">
        <v>33579</v>
      </c>
      <c r="I138" s="335">
        <v>33923</v>
      </c>
      <c r="J138" s="336">
        <v>32706</v>
      </c>
      <c r="K138" s="441">
        <f t="shared" si="7"/>
        <v>-1217</v>
      </c>
      <c r="L138" s="442">
        <f t="shared" si="8"/>
        <v>96.412463520325446</v>
      </c>
    </row>
    <row r="139" spans="1:12" s="408" customFormat="1">
      <c r="A139" s="315">
        <f t="shared" si="6"/>
        <v>138</v>
      </c>
      <c r="B139" s="381">
        <v>3200</v>
      </c>
      <c r="C139" s="10">
        <v>6171</v>
      </c>
      <c r="D139" s="10" t="s">
        <v>9</v>
      </c>
      <c r="E139" s="10">
        <v>5032</v>
      </c>
      <c r="F139" s="10" t="s">
        <v>362</v>
      </c>
      <c r="G139" s="333" t="s">
        <v>384</v>
      </c>
      <c r="H139" s="334">
        <v>450</v>
      </c>
      <c r="I139" s="335">
        <v>630</v>
      </c>
      <c r="J139" s="336">
        <v>284</v>
      </c>
      <c r="K139" s="443">
        <f t="shared" si="7"/>
        <v>-346</v>
      </c>
      <c r="L139" s="444">
        <f t="shared" si="8"/>
        <v>45.079365079365083</v>
      </c>
    </row>
    <row r="140" spans="1:12" s="408" customFormat="1">
      <c r="A140" s="315">
        <f t="shared" si="6"/>
        <v>139</v>
      </c>
      <c r="B140" s="381">
        <v>3200</v>
      </c>
      <c r="C140" s="10">
        <v>6171</v>
      </c>
      <c r="D140" s="10" t="s">
        <v>9</v>
      </c>
      <c r="E140" s="10">
        <v>5032</v>
      </c>
      <c r="F140" s="10" t="s">
        <v>362</v>
      </c>
      <c r="G140" s="333" t="s">
        <v>359</v>
      </c>
      <c r="H140" s="334">
        <v>141</v>
      </c>
      <c r="I140" s="335">
        <v>543</v>
      </c>
      <c r="J140" s="336">
        <v>483</v>
      </c>
      <c r="K140" s="337">
        <f t="shared" si="7"/>
        <v>-60</v>
      </c>
      <c r="L140" s="338">
        <f t="shared" si="8"/>
        <v>88.950276243093924</v>
      </c>
    </row>
    <row r="141" spans="1:12" s="408" customFormat="1">
      <c r="A141" s="315">
        <f t="shared" si="6"/>
        <v>140</v>
      </c>
      <c r="B141" s="381">
        <v>3200</v>
      </c>
      <c r="C141" s="10">
        <v>6171</v>
      </c>
      <c r="D141" s="10" t="s">
        <v>9</v>
      </c>
      <c r="E141" s="10">
        <v>5038</v>
      </c>
      <c r="F141" s="10" t="s">
        <v>386</v>
      </c>
      <c r="G141" s="333"/>
      <c r="H141" s="334">
        <v>2477</v>
      </c>
      <c r="I141" s="335">
        <v>2477</v>
      </c>
      <c r="J141" s="336">
        <v>2414</v>
      </c>
      <c r="K141" s="337">
        <f t="shared" si="7"/>
        <v>-63</v>
      </c>
      <c r="L141" s="338">
        <f t="shared" si="8"/>
        <v>97.456600726685508</v>
      </c>
    </row>
    <row r="142" spans="1:12" s="408" customFormat="1">
      <c r="A142" s="315">
        <f t="shared" si="6"/>
        <v>141</v>
      </c>
      <c r="B142" s="381">
        <v>3200</v>
      </c>
      <c r="C142" s="10">
        <v>6171</v>
      </c>
      <c r="D142" s="10" t="s">
        <v>9</v>
      </c>
      <c r="E142" s="10">
        <v>5039</v>
      </c>
      <c r="F142" s="10" t="s">
        <v>379</v>
      </c>
      <c r="G142" s="333"/>
      <c r="H142" s="334">
        <v>11</v>
      </c>
      <c r="I142" s="335">
        <v>11</v>
      </c>
      <c r="J142" s="336">
        <v>0</v>
      </c>
      <c r="K142" s="337">
        <f t="shared" si="7"/>
        <v>-11</v>
      </c>
      <c r="L142" s="338">
        <f t="shared" si="8"/>
        <v>0</v>
      </c>
    </row>
    <row r="143" spans="1:12" s="408" customFormat="1">
      <c r="A143" s="315">
        <f t="shared" si="6"/>
        <v>142</v>
      </c>
      <c r="B143" s="381">
        <v>3200</v>
      </c>
      <c r="C143" s="10">
        <v>6171</v>
      </c>
      <c r="D143" s="10" t="s">
        <v>9</v>
      </c>
      <c r="E143" s="10">
        <v>5132</v>
      </c>
      <c r="F143" s="10" t="s">
        <v>387</v>
      </c>
      <c r="G143" s="333"/>
      <c r="H143" s="334">
        <v>122</v>
      </c>
      <c r="I143" s="335">
        <v>122</v>
      </c>
      <c r="J143" s="336">
        <v>74</v>
      </c>
      <c r="K143" s="337">
        <f t="shared" si="7"/>
        <v>-48</v>
      </c>
      <c r="L143" s="338">
        <f t="shared" si="8"/>
        <v>60.655737704918032</v>
      </c>
    </row>
    <row r="144" spans="1:12" s="408" customFormat="1">
      <c r="A144" s="315">
        <f t="shared" si="6"/>
        <v>143</v>
      </c>
      <c r="B144" s="381">
        <v>3200</v>
      </c>
      <c r="C144" s="10">
        <v>6171</v>
      </c>
      <c r="D144" s="10" t="s">
        <v>9</v>
      </c>
      <c r="E144" s="10">
        <v>5133</v>
      </c>
      <c r="F144" s="10" t="s">
        <v>388</v>
      </c>
      <c r="G144" s="333"/>
      <c r="H144" s="334">
        <v>35</v>
      </c>
      <c r="I144" s="335">
        <v>35</v>
      </c>
      <c r="J144" s="336">
        <v>2</v>
      </c>
      <c r="K144" s="337">
        <f t="shared" si="7"/>
        <v>-33</v>
      </c>
      <c r="L144" s="338">
        <f t="shared" si="8"/>
        <v>5.7142857142857144</v>
      </c>
    </row>
    <row r="145" spans="1:12" s="408" customFormat="1">
      <c r="A145" s="315">
        <f t="shared" si="6"/>
        <v>144</v>
      </c>
      <c r="B145" s="381">
        <v>3200</v>
      </c>
      <c r="C145" s="10">
        <v>6171</v>
      </c>
      <c r="D145" s="10" t="s">
        <v>9</v>
      </c>
      <c r="E145" s="10">
        <v>5133</v>
      </c>
      <c r="F145" s="10" t="s">
        <v>388</v>
      </c>
      <c r="G145" s="333" t="s">
        <v>367</v>
      </c>
      <c r="H145" s="334"/>
      <c r="I145" s="335">
        <v>2</v>
      </c>
      <c r="J145" s="336">
        <v>1</v>
      </c>
      <c r="K145" s="337">
        <f t="shared" si="7"/>
        <v>-1</v>
      </c>
      <c r="L145" s="338">
        <f t="shared" si="8"/>
        <v>50</v>
      </c>
    </row>
    <row r="146" spans="1:12" s="408" customFormat="1">
      <c r="A146" s="315">
        <f t="shared" si="6"/>
        <v>145</v>
      </c>
      <c r="B146" s="381">
        <v>3200</v>
      </c>
      <c r="C146" s="10">
        <v>6171</v>
      </c>
      <c r="D146" s="10" t="s">
        <v>9</v>
      </c>
      <c r="E146" s="10">
        <v>5136</v>
      </c>
      <c r="F146" s="10" t="s">
        <v>389</v>
      </c>
      <c r="G146" s="333"/>
      <c r="H146" s="334">
        <v>1110</v>
      </c>
      <c r="I146" s="335">
        <v>1117</v>
      </c>
      <c r="J146" s="336">
        <v>720</v>
      </c>
      <c r="K146" s="337">
        <f t="shared" si="7"/>
        <v>-397</v>
      </c>
      <c r="L146" s="338">
        <f t="shared" si="8"/>
        <v>64.458370635631155</v>
      </c>
    </row>
    <row r="147" spans="1:12">
      <c r="A147" s="315">
        <f t="shared" si="6"/>
        <v>146</v>
      </c>
      <c r="B147" s="381">
        <v>3200</v>
      </c>
      <c r="C147" s="10">
        <v>6171</v>
      </c>
      <c r="D147" s="10" t="s">
        <v>9</v>
      </c>
      <c r="E147" s="10">
        <v>5136</v>
      </c>
      <c r="F147" s="10" t="s">
        <v>389</v>
      </c>
      <c r="G147" s="333" t="s">
        <v>367</v>
      </c>
      <c r="H147" s="334">
        <v>35</v>
      </c>
      <c r="I147" s="335">
        <v>35</v>
      </c>
      <c r="J147" s="336">
        <v>22</v>
      </c>
      <c r="K147" s="337">
        <f t="shared" si="7"/>
        <v>-13</v>
      </c>
      <c r="L147" s="338">
        <f t="shared" si="8"/>
        <v>62.857142857142854</v>
      </c>
    </row>
    <row r="148" spans="1:12">
      <c r="A148" s="315">
        <f t="shared" si="6"/>
        <v>147</v>
      </c>
      <c r="B148" s="381">
        <v>3200</v>
      </c>
      <c r="C148" s="10">
        <v>6171</v>
      </c>
      <c r="D148" s="10" t="s">
        <v>9</v>
      </c>
      <c r="E148" s="10">
        <v>5137</v>
      </c>
      <c r="F148" s="12" t="s">
        <v>346</v>
      </c>
      <c r="G148" s="158"/>
      <c r="H148" s="334">
        <v>3376</v>
      </c>
      <c r="I148" s="335">
        <v>2991</v>
      </c>
      <c r="J148" s="336">
        <v>2370</v>
      </c>
      <c r="K148" s="337">
        <f t="shared" si="7"/>
        <v>-621</v>
      </c>
      <c r="L148" s="338">
        <f t="shared" si="8"/>
        <v>79.237713139418247</v>
      </c>
    </row>
    <row r="149" spans="1:12">
      <c r="A149" s="315">
        <f t="shared" si="6"/>
        <v>148</v>
      </c>
      <c r="B149" s="381">
        <v>3200</v>
      </c>
      <c r="C149" s="10">
        <v>6171</v>
      </c>
      <c r="D149" s="10" t="s">
        <v>9</v>
      </c>
      <c r="E149" s="10">
        <v>5137</v>
      </c>
      <c r="F149" s="12" t="s">
        <v>346</v>
      </c>
      <c r="G149" s="158" t="s">
        <v>367</v>
      </c>
      <c r="H149" s="334">
        <v>25</v>
      </c>
      <c r="I149" s="335">
        <v>10</v>
      </c>
      <c r="J149" s="336">
        <v>10</v>
      </c>
      <c r="K149" s="337">
        <f t="shared" si="7"/>
        <v>0</v>
      </c>
      <c r="L149" s="338">
        <f t="shared" si="8"/>
        <v>100</v>
      </c>
    </row>
    <row r="150" spans="1:12">
      <c r="A150" s="315">
        <f t="shared" si="6"/>
        <v>149</v>
      </c>
      <c r="B150" s="381">
        <v>3200</v>
      </c>
      <c r="C150" s="10">
        <v>6171</v>
      </c>
      <c r="D150" s="10" t="s">
        <v>9</v>
      </c>
      <c r="E150" s="10">
        <v>5139</v>
      </c>
      <c r="F150" s="10" t="s">
        <v>342</v>
      </c>
      <c r="G150" s="333"/>
      <c r="H150" s="334">
        <v>4949</v>
      </c>
      <c r="I150" s="335">
        <v>4678</v>
      </c>
      <c r="J150" s="336">
        <v>2201</v>
      </c>
      <c r="K150" s="337">
        <f t="shared" si="7"/>
        <v>-2477</v>
      </c>
      <c r="L150" s="338">
        <f t="shared" si="8"/>
        <v>47.050021376656694</v>
      </c>
    </row>
    <row r="151" spans="1:12">
      <c r="A151" s="315">
        <f t="shared" si="6"/>
        <v>150</v>
      </c>
      <c r="B151" s="381">
        <v>3200</v>
      </c>
      <c r="C151" s="10">
        <v>6171</v>
      </c>
      <c r="D151" s="10" t="s">
        <v>9</v>
      </c>
      <c r="E151" s="10">
        <v>5139</v>
      </c>
      <c r="F151" s="10" t="s">
        <v>342</v>
      </c>
      <c r="G151" s="333" t="s">
        <v>367</v>
      </c>
      <c r="H151" s="334">
        <v>33</v>
      </c>
      <c r="I151" s="335">
        <v>20</v>
      </c>
      <c r="J151" s="336">
        <v>13</v>
      </c>
      <c r="K151" s="337">
        <f t="shared" si="7"/>
        <v>-7</v>
      </c>
      <c r="L151" s="338">
        <f t="shared" si="8"/>
        <v>65</v>
      </c>
    </row>
    <row r="152" spans="1:12">
      <c r="A152" s="315">
        <f t="shared" si="6"/>
        <v>151</v>
      </c>
      <c r="B152" s="381">
        <v>3200</v>
      </c>
      <c r="C152" s="10">
        <v>6171</v>
      </c>
      <c r="D152" s="10" t="s">
        <v>9</v>
      </c>
      <c r="E152" s="10">
        <v>5149</v>
      </c>
      <c r="F152" s="10" t="s">
        <v>390</v>
      </c>
      <c r="G152" s="333"/>
      <c r="H152" s="334">
        <v>5</v>
      </c>
      <c r="I152" s="335">
        <v>5</v>
      </c>
      <c r="J152" s="336">
        <v>0</v>
      </c>
      <c r="K152" s="337">
        <f t="shared" si="7"/>
        <v>-5</v>
      </c>
      <c r="L152" s="338">
        <f t="shared" si="8"/>
        <v>0</v>
      </c>
    </row>
    <row r="153" spans="1:12">
      <c r="A153" s="315">
        <f t="shared" si="6"/>
        <v>152</v>
      </c>
      <c r="B153" s="381">
        <v>3200</v>
      </c>
      <c r="C153" s="10">
        <v>6171</v>
      </c>
      <c r="D153" s="10" t="s">
        <v>9</v>
      </c>
      <c r="E153" s="10">
        <v>5153</v>
      </c>
      <c r="F153" s="10" t="s">
        <v>391</v>
      </c>
      <c r="G153" s="333" t="s">
        <v>367</v>
      </c>
      <c r="H153" s="334">
        <v>22</v>
      </c>
      <c r="I153" s="335">
        <v>22</v>
      </c>
      <c r="J153" s="336">
        <v>4</v>
      </c>
      <c r="K153" s="337">
        <f t="shared" si="7"/>
        <v>-18</v>
      </c>
      <c r="L153" s="338">
        <f t="shared" si="8"/>
        <v>18.181818181818183</v>
      </c>
    </row>
    <row r="154" spans="1:12">
      <c r="A154" s="315">
        <f t="shared" si="6"/>
        <v>153</v>
      </c>
      <c r="B154" s="381">
        <v>3200</v>
      </c>
      <c r="C154" s="10">
        <v>6171</v>
      </c>
      <c r="D154" s="10" t="s">
        <v>9</v>
      </c>
      <c r="E154" s="10">
        <v>5154</v>
      </c>
      <c r="F154" s="10" t="s">
        <v>349</v>
      </c>
      <c r="G154" s="333" t="s">
        <v>367</v>
      </c>
      <c r="H154" s="334">
        <v>30</v>
      </c>
      <c r="I154" s="335">
        <v>30</v>
      </c>
      <c r="J154" s="336">
        <v>0</v>
      </c>
      <c r="K154" s="337">
        <f t="shared" si="7"/>
        <v>-30</v>
      </c>
      <c r="L154" s="338">
        <f t="shared" si="8"/>
        <v>0</v>
      </c>
    </row>
    <row r="155" spans="1:12">
      <c r="A155" s="315">
        <f t="shared" si="6"/>
        <v>154</v>
      </c>
      <c r="B155" s="381">
        <v>3200</v>
      </c>
      <c r="C155" s="10">
        <v>6171</v>
      </c>
      <c r="D155" s="10" t="s">
        <v>9</v>
      </c>
      <c r="E155" s="10">
        <v>5156</v>
      </c>
      <c r="F155" s="10" t="s">
        <v>381</v>
      </c>
      <c r="G155" s="333"/>
      <c r="H155" s="334">
        <v>1670</v>
      </c>
      <c r="I155" s="335">
        <v>1670</v>
      </c>
      <c r="J155" s="336">
        <v>1472</v>
      </c>
      <c r="K155" s="337">
        <f t="shared" si="7"/>
        <v>-198</v>
      </c>
      <c r="L155" s="338">
        <f t="shared" si="8"/>
        <v>88.143712574850298</v>
      </c>
    </row>
    <row r="156" spans="1:12">
      <c r="A156" s="315">
        <f t="shared" si="6"/>
        <v>155</v>
      </c>
      <c r="B156" s="381">
        <v>3200</v>
      </c>
      <c r="C156" s="10">
        <v>6171</v>
      </c>
      <c r="D156" s="10" t="s">
        <v>9</v>
      </c>
      <c r="E156" s="10">
        <v>5161</v>
      </c>
      <c r="F156" s="10" t="s">
        <v>382</v>
      </c>
      <c r="G156" s="333"/>
      <c r="H156" s="334">
        <v>10441</v>
      </c>
      <c r="I156" s="335">
        <v>9728</v>
      </c>
      <c r="J156" s="336">
        <v>7546</v>
      </c>
      <c r="K156" s="337">
        <f t="shared" si="7"/>
        <v>-2182</v>
      </c>
      <c r="L156" s="338">
        <f t="shared" si="8"/>
        <v>77.569901315789465</v>
      </c>
    </row>
    <row r="157" spans="1:12">
      <c r="A157" s="315">
        <f t="shared" si="6"/>
        <v>156</v>
      </c>
      <c r="B157" s="381">
        <v>3200</v>
      </c>
      <c r="C157" s="10">
        <v>6171</v>
      </c>
      <c r="D157" s="10" t="s">
        <v>9</v>
      </c>
      <c r="E157" s="10">
        <v>5162</v>
      </c>
      <c r="F157" s="10" t="s">
        <v>392</v>
      </c>
      <c r="G157" s="333"/>
      <c r="H157" s="334">
        <v>20</v>
      </c>
      <c r="I157" s="335">
        <v>20</v>
      </c>
      <c r="J157" s="336">
        <v>15</v>
      </c>
      <c r="K157" s="337">
        <f t="shared" si="7"/>
        <v>-5</v>
      </c>
      <c r="L157" s="338">
        <f t="shared" si="8"/>
        <v>75</v>
      </c>
    </row>
    <row r="158" spans="1:12">
      <c r="A158" s="315">
        <f t="shared" si="6"/>
        <v>157</v>
      </c>
      <c r="B158" s="381">
        <v>3200</v>
      </c>
      <c r="C158" s="10">
        <v>6171</v>
      </c>
      <c r="D158" s="10" t="s">
        <v>9</v>
      </c>
      <c r="E158" s="10">
        <v>5163</v>
      </c>
      <c r="F158" s="10" t="s">
        <v>318</v>
      </c>
      <c r="G158" s="333"/>
      <c r="H158" s="334">
        <v>875</v>
      </c>
      <c r="I158" s="335">
        <v>875</v>
      </c>
      <c r="J158" s="336">
        <v>844</v>
      </c>
      <c r="K158" s="337">
        <f t="shared" si="7"/>
        <v>-31</v>
      </c>
      <c r="L158" s="338">
        <f t="shared" si="8"/>
        <v>96.457142857142856</v>
      </c>
    </row>
    <row r="159" spans="1:12">
      <c r="A159" s="315">
        <f t="shared" si="6"/>
        <v>158</v>
      </c>
      <c r="B159" s="381">
        <v>3200</v>
      </c>
      <c r="C159" s="10">
        <v>6171</v>
      </c>
      <c r="D159" s="10" t="s">
        <v>9</v>
      </c>
      <c r="E159" s="10">
        <v>5164</v>
      </c>
      <c r="F159" s="10" t="s">
        <v>350</v>
      </c>
      <c r="G159" s="333"/>
      <c r="H159" s="334">
        <v>1273</v>
      </c>
      <c r="I159" s="335">
        <v>1273</v>
      </c>
      <c r="J159" s="336">
        <v>992</v>
      </c>
      <c r="K159" s="337">
        <f t="shared" si="7"/>
        <v>-281</v>
      </c>
      <c r="L159" s="338">
        <f t="shared" si="8"/>
        <v>77.926158680282796</v>
      </c>
    </row>
    <row r="160" spans="1:12">
      <c r="A160" s="315">
        <f t="shared" si="6"/>
        <v>159</v>
      </c>
      <c r="B160" s="381">
        <v>3200</v>
      </c>
      <c r="C160" s="10">
        <v>6171</v>
      </c>
      <c r="D160" s="10" t="s">
        <v>9</v>
      </c>
      <c r="E160" s="10">
        <v>5164</v>
      </c>
      <c r="F160" s="10" t="s">
        <v>350</v>
      </c>
      <c r="G160" s="333" t="s">
        <v>367</v>
      </c>
      <c r="H160" s="334">
        <v>10</v>
      </c>
      <c r="I160" s="335">
        <v>10</v>
      </c>
      <c r="J160" s="336">
        <v>4</v>
      </c>
      <c r="K160" s="337">
        <f t="shared" si="7"/>
        <v>-6</v>
      </c>
      <c r="L160" s="338">
        <f t="shared" si="8"/>
        <v>40</v>
      </c>
    </row>
    <row r="161" spans="1:12">
      <c r="A161" s="315">
        <f t="shared" si="6"/>
        <v>160</v>
      </c>
      <c r="B161" s="381">
        <v>3200</v>
      </c>
      <c r="C161" s="10">
        <v>6171</v>
      </c>
      <c r="D161" s="10" t="s">
        <v>9</v>
      </c>
      <c r="E161" s="10">
        <v>5166</v>
      </c>
      <c r="F161" s="10" t="s">
        <v>309</v>
      </c>
      <c r="G161" s="333"/>
      <c r="H161" s="334">
        <v>845</v>
      </c>
      <c r="I161" s="335">
        <v>845</v>
      </c>
      <c r="J161" s="336">
        <v>810</v>
      </c>
      <c r="K161" s="337">
        <f t="shared" si="7"/>
        <v>-35</v>
      </c>
      <c r="L161" s="338">
        <f t="shared" si="8"/>
        <v>95.857988165680467</v>
      </c>
    </row>
    <row r="162" spans="1:12">
      <c r="A162" s="315">
        <f t="shared" si="6"/>
        <v>161</v>
      </c>
      <c r="B162" s="381">
        <v>3200</v>
      </c>
      <c r="C162" s="10">
        <v>6171</v>
      </c>
      <c r="D162" s="10" t="s">
        <v>9</v>
      </c>
      <c r="E162" s="10">
        <v>5166</v>
      </c>
      <c r="F162" s="10" t="s">
        <v>309</v>
      </c>
      <c r="G162" s="333" t="s">
        <v>359</v>
      </c>
      <c r="H162" s="334">
        <v>180</v>
      </c>
      <c r="I162" s="335">
        <v>380</v>
      </c>
      <c r="J162" s="336">
        <v>300</v>
      </c>
      <c r="K162" s="337">
        <f t="shared" si="7"/>
        <v>-80</v>
      </c>
      <c r="L162" s="338">
        <f t="shared" si="8"/>
        <v>78.94736842105263</v>
      </c>
    </row>
    <row r="163" spans="1:12">
      <c r="A163" s="315">
        <f t="shared" si="6"/>
        <v>162</v>
      </c>
      <c r="B163" s="381">
        <v>3200</v>
      </c>
      <c r="C163" s="10">
        <v>6171</v>
      </c>
      <c r="D163" s="10" t="s">
        <v>9</v>
      </c>
      <c r="E163" s="10">
        <v>5167</v>
      </c>
      <c r="F163" s="10" t="s">
        <v>393</v>
      </c>
      <c r="G163" s="333"/>
      <c r="H163" s="334">
        <v>6100</v>
      </c>
      <c r="I163" s="335">
        <v>6100</v>
      </c>
      <c r="J163" s="336">
        <v>5033</v>
      </c>
      <c r="K163" s="337">
        <f t="shared" si="7"/>
        <v>-1067</v>
      </c>
      <c r="L163" s="338">
        <f t="shared" si="8"/>
        <v>82.508196721311478</v>
      </c>
    </row>
    <row r="164" spans="1:12">
      <c r="A164" s="315">
        <f t="shared" si="6"/>
        <v>163</v>
      </c>
      <c r="B164" s="381">
        <v>3200</v>
      </c>
      <c r="C164" s="10">
        <v>6171</v>
      </c>
      <c r="D164" s="10" t="s">
        <v>9</v>
      </c>
      <c r="E164" s="10">
        <v>5167</v>
      </c>
      <c r="F164" s="10" t="s">
        <v>393</v>
      </c>
      <c r="G164" s="333" t="s">
        <v>367</v>
      </c>
      <c r="H164" s="334">
        <v>800</v>
      </c>
      <c r="I164" s="335">
        <v>800</v>
      </c>
      <c r="J164" s="336">
        <v>411</v>
      </c>
      <c r="K164" s="337">
        <f t="shared" si="7"/>
        <v>-389</v>
      </c>
      <c r="L164" s="338">
        <f t="shared" si="8"/>
        <v>51.375000000000007</v>
      </c>
    </row>
    <row r="165" spans="1:12">
      <c r="A165" s="315">
        <f t="shared" si="6"/>
        <v>164</v>
      </c>
      <c r="B165" s="381">
        <v>3200</v>
      </c>
      <c r="C165" s="10">
        <v>6171</v>
      </c>
      <c r="D165" s="10" t="s">
        <v>9</v>
      </c>
      <c r="E165" s="10">
        <v>5167</v>
      </c>
      <c r="F165" s="10" t="s">
        <v>393</v>
      </c>
      <c r="G165" s="333" t="s">
        <v>359</v>
      </c>
      <c r="H165" s="334">
        <v>150</v>
      </c>
      <c r="I165" s="335">
        <v>283</v>
      </c>
      <c r="J165" s="336">
        <v>220</v>
      </c>
      <c r="K165" s="337">
        <f t="shared" si="7"/>
        <v>-63</v>
      </c>
      <c r="L165" s="338">
        <f t="shared" si="8"/>
        <v>77.738515901060069</v>
      </c>
    </row>
    <row r="166" spans="1:12">
      <c r="A166" s="315">
        <f t="shared" si="6"/>
        <v>165</v>
      </c>
      <c r="B166" s="381">
        <v>3200</v>
      </c>
      <c r="C166" s="10">
        <v>6171</v>
      </c>
      <c r="D166" s="10" t="s">
        <v>9</v>
      </c>
      <c r="E166" s="10">
        <v>5169</v>
      </c>
      <c r="F166" s="10" t="s">
        <v>313</v>
      </c>
      <c r="G166" s="333"/>
      <c r="H166" s="334">
        <v>12111</v>
      </c>
      <c r="I166" s="335">
        <v>11991</v>
      </c>
      <c r="J166" s="336">
        <v>10056</v>
      </c>
      <c r="K166" s="337">
        <f t="shared" si="7"/>
        <v>-1935</v>
      </c>
      <c r="L166" s="338">
        <f t="shared" si="8"/>
        <v>83.862897172879656</v>
      </c>
    </row>
    <row r="167" spans="1:12">
      <c r="A167" s="315">
        <f t="shared" si="6"/>
        <v>166</v>
      </c>
      <c r="B167" s="381">
        <v>3200</v>
      </c>
      <c r="C167" s="10">
        <v>6171</v>
      </c>
      <c r="D167" s="10" t="s">
        <v>9</v>
      </c>
      <c r="E167" s="10">
        <v>5169</v>
      </c>
      <c r="F167" s="10" t="s">
        <v>313</v>
      </c>
      <c r="G167" s="333" t="s">
        <v>367</v>
      </c>
      <c r="H167" s="334">
        <v>10710</v>
      </c>
      <c r="I167" s="335">
        <v>13681</v>
      </c>
      <c r="J167" s="336">
        <v>12466</v>
      </c>
      <c r="K167" s="337">
        <f t="shared" si="7"/>
        <v>-1215</v>
      </c>
      <c r="L167" s="338">
        <f t="shared" si="8"/>
        <v>91.119070243403257</v>
      </c>
    </row>
    <row r="168" spans="1:12">
      <c r="A168" s="315">
        <f t="shared" si="6"/>
        <v>167</v>
      </c>
      <c r="B168" s="381">
        <v>3200</v>
      </c>
      <c r="C168" s="10">
        <v>6171</v>
      </c>
      <c r="D168" s="10" t="s">
        <v>9</v>
      </c>
      <c r="E168" s="10">
        <v>5169</v>
      </c>
      <c r="F168" s="10" t="s">
        <v>313</v>
      </c>
      <c r="G168" s="333" t="s">
        <v>359</v>
      </c>
      <c r="H168" s="334">
        <v>200</v>
      </c>
      <c r="I168" s="335">
        <v>180</v>
      </c>
      <c r="J168" s="336">
        <v>0</v>
      </c>
      <c r="K168" s="337">
        <f t="shared" si="7"/>
        <v>-180</v>
      </c>
      <c r="L168" s="338">
        <f t="shared" si="8"/>
        <v>0</v>
      </c>
    </row>
    <row r="169" spans="1:12">
      <c r="A169" s="315">
        <f t="shared" si="6"/>
        <v>168</v>
      </c>
      <c r="B169" s="381">
        <v>3200</v>
      </c>
      <c r="C169" s="10">
        <v>6171</v>
      </c>
      <c r="D169" s="10" t="s">
        <v>9</v>
      </c>
      <c r="E169" s="10">
        <v>5171</v>
      </c>
      <c r="F169" s="10" t="s">
        <v>394</v>
      </c>
      <c r="G169" s="333"/>
      <c r="H169" s="334">
        <v>1813</v>
      </c>
      <c r="I169" s="335">
        <v>1813</v>
      </c>
      <c r="J169" s="336">
        <v>956</v>
      </c>
      <c r="K169" s="337">
        <f t="shared" si="7"/>
        <v>-857</v>
      </c>
      <c r="L169" s="338">
        <f t="shared" si="8"/>
        <v>52.730281301709866</v>
      </c>
    </row>
    <row r="170" spans="1:12">
      <c r="A170" s="315">
        <f t="shared" si="6"/>
        <v>169</v>
      </c>
      <c r="B170" s="381">
        <v>3200</v>
      </c>
      <c r="C170" s="10">
        <v>6171</v>
      </c>
      <c r="D170" s="10" t="s">
        <v>9</v>
      </c>
      <c r="E170" s="10">
        <v>5171</v>
      </c>
      <c r="F170" s="10" t="s">
        <v>394</v>
      </c>
      <c r="G170" s="333" t="s">
        <v>367</v>
      </c>
      <c r="H170" s="334">
        <v>60</v>
      </c>
      <c r="I170" s="335">
        <v>183</v>
      </c>
      <c r="J170" s="336">
        <v>183</v>
      </c>
      <c r="K170" s="337">
        <f t="shared" si="7"/>
        <v>0</v>
      </c>
      <c r="L170" s="338">
        <f t="shared" si="8"/>
        <v>100</v>
      </c>
    </row>
    <row r="171" spans="1:12">
      <c r="A171" s="315">
        <f t="shared" si="6"/>
        <v>170</v>
      </c>
      <c r="B171" s="381">
        <v>3200</v>
      </c>
      <c r="C171" s="10">
        <v>6171</v>
      </c>
      <c r="D171" s="10" t="s">
        <v>9</v>
      </c>
      <c r="E171" s="10">
        <v>5173</v>
      </c>
      <c r="F171" s="383" t="s">
        <v>363</v>
      </c>
      <c r="G171" s="333"/>
      <c r="H171" s="334">
        <v>1528</v>
      </c>
      <c r="I171" s="335">
        <v>1613</v>
      </c>
      <c r="J171" s="336">
        <v>1602</v>
      </c>
      <c r="K171" s="337">
        <f t="shared" si="7"/>
        <v>-11</v>
      </c>
      <c r="L171" s="338">
        <f t="shared" si="8"/>
        <v>99.318040917544948</v>
      </c>
    </row>
    <row r="172" spans="1:12">
      <c r="A172" s="315">
        <f t="shared" si="6"/>
        <v>171</v>
      </c>
      <c r="B172" s="381">
        <v>3200</v>
      </c>
      <c r="C172" s="10">
        <v>6171</v>
      </c>
      <c r="D172" s="10" t="s">
        <v>9</v>
      </c>
      <c r="E172" s="10">
        <v>5175</v>
      </c>
      <c r="F172" s="10" t="s">
        <v>335</v>
      </c>
      <c r="G172" s="333"/>
      <c r="H172" s="334">
        <v>2466</v>
      </c>
      <c r="I172" s="335">
        <v>2466</v>
      </c>
      <c r="J172" s="336">
        <v>1695</v>
      </c>
      <c r="K172" s="337">
        <f t="shared" si="7"/>
        <v>-771</v>
      </c>
      <c r="L172" s="338">
        <f t="shared" si="8"/>
        <v>68.734793187347933</v>
      </c>
    </row>
    <row r="173" spans="1:12">
      <c r="A173" s="315">
        <f t="shared" si="6"/>
        <v>172</v>
      </c>
      <c r="B173" s="381">
        <v>3200</v>
      </c>
      <c r="C173" s="10">
        <v>6171</v>
      </c>
      <c r="D173" s="10" t="s">
        <v>9</v>
      </c>
      <c r="E173" s="10">
        <v>5175</v>
      </c>
      <c r="F173" s="10" t="s">
        <v>335</v>
      </c>
      <c r="G173" s="333" t="s">
        <v>367</v>
      </c>
      <c r="H173" s="334">
        <v>20</v>
      </c>
      <c r="I173" s="335">
        <v>20</v>
      </c>
      <c r="J173" s="336">
        <v>9</v>
      </c>
      <c r="K173" s="337">
        <f t="shared" si="7"/>
        <v>-11</v>
      </c>
      <c r="L173" s="338">
        <f t="shared" si="8"/>
        <v>45</v>
      </c>
    </row>
    <row r="174" spans="1:12">
      <c r="A174" s="315">
        <f t="shared" si="6"/>
        <v>173</v>
      </c>
      <c r="B174" s="381">
        <v>3200</v>
      </c>
      <c r="C174" s="10">
        <v>6171</v>
      </c>
      <c r="D174" s="10" t="s">
        <v>9</v>
      </c>
      <c r="E174" s="10">
        <v>5176</v>
      </c>
      <c r="F174" s="10" t="s">
        <v>395</v>
      </c>
      <c r="G174" s="333"/>
      <c r="H174" s="334">
        <v>50</v>
      </c>
      <c r="I174" s="335">
        <v>50</v>
      </c>
      <c r="J174" s="336">
        <v>1</v>
      </c>
      <c r="K174" s="337">
        <f t="shared" si="7"/>
        <v>-49</v>
      </c>
      <c r="L174" s="338">
        <f t="shared" si="8"/>
        <v>2</v>
      </c>
    </row>
    <row r="175" spans="1:12">
      <c r="A175" s="315">
        <f t="shared" si="6"/>
        <v>174</v>
      </c>
      <c r="B175" s="381">
        <v>3200</v>
      </c>
      <c r="C175" s="10">
        <v>6171</v>
      </c>
      <c r="D175" s="10" t="s">
        <v>9</v>
      </c>
      <c r="E175" s="10">
        <v>5179</v>
      </c>
      <c r="F175" s="10" t="s">
        <v>396</v>
      </c>
      <c r="G175" s="333"/>
      <c r="H175" s="334">
        <v>30</v>
      </c>
      <c r="I175" s="335">
        <v>47</v>
      </c>
      <c r="J175" s="336">
        <v>47</v>
      </c>
      <c r="K175" s="337">
        <f t="shared" si="7"/>
        <v>0</v>
      </c>
      <c r="L175" s="338">
        <f t="shared" si="8"/>
        <v>100</v>
      </c>
    </row>
    <row r="176" spans="1:12">
      <c r="A176" s="315">
        <f t="shared" si="6"/>
        <v>175</v>
      </c>
      <c r="B176" s="381">
        <v>3200</v>
      </c>
      <c r="C176" s="10">
        <v>6171</v>
      </c>
      <c r="D176" s="10" t="s">
        <v>9</v>
      </c>
      <c r="E176" s="10">
        <v>5179</v>
      </c>
      <c r="F176" s="10" t="s">
        <v>396</v>
      </c>
      <c r="G176" s="333" t="s">
        <v>367</v>
      </c>
      <c r="H176" s="334">
        <v>1954</v>
      </c>
      <c r="I176" s="335">
        <v>3624</v>
      </c>
      <c r="J176" s="336">
        <v>1840</v>
      </c>
      <c r="K176" s="337">
        <f t="shared" si="7"/>
        <v>-1784</v>
      </c>
      <c r="L176" s="338">
        <f t="shared" si="8"/>
        <v>50.772626931567331</v>
      </c>
    </row>
    <row r="177" spans="1:12">
      <c r="A177" s="315">
        <f t="shared" si="6"/>
        <v>176</v>
      </c>
      <c r="B177" s="381">
        <v>3200</v>
      </c>
      <c r="C177" s="10">
        <v>6171</v>
      </c>
      <c r="D177" s="10" t="s">
        <v>9</v>
      </c>
      <c r="E177" s="10">
        <v>5192</v>
      </c>
      <c r="F177" s="10" t="s">
        <v>351</v>
      </c>
      <c r="G177" s="333"/>
      <c r="H177" s="334">
        <v>350</v>
      </c>
      <c r="I177" s="335">
        <v>450</v>
      </c>
      <c r="J177" s="336">
        <v>387</v>
      </c>
      <c r="K177" s="337">
        <f t="shared" si="7"/>
        <v>-63</v>
      </c>
      <c r="L177" s="338">
        <f t="shared" si="8"/>
        <v>86</v>
      </c>
    </row>
    <row r="178" spans="1:12">
      <c r="A178" s="315">
        <f t="shared" si="6"/>
        <v>177</v>
      </c>
      <c r="B178" s="381">
        <v>3200</v>
      </c>
      <c r="C178" s="10">
        <v>6171</v>
      </c>
      <c r="D178" s="10" t="s">
        <v>9</v>
      </c>
      <c r="E178" s="10">
        <v>5194</v>
      </c>
      <c r="F178" s="10" t="s">
        <v>343</v>
      </c>
      <c r="G178" s="333"/>
      <c r="H178" s="334">
        <v>374</v>
      </c>
      <c r="I178" s="335">
        <v>620</v>
      </c>
      <c r="J178" s="336">
        <v>620</v>
      </c>
      <c r="K178" s="337">
        <f t="shared" si="7"/>
        <v>0</v>
      </c>
      <c r="L178" s="338">
        <f t="shared" si="8"/>
        <v>100</v>
      </c>
    </row>
    <row r="179" spans="1:12">
      <c r="A179" s="315">
        <f t="shared" si="6"/>
        <v>178</v>
      </c>
      <c r="B179" s="381">
        <v>3200</v>
      </c>
      <c r="C179" s="10">
        <v>6171</v>
      </c>
      <c r="D179" s="10" t="s">
        <v>9</v>
      </c>
      <c r="E179" s="10">
        <v>5222</v>
      </c>
      <c r="F179" s="10" t="s">
        <v>355</v>
      </c>
      <c r="G179" s="333"/>
      <c r="H179" s="334">
        <v>0</v>
      </c>
      <c r="I179" s="335">
        <v>70</v>
      </c>
      <c r="J179" s="336">
        <v>70</v>
      </c>
      <c r="K179" s="337">
        <f t="shared" si="7"/>
        <v>0</v>
      </c>
      <c r="L179" s="338">
        <f t="shared" si="8"/>
        <v>100</v>
      </c>
    </row>
    <row r="180" spans="1:12">
      <c r="A180" s="315">
        <f t="shared" si="6"/>
        <v>179</v>
      </c>
      <c r="B180" s="381">
        <v>3200</v>
      </c>
      <c r="C180" s="10">
        <v>6171</v>
      </c>
      <c r="D180" s="10" t="s">
        <v>9</v>
      </c>
      <c r="E180" s="10">
        <v>5229</v>
      </c>
      <c r="F180" s="383" t="s">
        <v>336</v>
      </c>
      <c r="G180" s="445" t="s">
        <v>397</v>
      </c>
      <c r="H180" s="334">
        <v>1518</v>
      </c>
      <c r="I180" s="335">
        <v>1518</v>
      </c>
      <c r="J180" s="336">
        <v>1480</v>
      </c>
      <c r="K180" s="337">
        <f t="shared" si="7"/>
        <v>-38</v>
      </c>
      <c r="L180" s="338">
        <f t="shared" si="8"/>
        <v>97.49670619235836</v>
      </c>
    </row>
    <row r="181" spans="1:12">
      <c r="A181" s="315">
        <f t="shared" si="6"/>
        <v>180</v>
      </c>
      <c r="B181" s="381">
        <v>3200</v>
      </c>
      <c r="C181" s="10">
        <v>6171</v>
      </c>
      <c r="D181" s="10" t="s">
        <v>9</v>
      </c>
      <c r="E181" s="10">
        <v>5341</v>
      </c>
      <c r="F181" s="10" t="s">
        <v>398</v>
      </c>
      <c r="G181" s="333"/>
      <c r="H181" s="334">
        <v>10</v>
      </c>
      <c r="I181" s="335">
        <v>10</v>
      </c>
      <c r="J181" s="336">
        <v>0</v>
      </c>
      <c r="K181" s="337">
        <f t="shared" si="7"/>
        <v>-10</v>
      </c>
      <c r="L181" s="338">
        <f t="shared" si="8"/>
        <v>0</v>
      </c>
    </row>
    <row r="182" spans="1:12">
      <c r="A182" s="315">
        <f t="shared" si="6"/>
        <v>181</v>
      </c>
      <c r="B182" s="381">
        <v>3200</v>
      </c>
      <c r="C182" s="10">
        <v>6171</v>
      </c>
      <c r="D182" s="10" t="s">
        <v>9</v>
      </c>
      <c r="E182" s="10">
        <v>5361</v>
      </c>
      <c r="F182" s="10" t="s">
        <v>399</v>
      </c>
      <c r="G182" s="333"/>
      <c r="H182" s="334">
        <v>321</v>
      </c>
      <c r="I182" s="335">
        <v>396</v>
      </c>
      <c r="J182" s="336">
        <v>379</v>
      </c>
      <c r="K182" s="337">
        <f t="shared" si="7"/>
        <v>-17</v>
      </c>
      <c r="L182" s="338">
        <f t="shared" si="8"/>
        <v>95.707070707070713</v>
      </c>
    </row>
    <row r="183" spans="1:12">
      <c r="A183" s="315">
        <f t="shared" si="6"/>
        <v>182</v>
      </c>
      <c r="B183" s="381">
        <v>3200</v>
      </c>
      <c r="C183" s="10">
        <v>6171</v>
      </c>
      <c r="D183" s="10" t="s">
        <v>9</v>
      </c>
      <c r="E183" s="10">
        <v>5362</v>
      </c>
      <c r="F183" s="10" t="s">
        <v>321</v>
      </c>
      <c r="G183" s="333"/>
      <c r="H183" s="334">
        <v>111</v>
      </c>
      <c r="I183" s="335">
        <v>111</v>
      </c>
      <c r="J183" s="336">
        <v>69</v>
      </c>
      <c r="K183" s="337">
        <f t="shared" si="7"/>
        <v>-42</v>
      </c>
      <c r="L183" s="338">
        <f t="shared" si="8"/>
        <v>62.162162162162161</v>
      </c>
    </row>
    <row r="184" spans="1:12">
      <c r="A184" s="315">
        <f t="shared" si="6"/>
        <v>183</v>
      </c>
      <c r="B184" s="381">
        <v>3200</v>
      </c>
      <c r="C184" s="10">
        <v>6171</v>
      </c>
      <c r="D184" s="10" t="s">
        <v>9</v>
      </c>
      <c r="E184" s="10">
        <v>5365</v>
      </c>
      <c r="F184" s="10" t="s">
        <v>400</v>
      </c>
      <c r="G184" s="333" t="s">
        <v>367</v>
      </c>
      <c r="H184" s="334">
        <v>21</v>
      </c>
      <c r="I184" s="335">
        <v>21</v>
      </c>
      <c r="J184" s="336">
        <v>1</v>
      </c>
      <c r="K184" s="337">
        <f t="shared" si="7"/>
        <v>-20</v>
      </c>
      <c r="L184" s="338">
        <f t="shared" si="8"/>
        <v>4.7619047619047619</v>
      </c>
    </row>
    <row r="185" spans="1:12">
      <c r="A185" s="315">
        <f t="shared" si="6"/>
        <v>184</v>
      </c>
      <c r="B185" s="381">
        <v>3200</v>
      </c>
      <c r="C185" s="10">
        <v>6171</v>
      </c>
      <c r="D185" s="10" t="s">
        <v>9</v>
      </c>
      <c r="E185" s="10">
        <v>5424</v>
      </c>
      <c r="F185" s="10" t="s">
        <v>401</v>
      </c>
      <c r="G185" s="333"/>
      <c r="H185" s="334">
        <v>2517</v>
      </c>
      <c r="I185" s="335">
        <v>2517</v>
      </c>
      <c r="J185" s="336">
        <v>1903</v>
      </c>
      <c r="K185" s="337">
        <f t="shared" si="7"/>
        <v>-614</v>
      </c>
      <c r="L185" s="338">
        <f t="shared" si="8"/>
        <v>75.605880015891941</v>
      </c>
    </row>
    <row r="186" spans="1:12">
      <c r="A186" s="315">
        <f t="shared" si="6"/>
        <v>185</v>
      </c>
      <c r="B186" s="381">
        <v>3200</v>
      </c>
      <c r="C186" s="10">
        <v>6171</v>
      </c>
      <c r="D186" s="10" t="s">
        <v>9</v>
      </c>
      <c r="E186" s="10">
        <v>5492</v>
      </c>
      <c r="F186" s="10" t="s">
        <v>402</v>
      </c>
      <c r="G186" s="333"/>
      <c r="H186" s="334">
        <v>335</v>
      </c>
      <c r="I186" s="335">
        <v>335</v>
      </c>
      <c r="J186" s="336">
        <v>262</v>
      </c>
      <c r="K186" s="337">
        <f t="shared" si="7"/>
        <v>-73</v>
      </c>
      <c r="L186" s="338">
        <f t="shared" si="8"/>
        <v>78.208955223880594</v>
      </c>
    </row>
    <row r="187" spans="1:12">
      <c r="A187" s="315">
        <f t="shared" si="6"/>
        <v>186</v>
      </c>
      <c r="B187" s="381">
        <v>3200</v>
      </c>
      <c r="C187" s="10">
        <v>6171</v>
      </c>
      <c r="D187" s="10" t="s">
        <v>9</v>
      </c>
      <c r="E187" s="10">
        <v>5499</v>
      </c>
      <c r="F187" s="10" t="s">
        <v>403</v>
      </c>
      <c r="G187" s="333" t="s">
        <v>367</v>
      </c>
      <c r="H187" s="334">
        <v>4878</v>
      </c>
      <c r="I187" s="335">
        <v>4878</v>
      </c>
      <c r="J187" s="336">
        <v>4081</v>
      </c>
      <c r="K187" s="337">
        <f>J187-I187</f>
        <v>-797</v>
      </c>
      <c r="L187" s="338">
        <f>IF(I187&lt;=0,0,J187/I187*100)</f>
        <v>83.661336613366132</v>
      </c>
    </row>
    <row r="188" spans="1:12">
      <c r="A188" s="315">
        <f t="shared" si="6"/>
        <v>187</v>
      </c>
      <c r="B188" s="381">
        <v>3200</v>
      </c>
      <c r="C188" s="10">
        <v>6171</v>
      </c>
      <c r="D188" s="10" t="s">
        <v>9</v>
      </c>
      <c r="E188" s="10">
        <v>5909</v>
      </c>
      <c r="F188" s="10" t="s">
        <v>323</v>
      </c>
      <c r="G188" s="333"/>
      <c r="H188" s="334"/>
      <c r="I188" s="335"/>
      <c r="J188" s="336">
        <v>6538</v>
      </c>
      <c r="K188" s="337">
        <f t="shared" si="7"/>
        <v>6538</v>
      </c>
      <c r="L188" s="338">
        <f t="shared" si="8"/>
        <v>0</v>
      </c>
    </row>
    <row r="189" spans="1:12">
      <c r="A189" s="315">
        <f t="shared" si="6"/>
        <v>188</v>
      </c>
      <c r="B189" s="424"/>
      <c r="C189" s="425" t="s">
        <v>315</v>
      </c>
      <c r="D189" s="425"/>
      <c r="E189" s="425"/>
      <c r="F189" s="425"/>
      <c r="G189" s="426"/>
      <c r="H189" s="427">
        <f>SUBTOTAL(9,H128:H188)</f>
        <v>572883</v>
      </c>
      <c r="I189" s="428">
        <f>SUBTOTAL(9,I128:I188)</f>
        <v>590150</v>
      </c>
      <c r="J189" s="429">
        <f>SUBTOTAL(9,J128:J188)</f>
        <v>564185</v>
      </c>
      <c r="K189" s="430">
        <f t="shared" si="7"/>
        <v>-25965</v>
      </c>
      <c r="L189" s="431">
        <f t="shared" si="8"/>
        <v>95.600271117512492</v>
      </c>
    </row>
    <row r="190" spans="1:12">
      <c r="A190" s="315">
        <f t="shared" si="6"/>
        <v>189</v>
      </c>
      <c r="B190" s="381">
        <v>3200</v>
      </c>
      <c r="C190" s="10">
        <v>6223</v>
      </c>
      <c r="D190" s="10" t="s">
        <v>284</v>
      </c>
      <c r="E190" s="10">
        <v>5139</v>
      </c>
      <c r="F190" s="10" t="s">
        <v>342</v>
      </c>
      <c r="G190" s="333"/>
      <c r="H190" s="334">
        <v>45</v>
      </c>
      <c r="I190" s="335">
        <v>45</v>
      </c>
      <c r="J190" s="336">
        <v>42</v>
      </c>
      <c r="K190" s="337">
        <f t="shared" si="7"/>
        <v>-3</v>
      </c>
      <c r="L190" s="338">
        <f t="shared" si="8"/>
        <v>93.333333333333329</v>
      </c>
    </row>
    <row r="191" spans="1:12">
      <c r="A191" s="315">
        <f t="shared" si="6"/>
        <v>190</v>
      </c>
      <c r="B191" s="381">
        <v>3200</v>
      </c>
      <c r="C191" s="10">
        <v>6223</v>
      </c>
      <c r="D191" s="10" t="s">
        <v>284</v>
      </c>
      <c r="E191" s="10">
        <v>5163</v>
      </c>
      <c r="F191" s="10" t="s">
        <v>318</v>
      </c>
      <c r="G191" s="333"/>
      <c r="H191" s="334">
        <v>20</v>
      </c>
      <c r="I191" s="335">
        <v>20</v>
      </c>
      <c r="J191" s="336">
        <v>10</v>
      </c>
      <c r="K191" s="337">
        <f t="shared" si="7"/>
        <v>-10</v>
      </c>
      <c r="L191" s="338">
        <f t="shared" si="8"/>
        <v>50</v>
      </c>
    </row>
    <row r="192" spans="1:12">
      <c r="A192" s="315">
        <f t="shared" si="6"/>
        <v>191</v>
      </c>
      <c r="B192" s="381">
        <v>3200</v>
      </c>
      <c r="C192" s="10">
        <v>6223</v>
      </c>
      <c r="D192" s="10" t="s">
        <v>284</v>
      </c>
      <c r="E192" s="10">
        <v>5164</v>
      </c>
      <c r="F192" s="10" t="s">
        <v>350</v>
      </c>
      <c r="G192" s="333"/>
      <c r="H192" s="334">
        <v>130</v>
      </c>
      <c r="I192" s="335">
        <v>130</v>
      </c>
      <c r="J192" s="336">
        <v>45</v>
      </c>
      <c r="K192" s="337">
        <f t="shared" si="7"/>
        <v>-85</v>
      </c>
      <c r="L192" s="338">
        <f t="shared" si="8"/>
        <v>34.615384615384613</v>
      </c>
    </row>
    <row r="193" spans="1:12">
      <c r="A193" s="315">
        <f t="shared" si="6"/>
        <v>192</v>
      </c>
      <c r="B193" s="381">
        <v>3200</v>
      </c>
      <c r="C193" s="10">
        <v>6223</v>
      </c>
      <c r="D193" s="10" t="s">
        <v>284</v>
      </c>
      <c r="E193" s="10">
        <v>5169</v>
      </c>
      <c r="F193" s="10" t="s">
        <v>313</v>
      </c>
      <c r="G193" s="333"/>
      <c r="H193" s="334">
        <v>1713</v>
      </c>
      <c r="I193" s="335">
        <v>2041</v>
      </c>
      <c r="J193" s="336">
        <v>1773</v>
      </c>
      <c r="K193" s="337">
        <f t="shared" si="7"/>
        <v>-268</v>
      </c>
      <c r="L193" s="338">
        <f t="shared" si="8"/>
        <v>86.869181773640364</v>
      </c>
    </row>
    <row r="194" spans="1:12">
      <c r="A194" s="315">
        <f t="shared" si="6"/>
        <v>193</v>
      </c>
      <c r="B194" s="381">
        <v>3200</v>
      </c>
      <c r="C194" s="10">
        <v>6223</v>
      </c>
      <c r="D194" s="10" t="s">
        <v>284</v>
      </c>
      <c r="E194" s="10">
        <v>5173</v>
      </c>
      <c r="F194" s="10" t="s">
        <v>363</v>
      </c>
      <c r="G194" s="333"/>
      <c r="H194" s="334">
        <v>4550</v>
      </c>
      <c r="I194" s="335">
        <v>4804</v>
      </c>
      <c r="J194" s="336">
        <v>3574</v>
      </c>
      <c r="K194" s="337">
        <f t="shared" si="7"/>
        <v>-1230</v>
      </c>
      <c r="L194" s="338">
        <f t="shared" si="8"/>
        <v>74.396336386344714</v>
      </c>
    </row>
    <row r="195" spans="1:12">
      <c r="A195" s="315">
        <f t="shared" si="6"/>
        <v>194</v>
      </c>
      <c r="B195" s="381">
        <v>3200</v>
      </c>
      <c r="C195" s="10">
        <v>6223</v>
      </c>
      <c r="D195" s="10" t="s">
        <v>284</v>
      </c>
      <c r="E195" s="10">
        <v>5175</v>
      </c>
      <c r="F195" s="10" t="s">
        <v>335</v>
      </c>
      <c r="G195" s="333"/>
      <c r="H195" s="334">
        <v>921</v>
      </c>
      <c r="I195" s="335">
        <v>1021</v>
      </c>
      <c r="J195" s="336">
        <v>896</v>
      </c>
      <c r="K195" s="337">
        <f t="shared" si="7"/>
        <v>-125</v>
      </c>
      <c r="L195" s="338">
        <f t="shared" si="8"/>
        <v>87.757100881488739</v>
      </c>
    </row>
    <row r="196" spans="1:12">
      <c r="A196" s="315">
        <f t="shared" ref="A196:A259" si="9">A195+1</f>
        <v>195</v>
      </c>
      <c r="B196" s="381">
        <v>3200</v>
      </c>
      <c r="C196" s="10">
        <v>6223</v>
      </c>
      <c r="D196" s="10" t="s">
        <v>284</v>
      </c>
      <c r="E196" s="10">
        <v>5176</v>
      </c>
      <c r="F196" s="10" t="s">
        <v>395</v>
      </c>
      <c r="G196" s="333"/>
      <c r="H196" s="334">
        <v>100</v>
      </c>
      <c r="I196" s="335">
        <v>118</v>
      </c>
      <c r="J196" s="336">
        <v>117</v>
      </c>
      <c r="K196" s="337">
        <f t="shared" si="7"/>
        <v>-1</v>
      </c>
      <c r="L196" s="338">
        <f t="shared" si="8"/>
        <v>99.152542372881356</v>
      </c>
    </row>
    <row r="197" spans="1:12">
      <c r="A197" s="315">
        <f t="shared" si="9"/>
        <v>196</v>
      </c>
      <c r="B197" s="381">
        <v>3200</v>
      </c>
      <c r="C197" s="10">
        <v>6223</v>
      </c>
      <c r="D197" s="10" t="s">
        <v>284</v>
      </c>
      <c r="E197" s="10">
        <v>5179</v>
      </c>
      <c r="F197" s="10" t="s">
        <v>396</v>
      </c>
      <c r="G197" s="333"/>
      <c r="H197" s="334">
        <v>42</v>
      </c>
      <c r="I197" s="335">
        <v>42</v>
      </c>
      <c r="J197" s="336">
        <v>12</v>
      </c>
      <c r="K197" s="337">
        <f t="shared" ref="K197:K260" si="10">J197-I197</f>
        <v>-30</v>
      </c>
      <c r="L197" s="338">
        <f t="shared" ref="L197:L260" si="11">IF(I197&lt;=0,0,J197/I197*100)</f>
        <v>28.571428571428569</v>
      </c>
    </row>
    <row r="198" spans="1:12">
      <c r="A198" s="315">
        <f t="shared" si="9"/>
        <v>197</v>
      </c>
      <c r="B198" s="381">
        <v>3200</v>
      </c>
      <c r="C198" s="10">
        <v>6223</v>
      </c>
      <c r="D198" s="10" t="s">
        <v>284</v>
      </c>
      <c r="E198" s="10">
        <v>5194</v>
      </c>
      <c r="F198" s="10" t="s">
        <v>343</v>
      </c>
      <c r="G198" s="333"/>
      <c r="H198" s="334">
        <v>50</v>
      </c>
      <c r="I198" s="335">
        <v>50</v>
      </c>
      <c r="J198" s="336">
        <v>41</v>
      </c>
      <c r="K198" s="337">
        <f t="shared" si="10"/>
        <v>-9</v>
      </c>
      <c r="L198" s="338">
        <f t="shared" si="11"/>
        <v>82</v>
      </c>
    </row>
    <row r="199" spans="1:12">
      <c r="A199" s="315">
        <f t="shared" si="9"/>
        <v>198</v>
      </c>
      <c r="B199" s="381">
        <v>3200</v>
      </c>
      <c r="C199" s="10">
        <v>6223</v>
      </c>
      <c r="D199" s="10" t="s">
        <v>284</v>
      </c>
      <c r="E199" s="10">
        <v>5229</v>
      </c>
      <c r="F199" s="383" t="s">
        <v>336</v>
      </c>
      <c r="G199" s="445"/>
      <c r="H199" s="334">
        <v>839</v>
      </c>
      <c r="I199" s="335">
        <v>839</v>
      </c>
      <c r="J199" s="336">
        <v>709</v>
      </c>
      <c r="K199" s="337">
        <f t="shared" si="10"/>
        <v>-130</v>
      </c>
      <c r="L199" s="338">
        <f t="shared" si="11"/>
        <v>84.505363528009539</v>
      </c>
    </row>
    <row r="200" spans="1:12">
      <c r="A200" s="315">
        <f t="shared" si="9"/>
        <v>199</v>
      </c>
      <c r="B200" s="424"/>
      <c r="C200" s="425" t="s">
        <v>404</v>
      </c>
      <c r="D200" s="425"/>
      <c r="E200" s="425"/>
      <c r="F200" s="446"/>
      <c r="G200" s="447"/>
      <c r="H200" s="427">
        <f>SUBTOTAL(9,H190:H199)</f>
        <v>8410</v>
      </c>
      <c r="I200" s="428">
        <f>SUBTOTAL(9,I190:I199)</f>
        <v>9110</v>
      </c>
      <c r="J200" s="429">
        <f>SUBTOTAL(9,J190:J199)</f>
        <v>7219</v>
      </c>
      <c r="K200" s="430">
        <f t="shared" si="10"/>
        <v>-1891</v>
      </c>
      <c r="L200" s="431">
        <f t="shared" si="11"/>
        <v>79.242590559824365</v>
      </c>
    </row>
    <row r="201" spans="1:12">
      <c r="A201" s="315">
        <f t="shared" si="9"/>
        <v>200</v>
      </c>
      <c r="B201" s="381">
        <v>3200</v>
      </c>
      <c r="C201" s="10">
        <v>6399</v>
      </c>
      <c r="D201" s="340" t="s">
        <v>84</v>
      </c>
      <c r="E201" s="10">
        <v>5909</v>
      </c>
      <c r="F201" s="10" t="s">
        <v>323</v>
      </c>
      <c r="G201" s="448"/>
      <c r="H201" s="449">
        <v>0</v>
      </c>
      <c r="I201" s="335">
        <v>0</v>
      </c>
      <c r="J201" s="336">
        <v>293</v>
      </c>
      <c r="K201" s="450">
        <f t="shared" si="10"/>
        <v>293</v>
      </c>
      <c r="L201" s="451">
        <f t="shared" si="11"/>
        <v>0</v>
      </c>
    </row>
    <row r="202" spans="1:12">
      <c r="A202" s="315">
        <f t="shared" si="9"/>
        <v>201</v>
      </c>
      <c r="B202" s="28"/>
      <c r="C202" s="343" t="s">
        <v>334</v>
      </c>
      <c r="D202" s="343"/>
      <c r="E202" s="343"/>
      <c r="F202" s="366"/>
      <c r="G202" s="448"/>
      <c r="H202" s="427">
        <f>SUBTOTAL(9,H201:H201)</f>
        <v>0</v>
      </c>
      <c r="I202" s="428">
        <f>SUBTOTAL(9,I201:I201)</f>
        <v>0</v>
      </c>
      <c r="J202" s="429">
        <f>SUBTOTAL(9,J201:J201)</f>
        <v>293</v>
      </c>
      <c r="K202" s="430">
        <f t="shared" si="10"/>
        <v>293</v>
      </c>
      <c r="L202" s="431">
        <f t="shared" si="11"/>
        <v>0</v>
      </c>
    </row>
    <row r="203" spans="1:12">
      <c r="A203" s="315">
        <f t="shared" si="9"/>
        <v>202</v>
      </c>
      <c r="B203" s="381">
        <v>3200</v>
      </c>
      <c r="C203" s="10">
        <v>6409</v>
      </c>
      <c r="D203" s="340" t="s">
        <v>329</v>
      </c>
      <c r="E203" s="10">
        <v>5321</v>
      </c>
      <c r="F203" s="12" t="s">
        <v>330</v>
      </c>
      <c r="G203" s="448"/>
      <c r="H203" s="449">
        <v>0</v>
      </c>
      <c r="I203" s="335">
        <v>80</v>
      </c>
      <c r="J203" s="336">
        <v>80</v>
      </c>
      <c r="K203" s="450">
        <f t="shared" si="10"/>
        <v>0</v>
      </c>
      <c r="L203" s="451">
        <f t="shared" si="11"/>
        <v>100</v>
      </c>
    </row>
    <row r="204" spans="1:12">
      <c r="A204" s="315">
        <f t="shared" si="9"/>
        <v>203</v>
      </c>
      <c r="B204" s="28"/>
      <c r="C204" s="343" t="s">
        <v>334</v>
      </c>
      <c r="D204" s="343"/>
      <c r="E204" s="343"/>
      <c r="F204" s="366"/>
      <c r="G204" s="448"/>
      <c r="H204" s="427">
        <f>SUBTOTAL(9,H203:H203)</f>
        <v>0</v>
      </c>
      <c r="I204" s="428">
        <f>SUBTOTAL(9,I203:I203)</f>
        <v>80</v>
      </c>
      <c r="J204" s="429">
        <f>SUBTOTAL(9,J203:J203)</f>
        <v>80</v>
      </c>
      <c r="K204" s="430">
        <f t="shared" si="10"/>
        <v>0</v>
      </c>
      <c r="L204" s="431">
        <f t="shared" si="11"/>
        <v>100</v>
      </c>
    </row>
    <row r="205" spans="1:12" ht="13.5" thickBot="1">
      <c r="A205" s="315">
        <f t="shared" si="9"/>
        <v>204</v>
      </c>
      <c r="B205" s="452" t="s">
        <v>34</v>
      </c>
      <c r="C205" s="453"/>
      <c r="D205" s="453"/>
      <c r="E205" s="453"/>
      <c r="F205" s="453"/>
      <c r="G205" s="454"/>
      <c r="H205" s="455">
        <f>SUBTOTAL(9,H64:H204)</f>
        <v>616289</v>
      </c>
      <c r="I205" s="360">
        <f>SUBTOTAL(9,I64:I204)</f>
        <v>635742</v>
      </c>
      <c r="J205" s="361">
        <f>SUBTOTAL(9,J64:J204)</f>
        <v>603371</v>
      </c>
      <c r="K205" s="456">
        <f t="shared" si="10"/>
        <v>-32371</v>
      </c>
      <c r="L205" s="457">
        <f t="shared" si="11"/>
        <v>94.908154565845891</v>
      </c>
    </row>
    <row r="206" spans="1:12" ht="12" customHeight="1">
      <c r="A206" s="315">
        <f t="shared" si="9"/>
        <v>205</v>
      </c>
      <c r="B206" s="458"/>
      <c r="C206" s="459"/>
      <c r="D206" s="459"/>
      <c r="E206" s="459"/>
      <c r="F206" s="459"/>
      <c r="G206" s="448"/>
      <c r="H206" s="460"/>
      <c r="I206" s="412"/>
      <c r="J206" s="413"/>
      <c r="K206" s="461">
        <f t="shared" si="10"/>
        <v>0</v>
      </c>
      <c r="L206" s="462">
        <f t="shared" si="11"/>
        <v>0</v>
      </c>
    </row>
    <row r="207" spans="1:12" ht="15.75">
      <c r="A207" s="315">
        <f t="shared" si="9"/>
        <v>206</v>
      </c>
      <c r="B207" s="416" t="s">
        <v>62</v>
      </c>
      <c r="C207" s="417"/>
      <c r="D207" s="417"/>
      <c r="E207" s="417"/>
      <c r="F207" s="417"/>
      <c r="G207" s="418"/>
      <c r="H207" s="400"/>
      <c r="I207" s="401"/>
      <c r="J207" s="402"/>
      <c r="K207" s="403">
        <f t="shared" si="10"/>
        <v>0</v>
      </c>
      <c r="L207" s="404">
        <f t="shared" si="11"/>
        <v>0</v>
      </c>
    </row>
    <row r="208" spans="1:12">
      <c r="A208" s="315">
        <f t="shared" si="9"/>
        <v>207</v>
      </c>
      <c r="B208" s="381">
        <v>3600</v>
      </c>
      <c r="C208" s="10">
        <v>5212</v>
      </c>
      <c r="D208" s="10" t="s">
        <v>265</v>
      </c>
      <c r="E208" s="10">
        <v>5137</v>
      </c>
      <c r="F208" s="12" t="s">
        <v>346</v>
      </c>
      <c r="G208" s="418"/>
      <c r="H208" s="334">
        <v>100</v>
      </c>
      <c r="I208" s="335">
        <v>100</v>
      </c>
      <c r="J208" s="336"/>
      <c r="K208" s="463">
        <f t="shared" si="10"/>
        <v>-100</v>
      </c>
      <c r="L208" s="464">
        <f t="shared" si="11"/>
        <v>0</v>
      </c>
    </row>
    <row r="209" spans="1:12">
      <c r="A209" s="315">
        <f t="shared" si="9"/>
        <v>208</v>
      </c>
      <c r="B209" s="381">
        <v>3600</v>
      </c>
      <c r="C209" s="10">
        <v>5212</v>
      </c>
      <c r="D209" s="10" t="s">
        <v>265</v>
      </c>
      <c r="E209" s="10">
        <v>5139</v>
      </c>
      <c r="F209" s="10" t="s">
        <v>342</v>
      </c>
      <c r="G209" s="418"/>
      <c r="H209" s="334">
        <v>100</v>
      </c>
      <c r="I209" s="335">
        <v>100</v>
      </c>
      <c r="J209" s="336"/>
      <c r="K209" s="463">
        <f t="shared" si="10"/>
        <v>-100</v>
      </c>
      <c r="L209" s="464">
        <f t="shared" si="11"/>
        <v>0</v>
      </c>
    </row>
    <row r="210" spans="1:12">
      <c r="A210" s="315">
        <f t="shared" si="9"/>
        <v>209</v>
      </c>
      <c r="B210" s="381">
        <v>3600</v>
      </c>
      <c r="C210" s="10">
        <v>5212</v>
      </c>
      <c r="D210" s="10" t="s">
        <v>265</v>
      </c>
      <c r="E210" s="10">
        <v>5169</v>
      </c>
      <c r="F210" s="10" t="s">
        <v>405</v>
      </c>
      <c r="G210" s="333"/>
      <c r="H210" s="334">
        <v>100</v>
      </c>
      <c r="I210" s="335">
        <v>100</v>
      </c>
      <c r="J210" s="336">
        <v>6</v>
      </c>
      <c r="K210" s="463">
        <f t="shared" si="10"/>
        <v>-94</v>
      </c>
      <c r="L210" s="464">
        <f t="shared" si="11"/>
        <v>6</v>
      </c>
    </row>
    <row r="211" spans="1:12">
      <c r="A211" s="315">
        <f t="shared" si="9"/>
        <v>210</v>
      </c>
      <c r="B211" s="381">
        <v>3600</v>
      </c>
      <c r="C211" s="10">
        <v>5212</v>
      </c>
      <c r="D211" s="10" t="s">
        <v>265</v>
      </c>
      <c r="E211" s="10">
        <v>5192</v>
      </c>
      <c r="F211" s="10" t="s">
        <v>351</v>
      </c>
      <c r="G211" s="418"/>
      <c r="H211" s="334">
        <v>100</v>
      </c>
      <c r="I211" s="335">
        <v>100</v>
      </c>
      <c r="J211" s="336"/>
      <c r="K211" s="463">
        <f t="shared" si="10"/>
        <v>-100</v>
      </c>
      <c r="L211" s="464">
        <f t="shared" si="11"/>
        <v>0</v>
      </c>
    </row>
    <row r="212" spans="1:12">
      <c r="A212" s="315">
        <f t="shared" si="9"/>
        <v>211</v>
      </c>
      <c r="B212" s="381">
        <v>3600</v>
      </c>
      <c r="C212" s="10">
        <v>5212</v>
      </c>
      <c r="D212" s="10" t="s">
        <v>265</v>
      </c>
      <c r="E212" s="10">
        <v>5429</v>
      </c>
      <c r="F212" s="10" t="s">
        <v>311</v>
      </c>
      <c r="G212" s="418"/>
      <c r="H212" s="334">
        <v>100</v>
      </c>
      <c r="I212" s="335">
        <v>100</v>
      </c>
      <c r="J212" s="336"/>
      <c r="K212" s="463">
        <f t="shared" si="10"/>
        <v>-100</v>
      </c>
      <c r="L212" s="464">
        <f t="shared" si="11"/>
        <v>0</v>
      </c>
    </row>
    <row r="213" spans="1:12">
      <c r="A213" s="315">
        <f t="shared" si="9"/>
        <v>212</v>
      </c>
      <c r="B213" s="381"/>
      <c r="C213" s="465" t="s">
        <v>406</v>
      </c>
      <c r="D213" s="466"/>
      <c r="E213" s="10"/>
      <c r="F213" s="10"/>
      <c r="G213" s="418"/>
      <c r="H213" s="427">
        <f>SUBTOTAL(9,H208:H212)</f>
        <v>500</v>
      </c>
      <c r="I213" s="428">
        <f>SUBTOTAL(9,I208:I212)</f>
        <v>500</v>
      </c>
      <c r="J213" s="429">
        <f>SUBTOTAL(9,J208:J212)</f>
        <v>6</v>
      </c>
      <c r="K213" s="430">
        <f t="shared" si="10"/>
        <v>-494</v>
      </c>
      <c r="L213" s="431">
        <f t="shared" si="11"/>
        <v>1.2</v>
      </c>
    </row>
    <row r="214" spans="1:12">
      <c r="A214" s="315">
        <f t="shared" si="9"/>
        <v>213</v>
      </c>
      <c r="B214" s="381">
        <v>3600</v>
      </c>
      <c r="C214" s="10">
        <v>5269</v>
      </c>
      <c r="D214" s="10" t="s">
        <v>407</v>
      </c>
      <c r="E214" s="10">
        <v>5139</v>
      </c>
      <c r="F214" s="10" t="s">
        <v>342</v>
      </c>
      <c r="G214" s="426"/>
      <c r="H214" s="334">
        <v>200</v>
      </c>
      <c r="I214" s="335">
        <v>200</v>
      </c>
      <c r="J214" s="336"/>
      <c r="K214" s="432">
        <f t="shared" si="10"/>
        <v>-200</v>
      </c>
      <c r="L214" s="433">
        <f t="shared" si="11"/>
        <v>0</v>
      </c>
    </row>
    <row r="215" spans="1:12">
      <c r="A215" s="315">
        <f t="shared" si="9"/>
        <v>214</v>
      </c>
      <c r="B215" s="381"/>
      <c r="C215" s="465" t="s">
        <v>408</v>
      </c>
      <c r="D215" s="466"/>
      <c r="E215" s="10"/>
      <c r="F215" s="10"/>
      <c r="G215" s="426"/>
      <c r="H215" s="427">
        <f>SUBTOTAL(9,H214:H214)</f>
        <v>200</v>
      </c>
      <c r="I215" s="428">
        <f>SUBTOTAL(9,I214:I214)</f>
        <v>200</v>
      </c>
      <c r="J215" s="429">
        <f>SUBTOTAL(9,J214:J214)</f>
        <v>0</v>
      </c>
      <c r="K215" s="430">
        <f t="shared" si="10"/>
        <v>-200</v>
      </c>
      <c r="L215" s="431">
        <f t="shared" si="11"/>
        <v>0</v>
      </c>
    </row>
    <row r="216" spans="1:12">
      <c r="A216" s="315">
        <f t="shared" si="9"/>
        <v>215</v>
      </c>
      <c r="B216" s="381">
        <v>3600</v>
      </c>
      <c r="C216" s="10">
        <v>5273</v>
      </c>
      <c r="D216" s="10" t="s">
        <v>268</v>
      </c>
      <c r="E216" s="10">
        <v>5172</v>
      </c>
      <c r="F216" s="10" t="s">
        <v>409</v>
      </c>
      <c r="G216" s="448"/>
      <c r="H216" s="334">
        <v>60</v>
      </c>
      <c r="I216" s="335">
        <v>60</v>
      </c>
      <c r="J216" s="336"/>
      <c r="K216" s="450">
        <f t="shared" si="10"/>
        <v>-60</v>
      </c>
      <c r="L216" s="451">
        <f t="shared" si="11"/>
        <v>0</v>
      </c>
    </row>
    <row r="217" spans="1:12">
      <c r="A217" s="315">
        <f t="shared" si="9"/>
        <v>216</v>
      </c>
      <c r="B217" s="381">
        <v>3600</v>
      </c>
      <c r="C217" s="10">
        <v>5273</v>
      </c>
      <c r="D217" s="10" t="s">
        <v>268</v>
      </c>
      <c r="E217" s="10">
        <v>5139</v>
      </c>
      <c r="F217" s="10" t="s">
        <v>342</v>
      </c>
      <c r="G217" s="448"/>
      <c r="H217" s="334">
        <v>240</v>
      </c>
      <c r="I217" s="335">
        <v>240</v>
      </c>
      <c r="J217" s="336"/>
      <c r="K217" s="450">
        <f t="shared" si="10"/>
        <v>-240</v>
      </c>
      <c r="L217" s="451">
        <f t="shared" si="11"/>
        <v>0</v>
      </c>
    </row>
    <row r="218" spans="1:12">
      <c r="A218" s="315">
        <f t="shared" si="9"/>
        <v>217</v>
      </c>
      <c r="B218" s="424"/>
      <c r="C218" s="465" t="s">
        <v>410</v>
      </c>
      <c r="D218" s="466"/>
      <c r="E218" s="425"/>
      <c r="F218" s="425"/>
      <c r="G218" s="448"/>
      <c r="H218" s="427">
        <f>SUBTOTAL(9,H216:H217)</f>
        <v>300</v>
      </c>
      <c r="I218" s="428">
        <f>SUBTOTAL(9,I216:I217)</f>
        <v>300</v>
      </c>
      <c r="J218" s="429">
        <f>SUBTOTAL(9,J216:J217)</f>
        <v>0</v>
      </c>
      <c r="K218" s="461">
        <f t="shared" si="10"/>
        <v>-300</v>
      </c>
      <c r="L218" s="462">
        <f t="shared" si="11"/>
        <v>0</v>
      </c>
    </row>
    <row r="219" spans="1:12" ht="13.5" thickBot="1">
      <c r="A219" s="315">
        <f t="shared" si="9"/>
        <v>218</v>
      </c>
      <c r="B219" s="452" t="s">
        <v>63</v>
      </c>
      <c r="C219" s="453"/>
      <c r="D219" s="453"/>
      <c r="E219" s="453"/>
      <c r="F219" s="453"/>
      <c r="G219" s="454"/>
      <c r="H219" s="455">
        <f>SUBTOTAL(9,H206:H218)</f>
        <v>1000</v>
      </c>
      <c r="I219" s="360">
        <f>SUBTOTAL(9,I206:I218)</f>
        <v>1000</v>
      </c>
      <c r="J219" s="361">
        <f>SUBTOTAL(9,J206:J218)</f>
        <v>6</v>
      </c>
      <c r="K219" s="456">
        <f t="shared" si="10"/>
        <v>-994</v>
      </c>
      <c r="L219" s="457">
        <f t="shared" si="11"/>
        <v>0.6</v>
      </c>
    </row>
    <row r="220" spans="1:12" ht="12.75" customHeight="1">
      <c r="A220" s="315">
        <f t="shared" si="9"/>
        <v>219</v>
      </c>
      <c r="B220" s="364"/>
      <c r="C220" s="365"/>
      <c r="D220" s="365"/>
      <c r="E220" s="365"/>
      <c r="F220" s="366"/>
      <c r="G220" s="367"/>
      <c r="H220" s="467"/>
      <c r="I220" s="369"/>
      <c r="J220" s="370"/>
      <c r="K220" s="371">
        <f t="shared" si="10"/>
        <v>0</v>
      </c>
      <c r="L220" s="372">
        <f t="shared" si="11"/>
        <v>0</v>
      </c>
    </row>
    <row r="221" spans="1:12" ht="15.75">
      <c r="A221" s="315">
        <f t="shared" si="9"/>
        <v>220</v>
      </c>
      <c r="B221" s="373" t="s">
        <v>57</v>
      </c>
      <c r="C221" s="12"/>
      <c r="D221" s="12"/>
      <c r="E221" s="12"/>
      <c r="F221" s="12"/>
      <c r="G221" s="158"/>
      <c r="H221" s="468"/>
      <c r="I221" s="469"/>
      <c r="J221" s="470"/>
      <c r="K221" s="471">
        <f t="shared" si="10"/>
        <v>0</v>
      </c>
      <c r="L221" s="472">
        <f t="shared" si="11"/>
        <v>0</v>
      </c>
    </row>
    <row r="222" spans="1:12">
      <c r="A222" s="315">
        <f t="shared" si="9"/>
        <v>221</v>
      </c>
      <c r="B222" s="381">
        <v>3900</v>
      </c>
      <c r="C222" s="10">
        <v>6211</v>
      </c>
      <c r="D222" s="10" t="s">
        <v>58</v>
      </c>
      <c r="E222" s="10">
        <v>5136</v>
      </c>
      <c r="F222" s="10" t="s">
        <v>389</v>
      </c>
      <c r="G222" s="333"/>
      <c r="H222" s="334">
        <v>74</v>
      </c>
      <c r="I222" s="335">
        <v>74</v>
      </c>
      <c r="J222" s="336">
        <v>72</v>
      </c>
      <c r="K222" s="471">
        <f t="shared" si="10"/>
        <v>-2</v>
      </c>
      <c r="L222" s="472">
        <f t="shared" si="11"/>
        <v>97.297297297297305</v>
      </c>
    </row>
    <row r="223" spans="1:12">
      <c r="A223" s="315">
        <f t="shared" si="9"/>
        <v>222</v>
      </c>
      <c r="B223" s="381">
        <v>3900</v>
      </c>
      <c r="C223" s="10">
        <v>6211</v>
      </c>
      <c r="D223" s="10" t="s">
        <v>58</v>
      </c>
      <c r="E223" s="10">
        <v>5137</v>
      </c>
      <c r="F223" s="10" t="s">
        <v>346</v>
      </c>
      <c r="G223" s="158"/>
      <c r="H223" s="334">
        <v>119</v>
      </c>
      <c r="I223" s="335">
        <v>99</v>
      </c>
      <c r="J223" s="336">
        <v>18</v>
      </c>
      <c r="K223" s="471">
        <f t="shared" si="10"/>
        <v>-81</v>
      </c>
      <c r="L223" s="472">
        <f t="shared" si="11"/>
        <v>18.181818181818183</v>
      </c>
    </row>
    <row r="224" spans="1:12">
      <c r="A224" s="315">
        <f t="shared" si="9"/>
        <v>223</v>
      </c>
      <c r="B224" s="381">
        <v>3900</v>
      </c>
      <c r="C224" s="10">
        <v>6211</v>
      </c>
      <c r="D224" s="10" t="s">
        <v>58</v>
      </c>
      <c r="E224" s="10">
        <v>5139</v>
      </c>
      <c r="F224" s="10" t="s">
        <v>342</v>
      </c>
      <c r="G224" s="333"/>
      <c r="H224" s="334">
        <v>109</v>
      </c>
      <c r="I224" s="335">
        <v>129</v>
      </c>
      <c r="J224" s="336">
        <v>135</v>
      </c>
      <c r="K224" s="471">
        <f t="shared" si="10"/>
        <v>6</v>
      </c>
      <c r="L224" s="472">
        <f t="shared" si="11"/>
        <v>104.65116279069768</v>
      </c>
    </row>
    <row r="225" spans="1:12">
      <c r="A225" s="315">
        <f t="shared" si="9"/>
        <v>224</v>
      </c>
      <c r="B225" s="381">
        <v>3900</v>
      </c>
      <c r="C225" s="10">
        <v>6211</v>
      </c>
      <c r="D225" s="10" t="s">
        <v>58</v>
      </c>
      <c r="E225" s="10">
        <v>5161</v>
      </c>
      <c r="F225" s="10" t="s">
        <v>382</v>
      </c>
      <c r="G225" s="333"/>
      <c r="H225" s="334">
        <v>4</v>
      </c>
      <c r="I225" s="335">
        <v>4</v>
      </c>
      <c r="J225" s="336"/>
      <c r="K225" s="471">
        <f t="shared" si="10"/>
        <v>-4</v>
      </c>
      <c r="L225" s="472">
        <f t="shared" si="11"/>
        <v>0</v>
      </c>
    </row>
    <row r="226" spans="1:12">
      <c r="A226" s="315">
        <f t="shared" si="9"/>
        <v>225</v>
      </c>
      <c r="B226" s="381">
        <v>3900</v>
      </c>
      <c r="C226" s="10">
        <v>6211</v>
      </c>
      <c r="D226" s="10" t="s">
        <v>58</v>
      </c>
      <c r="E226" s="10">
        <v>5163</v>
      </c>
      <c r="F226" s="10" t="s">
        <v>318</v>
      </c>
      <c r="G226" s="333"/>
      <c r="H226" s="334">
        <v>5</v>
      </c>
      <c r="I226" s="335">
        <v>5</v>
      </c>
      <c r="J226" s="336"/>
      <c r="K226" s="471">
        <f t="shared" si="10"/>
        <v>-5</v>
      </c>
      <c r="L226" s="472">
        <f t="shared" si="11"/>
        <v>0</v>
      </c>
    </row>
    <row r="227" spans="1:12">
      <c r="A227" s="315">
        <f t="shared" si="9"/>
        <v>226</v>
      </c>
      <c r="B227" s="381">
        <v>3900</v>
      </c>
      <c r="C227" s="10">
        <v>6211</v>
      </c>
      <c r="D227" s="10" t="s">
        <v>58</v>
      </c>
      <c r="E227" s="10">
        <v>5164</v>
      </c>
      <c r="F227" s="10" t="s">
        <v>350</v>
      </c>
      <c r="G227" s="333"/>
      <c r="H227" s="334">
        <v>2</v>
      </c>
      <c r="I227" s="335">
        <v>2</v>
      </c>
      <c r="J227" s="336">
        <v>2</v>
      </c>
      <c r="K227" s="471">
        <f t="shared" si="10"/>
        <v>0</v>
      </c>
      <c r="L227" s="472">
        <f t="shared" si="11"/>
        <v>100</v>
      </c>
    </row>
    <row r="228" spans="1:12">
      <c r="A228" s="315">
        <f t="shared" si="9"/>
        <v>227</v>
      </c>
      <c r="B228" s="381">
        <v>3900</v>
      </c>
      <c r="C228" s="10">
        <v>6211</v>
      </c>
      <c r="D228" s="10" t="s">
        <v>58</v>
      </c>
      <c r="E228" s="10">
        <v>5169</v>
      </c>
      <c r="F228" s="10" t="s">
        <v>313</v>
      </c>
      <c r="G228" s="333"/>
      <c r="H228" s="334">
        <v>1518</v>
      </c>
      <c r="I228" s="335">
        <v>1493</v>
      </c>
      <c r="J228" s="336">
        <v>1387</v>
      </c>
      <c r="K228" s="471">
        <f t="shared" si="10"/>
        <v>-106</v>
      </c>
      <c r="L228" s="472">
        <f t="shared" si="11"/>
        <v>92.900200937709315</v>
      </c>
    </row>
    <row r="229" spans="1:12">
      <c r="A229" s="315">
        <f t="shared" si="9"/>
        <v>228</v>
      </c>
      <c r="B229" s="381">
        <v>3900</v>
      </c>
      <c r="C229" s="10">
        <v>6211</v>
      </c>
      <c r="D229" s="10" t="s">
        <v>58</v>
      </c>
      <c r="E229" s="10">
        <v>5171</v>
      </c>
      <c r="F229" s="10" t="s">
        <v>394</v>
      </c>
      <c r="G229" s="333"/>
      <c r="H229" s="334">
        <v>40</v>
      </c>
      <c r="I229" s="335">
        <v>40</v>
      </c>
      <c r="J229" s="336">
        <v>19</v>
      </c>
      <c r="K229" s="471">
        <f t="shared" si="10"/>
        <v>-21</v>
      </c>
      <c r="L229" s="472">
        <f t="shared" si="11"/>
        <v>47.5</v>
      </c>
    </row>
    <row r="230" spans="1:12">
      <c r="A230" s="315">
        <f t="shared" si="9"/>
        <v>229</v>
      </c>
      <c r="B230" s="381">
        <v>3900</v>
      </c>
      <c r="C230" s="10">
        <v>6211</v>
      </c>
      <c r="D230" s="10" t="s">
        <v>58</v>
      </c>
      <c r="E230" s="10">
        <v>5175</v>
      </c>
      <c r="F230" s="10" t="s">
        <v>335</v>
      </c>
      <c r="G230" s="333"/>
      <c r="H230" s="334"/>
      <c r="I230" s="335">
        <v>25</v>
      </c>
      <c r="J230" s="336">
        <v>20</v>
      </c>
      <c r="K230" s="471">
        <f t="shared" si="10"/>
        <v>-5</v>
      </c>
      <c r="L230" s="472">
        <f t="shared" si="11"/>
        <v>80</v>
      </c>
    </row>
    <row r="231" spans="1:12">
      <c r="A231" s="315">
        <f t="shared" si="9"/>
        <v>230</v>
      </c>
      <c r="B231" s="381">
        <v>3900</v>
      </c>
      <c r="C231" s="10">
        <v>6211</v>
      </c>
      <c r="D231" s="10" t="s">
        <v>58</v>
      </c>
      <c r="E231" s="10">
        <v>5229</v>
      </c>
      <c r="F231" s="383" t="s">
        <v>336</v>
      </c>
      <c r="G231" s="333" t="s">
        <v>411</v>
      </c>
      <c r="H231" s="334">
        <v>1</v>
      </c>
      <c r="I231" s="335">
        <v>1</v>
      </c>
      <c r="J231" s="336"/>
      <c r="K231" s="471">
        <f t="shared" si="10"/>
        <v>-1</v>
      </c>
      <c r="L231" s="472">
        <f t="shared" si="11"/>
        <v>0</v>
      </c>
    </row>
    <row r="232" spans="1:12">
      <c r="A232" s="315">
        <f t="shared" si="9"/>
        <v>231</v>
      </c>
      <c r="B232" s="28"/>
      <c r="C232" s="343" t="s">
        <v>412</v>
      </c>
      <c r="D232" s="343"/>
      <c r="E232" s="343"/>
      <c r="F232" s="343"/>
      <c r="G232" s="344"/>
      <c r="H232" s="473">
        <f>SUBTOTAL(9,H222:H231)</f>
        <v>1872</v>
      </c>
      <c r="I232" s="428">
        <f>SUBTOTAL(9,I222:I231)</f>
        <v>1872</v>
      </c>
      <c r="J232" s="429">
        <f>SUBTOTAL(9,J222:J231)</f>
        <v>1653</v>
      </c>
      <c r="K232" s="474">
        <f t="shared" si="10"/>
        <v>-219</v>
      </c>
      <c r="L232" s="475">
        <f t="shared" si="11"/>
        <v>88.301282051282044</v>
      </c>
    </row>
    <row r="233" spans="1:12" ht="13.5" thickBot="1">
      <c r="A233" s="315">
        <f t="shared" si="9"/>
        <v>232</v>
      </c>
      <c r="B233" s="29" t="s">
        <v>220</v>
      </c>
      <c r="C233" s="357"/>
      <c r="D233" s="357"/>
      <c r="E233" s="357"/>
      <c r="F233" s="357"/>
      <c r="G233" s="358"/>
      <c r="H233" s="359">
        <f>SUBTOTAL(9,H222:H232)</f>
        <v>1872</v>
      </c>
      <c r="I233" s="360">
        <f>SUBTOTAL(9,I222:I232)</f>
        <v>1872</v>
      </c>
      <c r="J233" s="361">
        <f>SUBTOTAL(9,J222:J232)</f>
        <v>1653</v>
      </c>
      <c r="K233" s="362">
        <f t="shared" si="10"/>
        <v>-219</v>
      </c>
      <c r="L233" s="363">
        <f t="shared" si="11"/>
        <v>88.301282051282044</v>
      </c>
    </row>
    <row r="234" spans="1:12" ht="12.75" customHeight="1">
      <c r="A234" s="315">
        <f t="shared" si="9"/>
        <v>233</v>
      </c>
      <c r="B234" s="364"/>
      <c r="C234" s="365"/>
      <c r="D234" s="365"/>
      <c r="E234" s="365"/>
      <c r="F234" s="366"/>
      <c r="G234" s="367"/>
      <c r="H234" s="467"/>
      <c r="I234" s="369"/>
      <c r="J234" s="370"/>
      <c r="K234" s="371">
        <f t="shared" si="10"/>
        <v>0</v>
      </c>
      <c r="L234" s="372">
        <f t="shared" si="11"/>
        <v>0</v>
      </c>
    </row>
    <row r="235" spans="1:12" ht="16.5" customHeight="1">
      <c r="A235" s="315">
        <f t="shared" si="9"/>
        <v>234</v>
      </c>
      <c r="B235" s="476" t="s">
        <v>86</v>
      </c>
      <c r="C235" s="353"/>
      <c r="D235" s="353"/>
      <c r="E235" s="353"/>
      <c r="F235" s="10"/>
      <c r="G235" s="333"/>
      <c r="H235" s="477"/>
      <c r="I235" s="401"/>
      <c r="J235" s="402"/>
      <c r="K235" s="478">
        <f t="shared" si="10"/>
        <v>0</v>
      </c>
      <c r="L235" s="479">
        <f t="shared" si="11"/>
        <v>0</v>
      </c>
    </row>
    <row r="236" spans="1:12">
      <c r="A236" s="315">
        <f t="shared" si="9"/>
        <v>235</v>
      </c>
      <c r="B236" s="480">
        <v>4100</v>
      </c>
      <c r="C236" s="481">
        <v>2143</v>
      </c>
      <c r="D236" s="382" t="s">
        <v>198</v>
      </c>
      <c r="E236" s="397">
        <v>5137</v>
      </c>
      <c r="F236" s="393" t="s">
        <v>346</v>
      </c>
      <c r="G236" s="435" t="s">
        <v>359</v>
      </c>
      <c r="H236" s="334">
        <v>840</v>
      </c>
      <c r="I236" s="335">
        <v>840</v>
      </c>
      <c r="J236" s="336">
        <v>840</v>
      </c>
      <c r="K236" s="463">
        <f t="shared" si="10"/>
        <v>0</v>
      </c>
      <c r="L236" s="464">
        <f t="shared" si="11"/>
        <v>100</v>
      </c>
    </row>
    <row r="237" spans="1:12">
      <c r="A237" s="315">
        <f t="shared" si="9"/>
        <v>236</v>
      </c>
      <c r="B237" s="480">
        <v>4100</v>
      </c>
      <c r="C237" s="481">
        <v>2143</v>
      </c>
      <c r="D237" s="382" t="s">
        <v>198</v>
      </c>
      <c r="E237" s="397">
        <v>5139</v>
      </c>
      <c r="F237" s="393" t="s">
        <v>342</v>
      </c>
      <c r="G237" s="435" t="s">
        <v>359</v>
      </c>
      <c r="H237" s="334"/>
      <c r="I237" s="335">
        <v>300</v>
      </c>
      <c r="J237" s="336">
        <v>277</v>
      </c>
      <c r="K237" s="463">
        <f t="shared" si="10"/>
        <v>-23</v>
      </c>
      <c r="L237" s="464">
        <f t="shared" si="11"/>
        <v>92.333333333333329</v>
      </c>
    </row>
    <row r="238" spans="1:12">
      <c r="A238" s="315">
        <f t="shared" si="9"/>
        <v>237</v>
      </c>
      <c r="B238" s="480">
        <v>4100</v>
      </c>
      <c r="C238" s="481">
        <v>2143</v>
      </c>
      <c r="D238" s="382" t="s">
        <v>198</v>
      </c>
      <c r="E238" s="397">
        <v>5162</v>
      </c>
      <c r="F238" s="393" t="s">
        <v>392</v>
      </c>
      <c r="G238" s="435" t="s">
        <v>359</v>
      </c>
      <c r="H238" s="334">
        <v>0</v>
      </c>
      <c r="I238" s="335">
        <v>3</v>
      </c>
      <c r="J238" s="336">
        <v>3</v>
      </c>
      <c r="K238" s="463">
        <f t="shared" si="10"/>
        <v>0</v>
      </c>
      <c r="L238" s="464">
        <f t="shared" si="11"/>
        <v>100</v>
      </c>
    </row>
    <row r="239" spans="1:12">
      <c r="A239" s="315">
        <f t="shared" si="9"/>
        <v>238</v>
      </c>
      <c r="B239" s="480">
        <v>4100</v>
      </c>
      <c r="C239" s="481">
        <v>2143</v>
      </c>
      <c r="D239" s="382" t="s">
        <v>198</v>
      </c>
      <c r="E239" s="397">
        <v>5169</v>
      </c>
      <c r="F239" s="10" t="s">
        <v>313</v>
      </c>
      <c r="G239" s="435" t="s">
        <v>359</v>
      </c>
      <c r="H239" s="334">
        <v>3600</v>
      </c>
      <c r="I239" s="335">
        <v>3600</v>
      </c>
      <c r="J239" s="336">
        <v>3564</v>
      </c>
      <c r="K239" s="337">
        <f t="shared" si="10"/>
        <v>-36</v>
      </c>
      <c r="L239" s="338">
        <f t="shared" si="11"/>
        <v>99</v>
      </c>
    </row>
    <row r="240" spans="1:12">
      <c r="A240" s="315">
        <f t="shared" si="9"/>
        <v>239</v>
      </c>
      <c r="B240" s="482"/>
      <c r="C240" s="483" t="s">
        <v>341</v>
      </c>
      <c r="D240" s="484"/>
      <c r="E240" s="374"/>
      <c r="F240" s="374"/>
      <c r="G240" s="485"/>
      <c r="H240" s="486">
        <f>SUBTOTAL(9,H235:H239)</f>
        <v>4440</v>
      </c>
      <c r="I240" s="487">
        <f>SUBTOTAL(9,I235:I239)</f>
        <v>4743</v>
      </c>
      <c r="J240" s="488">
        <f>SUBTOTAL(9,J235:J239)</f>
        <v>4684</v>
      </c>
      <c r="K240" s="489">
        <f t="shared" si="10"/>
        <v>-59</v>
      </c>
      <c r="L240" s="490">
        <f t="shared" si="11"/>
        <v>98.756061564410714</v>
      </c>
    </row>
    <row r="241" spans="1:12">
      <c r="A241" s="315">
        <f t="shared" si="9"/>
        <v>240</v>
      </c>
      <c r="B241" s="381">
        <v>4100</v>
      </c>
      <c r="C241" s="10">
        <v>2219</v>
      </c>
      <c r="D241" s="353" t="s">
        <v>55</v>
      </c>
      <c r="E241" s="10">
        <v>5166</v>
      </c>
      <c r="F241" s="382" t="s">
        <v>309</v>
      </c>
      <c r="G241" s="435" t="s">
        <v>359</v>
      </c>
      <c r="H241" s="334">
        <v>550</v>
      </c>
      <c r="I241" s="335">
        <v>1025</v>
      </c>
      <c r="J241" s="336">
        <v>864</v>
      </c>
      <c r="K241" s="436">
        <f t="shared" si="10"/>
        <v>-161</v>
      </c>
      <c r="L241" s="437">
        <f t="shared" si="11"/>
        <v>84.292682926829272</v>
      </c>
    </row>
    <row r="242" spans="1:12">
      <c r="A242" s="315">
        <f t="shared" si="9"/>
        <v>241</v>
      </c>
      <c r="B242" s="424"/>
      <c r="C242" s="425" t="s">
        <v>413</v>
      </c>
      <c r="D242" s="425"/>
      <c r="E242" s="425"/>
      <c r="F242" s="425"/>
      <c r="G242" s="426"/>
      <c r="H242" s="473">
        <f>SUBTOTAL(9,H241:H241)</f>
        <v>550</v>
      </c>
      <c r="I242" s="428">
        <f>SUBTOTAL(9,I241:I241)</f>
        <v>1025</v>
      </c>
      <c r="J242" s="429">
        <f>SUBTOTAL(9,J241:J241)</f>
        <v>864</v>
      </c>
      <c r="K242" s="474">
        <f t="shared" si="10"/>
        <v>-161</v>
      </c>
      <c r="L242" s="475">
        <f t="shared" si="11"/>
        <v>84.292682926829272</v>
      </c>
    </row>
    <row r="243" spans="1:12">
      <c r="A243" s="315">
        <f t="shared" si="9"/>
        <v>242</v>
      </c>
      <c r="B243" s="392">
        <v>4100</v>
      </c>
      <c r="C243" s="393">
        <v>2229</v>
      </c>
      <c r="D243" s="393" t="s">
        <v>235</v>
      </c>
      <c r="E243" s="393">
        <v>5166</v>
      </c>
      <c r="F243" s="382" t="s">
        <v>309</v>
      </c>
      <c r="G243" s="435" t="s">
        <v>359</v>
      </c>
      <c r="H243" s="334">
        <v>300</v>
      </c>
      <c r="I243" s="335">
        <v>406</v>
      </c>
      <c r="J243" s="336">
        <v>405</v>
      </c>
      <c r="K243" s="432">
        <f t="shared" si="10"/>
        <v>-1</v>
      </c>
      <c r="L243" s="433">
        <f t="shared" si="11"/>
        <v>99.753694581280783</v>
      </c>
    </row>
    <row r="244" spans="1:12">
      <c r="A244" s="315">
        <f t="shared" si="9"/>
        <v>243</v>
      </c>
      <c r="B244" s="424"/>
      <c r="C244" s="425" t="s">
        <v>414</v>
      </c>
      <c r="D244" s="425"/>
      <c r="E244" s="425"/>
      <c r="F244" s="425"/>
      <c r="G244" s="426"/>
      <c r="H244" s="473">
        <f>SUBTOTAL(9,H243)</f>
        <v>300</v>
      </c>
      <c r="I244" s="428">
        <f>SUBTOTAL(9,I243)</f>
        <v>406</v>
      </c>
      <c r="J244" s="429">
        <f>SUBTOTAL(9,J243)</f>
        <v>405</v>
      </c>
      <c r="K244" s="474">
        <f t="shared" si="10"/>
        <v>-1</v>
      </c>
      <c r="L244" s="475">
        <f t="shared" si="11"/>
        <v>99.753694581280783</v>
      </c>
    </row>
    <row r="245" spans="1:12" s="387" customFormat="1">
      <c r="A245" s="315">
        <f t="shared" si="9"/>
        <v>244</v>
      </c>
      <c r="B245" s="392">
        <v>4100</v>
      </c>
      <c r="C245" s="393">
        <v>3113</v>
      </c>
      <c r="D245" s="393" t="s">
        <v>23</v>
      </c>
      <c r="E245" s="393">
        <v>5137</v>
      </c>
      <c r="F245" s="393" t="s">
        <v>346</v>
      </c>
      <c r="G245" s="435" t="s">
        <v>359</v>
      </c>
      <c r="H245" s="491"/>
      <c r="I245" s="492">
        <v>2686</v>
      </c>
      <c r="J245" s="493">
        <v>2686</v>
      </c>
      <c r="K245" s="432">
        <f t="shared" si="10"/>
        <v>0</v>
      </c>
      <c r="L245" s="433">
        <f t="shared" si="11"/>
        <v>100</v>
      </c>
    </row>
    <row r="246" spans="1:12" s="387" customFormat="1">
      <c r="A246" s="315">
        <f t="shared" si="9"/>
        <v>245</v>
      </c>
      <c r="B246" s="392">
        <v>4100</v>
      </c>
      <c r="C246" s="393">
        <v>3113</v>
      </c>
      <c r="D246" s="393" t="s">
        <v>23</v>
      </c>
      <c r="E246" s="393">
        <v>5139</v>
      </c>
      <c r="F246" s="393" t="s">
        <v>342</v>
      </c>
      <c r="G246" s="435" t="s">
        <v>359</v>
      </c>
      <c r="H246" s="491"/>
      <c r="I246" s="492">
        <v>1810</v>
      </c>
      <c r="J246" s="493">
        <v>1810</v>
      </c>
      <c r="K246" s="432">
        <f t="shared" si="10"/>
        <v>0</v>
      </c>
      <c r="L246" s="433">
        <f t="shared" si="11"/>
        <v>100</v>
      </c>
    </row>
    <row r="247" spans="1:12">
      <c r="A247" s="315">
        <f t="shared" si="9"/>
        <v>246</v>
      </c>
      <c r="B247" s="392">
        <v>4100</v>
      </c>
      <c r="C247" s="393">
        <v>3113</v>
      </c>
      <c r="D247" s="393" t="s">
        <v>23</v>
      </c>
      <c r="E247" s="393">
        <v>5166</v>
      </c>
      <c r="F247" s="494" t="s">
        <v>309</v>
      </c>
      <c r="G247" s="435" t="s">
        <v>359</v>
      </c>
      <c r="H247" s="334">
        <v>400</v>
      </c>
      <c r="I247" s="335">
        <v>400</v>
      </c>
      <c r="J247" s="336">
        <v>181</v>
      </c>
      <c r="K247" s="432">
        <f t="shared" si="10"/>
        <v>-219</v>
      </c>
      <c r="L247" s="433">
        <f t="shared" si="11"/>
        <v>45.25</v>
      </c>
    </row>
    <row r="248" spans="1:12">
      <c r="A248" s="315">
        <f t="shared" si="9"/>
        <v>247</v>
      </c>
      <c r="B248" s="392">
        <v>4100</v>
      </c>
      <c r="C248" s="393">
        <v>3113</v>
      </c>
      <c r="D248" s="393" t="s">
        <v>23</v>
      </c>
      <c r="E248" s="393">
        <v>5169</v>
      </c>
      <c r="F248" s="10" t="s">
        <v>313</v>
      </c>
      <c r="G248" s="435" t="s">
        <v>359</v>
      </c>
      <c r="H248" s="334"/>
      <c r="I248" s="335">
        <v>30</v>
      </c>
      <c r="J248" s="336">
        <v>30</v>
      </c>
      <c r="K248" s="432">
        <f t="shared" si="10"/>
        <v>0</v>
      </c>
      <c r="L248" s="433">
        <f t="shared" si="11"/>
        <v>100</v>
      </c>
    </row>
    <row r="249" spans="1:12">
      <c r="A249" s="315">
        <f t="shared" si="9"/>
        <v>248</v>
      </c>
      <c r="B249" s="424"/>
      <c r="C249" s="426" t="s">
        <v>415</v>
      </c>
      <c r="D249" s="495"/>
      <c r="E249" s="425"/>
      <c r="F249" s="425"/>
      <c r="G249" s="426"/>
      <c r="H249" s="473">
        <f>SUBTOTAL(9,H245:H248)</f>
        <v>400</v>
      </c>
      <c r="I249" s="428">
        <f>SUBTOTAL(9,I245:I248)</f>
        <v>4926</v>
      </c>
      <c r="J249" s="429">
        <f>SUBTOTAL(9,J245:J248)</f>
        <v>4707</v>
      </c>
      <c r="K249" s="474">
        <f t="shared" si="10"/>
        <v>-219</v>
      </c>
      <c r="L249" s="475">
        <f t="shared" si="11"/>
        <v>95.55420219244823</v>
      </c>
    </row>
    <row r="250" spans="1:12">
      <c r="A250" s="315">
        <f t="shared" si="9"/>
        <v>249</v>
      </c>
      <c r="B250" s="392">
        <v>4100</v>
      </c>
      <c r="C250" s="435">
        <v>3315</v>
      </c>
      <c r="D250" s="496" t="s">
        <v>95</v>
      </c>
      <c r="E250" s="393">
        <v>5139</v>
      </c>
      <c r="F250" s="393" t="s">
        <v>342</v>
      </c>
      <c r="G250" s="435" t="s">
        <v>359</v>
      </c>
      <c r="H250" s="491">
        <v>0</v>
      </c>
      <c r="I250" s="492">
        <v>141</v>
      </c>
      <c r="J250" s="493">
        <v>141</v>
      </c>
      <c r="K250" s="432">
        <f t="shared" si="10"/>
        <v>0</v>
      </c>
      <c r="L250" s="433">
        <f t="shared" si="11"/>
        <v>100</v>
      </c>
    </row>
    <row r="251" spans="1:12">
      <c r="A251" s="315">
        <f t="shared" si="9"/>
        <v>250</v>
      </c>
      <c r="B251" s="381">
        <v>4100</v>
      </c>
      <c r="C251" s="10">
        <v>3315</v>
      </c>
      <c r="D251" s="497" t="s">
        <v>95</v>
      </c>
      <c r="E251" s="10">
        <v>5166</v>
      </c>
      <c r="F251" s="382" t="s">
        <v>309</v>
      </c>
      <c r="G251" s="435" t="s">
        <v>359</v>
      </c>
      <c r="H251" s="334">
        <v>500</v>
      </c>
      <c r="I251" s="335">
        <v>588</v>
      </c>
      <c r="J251" s="336">
        <v>588</v>
      </c>
      <c r="K251" s="436">
        <f t="shared" si="10"/>
        <v>0</v>
      </c>
      <c r="L251" s="437">
        <f t="shared" si="11"/>
        <v>100</v>
      </c>
    </row>
    <row r="252" spans="1:12">
      <c r="A252" s="315">
        <f t="shared" si="9"/>
        <v>251</v>
      </c>
      <c r="B252" s="381">
        <v>4100</v>
      </c>
      <c r="C252" s="10">
        <v>3315</v>
      </c>
      <c r="D252" s="353" t="s">
        <v>95</v>
      </c>
      <c r="E252" s="10">
        <v>5169</v>
      </c>
      <c r="F252" s="10" t="s">
        <v>313</v>
      </c>
      <c r="G252" s="435" t="s">
        <v>359</v>
      </c>
      <c r="H252" s="334">
        <v>300</v>
      </c>
      <c r="I252" s="335">
        <v>39</v>
      </c>
      <c r="J252" s="336"/>
      <c r="K252" s="436">
        <f t="shared" si="10"/>
        <v>-39</v>
      </c>
      <c r="L252" s="437">
        <f t="shared" si="11"/>
        <v>0</v>
      </c>
    </row>
    <row r="253" spans="1:12">
      <c r="A253" s="315">
        <f t="shared" si="9"/>
        <v>252</v>
      </c>
      <c r="B253" s="381">
        <v>4100</v>
      </c>
      <c r="C253" s="10">
        <v>3315</v>
      </c>
      <c r="D253" s="353" t="s">
        <v>95</v>
      </c>
      <c r="E253" s="10">
        <v>5175</v>
      </c>
      <c r="F253" s="10" t="s">
        <v>335</v>
      </c>
      <c r="G253" s="435" t="s">
        <v>359</v>
      </c>
      <c r="H253" s="334">
        <v>0</v>
      </c>
      <c r="I253" s="335">
        <v>32</v>
      </c>
      <c r="J253" s="336">
        <v>32</v>
      </c>
      <c r="K253" s="436">
        <f t="shared" si="10"/>
        <v>0</v>
      </c>
      <c r="L253" s="437">
        <f t="shared" si="11"/>
        <v>100</v>
      </c>
    </row>
    <row r="254" spans="1:12">
      <c r="A254" s="315">
        <f t="shared" si="9"/>
        <v>253</v>
      </c>
      <c r="B254" s="424"/>
      <c r="C254" s="425" t="s">
        <v>416</v>
      </c>
      <c r="D254" s="425"/>
      <c r="E254" s="425"/>
      <c r="F254" s="425"/>
      <c r="G254" s="426"/>
      <c r="H254" s="473">
        <f>SUBTOTAL(9,H250:H253)</f>
        <v>800</v>
      </c>
      <c r="I254" s="428">
        <f>SUBTOTAL(9,I250:I253)</f>
        <v>800</v>
      </c>
      <c r="J254" s="429">
        <f>SUBTOTAL(9,J250:J253)</f>
        <v>761</v>
      </c>
      <c r="K254" s="474">
        <f t="shared" si="10"/>
        <v>-39</v>
      </c>
      <c r="L254" s="475">
        <f t="shared" si="11"/>
        <v>95.125</v>
      </c>
    </row>
    <row r="255" spans="1:12">
      <c r="A255" s="315">
        <f t="shared" si="9"/>
        <v>254</v>
      </c>
      <c r="B255" s="392">
        <v>4100</v>
      </c>
      <c r="C255" s="393">
        <v>3319</v>
      </c>
      <c r="D255" s="393" t="s">
        <v>49</v>
      </c>
      <c r="E255" s="393">
        <v>5139</v>
      </c>
      <c r="F255" s="10" t="s">
        <v>342</v>
      </c>
      <c r="G255" s="435" t="s">
        <v>359</v>
      </c>
      <c r="H255" s="334">
        <v>106</v>
      </c>
      <c r="I255" s="335">
        <v>106</v>
      </c>
      <c r="J255" s="336">
        <v>104</v>
      </c>
      <c r="K255" s="432">
        <f t="shared" si="10"/>
        <v>-2</v>
      </c>
      <c r="L255" s="433">
        <f t="shared" si="11"/>
        <v>98.113207547169807</v>
      </c>
    </row>
    <row r="256" spans="1:12">
      <c r="A256" s="315">
        <f t="shared" si="9"/>
        <v>255</v>
      </c>
      <c r="B256" s="392">
        <v>4100</v>
      </c>
      <c r="C256" s="393">
        <v>3319</v>
      </c>
      <c r="D256" s="393" t="s">
        <v>49</v>
      </c>
      <c r="E256" s="393">
        <v>5164</v>
      </c>
      <c r="F256" s="393" t="s">
        <v>350</v>
      </c>
      <c r="G256" s="435" t="s">
        <v>359</v>
      </c>
      <c r="H256" s="334">
        <v>1786</v>
      </c>
      <c r="I256" s="335">
        <v>1786</v>
      </c>
      <c r="J256" s="336">
        <v>1648</v>
      </c>
      <c r="K256" s="432">
        <f t="shared" si="10"/>
        <v>-138</v>
      </c>
      <c r="L256" s="433">
        <f t="shared" si="11"/>
        <v>92.273236282194844</v>
      </c>
    </row>
    <row r="257" spans="1:12">
      <c r="A257" s="315">
        <f t="shared" si="9"/>
        <v>256</v>
      </c>
      <c r="B257" s="392">
        <v>4100</v>
      </c>
      <c r="C257" s="393">
        <v>3319</v>
      </c>
      <c r="D257" s="393" t="s">
        <v>49</v>
      </c>
      <c r="E257" s="393">
        <v>5166</v>
      </c>
      <c r="F257" s="382" t="s">
        <v>309</v>
      </c>
      <c r="G257" s="435" t="s">
        <v>359</v>
      </c>
      <c r="H257" s="334">
        <v>350</v>
      </c>
      <c r="I257" s="335">
        <v>580</v>
      </c>
      <c r="J257" s="336">
        <v>271</v>
      </c>
      <c r="K257" s="432">
        <f t="shared" si="10"/>
        <v>-309</v>
      </c>
      <c r="L257" s="433">
        <f t="shared" si="11"/>
        <v>46.724137931034484</v>
      </c>
    </row>
    <row r="258" spans="1:12">
      <c r="A258" s="315">
        <f t="shared" si="9"/>
        <v>257</v>
      </c>
      <c r="B258" s="392">
        <v>4100</v>
      </c>
      <c r="C258" s="393">
        <v>3319</v>
      </c>
      <c r="D258" s="393" t="s">
        <v>49</v>
      </c>
      <c r="E258" s="393">
        <v>5169</v>
      </c>
      <c r="F258" s="382" t="s">
        <v>313</v>
      </c>
      <c r="G258" s="435" t="s">
        <v>359</v>
      </c>
      <c r="H258" s="334">
        <v>255</v>
      </c>
      <c r="I258" s="335">
        <v>330</v>
      </c>
      <c r="J258" s="336">
        <v>87</v>
      </c>
      <c r="K258" s="432">
        <f t="shared" si="10"/>
        <v>-243</v>
      </c>
      <c r="L258" s="433">
        <f t="shared" si="11"/>
        <v>26.36363636363636</v>
      </c>
    </row>
    <row r="259" spans="1:12">
      <c r="A259" s="315">
        <f t="shared" si="9"/>
        <v>258</v>
      </c>
      <c r="B259" s="424"/>
      <c r="C259" s="425" t="s">
        <v>417</v>
      </c>
      <c r="D259" s="425"/>
      <c r="E259" s="425"/>
      <c r="F259" s="425"/>
      <c r="G259" s="426"/>
      <c r="H259" s="473">
        <f>SUBTOTAL(9,H255:H258)</f>
        <v>2497</v>
      </c>
      <c r="I259" s="428">
        <f>SUBTOTAL(9,I255:I258)</f>
        <v>2802</v>
      </c>
      <c r="J259" s="429">
        <f>SUBTOTAL(9,J255:J258)</f>
        <v>2110</v>
      </c>
      <c r="K259" s="474">
        <f t="shared" si="10"/>
        <v>-692</v>
      </c>
      <c r="L259" s="475">
        <f t="shared" si="11"/>
        <v>75.303354746609557</v>
      </c>
    </row>
    <row r="260" spans="1:12">
      <c r="A260" s="315">
        <f t="shared" ref="A260:A323" si="12">A259+1</f>
        <v>259</v>
      </c>
      <c r="B260" s="392">
        <v>4100</v>
      </c>
      <c r="C260" s="393">
        <v>3322</v>
      </c>
      <c r="D260" s="393" t="s">
        <v>28</v>
      </c>
      <c r="E260" s="393">
        <v>5166</v>
      </c>
      <c r="F260" s="382" t="s">
        <v>309</v>
      </c>
      <c r="G260" s="435" t="s">
        <v>359</v>
      </c>
      <c r="H260" s="491">
        <v>100</v>
      </c>
      <c r="I260" s="492">
        <v>100</v>
      </c>
      <c r="J260" s="493"/>
      <c r="K260" s="432">
        <f t="shared" si="10"/>
        <v>-100</v>
      </c>
      <c r="L260" s="433">
        <f t="shared" si="11"/>
        <v>0</v>
      </c>
    </row>
    <row r="261" spans="1:12">
      <c r="A261" s="315">
        <f t="shared" si="12"/>
        <v>260</v>
      </c>
      <c r="B261" s="424"/>
      <c r="C261" s="425" t="s">
        <v>418</v>
      </c>
      <c r="D261" s="425"/>
      <c r="E261" s="425"/>
      <c r="F261" s="425"/>
      <c r="G261" s="426"/>
      <c r="H261" s="427">
        <f>SUBTOTAL(9,H260)</f>
        <v>100</v>
      </c>
      <c r="I261" s="428">
        <f>SUBTOTAL(9,I260)</f>
        <v>100</v>
      </c>
      <c r="J261" s="429">
        <f>SUBTOTAL(9,J260)</f>
        <v>0</v>
      </c>
      <c r="K261" s="430">
        <f t="shared" ref="K261:K324" si="13">J261-I261</f>
        <v>-100</v>
      </c>
      <c r="L261" s="431">
        <f t="shared" ref="L261:L324" si="14">IF(I261&lt;=0,0,J261/I261*100)</f>
        <v>0</v>
      </c>
    </row>
    <row r="262" spans="1:12">
      <c r="A262" s="315">
        <f t="shared" si="12"/>
        <v>261</v>
      </c>
      <c r="B262" s="381">
        <v>4100</v>
      </c>
      <c r="C262" s="10">
        <v>3326</v>
      </c>
      <c r="D262" s="353" t="s">
        <v>419</v>
      </c>
      <c r="E262" s="10">
        <v>5166</v>
      </c>
      <c r="F262" s="382" t="s">
        <v>309</v>
      </c>
      <c r="G262" s="435" t="s">
        <v>359</v>
      </c>
      <c r="H262" s="334">
        <v>100</v>
      </c>
      <c r="I262" s="335">
        <v>100</v>
      </c>
      <c r="J262" s="336"/>
      <c r="K262" s="436">
        <f t="shared" si="13"/>
        <v>-100</v>
      </c>
      <c r="L262" s="437">
        <f t="shared" si="14"/>
        <v>0</v>
      </c>
    </row>
    <row r="263" spans="1:12">
      <c r="A263" s="315">
        <f t="shared" si="12"/>
        <v>262</v>
      </c>
      <c r="B263" s="381">
        <v>4100</v>
      </c>
      <c r="C263" s="10">
        <v>3326</v>
      </c>
      <c r="D263" s="353" t="s">
        <v>419</v>
      </c>
      <c r="E263" s="10">
        <v>5169</v>
      </c>
      <c r="F263" s="382" t="s">
        <v>313</v>
      </c>
      <c r="G263" s="435" t="s">
        <v>359</v>
      </c>
      <c r="H263" s="334">
        <v>0</v>
      </c>
      <c r="I263" s="335">
        <v>35</v>
      </c>
      <c r="J263" s="336"/>
      <c r="K263" s="436">
        <f t="shared" si="13"/>
        <v>-35</v>
      </c>
      <c r="L263" s="437">
        <f t="shared" si="14"/>
        <v>0</v>
      </c>
    </row>
    <row r="264" spans="1:12">
      <c r="A264" s="315">
        <f t="shared" si="12"/>
        <v>263</v>
      </c>
      <c r="B264" s="424"/>
      <c r="C264" s="425" t="s">
        <v>420</v>
      </c>
      <c r="D264" s="425"/>
      <c r="E264" s="425"/>
      <c r="F264" s="425"/>
      <c r="G264" s="426"/>
      <c r="H264" s="427">
        <f>SUBTOTAL(9,H262:H263)</f>
        <v>100</v>
      </c>
      <c r="I264" s="428">
        <f>SUBTOTAL(9,I262:I263)</f>
        <v>135</v>
      </c>
      <c r="J264" s="429">
        <f>SUBTOTAL(9,J262:J263)</f>
        <v>0</v>
      </c>
      <c r="K264" s="430">
        <f t="shared" si="13"/>
        <v>-135</v>
      </c>
      <c r="L264" s="431">
        <f t="shared" si="14"/>
        <v>0</v>
      </c>
    </row>
    <row r="265" spans="1:12">
      <c r="A265" s="315">
        <f t="shared" si="12"/>
        <v>264</v>
      </c>
      <c r="B265" s="392">
        <v>4100</v>
      </c>
      <c r="C265" s="393">
        <v>3412</v>
      </c>
      <c r="D265" s="393" t="s">
        <v>224</v>
      </c>
      <c r="E265" s="393">
        <v>5166</v>
      </c>
      <c r="F265" s="382" t="s">
        <v>309</v>
      </c>
      <c r="G265" s="435" t="s">
        <v>359</v>
      </c>
      <c r="H265" s="491">
        <v>200</v>
      </c>
      <c r="I265" s="492">
        <v>200</v>
      </c>
      <c r="J265" s="493">
        <v>162</v>
      </c>
      <c r="K265" s="432">
        <f t="shared" si="13"/>
        <v>-38</v>
      </c>
      <c r="L265" s="433">
        <f t="shared" si="14"/>
        <v>81</v>
      </c>
    </row>
    <row r="266" spans="1:12">
      <c r="A266" s="315">
        <f t="shared" si="12"/>
        <v>265</v>
      </c>
      <c r="B266" s="424"/>
      <c r="C266" s="425" t="s">
        <v>421</v>
      </c>
      <c r="D266" s="425"/>
      <c r="E266" s="425"/>
      <c r="F266" s="425"/>
      <c r="G266" s="426"/>
      <c r="H266" s="427">
        <f>SUBTOTAL(9,H265)</f>
        <v>200</v>
      </c>
      <c r="I266" s="428">
        <f>SUBTOTAL(9,I265)</f>
        <v>200</v>
      </c>
      <c r="J266" s="429">
        <f>SUBTOTAL(9,J265)</f>
        <v>162</v>
      </c>
      <c r="K266" s="430">
        <f t="shared" si="13"/>
        <v>-38</v>
      </c>
      <c r="L266" s="431">
        <f t="shared" si="14"/>
        <v>81</v>
      </c>
    </row>
    <row r="267" spans="1:12">
      <c r="A267" s="315">
        <f t="shared" si="12"/>
        <v>266</v>
      </c>
      <c r="B267" s="381">
        <v>4100</v>
      </c>
      <c r="C267" s="393">
        <v>3421</v>
      </c>
      <c r="D267" s="393" t="s">
        <v>98</v>
      </c>
      <c r="E267" s="393">
        <v>5166</v>
      </c>
      <c r="F267" s="12" t="s">
        <v>309</v>
      </c>
      <c r="G267" s="435" t="s">
        <v>359</v>
      </c>
      <c r="H267" s="334">
        <v>200</v>
      </c>
      <c r="I267" s="335">
        <v>200</v>
      </c>
      <c r="J267" s="336"/>
      <c r="K267" s="432">
        <f t="shared" si="13"/>
        <v>-200</v>
      </c>
      <c r="L267" s="433">
        <f t="shared" si="14"/>
        <v>0</v>
      </c>
    </row>
    <row r="268" spans="1:12">
      <c r="A268" s="315">
        <f t="shared" si="12"/>
        <v>267</v>
      </c>
      <c r="B268" s="381">
        <v>4100</v>
      </c>
      <c r="C268" s="393">
        <v>3421</v>
      </c>
      <c r="D268" s="393" t="s">
        <v>98</v>
      </c>
      <c r="E268" s="393">
        <v>5213</v>
      </c>
      <c r="F268" s="12" t="s">
        <v>422</v>
      </c>
      <c r="G268" s="435" t="s">
        <v>359</v>
      </c>
      <c r="H268" s="334"/>
      <c r="I268" s="335">
        <v>1908</v>
      </c>
      <c r="J268" s="336">
        <v>1908</v>
      </c>
      <c r="K268" s="432">
        <f t="shared" si="13"/>
        <v>0</v>
      </c>
      <c r="L268" s="433">
        <f t="shared" si="14"/>
        <v>100</v>
      </c>
    </row>
    <row r="269" spans="1:12">
      <c r="A269" s="315">
        <f t="shared" si="12"/>
        <v>268</v>
      </c>
      <c r="B269" s="424"/>
      <c r="C269" s="425" t="s">
        <v>423</v>
      </c>
      <c r="D269" s="425"/>
      <c r="E269" s="425"/>
      <c r="F269" s="425"/>
      <c r="G269" s="426"/>
      <c r="H269" s="473">
        <f>SUBTOTAL(9,H267:H268)</f>
        <v>200</v>
      </c>
      <c r="I269" s="428">
        <f>SUBTOTAL(9,I267:I268)</f>
        <v>2108</v>
      </c>
      <c r="J269" s="429">
        <f>SUBTOTAL(9,J267:J268)</f>
        <v>1908</v>
      </c>
      <c r="K269" s="474">
        <f t="shared" si="13"/>
        <v>-200</v>
      </c>
      <c r="L269" s="475">
        <f t="shared" si="14"/>
        <v>90.512333965844405</v>
      </c>
    </row>
    <row r="270" spans="1:12">
      <c r="A270" s="315">
        <f t="shared" si="12"/>
        <v>269</v>
      </c>
      <c r="B270" s="381">
        <v>4100</v>
      </c>
      <c r="C270" s="10">
        <v>3612</v>
      </c>
      <c r="D270" s="353" t="s">
        <v>12</v>
      </c>
      <c r="E270" s="10">
        <v>5166</v>
      </c>
      <c r="F270" s="382" t="s">
        <v>309</v>
      </c>
      <c r="G270" s="333" t="s">
        <v>359</v>
      </c>
      <c r="H270" s="334">
        <v>0</v>
      </c>
      <c r="I270" s="335">
        <v>100</v>
      </c>
      <c r="J270" s="336">
        <v>97</v>
      </c>
      <c r="K270" s="432">
        <f t="shared" si="13"/>
        <v>-3</v>
      </c>
      <c r="L270" s="433">
        <f t="shared" si="14"/>
        <v>97</v>
      </c>
    </row>
    <row r="271" spans="1:12">
      <c r="A271" s="315">
        <f t="shared" si="12"/>
        <v>270</v>
      </c>
      <c r="B271" s="424"/>
      <c r="C271" s="425" t="s">
        <v>424</v>
      </c>
      <c r="D271" s="425"/>
      <c r="E271" s="425"/>
      <c r="F271" s="425"/>
      <c r="G271" s="498"/>
      <c r="H271" s="427">
        <f>SUBTOTAL(9,H270:H270)</f>
        <v>0</v>
      </c>
      <c r="I271" s="428">
        <f>SUBTOTAL(9,I270:I270)</f>
        <v>100</v>
      </c>
      <c r="J271" s="429">
        <f>SUBTOTAL(9,J270:J270)</f>
        <v>97</v>
      </c>
      <c r="K271" s="432">
        <f t="shared" si="13"/>
        <v>-3</v>
      </c>
      <c r="L271" s="433">
        <f t="shared" si="14"/>
        <v>97</v>
      </c>
    </row>
    <row r="272" spans="1:12">
      <c r="A272" s="315">
        <f t="shared" si="12"/>
        <v>271</v>
      </c>
      <c r="B272" s="480">
        <v>4100</v>
      </c>
      <c r="C272" s="12">
        <v>3635</v>
      </c>
      <c r="D272" s="12" t="s">
        <v>75</v>
      </c>
      <c r="E272" s="12">
        <v>5021</v>
      </c>
      <c r="F272" s="12" t="s">
        <v>364</v>
      </c>
      <c r="G272" s="158"/>
      <c r="H272" s="334">
        <v>54</v>
      </c>
      <c r="I272" s="335">
        <v>54</v>
      </c>
      <c r="J272" s="336"/>
      <c r="K272" s="337">
        <f t="shared" si="13"/>
        <v>-54</v>
      </c>
      <c r="L272" s="338">
        <f t="shared" si="14"/>
        <v>0</v>
      </c>
    </row>
    <row r="273" spans="1:12">
      <c r="A273" s="315">
        <f t="shared" si="12"/>
        <v>272</v>
      </c>
      <c r="B273" s="480">
        <v>4100</v>
      </c>
      <c r="C273" s="12">
        <v>3635</v>
      </c>
      <c r="D273" s="12" t="s">
        <v>75</v>
      </c>
      <c r="E273" s="12">
        <v>5139</v>
      </c>
      <c r="F273" s="10" t="s">
        <v>342</v>
      </c>
      <c r="G273" s="158" t="s">
        <v>359</v>
      </c>
      <c r="H273" s="334">
        <v>100</v>
      </c>
      <c r="I273" s="335">
        <v>100</v>
      </c>
      <c r="J273" s="336"/>
      <c r="K273" s="337">
        <f t="shared" si="13"/>
        <v>-100</v>
      </c>
      <c r="L273" s="338">
        <f t="shared" si="14"/>
        <v>0</v>
      </c>
    </row>
    <row r="274" spans="1:12">
      <c r="A274" s="315">
        <f t="shared" si="12"/>
        <v>273</v>
      </c>
      <c r="B274" s="480">
        <v>4100</v>
      </c>
      <c r="C274" s="12">
        <v>3635</v>
      </c>
      <c r="D274" s="12" t="s">
        <v>75</v>
      </c>
      <c r="E274" s="12">
        <v>5164</v>
      </c>
      <c r="F274" s="12" t="s">
        <v>350</v>
      </c>
      <c r="G274" s="158"/>
      <c r="H274" s="334"/>
      <c r="I274" s="335">
        <v>100</v>
      </c>
      <c r="J274" s="336">
        <v>17</v>
      </c>
      <c r="K274" s="337">
        <f t="shared" si="13"/>
        <v>-83</v>
      </c>
      <c r="L274" s="338">
        <f t="shared" si="14"/>
        <v>17</v>
      </c>
    </row>
    <row r="275" spans="1:12">
      <c r="A275" s="315">
        <f t="shared" si="12"/>
        <v>274</v>
      </c>
      <c r="B275" s="480">
        <v>4100</v>
      </c>
      <c r="C275" s="12">
        <v>3635</v>
      </c>
      <c r="D275" s="12" t="s">
        <v>75</v>
      </c>
      <c r="E275" s="12">
        <v>5166</v>
      </c>
      <c r="F275" s="12" t="s">
        <v>309</v>
      </c>
      <c r="G275" s="158" t="s">
        <v>425</v>
      </c>
      <c r="H275" s="334">
        <v>10692</v>
      </c>
      <c r="I275" s="335">
        <v>7764</v>
      </c>
      <c r="J275" s="336">
        <v>3295</v>
      </c>
      <c r="K275" s="337">
        <f t="shared" si="13"/>
        <v>-4469</v>
      </c>
      <c r="L275" s="338">
        <f t="shared" si="14"/>
        <v>42.439464193714585</v>
      </c>
    </row>
    <row r="276" spans="1:12">
      <c r="A276" s="315">
        <f t="shared" si="12"/>
        <v>275</v>
      </c>
      <c r="B276" s="480">
        <v>4100</v>
      </c>
      <c r="C276" s="12">
        <v>3635</v>
      </c>
      <c r="D276" s="12" t="s">
        <v>75</v>
      </c>
      <c r="E276" s="12">
        <v>5166</v>
      </c>
      <c r="F276" s="12" t="s">
        <v>309</v>
      </c>
      <c r="G276" s="158" t="s">
        <v>359</v>
      </c>
      <c r="H276" s="334">
        <v>100</v>
      </c>
      <c r="I276" s="335">
        <v>100</v>
      </c>
      <c r="J276" s="336">
        <v>6</v>
      </c>
      <c r="K276" s="337">
        <f t="shared" si="13"/>
        <v>-94</v>
      </c>
      <c r="L276" s="338">
        <f t="shared" si="14"/>
        <v>6</v>
      </c>
    </row>
    <row r="277" spans="1:12">
      <c r="A277" s="315">
        <f t="shared" si="12"/>
        <v>276</v>
      </c>
      <c r="B277" s="480">
        <v>4100</v>
      </c>
      <c r="C277" s="12">
        <v>3635</v>
      </c>
      <c r="D277" s="12" t="s">
        <v>75</v>
      </c>
      <c r="E277" s="12">
        <v>5169</v>
      </c>
      <c r="F277" s="10" t="s">
        <v>313</v>
      </c>
      <c r="G277" s="333"/>
      <c r="H277" s="334">
        <v>1140</v>
      </c>
      <c r="I277" s="335">
        <v>1140</v>
      </c>
      <c r="J277" s="336">
        <v>473</v>
      </c>
      <c r="K277" s="337">
        <f t="shared" si="13"/>
        <v>-667</v>
      </c>
      <c r="L277" s="338">
        <f t="shared" si="14"/>
        <v>41.491228070175438</v>
      </c>
    </row>
    <row r="278" spans="1:12">
      <c r="A278" s="315">
        <f t="shared" si="12"/>
        <v>277</v>
      </c>
      <c r="B278" s="480">
        <v>4100</v>
      </c>
      <c r="C278" s="12">
        <v>3635</v>
      </c>
      <c r="D278" s="12" t="s">
        <v>75</v>
      </c>
      <c r="E278" s="12">
        <v>5169</v>
      </c>
      <c r="F278" s="10" t="s">
        <v>313</v>
      </c>
      <c r="G278" s="333" t="s">
        <v>359</v>
      </c>
      <c r="H278" s="334">
        <v>200</v>
      </c>
      <c r="I278" s="335">
        <v>200</v>
      </c>
      <c r="J278" s="336">
        <v>47</v>
      </c>
      <c r="K278" s="337">
        <f t="shared" si="13"/>
        <v>-153</v>
      </c>
      <c r="L278" s="338">
        <f t="shared" si="14"/>
        <v>23.5</v>
      </c>
    </row>
    <row r="279" spans="1:12">
      <c r="A279" s="315">
        <f t="shared" si="12"/>
        <v>278</v>
      </c>
      <c r="B279" s="480">
        <v>4100</v>
      </c>
      <c r="C279" s="12">
        <v>3635</v>
      </c>
      <c r="D279" s="12" t="s">
        <v>75</v>
      </c>
      <c r="E279" s="12">
        <v>5173</v>
      </c>
      <c r="F279" s="383" t="s">
        <v>363</v>
      </c>
      <c r="G279" s="333"/>
      <c r="H279" s="334">
        <v>75</v>
      </c>
      <c r="I279" s="335">
        <v>75</v>
      </c>
      <c r="J279" s="336"/>
      <c r="K279" s="337">
        <f t="shared" si="13"/>
        <v>-75</v>
      </c>
      <c r="L279" s="338">
        <f t="shared" si="14"/>
        <v>0</v>
      </c>
    </row>
    <row r="280" spans="1:12">
      <c r="A280" s="315">
        <f t="shared" si="12"/>
        <v>279</v>
      </c>
      <c r="B280" s="480">
        <v>4100</v>
      </c>
      <c r="C280" s="12">
        <v>3635</v>
      </c>
      <c r="D280" s="12" t="s">
        <v>75</v>
      </c>
      <c r="E280" s="12">
        <v>5175</v>
      </c>
      <c r="F280" s="12" t="s">
        <v>335</v>
      </c>
      <c r="G280" s="333"/>
      <c r="H280" s="334">
        <v>43</v>
      </c>
      <c r="I280" s="335">
        <v>43</v>
      </c>
      <c r="J280" s="336">
        <v>6</v>
      </c>
      <c r="K280" s="337">
        <f t="shared" si="13"/>
        <v>-37</v>
      </c>
      <c r="L280" s="338">
        <f t="shared" si="14"/>
        <v>13.953488372093023</v>
      </c>
    </row>
    <row r="281" spans="1:12">
      <c r="A281" s="315">
        <f t="shared" si="12"/>
        <v>280</v>
      </c>
      <c r="B281" s="480">
        <v>4100</v>
      </c>
      <c r="C281" s="12">
        <v>3635</v>
      </c>
      <c r="D281" s="12" t="s">
        <v>75</v>
      </c>
      <c r="E281" s="12">
        <v>5192</v>
      </c>
      <c r="F281" s="12" t="s">
        <v>351</v>
      </c>
      <c r="G281" s="158"/>
      <c r="H281" s="334"/>
      <c r="I281" s="335">
        <v>28</v>
      </c>
      <c r="J281" s="336">
        <v>27</v>
      </c>
      <c r="K281" s="337">
        <f t="shared" si="13"/>
        <v>-1</v>
      </c>
      <c r="L281" s="338">
        <f t="shared" si="14"/>
        <v>96.428571428571431</v>
      </c>
    </row>
    <row r="282" spans="1:12">
      <c r="A282" s="315">
        <f t="shared" si="12"/>
        <v>281</v>
      </c>
      <c r="B282" s="482"/>
      <c r="C282" s="374" t="s">
        <v>369</v>
      </c>
      <c r="D282" s="374"/>
      <c r="E282" s="374"/>
      <c r="F282" s="374"/>
      <c r="G282" s="485"/>
      <c r="H282" s="486">
        <f>SUBTOTAL(9,H272:H280)</f>
        <v>12404</v>
      </c>
      <c r="I282" s="487">
        <f>SUBTOTAL(9,I272:I281)</f>
        <v>9604</v>
      </c>
      <c r="J282" s="488">
        <f>SUBTOTAL(9,J272:J281)</f>
        <v>3871</v>
      </c>
      <c r="K282" s="489">
        <f t="shared" si="13"/>
        <v>-5733</v>
      </c>
      <c r="L282" s="490">
        <f t="shared" si="14"/>
        <v>40.306122448979593</v>
      </c>
    </row>
    <row r="283" spans="1:12">
      <c r="A283" s="315">
        <f t="shared" si="12"/>
        <v>282</v>
      </c>
      <c r="B283" s="381">
        <v>4100</v>
      </c>
      <c r="C283" s="10">
        <v>3636</v>
      </c>
      <c r="D283" s="353" t="s">
        <v>174</v>
      </c>
      <c r="E283" s="10">
        <v>5139</v>
      </c>
      <c r="F283" s="10" t="s">
        <v>342</v>
      </c>
      <c r="G283" s="333" t="s">
        <v>359</v>
      </c>
      <c r="H283" s="334">
        <v>300</v>
      </c>
      <c r="I283" s="335">
        <v>219</v>
      </c>
      <c r="J283" s="336">
        <v>119</v>
      </c>
      <c r="K283" s="436">
        <f t="shared" si="13"/>
        <v>-100</v>
      </c>
      <c r="L283" s="437">
        <f t="shared" si="14"/>
        <v>54.337899543378995</v>
      </c>
    </row>
    <row r="284" spans="1:12">
      <c r="A284" s="315">
        <f t="shared" si="12"/>
        <v>283</v>
      </c>
      <c r="B284" s="381">
        <v>4100</v>
      </c>
      <c r="C284" s="10">
        <v>3636</v>
      </c>
      <c r="D284" s="353" t="s">
        <v>174</v>
      </c>
      <c r="E284" s="10">
        <v>5164</v>
      </c>
      <c r="F284" s="382" t="s">
        <v>350</v>
      </c>
      <c r="G284" s="333" t="s">
        <v>359</v>
      </c>
      <c r="H284" s="334">
        <v>50</v>
      </c>
      <c r="I284" s="335">
        <v>50</v>
      </c>
      <c r="J284" s="336">
        <v>10</v>
      </c>
      <c r="K284" s="436">
        <f t="shared" si="13"/>
        <v>-40</v>
      </c>
      <c r="L284" s="437">
        <f t="shared" si="14"/>
        <v>20</v>
      </c>
    </row>
    <row r="285" spans="1:12">
      <c r="A285" s="315">
        <f t="shared" si="12"/>
        <v>284</v>
      </c>
      <c r="B285" s="381">
        <v>4100</v>
      </c>
      <c r="C285" s="10">
        <v>3636</v>
      </c>
      <c r="D285" s="353" t="s">
        <v>174</v>
      </c>
      <c r="E285" s="10">
        <v>5166</v>
      </c>
      <c r="F285" s="382" t="s">
        <v>309</v>
      </c>
      <c r="G285" s="333"/>
      <c r="H285" s="334">
        <v>1750</v>
      </c>
      <c r="I285" s="335">
        <v>1750</v>
      </c>
      <c r="J285" s="336">
        <v>150</v>
      </c>
      <c r="K285" s="436">
        <f t="shared" si="13"/>
        <v>-1600</v>
      </c>
      <c r="L285" s="437">
        <f t="shared" si="14"/>
        <v>8.5714285714285712</v>
      </c>
    </row>
    <row r="286" spans="1:12">
      <c r="A286" s="315">
        <f t="shared" si="12"/>
        <v>285</v>
      </c>
      <c r="B286" s="381">
        <v>4100</v>
      </c>
      <c r="C286" s="10">
        <v>3636</v>
      </c>
      <c r="D286" s="353" t="s">
        <v>174</v>
      </c>
      <c r="E286" s="10">
        <v>5166</v>
      </c>
      <c r="F286" s="382" t="s">
        <v>309</v>
      </c>
      <c r="G286" s="333" t="s">
        <v>359</v>
      </c>
      <c r="H286" s="334">
        <v>480</v>
      </c>
      <c r="I286" s="335">
        <v>480</v>
      </c>
      <c r="J286" s="336">
        <v>428</v>
      </c>
      <c r="K286" s="436">
        <f t="shared" si="13"/>
        <v>-52</v>
      </c>
      <c r="L286" s="437">
        <f t="shared" si="14"/>
        <v>89.166666666666671</v>
      </c>
    </row>
    <row r="287" spans="1:12">
      <c r="A287" s="315">
        <f t="shared" si="12"/>
        <v>286</v>
      </c>
      <c r="B287" s="381">
        <v>4100</v>
      </c>
      <c r="C287" s="10">
        <v>3636</v>
      </c>
      <c r="D287" s="353" t="s">
        <v>174</v>
      </c>
      <c r="E287" s="10">
        <v>5169</v>
      </c>
      <c r="F287" s="10" t="s">
        <v>313</v>
      </c>
      <c r="G287" s="333"/>
      <c r="H287" s="334">
        <v>430</v>
      </c>
      <c r="I287" s="335">
        <v>430</v>
      </c>
      <c r="J287" s="336">
        <v>167</v>
      </c>
      <c r="K287" s="436">
        <f t="shared" si="13"/>
        <v>-263</v>
      </c>
      <c r="L287" s="437">
        <f t="shared" si="14"/>
        <v>38.837209302325583</v>
      </c>
    </row>
    <row r="288" spans="1:12">
      <c r="A288" s="315">
        <f t="shared" si="12"/>
        <v>287</v>
      </c>
      <c r="B288" s="381">
        <v>4100</v>
      </c>
      <c r="C288" s="10">
        <v>3636</v>
      </c>
      <c r="D288" s="353" t="s">
        <v>174</v>
      </c>
      <c r="E288" s="10">
        <v>5169</v>
      </c>
      <c r="F288" s="10" t="s">
        <v>313</v>
      </c>
      <c r="G288" s="333" t="s">
        <v>359</v>
      </c>
      <c r="H288" s="334">
        <v>400</v>
      </c>
      <c r="I288" s="335">
        <v>477</v>
      </c>
      <c r="J288" s="336">
        <v>477</v>
      </c>
      <c r="K288" s="436">
        <f t="shared" si="13"/>
        <v>0</v>
      </c>
      <c r="L288" s="437">
        <f t="shared" si="14"/>
        <v>100</v>
      </c>
    </row>
    <row r="289" spans="1:12">
      <c r="A289" s="315">
        <f t="shared" si="12"/>
        <v>288</v>
      </c>
      <c r="B289" s="381">
        <v>4100</v>
      </c>
      <c r="C289" s="10">
        <v>3636</v>
      </c>
      <c r="D289" s="353" t="s">
        <v>174</v>
      </c>
      <c r="E289" s="10">
        <v>5173</v>
      </c>
      <c r="F289" s="383" t="s">
        <v>363</v>
      </c>
      <c r="G289" s="333" t="s">
        <v>359</v>
      </c>
      <c r="H289" s="334"/>
      <c r="I289" s="335">
        <v>4</v>
      </c>
      <c r="J289" s="336">
        <v>3</v>
      </c>
      <c r="K289" s="436">
        <f t="shared" si="13"/>
        <v>-1</v>
      </c>
      <c r="L289" s="437">
        <f t="shared" si="14"/>
        <v>75</v>
      </c>
    </row>
    <row r="290" spans="1:12">
      <c r="A290" s="315">
        <f t="shared" si="12"/>
        <v>289</v>
      </c>
      <c r="B290" s="381">
        <v>4100</v>
      </c>
      <c r="C290" s="10">
        <v>3636</v>
      </c>
      <c r="D290" s="353" t="s">
        <v>174</v>
      </c>
      <c r="E290" s="10">
        <v>5175</v>
      </c>
      <c r="F290" s="10" t="s">
        <v>335</v>
      </c>
      <c r="G290" s="333" t="s">
        <v>359</v>
      </c>
      <c r="H290" s="334">
        <v>100</v>
      </c>
      <c r="I290" s="335">
        <v>100</v>
      </c>
      <c r="J290" s="336">
        <v>92</v>
      </c>
      <c r="K290" s="436">
        <f t="shared" si="13"/>
        <v>-8</v>
      </c>
      <c r="L290" s="437">
        <f t="shared" si="14"/>
        <v>92</v>
      </c>
    </row>
    <row r="291" spans="1:12">
      <c r="A291" s="315">
        <f t="shared" si="12"/>
        <v>290</v>
      </c>
      <c r="B291" s="381">
        <v>4100</v>
      </c>
      <c r="C291" s="10">
        <v>3636</v>
      </c>
      <c r="D291" s="353" t="s">
        <v>174</v>
      </c>
      <c r="E291" s="10">
        <v>5331</v>
      </c>
      <c r="F291" s="383" t="s">
        <v>338</v>
      </c>
      <c r="G291" s="333" t="s">
        <v>359</v>
      </c>
      <c r="H291" s="334"/>
      <c r="I291" s="335">
        <v>73</v>
      </c>
      <c r="J291" s="336">
        <v>73</v>
      </c>
      <c r="K291" s="436">
        <f t="shared" si="13"/>
        <v>0</v>
      </c>
      <c r="L291" s="437">
        <f t="shared" si="14"/>
        <v>100</v>
      </c>
    </row>
    <row r="292" spans="1:12">
      <c r="A292" s="315">
        <f t="shared" si="12"/>
        <v>291</v>
      </c>
      <c r="B292" s="424"/>
      <c r="C292" s="425" t="s">
        <v>353</v>
      </c>
      <c r="D292" s="425"/>
      <c r="E292" s="425"/>
      <c r="F292" s="425"/>
      <c r="G292" s="426"/>
      <c r="H292" s="427">
        <f>SUBTOTAL(9,H283:H291)</f>
        <v>3510</v>
      </c>
      <c r="I292" s="428">
        <f>SUBTOTAL(9,I283:I291)</f>
        <v>3583</v>
      </c>
      <c r="J292" s="429">
        <f>SUBTOTAL(9,J283:J291)</f>
        <v>1519</v>
      </c>
      <c r="K292" s="430">
        <f t="shared" si="13"/>
        <v>-2064</v>
      </c>
      <c r="L292" s="431">
        <f t="shared" si="14"/>
        <v>42.394641361987162</v>
      </c>
    </row>
    <row r="293" spans="1:12">
      <c r="A293" s="315">
        <f t="shared" si="12"/>
        <v>292</v>
      </c>
      <c r="B293" s="381">
        <v>4100</v>
      </c>
      <c r="C293" s="10">
        <v>3639</v>
      </c>
      <c r="D293" s="353" t="s">
        <v>42</v>
      </c>
      <c r="E293" s="10">
        <v>5163</v>
      </c>
      <c r="F293" s="382" t="s">
        <v>318</v>
      </c>
      <c r="G293" s="435" t="s">
        <v>359</v>
      </c>
      <c r="H293" s="334">
        <v>10</v>
      </c>
      <c r="I293" s="335">
        <v>10</v>
      </c>
      <c r="J293" s="336">
        <v>5</v>
      </c>
      <c r="K293" s="436">
        <f t="shared" si="13"/>
        <v>-5</v>
      </c>
      <c r="L293" s="437">
        <f t="shared" si="14"/>
        <v>50</v>
      </c>
    </row>
    <row r="294" spans="1:12">
      <c r="A294" s="315">
        <f t="shared" si="12"/>
        <v>293</v>
      </c>
      <c r="B294" s="381">
        <v>4100</v>
      </c>
      <c r="C294" s="10">
        <v>3639</v>
      </c>
      <c r="D294" s="353" t="s">
        <v>42</v>
      </c>
      <c r="E294" s="10">
        <v>5166</v>
      </c>
      <c r="F294" s="382" t="s">
        <v>309</v>
      </c>
      <c r="G294" s="435" t="s">
        <v>359</v>
      </c>
      <c r="H294" s="334">
        <v>12440</v>
      </c>
      <c r="I294" s="335">
        <v>3760</v>
      </c>
      <c r="J294" s="336">
        <v>2463</v>
      </c>
      <c r="K294" s="436">
        <f t="shared" si="13"/>
        <v>-1297</v>
      </c>
      <c r="L294" s="437">
        <f t="shared" si="14"/>
        <v>65.505319148936167</v>
      </c>
    </row>
    <row r="295" spans="1:12">
      <c r="A295" s="315">
        <f t="shared" si="12"/>
        <v>294</v>
      </c>
      <c r="B295" s="381">
        <v>4100</v>
      </c>
      <c r="C295" s="10">
        <v>3639</v>
      </c>
      <c r="D295" s="353" t="s">
        <v>42</v>
      </c>
      <c r="E295" s="10">
        <v>5169</v>
      </c>
      <c r="F295" s="10" t="s">
        <v>313</v>
      </c>
      <c r="G295" s="435" t="s">
        <v>359</v>
      </c>
      <c r="H295" s="334"/>
      <c r="I295" s="335">
        <v>21</v>
      </c>
      <c r="J295" s="336">
        <v>21</v>
      </c>
      <c r="K295" s="436">
        <f t="shared" si="13"/>
        <v>0</v>
      </c>
      <c r="L295" s="437">
        <f t="shared" si="14"/>
        <v>100</v>
      </c>
    </row>
    <row r="296" spans="1:12">
      <c r="A296" s="315">
        <f t="shared" si="12"/>
        <v>295</v>
      </c>
      <c r="B296" s="381">
        <v>4100</v>
      </c>
      <c r="C296" s="10">
        <v>3639</v>
      </c>
      <c r="D296" s="353" t="s">
        <v>42</v>
      </c>
      <c r="E296" s="10">
        <v>5363</v>
      </c>
      <c r="F296" s="382" t="s">
        <v>426</v>
      </c>
      <c r="G296" s="435" t="s">
        <v>359</v>
      </c>
      <c r="H296" s="334"/>
      <c r="I296" s="335">
        <v>2</v>
      </c>
      <c r="J296" s="336">
        <v>2</v>
      </c>
      <c r="K296" s="436">
        <f t="shared" si="13"/>
        <v>0</v>
      </c>
      <c r="L296" s="437">
        <f t="shared" si="14"/>
        <v>100</v>
      </c>
    </row>
    <row r="297" spans="1:12">
      <c r="A297" s="315">
        <f t="shared" si="12"/>
        <v>296</v>
      </c>
      <c r="B297" s="424"/>
      <c r="C297" s="425" t="s">
        <v>427</v>
      </c>
      <c r="D297" s="425"/>
      <c r="E297" s="425"/>
      <c r="F297" s="425"/>
      <c r="G297" s="426"/>
      <c r="H297" s="427">
        <f>SUBTOTAL(9,H293:H296)</f>
        <v>12450</v>
      </c>
      <c r="I297" s="428">
        <f>SUBTOTAL(9,I293:I296)</f>
        <v>3793</v>
      </c>
      <c r="J297" s="429">
        <f>SUBTOTAL(9,J293:J296)</f>
        <v>2491</v>
      </c>
      <c r="K297" s="430">
        <f t="shared" si="13"/>
        <v>-1302</v>
      </c>
      <c r="L297" s="431">
        <f t="shared" si="14"/>
        <v>65.673609280253103</v>
      </c>
    </row>
    <row r="298" spans="1:12">
      <c r="A298" s="315">
        <f t="shared" si="12"/>
        <v>297</v>
      </c>
      <c r="B298" s="392">
        <v>4100</v>
      </c>
      <c r="C298" s="393">
        <v>3743</v>
      </c>
      <c r="D298" s="393" t="s">
        <v>428</v>
      </c>
      <c r="E298" s="393">
        <v>5166</v>
      </c>
      <c r="F298" s="382" t="s">
        <v>309</v>
      </c>
      <c r="G298" s="435" t="s">
        <v>359</v>
      </c>
      <c r="H298" s="334">
        <v>0</v>
      </c>
      <c r="I298" s="335">
        <v>17</v>
      </c>
      <c r="J298" s="336">
        <v>16</v>
      </c>
      <c r="K298" s="432">
        <f t="shared" si="13"/>
        <v>-1</v>
      </c>
      <c r="L298" s="433">
        <f t="shared" si="14"/>
        <v>94.117647058823522</v>
      </c>
    </row>
    <row r="299" spans="1:12">
      <c r="A299" s="315">
        <f t="shared" si="12"/>
        <v>298</v>
      </c>
      <c r="B299" s="424"/>
      <c r="C299" s="425" t="s">
        <v>429</v>
      </c>
      <c r="D299" s="425"/>
      <c r="E299" s="425"/>
      <c r="F299" s="425"/>
      <c r="G299" s="426"/>
      <c r="H299" s="473">
        <f>SUBTOTAL(9,H298)</f>
        <v>0</v>
      </c>
      <c r="I299" s="428">
        <f>SUBTOTAL(9,I298)</f>
        <v>17</v>
      </c>
      <c r="J299" s="429">
        <f>SUBTOTAL(9,J298)</f>
        <v>16</v>
      </c>
      <c r="K299" s="474">
        <f t="shared" si="13"/>
        <v>-1</v>
      </c>
      <c r="L299" s="475">
        <f t="shared" si="14"/>
        <v>94.117647058823522</v>
      </c>
    </row>
    <row r="300" spans="1:12">
      <c r="A300" s="315">
        <f t="shared" si="12"/>
        <v>299</v>
      </c>
      <c r="B300" s="381">
        <v>4100</v>
      </c>
      <c r="C300" s="10">
        <v>3745</v>
      </c>
      <c r="D300" s="353" t="s">
        <v>2</v>
      </c>
      <c r="E300" s="10">
        <v>5166</v>
      </c>
      <c r="F300" s="382" t="s">
        <v>309</v>
      </c>
      <c r="G300" s="435" t="s">
        <v>359</v>
      </c>
      <c r="H300" s="334">
        <v>0</v>
      </c>
      <c r="I300" s="335">
        <v>198</v>
      </c>
      <c r="J300" s="336">
        <v>11</v>
      </c>
      <c r="K300" s="432">
        <f t="shared" si="13"/>
        <v>-187</v>
      </c>
      <c r="L300" s="433">
        <f t="shared" si="14"/>
        <v>5.5555555555555554</v>
      </c>
    </row>
    <row r="301" spans="1:12">
      <c r="A301" s="315">
        <f t="shared" si="12"/>
        <v>300</v>
      </c>
      <c r="B301" s="381">
        <v>4100</v>
      </c>
      <c r="C301" s="10">
        <v>3745</v>
      </c>
      <c r="D301" s="353" t="s">
        <v>2</v>
      </c>
      <c r="E301" s="10">
        <v>5169</v>
      </c>
      <c r="F301" s="10" t="s">
        <v>313</v>
      </c>
      <c r="G301" s="435" t="s">
        <v>359</v>
      </c>
      <c r="H301" s="334">
        <v>9840</v>
      </c>
      <c r="I301" s="335">
        <v>14350</v>
      </c>
      <c r="J301" s="336">
        <v>13605</v>
      </c>
      <c r="K301" s="436">
        <f t="shared" si="13"/>
        <v>-745</v>
      </c>
      <c r="L301" s="437">
        <f t="shared" si="14"/>
        <v>94.808362369337985</v>
      </c>
    </row>
    <row r="302" spans="1:12">
      <c r="A302" s="315">
        <f t="shared" si="12"/>
        <v>301</v>
      </c>
      <c r="B302" s="424"/>
      <c r="C302" s="425" t="s">
        <v>430</v>
      </c>
      <c r="D302" s="425"/>
      <c r="E302" s="425"/>
      <c r="F302" s="425"/>
      <c r="G302" s="426"/>
      <c r="H302" s="473">
        <f>SUBTOTAL(9,H300:H301)</f>
        <v>9840</v>
      </c>
      <c r="I302" s="428">
        <f>SUBTOTAL(9,I300:I301)</f>
        <v>14548</v>
      </c>
      <c r="J302" s="429">
        <f>SUBTOTAL(9,J300:J301)</f>
        <v>13616</v>
      </c>
      <c r="K302" s="474">
        <f t="shared" si="13"/>
        <v>-932</v>
      </c>
      <c r="L302" s="475">
        <f t="shared" si="14"/>
        <v>93.593621116304647</v>
      </c>
    </row>
    <row r="303" spans="1:12">
      <c r="A303" s="315">
        <f t="shared" si="12"/>
        <v>302</v>
      </c>
      <c r="B303" s="381">
        <v>4100</v>
      </c>
      <c r="C303" s="393">
        <v>4341</v>
      </c>
      <c r="D303" s="434" t="s">
        <v>431</v>
      </c>
      <c r="E303" s="393">
        <v>5166</v>
      </c>
      <c r="F303" s="382" t="s">
        <v>309</v>
      </c>
      <c r="G303" s="435" t="s">
        <v>359</v>
      </c>
      <c r="H303" s="334">
        <v>85</v>
      </c>
      <c r="I303" s="335">
        <v>85</v>
      </c>
      <c r="J303" s="336">
        <v>83</v>
      </c>
      <c r="K303" s="432">
        <f t="shared" si="13"/>
        <v>-2</v>
      </c>
      <c r="L303" s="433">
        <f t="shared" si="14"/>
        <v>97.647058823529406</v>
      </c>
    </row>
    <row r="304" spans="1:12">
      <c r="A304" s="315">
        <f t="shared" si="12"/>
        <v>303</v>
      </c>
      <c r="B304" s="381">
        <v>4100</v>
      </c>
      <c r="C304" s="393">
        <v>4341</v>
      </c>
      <c r="D304" s="434" t="s">
        <v>431</v>
      </c>
      <c r="E304" s="393">
        <v>5169</v>
      </c>
      <c r="F304" s="10" t="s">
        <v>313</v>
      </c>
      <c r="G304" s="435" t="s">
        <v>359</v>
      </c>
      <c r="H304" s="334">
        <v>10</v>
      </c>
      <c r="I304" s="335">
        <v>10</v>
      </c>
      <c r="J304" s="336"/>
      <c r="K304" s="432">
        <f t="shared" si="13"/>
        <v>-10</v>
      </c>
      <c r="L304" s="433">
        <f t="shared" si="14"/>
        <v>0</v>
      </c>
    </row>
    <row r="305" spans="1:12">
      <c r="A305" s="315">
        <f t="shared" si="12"/>
        <v>304</v>
      </c>
      <c r="B305" s="424"/>
      <c r="C305" s="425" t="s">
        <v>432</v>
      </c>
      <c r="D305" s="425"/>
      <c r="E305" s="425"/>
      <c r="F305" s="425"/>
      <c r="G305" s="426"/>
      <c r="H305" s="473">
        <f>SUBTOTAL(9,H303:H304)</f>
        <v>95</v>
      </c>
      <c r="I305" s="428">
        <f>SUBTOTAL(9,I303:I304)</f>
        <v>95</v>
      </c>
      <c r="J305" s="429">
        <f>SUBTOTAL(9,J303:J304)</f>
        <v>83</v>
      </c>
      <c r="K305" s="474">
        <f t="shared" si="13"/>
        <v>-12</v>
      </c>
      <c r="L305" s="475">
        <f t="shared" si="14"/>
        <v>87.368421052631589</v>
      </c>
    </row>
    <row r="306" spans="1:12">
      <c r="A306" s="315">
        <f t="shared" si="12"/>
        <v>305</v>
      </c>
      <c r="B306" s="381">
        <v>4100</v>
      </c>
      <c r="C306" s="10">
        <v>6171</v>
      </c>
      <c r="D306" s="10" t="s">
        <v>9</v>
      </c>
      <c r="E306" s="10">
        <v>5137</v>
      </c>
      <c r="F306" s="12" t="s">
        <v>346</v>
      </c>
      <c r="G306" s="333" t="s">
        <v>359</v>
      </c>
      <c r="H306" s="334">
        <v>0</v>
      </c>
      <c r="I306" s="335">
        <v>196</v>
      </c>
      <c r="J306" s="336">
        <v>196</v>
      </c>
      <c r="K306" s="436">
        <f t="shared" si="13"/>
        <v>0</v>
      </c>
      <c r="L306" s="437">
        <f t="shared" si="14"/>
        <v>100</v>
      </c>
    </row>
    <row r="307" spans="1:12" ht="12.75" customHeight="1">
      <c r="A307" s="315">
        <f t="shared" si="12"/>
        <v>306</v>
      </c>
      <c r="B307" s="381">
        <v>4100</v>
      </c>
      <c r="C307" s="10">
        <v>6171</v>
      </c>
      <c r="D307" s="10" t="s">
        <v>9</v>
      </c>
      <c r="E307" s="10">
        <v>5139</v>
      </c>
      <c r="F307" s="10" t="s">
        <v>342</v>
      </c>
      <c r="G307" s="333" t="s">
        <v>359</v>
      </c>
      <c r="H307" s="334">
        <v>0</v>
      </c>
      <c r="I307" s="335">
        <v>20</v>
      </c>
      <c r="J307" s="336">
        <v>15</v>
      </c>
      <c r="K307" s="436">
        <f t="shared" si="13"/>
        <v>-5</v>
      </c>
      <c r="L307" s="437">
        <f t="shared" si="14"/>
        <v>75</v>
      </c>
    </row>
    <row r="308" spans="1:12">
      <c r="A308" s="315">
        <f t="shared" si="12"/>
        <v>307</v>
      </c>
      <c r="B308" s="381">
        <v>4100</v>
      </c>
      <c r="C308" s="10">
        <v>6171</v>
      </c>
      <c r="D308" s="10" t="s">
        <v>9</v>
      </c>
      <c r="E308" s="10">
        <v>5164</v>
      </c>
      <c r="F308" s="12" t="s">
        <v>350</v>
      </c>
      <c r="G308" s="333" t="s">
        <v>359</v>
      </c>
      <c r="H308" s="334">
        <v>20</v>
      </c>
      <c r="I308" s="335">
        <v>20</v>
      </c>
      <c r="J308" s="336"/>
      <c r="K308" s="436">
        <f t="shared" si="13"/>
        <v>-20</v>
      </c>
      <c r="L308" s="437">
        <f t="shared" si="14"/>
        <v>0</v>
      </c>
    </row>
    <row r="309" spans="1:12">
      <c r="A309" s="315">
        <f t="shared" si="12"/>
        <v>308</v>
      </c>
      <c r="B309" s="381">
        <v>4100</v>
      </c>
      <c r="C309" s="10">
        <v>6171</v>
      </c>
      <c r="D309" s="10" t="s">
        <v>9</v>
      </c>
      <c r="E309" s="10">
        <v>5166</v>
      </c>
      <c r="F309" s="382" t="s">
        <v>309</v>
      </c>
      <c r="G309" s="333" t="s">
        <v>359</v>
      </c>
      <c r="H309" s="334">
        <v>700</v>
      </c>
      <c r="I309" s="335">
        <v>1500</v>
      </c>
      <c r="J309" s="336">
        <v>756</v>
      </c>
      <c r="K309" s="436">
        <f t="shared" si="13"/>
        <v>-744</v>
      </c>
      <c r="L309" s="437">
        <f t="shared" si="14"/>
        <v>50.4</v>
      </c>
    </row>
    <row r="310" spans="1:12">
      <c r="A310" s="315">
        <f t="shared" si="12"/>
        <v>309</v>
      </c>
      <c r="B310" s="381">
        <v>4100</v>
      </c>
      <c r="C310" s="10">
        <v>6171</v>
      </c>
      <c r="D310" s="10" t="s">
        <v>9</v>
      </c>
      <c r="E310" s="10">
        <v>5167</v>
      </c>
      <c r="F310" s="382" t="s">
        <v>393</v>
      </c>
      <c r="G310" s="333" t="s">
        <v>359</v>
      </c>
      <c r="H310" s="334"/>
      <c r="I310" s="335">
        <v>401</v>
      </c>
      <c r="J310" s="336">
        <v>401</v>
      </c>
      <c r="K310" s="436">
        <f t="shared" si="13"/>
        <v>0</v>
      </c>
      <c r="L310" s="437">
        <f t="shared" si="14"/>
        <v>100</v>
      </c>
    </row>
    <row r="311" spans="1:12">
      <c r="A311" s="315">
        <f t="shared" si="12"/>
        <v>310</v>
      </c>
      <c r="B311" s="381">
        <v>4100</v>
      </c>
      <c r="C311" s="10">
        <v>6171</v>
      </c>
      <c r="D311" s="10" t="s">
        <v>9</v>
      </c>
      <c r="E311" s="10">
        <v>5169</v>
      </c>
      <c r="F311" s="10" t="s">
        <v>313</v>
      </c>
      <c r="G311" s="333" t="s">
        <v>359</v>
      </c>
      <c r="H311" s="334">
        <v>340</v>
      </c>
      <c r="I311" s="335">
        <v>2745</v>
      </c>
      <c r="J311" s="336">
        <v>1540</v>
      </c>
      <c r="K311" s="436">
        <f t="shared" si="13"/>
        <v>-1205</v>
      </c>
      <c r="L311" s="437">
        <f t="shared" si="14"/>
        <v>56.102003642987256</v>
      </c>
    </row>
    <row r="312" spans="1:12">
      <c r="A312" s="315">
        <f t="shared" si="12"/>
        <v>311</v>
      </c>
      <c r="B312" s="381">
        <v>4100</v>
      </c>
      <c r="C312" s="10">
        <v>6171</v>
      </c>
      <c r="D312" s="10" t="s">
        <v>9</v>
      </c>
      <c r="E312" s="10">
        <v>5175</v>
      </c>
      <c r="F312" s="10" t="s">
        <v>335</v>
      </c>
      <c r="G312" s="333" t="s">
        <v>359</v>
      </c>
      <c r="H312" s="334">
        <v>80</v>
      </c>
      <c r="I312" s="335">
        <v>80</v>
      </c>
      <c r="J312" s="336"/>
      <c r="K312" s="436">
        <f t="shared" si="13"/>
        <v>-80</v>
      </c>
      <c r="L312" s="437">
        <f t="shared" si="14"/>
        <v>0</v>
      </c>
    </row>
    <row r="313" spans="1:12">
      <c r="A313" s="315">
        <f t="shared" si="12"/>
        <v>312</v>
      </c>
      <c r="B313" s="424"/>
      <c r="C313" s="425" t="s">
        <v>315</v>
      </c>
      <c r="D313" s="425"/>
      <c r="E313" s="425"/>
      <c r="F313" s="425"/>
      <c r="G313" s="426"/>
      <c r="H313" s="427">
        <f>SUBTOTAL(9,H306:H312)</f>
        <v>1140</v>
      </c>
      <c r="I313" s="428">
        <f>SUBTOTAL(9,I306:I312)</f>
        <v>4962</v>
      </c>
      <c r="J313" s="429">
        <f>SUBTOTAL(9,J306:J312)</f>
        <v>2908</v>
      </c>
      <c r="K313" s="430">
        <f t="shared" si="13"/>
        <v>-2054</v>
      </c>
      <c r="L313" s="431">
        <f t="shared" si="14"/>
        <v>58.605401047964534</v>
      </c>
    </row>
    <row r="314" spans="1:12" ht="13.5" thickBot="1">
      <c r="A314" s="315">
        <f t="shared" si="12"/>
        <v>313</v>
      </c>
      <c r="B314" s="29" t="s">
        <v>211</v>
      </c>
      <c r="C314" s="357"/>
      <c r="D314" s="357"/>
      <c r="E314" s="357"/>
      <c r="F314" s="357"/>
      <c r="G314" s="358"/>
      <c r="H314" s="359">
        <f>SUBTOTAL(9,H236:H313)</f>
        <v>49026</v>
      </c>
      <c r="I314" s="360">
        <f>SUBTOTAL(9,I236:I313)</f>
        <v>53947</v>
      </c>
      <c r="J314" s="361">
        <f>SUBTOTAL(9,J236:J313)</f>
        <v>40202</v>
      </c>
      <c r="K314" s="362">
        <f t="shared" si="13"/>
        <v>-13745</v>
      </c>
      <c r="L314" s="363">
        <f t="shared" si="14"/>
        <v>74.521289413683803</v>
      </c>
    </row>
    <row r="315" spans="1:12">
      <c r="A315" s="315">
        <f t="shared" si="12"/>
        <v>314</v>
      </c>
      <c r="B315" s="91"/>
      <c r="C315" s="409"/>
      <c r="D315" s="409"/>
      <c r="E315" s="409"/>
      <c r="F315" s="409"/>
      <c r="G315" s="410"/>
      <c r="H315" s="411"/>
      <c r="I315" s="412"/>
      <c r="J315" s="413"/>
      <c r="K315" s="414">
        <f t="shared" si="13"/>
        <v>0</v>
      </c>
      <c r="L315" s="415">
        <f t="shared" si="14"/>
        <v>0</v>
      </c>
    </row>
    <row r="316" spans="1:12" ht="15.75">
      <c r="A316" s="315">
        <f t="shared" si="12"/>
        <v>315</v>
      </c>
      <c r="B316" s="499" t="s">
        <v>4</v>
      </c>
      <c r="C316" s="10"/>
      <c r="D316" s="10"/>
      <c r="E316" s="10"/>
      <c r="F316" s="10"/>
      <c r="G316" s="333"/>
      <c r="H316" s="334"/>
      <c r="I316" s="335"/>
      <c r="J316" s="336"/>
      <c r="K316" s="337">
        <f t="shared" si="13"/>
        <v>0</v>
      </c>
      <c r="L316" s="338">
        <f t="shared" si="14"/>
        <v>0</v>
      </c>
    </row>
    <row r="317" spans="1:12">
      <c r="A317" s="315">
        <f t="shared" si="12"/>
        <v>316</v>
      </c>
      <c r="B317" s="500">
        <v>4200</v>
      </c>
      <c r="C317" s="501">
        <v>1014</v>
      </c>
      <c r="D317" s="502" t="s">
        <v>433</v>
      </c>
      <c r="E317" s="501">
        <v>5166</v>
      </c>
      <c r="F317" s="502" t="s">
        <v>434</v>
      </c>
      <c r="G317" s="503"/>
      <c r="H317" s="334">
        <v>50</v>
      </c>
      <c r="I317" s="335">
        <v>50</v>
      </c>
      <c r="J317" s="336">
        <v>24</v>
      </c>
      <c r="K317" s="504">
        <f t="shared" si="13"/>
        <v>-26</v>
      </c>
      <c r="L317" s="505">
        <f t="shared" si="14"/>
        <v>48</v>
      </c>
    </row>
    <row r="318" spans="1:12">
      <c r="A318" s="315">
        <f t="shared" si="12"/>
        <v>317</v>
      </c>
      <c r="B318" s="381">
        <v>4200</v>
      </c>
      <c r="C318" s="10">
        <v>1014</v>
      </c>
      <c r="D318" s="501" t="s">
        <v>433</v>
      </c>
      <c r="E318" s="10">
        <v>5169</v>
      </c>
      <c r="F318" s="10" t="s">
        <v>313</v>
      </c>
      <c r="G318" s="333"/>
      <c r="H318" s="334">
        <v>100</v>
      </c>
      <c r="I318" s="335">
        <v>10</v>
      </c>
      <c r="J318" s="336"/>
      <c r="K318" s="337">
        <f t="shared" si="13"/>
        <v>-10</v>
      </c>
      <c r="L318" s="338">
        <f t="shared" si="14"/>
        <v>0</v>
      </c>
    </row>
    <row r="319" spans="1:12">
      <c r="A319" s="315">
        <f t="shared" si="12"/>
        <v>318</v>
      </c>
      <c r="B319" s="381">
        <v>4200</v>
      </c>
      <c r="C319" s="10">
        <v>1014</v>
      </c>
      <c r="D319" s="501" t="s">
        <v>433</v>
      </c>
      <c r="E319" s="10">
        <v>5192</v>
      </c>
      <c r="F319" s="10" t="s">
        <v>351</v>
      </c>
      <c r="G319" s="333"/>
      <c r="H319" s="334"/>
      <c r="I319" s="335">
        <v>90</v>
      </c>
      <c r="J319" s="336">
        <v>90</v>
      </c>
      <c r="K319" s="337">
        <f t="shared" si="13"/>
        <v>0</v>
      </c>
      <c r="L319" s="338">
        <f t="shared" si="14"/>
        <v>100</v>
      </c>
    </row>
    <row r="320" spans="1:12">
      <c r="A320" s="315">
        <f t="shared" si="12"/>
        <v>319</v>
      </c>
      <c r="B320" s="28"/>
      <c r="C320" s="343" t="s">
        <v>435</v>
      </c>
      <c r="D320" s="343"/>
      <c r="E320" s="343"/>
      <c r="F320" s="343"/>
      <c r="G320" s="344"/>
      <c r="H320" s="473">
        <f>SUBTOTAL(9,H317:H319)</f>
        <v>150</v>
      </c>
      <c r="I320" s="428">
        <f>SUBTOTAL(9,I317:I319)</f>
        <v>150</v>
      </c>
      <c r="J320" s="429">
        <f>SUBTOTAL(9,J317:J319)</f>
        <v>114</v>
      </c>
      <c r="K320" s="474">
        <f t="shared" si="13"/>
        <v>-36</v>
      </c>
      <c r="L320" s="475">
        <f t="shared" si="14"/>
        <v>76</v>
      </c>
    </row>
    <row r="321" spans="1:12">
      <c r="A321" s="315">
        <f t="shared" si="12"/>
        <v>320</v>
      </c>
      <c r="B321" s="381">
        <v>4200</v>
      </c>
      <c r="C321" s="10">
        <v>3632</v>
      </c>
      <c r="D321" s="10" t="s">
        <v>1</v>
      </c>
      <c r="E321" s="10">
        <v>5166</v>
      </c>
      <c r="F321" s="10" t="s">
        <v>309</v>
      </c>
      <c r="G321" s="333"/>
      <c r="H321" s="334">
        <v>577</v>
      </c>
      <c r="I321" s="335">
        <v>473</v>
      </c>
      <c r="J321" s="336">
        <v>297</v>
      </c>
      <c r="K321" s="506">
        <f t="shared" si="13"/>
        <v>-176</v>
      </c>
      <c r="L321" s="507">
        <f t="shared" si="14"/>
        <v>62.790697674418603</v>
      </c>
    </row>
    <row r="322" spans="1:12">
      <c r="A322" s="315">
        <f t="shared" si="12"/>
        <v>321</v>
      </c>
      <c r="B322" s="381">
        <v>4200</v>
      </c>
      <c r="C322" s="10">
        <v>3632</v>
      </c>
      <c r="D322" s="10" t="s">
        <v>1</v>
      </c>
      <c r="E322" s="10">
        <v>5169</v>
      </c>
      <c r="F322" s="10" t="s">
        <v>313</v>
      </c>
      <c r="G322" s="333"/>
      <c r="H322" s="334">
        <v>130</v>
      </c>
      <c r="I322" s="335">
        <v>130</v>
      </c>
      <c r="J322" s="336">
        <v>25</v>
      </c>
      <c r="K322" s="506">
        <f t="shared" si="13"/>
        <v>-105</v>
      </c>
      <c r="L322" s="507">
        <f t="shared" si="14"/>
        <v>19.230769230769234</v>
      </c>
    </row>
    <row r="323" spans="1:12">
      <c r="A323" s="315">
        <f t="shared" si="12"/>
        <v>322</v>
      </c>
      <c r="B323" s="381">
        <v>4200</v>
      </c>
      <c r="C323" s="10">
        <v>3632</v>
      </c>
      <c r="D323" s="10" t="s">
        <v>1</v>
      </c>
      <c r="E323" s="10">
        <v>5171</v>
      </c>
      <c r="F323" s="10" t="s">
        <v>394</v>
      </c>
      <c r="G323" s="333"/>
      <c r="H323" s="334">
        <v>720</v>
      </c>
      <c r="I323" s="335">
        <v>636</v>
      </c>
      <c r="J323" s="336">
        <v>279</v>
      </c>
      <c r="K323" s="506">
        <f t="shared" si="13"/>
        <v>-357</v>
      </c>
      <c r="L323" s="507">
        <f t="shared" si="14"/>
        <v>43.867924528301891</v>
      </c>
    </row>
    <row r="324" spans="1:12">
      <c r="A324" s="315">
        <f t="shared" ref="A324:A387" si="15">A323+1</f>
        <v>323</v>
      </c>
      <c r="B324" s="381">
        <v>4200</v>
      </c>
      <c r="C324" s="10">
        <v>3632</v>
      </c>
      <c r="D324" s="10" t="s">
        <v>1</v>
      </c>
      <c r="E324" s="10">
        <v>5192</v>
      </c>
      <c r="F324" s="10" t="s">
        <v>351</v>
      </c>
      <c r="G324" s="333"/>
      <c r="H324" s="334"/>
      <c r="I324" s="335">
        <v>15</v>
      </c>
      <c r="J324" s="336">
        <v>9</v>
      </c>
      <c r="K324" s="506">
        <f t="shared" si="13"/>
        <v>-6</v>
      </c>
      <c r="L324" s="507">
        <f t="shared" si="14"/>
        <v>60</v>
      </c>
    </row>
    <row r="325" spans="1:12">
      <c r="A325" s="315">
        <f t="shared" si="15"/>
        <v>324</v>
      </c>
      <c r="B325" s="381">
        <v>4200</v>
      </c>
      <c r="C325" s="10">
        <v>3632</v>
      </c>
      <c r="D325" s="10" t="s">
        <v>1</v>
      </c>
      <c r="E325" s="10">
        <v>5331</v>
      </c>
      <c r="F325" s="383" t="s">
        <v>338</v>
      </c>
      <c r="G325" s="333" t="s">
        <v>436</v>
      </c>
      <c r="H325" s="334">
        <v>23322</v>
      </c>
      <c r="I325" s="335">
        <v>25899</v>
      </c>
      <c r="J325" s="336">
        <v>25899</v>
      </c>
      <c r="K325" s="506">
        <f t="shared" ref="K325:K388" si="16">J325-I325</f>
        <v>0</v>
      </c>
      <c r="L325" s="507">
        <f t="shared" ref="L325:L388" si="17">IF(I325&lt;=0,0,J325/I325*100)</f>
        <v>100</v>
      </c>
    </row>
    <row r="326" spans="1:12">
      <c r="A326" s="315">
        <f t="shared" si="15"/>
        <v>325</v>
      </c>
      <c r="B326" s="28"/>
      <c r="C326" s="343" t="s">
        <v>437</v>
      </c>
      <c r="D326" s="343"/>
      <c r="E326" s="343"/>
      <c r="F326" s="343"/>
      <c r="G326" s="344"/>
      <c r="H326" s="473">
        <f>SUBTOTAL(9,H321:H325)</f>
        <v>24749</v>
      </c>
      <c r="I326" s="428">
        <f>SUBTOTAL(9,I321:I325)</f>
        <v>27153</v>
      </c>
      <c r="J326" s="429">
        <f>SUBTOTAL(9,J321:J325)</f>
        <v>26509</v>
      </c>
      <c r="K326" s="474">
        <f t="shared" si="16"/>
        <v>-644</v>
      </c>
      <c r="L326" s="475">
        <f t="shared" si="17"/>
        <v>97.628254704820833</v>
      </c>
    </row>
    <row r="327" spans="1:12">
      <c r="A327" s="315">
        <f t="shared" si="15"/>
        <v>326</v>
      </c>
      <c r="B327" s="381">
        <v>4200</v>
      </c>
      <c r="C327" s="10">
        <v>3716</v>
      </c>
      <c r="D327" s="10" t="s">
        <v>67</v>
      </c>
      <c r="E327" s="10">
        <v>5154</v>
      </c>
      <c r="F327" s="10" t="s">
        <v>349</v>
      </c>
      <c r="G327" s="333"/>
      <c r="H327" s="334"/>
      <c r="I327" s="335">
        <v>10</v>
      </c>
      <c r="J327" s="336">
        <v>1</v>
      </c>
      <c r="K327" s="506">
        <f t="shared" si="16"/>
        <v>-9</v>
      </c>
      <c r="L327" s="507">
        <f t="shared" si="17"/>
        <v>10</v>
      </c>
    </row>
    <row r="328" spans="1:12">
      <c r="A328" s="315">
        <f t="shared" si="15"/>
        <v>327</v>
      </c>
      <c r="B328" s="381">
        <v>4200</v>
      </c>
      <c r="C328" s="10">
        <v>3716</v>
      </c>
      <c r="D328" s="10" t="s">
        <v>67</v>
      </c>
      <c r="E328" s="10">
        <v>5163</v>
      </c>
      <c r="F328" s="10" t="s">
        <v>318</v>
      </c>
      <c r="G328" s="333"/>
      <c r="H328" s="334">
        <v>17</v>
      </c>
      <c r="I328" s="335">
        <v>17</v>
      </c>
      <c r="J328" s="336">
        <v>10</v>
      </c>
      <c r="K328" s="506">
        <f t="shared" si="16"/>
        <v>-7</v>
      </c>
      <c r="L328" s="507">
        <f t="shared" si="17"/>
        <v>58.82352941176471</v>
      </c>
    </row>
    <row r="329" spans="1:12">
      <c r="A329" s="315">
        <f t="shared" si="15"/>
        <v>328</v>
      </c>
      <c r="B329" s="381">
        <v>4200</v>
      </c>
      <c r="C329" s="10">
        <v>3716</v>
      </c>
      <c r="D329" s="10" t="s">
        <v>67</v>
      </c>
      <c r="E329" s="10">
        <v>5164</v>
      </c>
      <c r="F329" s="10" t="s">
        <v>350</v>
      </c>
      <c r="G329" s="333"/>
      <c r="H329" s="334">
        <v>11</v>
      </c>
      <c r="I329" s="335">
        <v>11</v>
      </c>
      <c r="J329" s="336">
        <v>3</v>
      </c>
      <c r="K329" s="506">
        <f t="shared" si="16"/>
        <v>-8</v>
      </c>
      <c r="L329" s="507">
        <f t="shared" si="17"/>
        <v>27.27272727272727</v>
      </c>
    </row>
    <row r="330" spans="1:12">
      <c r="A330" s="315">
        <f t="shared" si="15"/>
        <v>329</v>
      </c>
      <c r="B330" s="381">
        <v>4200</v>
      </c>
      <c r="C330" s="10">
        <v>3716</v>
      </c>
      <c r="D330" s="10" t="s">
        <v>67</v>
      </c>
      <c r="E330" s="10">
        <v>5166</v>
      </c>
      <c r="F330" s="10" t="s">
        <v>309</v>
      </c>
      <c r="G330" s="333"/>
      <c r="H330" s="334">
        <v>700</v>
      </c>
      <c r="I330" s="335">
        <v>440</v>
      </c>
      <c r="J330" s="336">
        <v>372</v>
      </c>
      <c r="K330" s="506">
        <f t="shared" si="16"/>
        <v>-68</v>
      </c>
      <c r="L330" s="507">
        <f t="shared" si="17"/>
        <v>84.545454545454547</v>
      </c>
    </row>
    <row r="331" spans="1:12">
      <c r="A331" s="315">
        <f t="shared" si="15"/>
        <v>330</v>
      </c>
      <c r="B331" s="381">
        <v>4200</v>
      </c>
      <c r="C331" s="10">
        <v>3716</v>
      </c>
      <c r="D331" s="10" t="s">
        <v>67</v>
      </c>
      <c r="E331" s="10">
        <v>5169</v>
      </c>
      <c r="F331" s="10" t="s">
        <v>313</v>
      </c>
      <c r="G331" s="333"/>
      <c r="H331" s="334">
        <v>2100</v>
      </c>
      <c r="I331" s="335">
        <v>2350</v>
      </c>
      <c r="J331" s="336">
        <v>2051</v>
      </c>
      <c r="K331" s="506">
        <f t="shared" si="16"/>
        <v>-299</v>
      </c>
      <c r="L331" s="507">
        <f t="shared" si="17"/>
        <v>87.276595744680847</v>
      </c>
    </row>
    <row r="332" spans="1:12">
      <c r="A332" s="315">
        <f t="shared" si="15"/>
        <v>331</v>
      </c>
      <c r="B332" s="28"/>
      <c r="C332" s="343" t="s">
        <v>438</v>
      </c>
      <c r="D332" s="343"/>
      <c r="E332" s="343"/>
      <c r="F332" s="343"/>
      <c r="G332" s="344"/>
      <c r="H332" s="473">
        <f>SUBTOTAL(9,H327:H331)</f>
        <v>2828</v>
      </c>
      <c r="I332" s="428">
        <f>SUBTOTAL(9,I327:I331)</f>
        <v>2828</v>
      </c>
      <c r="J332" s="429">
        <f>SUBTOTAL(9,J327:J331)</f>
        <v>2437</v>
      </c>
      <c r="K332" s="474">
        <f t="shared" si="16"/>
        <v>-391</v>
      </c>
      <c r="L332" s="475">
        <f t="shared" si="17"/>
        <v>86.173974540311178</v>
      </c>
    </row>
    <row r="333" spans="1:12">
      <c r="A333" s="315">
        <f t="shared" si="15"/>
        <v>332</v>
      </c>
      <c r="B333" s="381">
        <v>4200</v>
      </c>
      <c r="C333" s="10">
        <v>3722</v>
      </c>
      <c r="D333" s="10" t="s">
        <v>68</v>
      </c>
      <c r="E333" s="10">
        <v>5169</v>
      </c>
      <c r="F333" s="10" t="s">
        <v>313</v>
      </c>
      <c r="G333" s="333"/>
      <c r="H333" s="334">
        <v>193108</v>
      </c>
      <c r="I333" s="335">
        <v>181466</v>
      </c>
      <c r="J333" s="336">
        <v>179525</v>
      </c>
      <c r="K333" s="506">
        <f t="shared" si="16"/>
        <v>-1941</v>
      </c>
      <c r="L333" s="507">
        <f t="shared" si="17"/>
        <v>98.930378142461947</v>
      </c>
    </row>
    <row r="334" spans="1:12">
      <c r="A334" s="315">
        <f t="shared" si="15"/>
        <v>333</v>
      </c>
      <c r="B334" s="28"/>
      <c r="C334" s="343" t="s">
        <v>439</v>
      </c>
      <c r="D334" s="343"/>
      <c r="E334" s="343"/>
      <c r="F334" s="343"/>
      <c r="G334" s="344"/>
      <c r="H334" s="473">
        <f>SUBTOTAL(9,H333:H333)</f>
        <v>193108</v>
      </c>
      <c r="I334" s="428">
        <f>SUBTOTAL(9,I333:I333)</f>
        <v>181466</v>
      </c>
      <c r="J334" s="429">
        <f>SUBTOTAL(9,J333:J333)</f>
        <v>179525</v>
      </c>
      <c r="K334" s="474">
        <f t="shared" si="16"/>
        <v>-1941</v>
      </c>
      <c r="L334" s="475">
        <f t="shared" si="17"/>
        <v>98.930378142461947</v>
      </c>
    </row>
    <row r="335" spans="1:12">
      <c r="A335" s="315">
        <f t="shared" si="15"/>
        <v>334</v>
      </c>
      <c r="B335" s="500">
        <v>4200</v>
      </c>
      <c r="C335" s="501">
        <v>3725</v>
      </c>
      <c r="D335" s="502" t="s">
        <v>440</v>
      </c>
      <c r="E335" s="501">
        <v>5164</v>
      </c>
      <c r="F335" s="502" t="s">
        <v>350</v>
      </c>
      <c r="G335" s="503"/>
      <c r="H335" s="334">
        <v>320</v>
      </c>
      <c r="I335" s="335">
        <v>320</v>
      </c>
      <c r="J335" s="336">
        <v>21</v>
      </c>
      <c r="K335" s="504">
        <f t="shared" si="16"/>
        <v>-299</v>
      </c>
      <c r="L335" s="505">
        <f t="shared" si="17"/>
        <v>6.5625</v>
      </c>
    </row>
    <row r="336" spans="1:12">
      <c r="A336" s="315">
        <f t="shared" si="15"/>
        <v>335</v>
      </c>
      <c r="B336" s="500">
        <v>4200</v>
      </c>
      <c r="C336" s="501">
        <v>3725</v>
      </c>
      <c r="D336" s="502" t="s">
        <v>440</v>
      </c>
      <c r="E336" s="501">
        <v>5166</v>
      </c>
      <c r="F336" s="10" t="s">
        <v>309</v>
      </c>
      <c r="G336" s="503"/>
      <c r="H336" s="334">
        <v>500</v>
      </c>
      <c r="I336" s="335">
        <v>500</v>
      </c>
      <c r="J336" s="336">
        <v>211</v>
      </c>
      <c r="K336" s="504">
        <f t="shared" si="16"/>
        <v>-289</v>
      </c>
      <c r="L336" s="505">
        <f t="shared" si="17"/>
        <v>42.199999999999996</v>
      </c>
    </row>
    <row r="337" spans="1:12">
      <c r="A337" s="315">
        <f t="shared" si="15"/>
        <v>336</v>
      </c>
      <c r="B337" s="381">
        <v>4200</v>
      </c>
      <c r="C337" s="10">
        <v>3725</v>
      </c>
      <c r="D337" s="502" t="s">
        <v>440</v>
      </c>
      <c r="E337" s="10">
        <v>5169</v>
      </c>
      <c r="F337" s="10" t="s">
        <v>313</v>
      </c>
      <c r="G337" s="333"/>
      <c r="H337" s="334">
        <v>148546</v>
      </c>
      <c r="I337" s="335">
        <v>134742</v>
      </c>
      <c r="J337" s="336">
        <v>120594</v>
      </c>
      <c r="K337" s="506">
        <f t="shared" si="16"/>
        <v>-14148</v>
      </c>
      <c r="L337" s="507">
        <f t="shared" si="17"/>
        <v>89.49993320568197</v>
      </c>
    </row>
    <row r="338" spans="1:12">
      <c r="A338" s="315">
        <f t="shared" si="15"/>
        <v>337</v>
      </c>
      <c r="B338" s="381">
        <v>4200</v>
      </c>
      <c r="C338" s="10">
        <v>3725</v>
      </c>
      <c r="D338" s="502" t="s">
        <v>440</v>
      </c>
      <c r="E338" s="10">
        <v>5341</v>
      </c>
      <c r="F338" s="10" t="s">
        <v>398</v>
      </c>
      <c r="G338" s="333" t="s">
        <v>441</v>
      </c>
      <c r="H338" s="334">
        <v>33500</v>
      </c>
      <c r="I338" s="335">
        <v>36792</v>
      </c>
      <c r="J338" s="336"/>
      <c r="K338" s="506">
        <f t="shared" si="16"/>
        <v>-36792</v>
      </c>
      <c r="L338" s="507">
        <f t="shared" si="17"/>
        <v>0</v>
      </c>
    </row>
    <row r="339" spans="1:12">
      <c r="A339" s="315">
        <f t="shared" si="15"/>
        <v>338</v>
      </c>
      <c r="B339" s="381">
        <v>4200</v>
      </c>
      <c r="C339" s="10">
        <v>3725</v>
      </c>
      <c r="D339" s="502" t="s">
        <v>440</v>
      </c>
      <c r="E339" s="10">
        <v>5365</v>
      </c>
      <c r="F339" s="10" t="s">
        <v>400</v>
      </c>
      <c r="G339" s="333"/>
      <c r="H339" s="334">
        <v>7</v>
      </c>
      <c r="I339" s="335">
        <v>7</v>
      </c>
      <c r="J339" s="336">
        <v>3</v>
      </c>
      <c r="K339" s="506">
        <f t="shared" si="16"/>
        <v>-4</v>
      </c>
      <c r="L339" s="507">
        <f t="shared" si="17"/>
        <v>42.857142857142854</v>
      </c>
    </row>
    <row r="340" spans="1:12">
      <c r="A340" s="315">
        <f t="shared" si="15"/>
        <v>339</v>
      </c>
      <c r="B340" s="381">
        <v>4200</v>
      </c>
      <c r="C340" s="10">
        <v>3725</v>
      </c>
      <c r="D340" s="502" t="s">
        <v>440</v>
      </c>
      <c r="E340" s="10">
        <v>5492</v>
      </c>
      <c r="F340" s="10" t="s">
        <v>402</v>
      </c>
      <c r="G340" s="333"/>
      <c r="H340" s="334"/>
      <c r="I340" s="335">
        <v>4</v>
      </c>
      <c r="J340" s="336">
        <v>3</v>
      </c>
      <c r="K340" s="506">
        <f t="shared" si="16"/>
        <v>-1</v>
      </c>
      <c r="L340" s="507">
        <f t="shared" si="17"/>
        <v>75</v>
      </c>
    </row>
    <row r="341" spans="1:12">
      <c r="A341" s="315">
        <f t="shared" si="15"/>
        <v>340</v>
      </c>
      <c r="B341" s="28"/>
      <c r="C341" s="343" t="s">
        <v>442</v>
      </c>
      <c r="D341" s="343"/>
      <c r="E341" s="343"/>
      <c r="F341" s="343"/>
      <c r="G341" s="344"/>
      <c r="H341" s="473">
        <f>SUBTOTAL(9,H335:H339)</f>
        <v>182873</v>
      </c>
      <c r="I341" s="428">
        <f>SUBTOTAL(9,I335:I340)</f>
        <v>172365</v>
      </c>
      <c r="J341" s="429">
        <f>SUBTOTAL(9,J335:J340)</f>
        <v>120832</v>
      </c>
      <c r="K341" s="474">
        <f t="shared" si="16"/>
        <v>-51533</v>
      </c>
      <c r="L341" s="475">
        <f t="shared" si="17"/>
        <v>70.102398978911026</v>
      </c>
    </row>
    <row r="342" spans="1:12">
      <c r="A342" s="315">
        <f t="shared" si="15"/>
        <v>341</v>
      </c>
      <c r="B342" s="381">
        <v>4200</v>
      </c>
      <c r="C342" s="10">
        <v>3727</v>
      </c>
      <c r="D342" s="10" t="s">
        <v>231</v>
      </c>
      <c r="E342" s="10">
        <v>5139</v>
      </c>
      <c r="F342" s="10" t="s">
        <v>342</v>
      </c>
      <c r="G342" s="333" t="s">
        <v>359</v>
      </c>
      <c r="H342" s="334">
        <v>100</v>
      </c>
      <c r="I342" s="335">
        <v>100</v>
      </c>
      <c r="J342" s="336"/>
      <c r="K342" s="337">
        <f t="shared" si="16"/>
        <v>-100</v>
      </c>
      <c r="L342" s="338">
        <f t="shared" si="17"/>
        <v>0</v>
      </c>
    </row>
    <row r="343" spans="1:12">
      <c r="A343" s="315">
        <f t="shared" si="15"/>
        <v>342</v>
      </c>
      <c r="B343" s="381">
        <v>4200</v>
      </c>
      <c r="C343" s="10">
        <v>3727</v>
      </c>
      <c r="D343" s="10" t="s">
        <v>231</v>
      </c>
      <c r="E343" s="10">
        <v>5169</v>
      </c>
      <c r="F343" s="10" t="s">
        <v>313</v>
      </c>
      <c r="G343" s="333" t="s">
        <v>359</v>
      </c>
      <c r="H343" s="334">
        <v>994</v>
      </c>
      <c r="I343" s="335">
        <v>994</v>
      </c>
      <c r="J343" s="336">
        <v>757</v>
      </c>
      <c r="K343" s="337">
        <f t="shared" si="16"/>
        <v>-237</v>
      </c>
      <c r="L343" s="338">
        <f t="shared" si="17"/>
        <v>76.156941649899395</v>
      </c>
    </row>
    <row r="344" spans="1:12">
      <c r="A344" s="315">
        <f t="shared" si="15"/>
        <v>343</v>
      </c>
      <c r="B344" s="381">
        <v>4200</v>
      </c>
      <c r="C344" s="10">
        <v>3727</v>
      </c>
      <c r="D344" s="10" t="s">
        <v>231</v>
      </c>
      <c r="E344" s="10">
        <v>5175</v>
      </c>
      <c r="F344" s="10" t="s">
        <v>335</v>
      </c>
      <c r="G344" s="333" t="s">
        <v>359</v>
      </c>
      <c r="H344" s="334">
        <v>46</v>
      </c>
      <c r="I344" s="335">
        <v>46</v>
      </c>
      <c r="J344" s="336"/>
      <c r="K344" s="337">
        <f t="shared" si="16"/>
        <v>-46</v>
      </c>
      <c r="L344" s="338">
        <f t="shared" si="17"/>
        <v>0</v>
      </c>
    </row>
    <row r="345" spans="1:12">
      <c r="A345" s="315">
        <f t="shared" si="15"/>
        <v>344</v>
      </c>
      <c r="B345" s="381">
        <v>4200</v>
      </c>
      <c r="C345" s="10">
        <v>3727</v>
      </c>
      <c r="D345" s="10" t="s">
        <v>231</v>
      </c>
      <c r="E345" s="10">
        <v>5902</v>
      </c>
      <c r="F345" s="10" t="s">
        <v>327</v>
      </c>
      <c r="G345" s="333" t="s">
        <v>359</v>
      </c>
      <c r="H345" s="334">
        <v>0</v>
      </c>
      <c r="I345" s="335">
        <v>1210</v>
      </c>
      <c r="J345" s="336">
        <v>1185</v>
      </c>
      <c r="K345" s="337">
        <f t="shared" si="16"/>
        <v>-25</v>
      </c>
      <c r="L345" s="338">
        <f t="shared" si="17"/>
        <v>97.933884297520663</v>
      </c>
    </row>
    <row r="346" spans="1:12">
      <c r="A346" s="315">
        <f t="shared" si="15"/>
        <v>345</v>
      </c>
      <c r="B346" s="28"/>
      <c r="C346" s="343" t="s">
        <v>371</v>
      </c>
      <c r="D346" s="343"/>
      <c r="E346" s="343"/>
      <c r="F346" s="343"/>
      <c r="G346" s="344"/>
      <c r="H346" s="473">
        <f>SUBTOTAL(9,H342:H345)</f>
        <v>1140</v>
      </c>
      <c r="I346" s="428">
        <f>SUBTOTAL(9,I342:I345)</f>
        <v>2350</v>
      </c>
      <c r="J346" s="429">
        <f>SUBTOTAL(9,J342:J345)</f>
        <v>1942</v>
      </c>
      <c r="K346" s="474">
        <f t="shared" si="16"/>
        <v>-408</v>
      </c>
      <c r="L346" s="475">
        <f t="shared" si="17"/>
        <v>82.638297872340431</v>
      </c>
    </row>
    <row r="347" spans="1:12">
      <c r="A347" s="315">
        <f t="shared" si="15"/>
        <v>346</v>
      </c>
      <c r="B347" s="381">
        <v>4200</v>
      </c>
      <c r="C347" s="10">
        <v>3729</v>
      </c>
      <c r="D347" s="10" t="s">
        <v>70</v>
      </c>
      <c r="E347" s="10">
        <v>5169</v>
      </c>
      <c r="F347" s="10" t="s">
        <v>313</v>
      </c>
      <c r="G347" s="333"/>
      <c r="H347" s="334">
        <v>3510</v>
      </c>
      <c r="I347" s="335">
        <v>3510</v>
      </c>
      <c r="J347" s="336">
        <v>926</v>
      </c>
      <c r="K347" s="337">
        <f t="shared" si="16"/>
        <v>-2584</v>
      </c>
      <c r="L347" s="338">
        <f t="shared" si="17"/>
        <v>26.381766381766379</v>
      </c>
    </row>
    <row r="348" spans="1:12">
      <c r="A348" s="315">
        <f t="shared" si="15"/>
        <v>347</v>
      </c>
      <c r="B348" s="28"/>
      <c r="C348" s="343" t="s">
        <v>443</v>
      </c>
      <c r="D348" s="343"/>
      <c r="E348" s="343"/>
      <c r="F348" s="343"/>
      <c r="G348" s="344"/>
      <c r="H348" s="473">
        <f>SUBTOTAL(9,H347)</f>
        <v>3510</v>
      </c>
      <c r="I348" s="428">
        <f>SUBTOTAL(9,I347)</f>
        <v>3510</v>
      </c>
      <c r="J348" s="429">
        <f>SUBTOTAL(9,J347)</f>
        <v>926</v>
      </c>
      <c r="K348" s="474">
        <f t="shared" si="16"/>
        <v>-2584</v>
      </c>
      <c r="L348" s="475">
        <f t="shared" si="17"/>
        <v>26.381766381766379</v>
      </c>
    </row>
    <row r="349" spans="1:12">
      <c r="A349" s="315">
        <f t="shared" si="15"/>
        <v>348</v>
      </c>
      <c r="B349" s="381">
        <v>4200</v>
      </c>
      <c r="C349" s="10">
        <v>3733</v>
      </c>
      <c r="D349" s="10" t="s">
        <v>71</v>
      </c>
      <c r="E349" s="10">
        <v>5166</v>
      </c>
      <c r="F349" s="10" t="s">
        <v>309</v>
      </c>
      <c r="G349" s="333"/>
      <c r="H349" s="334">
        <v>642</v>
      </c>
      <c r="I349" s="335">
        <v>642</v>
      </c>
      <c r="J349" s="336">
        <v>525</v>
      </c>
      <c r="K349" s="337">
        <f t="shared" si="16"/>
        <v>-117</v>
      </c>
      <c r="L349" s="338">
        <f t="shared" si="17"/>
        <v>81.775700934579447</v>
      </c>
    </row>
    <row r="350" spans="1:12">
      <c r="A350" s="315">
        <f t="shared" si="15"/>
        <v>349</v>
      </c>
      <c r="B350" s="28"/>
      <c r="C350" s="343" t="s">
        <v>444</v>
      </c>
      <c r="D350" s="343"/>
      <c r="E350" s="343"/>
      <c r="F350" s="343"/>
      <c r="G350" s="344"/>
      <c r="H350" s="473">
        <f>SUBTOTAL(9,H349:H349)</f>
        <v>642</v>
      </c>
      <c r="I350" s="428">
        <f>SUBTOTAL(9,I349:I349)</f>
        <v>642</v>
      </c>
      <c r="J350" s="429">
        <f>SUBTOTAL(9,J349:J349)</f>
        <v>525</v>
      </c>
      <c r="K350" s="474">
        <f t="shared" si="16"/>
        <v>-117</v>
      </c>
      <c r="L350" s="475">
        <f t="shared" si="17"/>
        <v>81.775700934579447</v>
      </c>
    </row>
    <row r="351" spans="1:12">
      <c r="A351" s="315">
        <f t="shared" si="15"/>
        <v>350</v>
      </c>
      <c r="B351" s="381">
        <v>4200</v>
      </c>
      <c r="C351" s="10">
        <v>3739</v>
      </c>
      <c r="D351" s="10" t="s">
        <v>72</v>
      </c>
      <c r="E351" s="10">
        <v>5166</v>
      </c>
      <c r="F351" s="10" t="s">
        <v>309</v>
      </c>
      <c r="G351" s="333"/>
      <c r="H351" s="334">
        <v>650</v>
      </c>
      <c r="I351" s="335">
        <v>650</v>
      </c>
      <c r="J351" s="336">
        <v>451</v>
      </c>
      <c r="K351" s="337">
        <f t="shared" si="16"/>
        <v>-199</v>
      </c>
      <c r="L351" s="338">
        <f t="shared" si="17"/>
        <v>69.384615384615387</v>
      </c>
    </row>
    <row r="352" spans="1:12">
      <c r="A352" s="315">
        <f t="shared" si="15"/>
        <v>351</v>
      </c>
      <c r="B352" s="381">
        <v>4200</v>
      </c>
      <c r="C352" s="10">
        <v>3739</v>
      </c>
      <c r="D352" s="10" t="s">
        <v>72</v>
      </c>
      <c r="E352" s="10">
        <v>5169</v>
      </c>
      <c r="F352" s="10" t="s">
        <v>313</v>
      </c>
      <c r="G352" s="333"/>
      <c r="H352" s="334">
        <v>250</v>
      </c>
      <c r="I352" s="335">
        <v>250</v>
      </c>
      <c r="J352" s="336"/>
      <c r="K352" s="337">
        <f t="shared" si="16"/>
        <v>-250</v>
      </c>
      <c r="L352" s="338">
        <f t="shared" si="17"/>
        <v>0</v>
      </c>
    </row>
    <row r="353" spans="1:12">
      <c r="A353" s="315">
        <f t="shared" si="15"/>
        <v>352</v>
      </c>
      <c r="B353" s="381">
        <v>4200</v>
      </c>
      <c r="C353" s="10">
        <v>3739</v>
      </c>
      <c r="D353" s="10" t="s">
        <v>72</v>
      </c>
      <c r="E353" s="10">
        <v>5171</v>
      </c>
      <c r="F353" s="10" t="s">
        <v>394</v>
      </c>
      <c r="G353" s="333"/>
      <c r="H353" s="334">
        <v>10</v>
      </c>
      <c r="I353" s="335">
        <v>10</v>
      </c>
      <c r="J353" s="336"/>
      <c r="K353" s="337">
        <f t="shared" si="16"/>
        <v>-10</v>
      </c>
      <c r="L353" s="338">
        <f t="shared" si="17"/>
        <v>0</v>
      </c>
    </row>
    <row r="354" spans="1:12">
      <c r="A354" s="315">
        <f t="shared" si="15"/>
        <v>353</v>
      </c>
      <c r="B354" s="28"/>
      <c r="C354" s="343" t="s">
        <v>445</v>
      </c>
      <c r="D354" s="343"/>
      <c r="E354" s="343"/>
      <c r="F354" s="343"/>
      <c r="G354" s="344"/>
      <c r="H354" s="473">
        <f>SUBTOTAL(9,H351:H353)</f>
        <v>910</v>
      </c>
      <c r="I354" s="428">
        <f>SUBTOTAL(9,I351:I353)</f>
        <v>910</v>
      </c>
      <c r="J354" s="429">
        <f>SUBTOTAL(9,J351:J353)</f>
        <v>451</v>
      </c>
      <c r="K354" s="474">
        <f t="shared" si="16"/>
        <v>-459</v>
      </c>
      <c r="L354" s="475">
        <f t="shared" si="17"/>
        <v>49.560439560439562</v>
      </c>
    </row>
    <row r="355" spans="1:12">
      <c r="A355" s="315">
        <f t="shared" si="15"/>
        <v>354</v>
      </c>
      <c r="B355" s="392">
        <v>4200</v>
      </c>
      <c r="C355" s="393">
        <v>3741</v>
      </c>
      <c r="D355" s="393" t="s">
        <v>6</v>
      </c>
      <c r="E355" s="393">
        <v>5166</v>
      </c>
      <c r="F355" s="393" t="s">
        <v>309</v>
      </c>
      <c r="G355" s="344"/>
      <c r="H355" s="473"/>
      <c r="I355" s="508">
        <v>30</v>
      </c>
      <c r="J355" s="509">
        <v>30</v>
      </c>
      <c r="K355" s="337">
        <f t="shared" si="16"/>
        <v>0</v>
      </c>
      <c r="L355" s="338">
        <f t="shared" si="17"/>
        <v>100</v>
      </c>
    </row>
    <row r="356" spans="1:12">
      <c r="A356" s="315">
        <f t="shared" si="15"/>
        <v>355</v>
      </c>
      <c r="B356" s="381">
        <v>4200</v>
      </c>
      <c r="C356" s="10">
        <v>3741</v>
      </c>
      <c r="D356" s="10" t="s">
        <v>6</v>
      </c>
      <c r="E356" s="10">
        <v>5169</v>
      </c>
      <c r="F356" s="10" t="s">
        <v>313</v>
      </c>
      <c r="G356" s="333"/>
      <c r="H356" s="334">
        <v>660</v>
      </c>
      <c r="I356" s="335">
        <v>630</v>
      </c>
      <c r="J356" s="336">
        <v>605</v>
      </c>
      <c r="K356" s="337">
        <f t="shared" si="16"/>
        <v>-25</v>
      </c>
      <c r="L356" s="338">
        <f t="shared" si="17"/>
        <v>96.031746031746039</v>
      </c>
    </row>
    <row r="357" spans="1:12">
      <c r="A357" s="315">
        <f t="shared" si="15"/>
        <v>356</v>
      </c>
      <c r="B357" s="381">
        <v>4200</v>
      </c>
      <c r="C357" s="10">
        <v>3741</v>
      </c>
      <c r="D357" s="10" t="s">
        <v>6</v>
      </c>
      <c r="E357" s="10">
        <v>5331</v>
      </c>
      <c r="F357" s="383" t="s">
        <v>338</v>
      </c>
      <c r="G357" s="333" t="s">
        <v>446</v>
      </c>
      <c r="H357" s="334">
        <v>33509</v>
      </c>
      <c r="I357" s="335">
        <v>35309</v>
      </c>
      <c r="J357" s="336">
        <v>35309</v>
      </c>
      <c r="K357" s="337">
        <f t="shared" si="16"/>
        <v>0</v>
      </c>
      <c r="L357" s="338">
        <f t="shared" si="17"/>
        <v>100</v>
      </c>
    </row>
    <row r="358" spans="1:12">
      <c r="A358" s="315">
        <f t="shared" si="15"/>
        <v>357</v>
      </c>
      <c r="B358" s="381">
        <v>4200</v>
      </c>
      <c r="C358" s="10">
        <v>3741</v>
      </c>
      <c r="D358" s="10" t="s">
        <v>6</v>
      </c>
      <c r="E358" s="10">
        <v>5336</v>
      </c>
      <c r="F358" s="10" t="s">
        <v>340</v>
      </c>
      <c r="G358" s="333" t="s">
        <v>446</v>
      </c>
      <c r="H358" s="334"/>
      <c r="I358" s="335">
        <v>792.4</v>
      </c>
      <c r="J358" s="336">
        <v>792</v>
      </c>
      <c r="K358" s="337">
        <f t="shared" si="16"/>
        <v>-0.39999999999997726</v>
      </c>
      <c r="L358" s="338">
        <f t="shared" si="17"/>
        <v>99.949520444220099</v>
      </c>
    </row>
    <row r="359" spans="1:12">
      <c r="A359" s="315">
        <f t="shared" si="15"/>
        <v>358</v>
      </c>
      <c r="B359" s="28"/>
      <c r="C359" s="343" t="s">
        <v>447</v>
      </c>
      <c r="D359" s="343"/>
      <c r="E359" s="343"/>
      <c r="F359" s="343"/>
      <c r="G359" s="344"/>
      <c r="H359" s="473">
        <f>SUBTOTAL(9,H356:H358)</f>
        <v>34169</v>
      </c>
      <c r="I359" s="428">
        <f>SUBTOTAL(9,I355:I358)</f>
        <v>36761.4</v>
      </c>
      <c r="J359" s="429">
        <f>SUBTOTAL(9,J355:J358)</f>
        <v>36736</v>
      </c>
      <c r="K359" s="474">
        <f t="shared" si="16"/>
        <v>-25.400000000001455</v>
      </c>
      <c r="L359" s="475">
        <f t="shared" si="17"/>
        <v>99.93090578704836</v>
      </c>
    </row>
    <row r="360" spans="1:12">
      <c r="A360" s="315">
        <f t="shared" si="15"/>
        <v>359</v>
      </c>
      <c r="B360" s="381">
        <v>4200</v>
      </c>
      <c r="C360" s="10">
        <v>3742</v>
      </c>
      <c r="D360" s="10" t="s">
        <v>7</v>
      </c>
      <c r="E360" s="10">
        <v>5137</v>
      </c>
      <c r="F360" s="10" t="s">
        <v>346</v>
      </c>
      <c r="G360" s="333"/>
      <c r="H360" s="334">
        <v>50</v>
      </c>
      <c r="I360" s="335">
        <v>50</v>
      </c>
      <c r="J360" s="336"/>
      <c r="K360" s="432">
        <f t="shared" si="16"/>
        <v>-50</v>
      </c>
      <c r="L360" s="433">
        <f t="shared" si="17"/>
        <v>0</v>
      </c>
    </row>
    <row r="361" spans="1:12">
      <c r="A361" s="315">
        <f t="shared" si="15"/>
        <v>360</v>
      </c>
      <c r="B361" s="381">
        <v>4200</v>
      </c>
      <c r="C361" s="10">
        <v>3742</v>
      </c>
      <c r="D361" s="10" t="s">
        <v>7</v>
      </c>
      <c r="E361" s="10">
        <v>5166</v>
      </c>
      <c r="F361" s="10" t="s">
        <v>309</v>
      </c>
      <c r="G361" s="333"/>
      <c r="H361" s="334">
        <v>100</v>
      </c>
      <c r="I361" s="335">
        <v>62</v>
      </c>
      <c r="J361" s="336">
        <v>20</v>
      </c>
      <c r="K361" s="337">
        <f t="shared" si="16"/>
        <v>-42</v>
      </c>
      <c r="L361" s="338">
        <f t="shared" si="17"/>
        <v>32.258064516129032</v>
      </c>
    </row>
    <row r="362" spans="1:12">
      <c r="A362" s="315">
        <f t="shared" si="15"/>
        <v>361</v>
      </c>
      <c r="B362" s="381">
        <v>4200</v>
      </c>
      <c r="C362" s="10">
        <v>3742</v>
      </c>
      <c r="D362" s="10" t="s">
        <v>7</v>
      </c>
      <c r="E362" s="10">
        <v>5168</v>
      </c>
      <c r="F362" s="10" t="s">
        <v>448</v>
      </c>
      <c r="G362" s="333"/>
      <c r="H362" s="334">
        <v>80</v>
      </c>
      <c r="I362" s="335">
        <v>80</v>
      </c>
      <c r="J362" s="336">
        <v>17</v>
      </c>
      <c r="K362" s="337">
        <f t="shared" si="16"/>
        <v>-63</v>
      </c>
      <c r="L362" s="338">
        <f t="shared" si="17"/>
        <v>21.25</v>
      </c>
    </row>
    <row r="363" spans="1:12">
      <c r="A363" s="315">
        <f t="shared" si="15"/>
        <v>362</v>
      </c>
      <c r="B363" s="381">
        <v>4200</v>
      </c>
      <c r="C363" s="10">
        <v>3742</v>
      </c>
      <c r="D363" s="10" t="s">
        <v>7</v>
      </c>
      <c r="E363" s="10">
        <v>5169</v>
      </c>
      <c r="F363" s="10" t="s">
        <v>313</v>
      </c>
      <c r="G363" s="333"/>
      <c r="H363" s="334">
        <v>500</v>
      </c>
      <c r="I363" s="335">
        <v>500</v>
      </c>
      <c r="J363" s="336">
        <v>369</v>
      </c>
      <c r="K363" s="337">
        <f t="shared" si="16"/>
        <v>-131</v>
      </c>
      <c r="L363" s="338">
        <f t="shared" si="17"/>
        <v>73.8</v>
      </c>
    </row>
    <row r="364" spans="1:12">
      <c r="A364" s="315">
        <f t="shared" si="15"/>
        <v>363</v>
      </c>
      <c r="B364" s="381">
        <v>4200</v>
      </c>
      <c r="C364" s="10">
        <v>3742</v>
      </c>
      <c r="D364" s="10" t="s">
        <v>7</v>
      </c>
      <c r="E364" s="10">
        <v>5192</v>
      </c>
      <c r="F364" s="10" t="s">
        <v>351</v>
      </c>
      <c r="G364" s="333"/>
      <c r="H364" s="334"/>
      <c r="I364" s="335">
        <v>38</v>
      </c>
      <c r="J364" s="336">
        <v>38</v>
      </c>
      <c r="K364" s="337">
        <f t="shared" si="16"/>
        <v>0</v>
      </c>
      <c r="L364" s="338">
        <f t="shared" si="17"/>
        <v>100</v>
      </c>
    </row>
    <row r="365" spans="1:12">
      <c r="A365" s="315">
        <f t="shared" si="15"/>
        <v>364</v>
      </c>
      <c r="B365" s="28"/>
      <c r="C365" s="343" t="s">
        <v>449</v>
      </c>
      <c r="D365" s="343"/>
      <c r="E365" s="343"/>
      <c r="F365" s="343"/>
      <c r="G365" s="344"/>
      <c r="H365" s="473">
        <f>SUBTOTAL(9,H360:H363)</f>
        <v>730</v>
      </c>
      <c r="I365" s="428">
        <f>SUBTOTAL(9,I360:I364)</f>
        <v>730</v>
      </c>
      <c r="J365" s="429">
        <f>SUBTOTAL(9,J360:J364)</f>
        <v>444</v>
      </c>
      <c r="K365" s="474">
        <f t="shared" si="16"/>
        <v>-286</v>
      </c>
      <c r="L365" s="475">
        <f t="shared" si="17"/>
        <v>60.821917808219183</v>
      </c>
    </row>
    <row r="366" spans="1:12">
      <c r="A366" s="315">
        <f t="shared" si="15"/>
        <v>365</v>
      </c>
      <c r="B366" s="381">
        <v>4200</v>
      </c>
      <c r="C366" s="10">
        <v>3745</v>
      </c>
      <c r="D366" s="10" t="s">
        <v>2</v>
      </c>
      <c r="E366" s="10">
        <v>5166</v>
      </c>
      <c r="F366" s="10" t="s">
        <v>309</v>
      </c>
      <c r="G366" s="333"/>
      <c r="H366" s="334">
        <v>550</v>
      </c>
      <c r="I366" s="335">
        <v>269</v>
      </c>
      <c r="J366" s="336">
        <v>262</v>
      </c>
      <c r="K366" s="337">
        <f t="shared" si="16"/>
        <v>-7</v>
      </c>
      <c r="L366" s="338">
        <f t="shared" si="17"/>
        <v>97.39776951672863</v>
      </c>
    </row>
    <row r="367" spans="1:12">
      <c r="A367" s="315">
        <f t="shared" si="15"/>
        <v>366</v>
      </c>
      <c r="B367" s="381">
        <v>4200</v>
      </c>
      <c r="C367" s="10">
        <v>3745</v>
      </c>
      <c r="D367" s="10" t="s">
        <v>2</v>
      </c>
      <c r="E367" s="10">
        <v>5169</v>
      </c>
      <c r="F367" s="10" t="s">
        <v>313</v>
      </c>
      <c r="G367" s="333"/>
      <c r="H367" s="334">
        <v>1750</v>
      </c>
      <c r="I367" s="335">
        <v>2031</v>
      </c>
      <c r="J367" s="336">
        <v>2028</v>
      </c>
      <c r="K367" s="337">
        <f t="shared" si="16"/>
        <v>-3</v>
      </c>
      <c r="L367" s="338">
        <f t="shared" si="17"/>
        <v>99.852289512555387</v>
      </c>
    </row>
    <row r="368" spans="1:12">
      <c r="A368" s="315">
        <f t="shared" si="15"/>
        <v>367</v>
      </c>
      <c r="B368" s="381">
        <v>4200</v>
      </c>
      <c r="C368" s="10">
        <v>3745</v>
      </c>
      <c r="D368" s="10" t="s">
        <v>2</v>
      </c>
      <c r="E368" s="10">
        <v>5331</v>
      </c>
      <c r="F368" s="383" t="s">
        <v>338</v>
      </c>
      <c r="G368" s="333" t="s">
        <v>450</v>
      </c>
      <c r="H368" s="334">
        <v>25477</v>
      </c>
      <c r="I368" s="335">
        <v>26864</v>
      </c>
      <c r="J368" s="336">
        <v>26864</v>
      </c>
      <c r="K368" s="510">
        <f t="shared" si="16"/>
        <v>0</v>
      </c>
      <c r="L368" s="511">
        <f t="shared" si="17"/>
        <v>100</v>
      </c>
    </row>
    <row r="369" spans="1:12">
      <c r="A369" s="315">
        <f t="shared" si="15"/>
        <v>368</v>
      </c>
      <c r="B369" s="381">
        <v>4200</v>
      </c>
      <c r="C369" s="10">
        <v>3745</v>
      </c>
      <c r="D369" s="10" t="s">
        <v>2</v>
      </c>
      <c r="E369" s="10">
        <v>5336</v>
      </c>
      <c r="F369" s="383" t="s">
        <v>340</v>
      </c>
      <c r="G369" s="333" t="s">
        <v>450</v>
      </c>
      <c r="H369" s="334"/>
      <c r="I369" s="335">
        <v>65</v>
      </c>
      <c r="J369" s="336">
        <v>65</v>
      </c>
      <c r="K369" s="510">
        <f t="shared" si="16"/>
        <v>0</v>
      </c>
      <c r="L369" s="511">
        <f t="shared" si="17"/>
        <v>100</v>
      </c>
    </row>
    <row r="370" spans="1:12">
      <c r="A370" s="315">
        <f t="shared" si="15"/>
        <v>369</v>
      </c>
      <c r="B370" s="28"/>
      <c r="C370" s="343" t="s">
        <v>430</v>
      </c>
      <c r="D370" s="343"/>
      <c r="E370" s="343"/>
      <c r="F370" s="343"/>
      <c r="G370" s="344"/>
      <c r="H370" s="473">
        <f>SUBTOTAL(9,H366:H368)</f>
        <v>27777</v>
      </c>
      <c r="I370" s="428">
        <f>SUBTOTAL(9,I366:I369)</f>
        <v>29229</v>
      </c>
      <c r="J370" s="429">
        <f>SUBTOTAL(9,J366:J369)</f>
        <v>29219</v>
      </c>
      <c r="K370" s="474">
        <f t="shared" si="16"/>
        <v>-10</v>
      </c>
      <c r="L370" s="475">
        <f t="shared" si="17"/>
        <v>99.965787402921762</v>
      </c>
    </row>
    <row r="371" spans="1:12">
      <c r="A371" s="315">
        <f t="shared" si="15"/>
        <v>370</v>
      </c>
      <c r="B371" s="381">
        <v>4200</v>
      </c>
      <c r="C371" s="10">
        <v>3792</v>
      </c>
      <c r="D371" s="10" t="s">
        <v>8</v>
      </c>
      <c r="E371" s="10">
        <v>5169</v>
      </c>
      <c r="F371" s="10" t="s">
        <v>313</v>
      </c>
      <c r="G371" s="333"/>
      <c r="H371" s="334">
        <v>1218</v>
      </c>
      <c r="I371" s="335">
        <v>1218</v>
      </c>
      <c r="J371" s="336">
        <v>891</v>
      </c>
      <c r="K371" s="510">
        <f t="shared" si="16"/>
        <v>-327</v>
      </c>
      <c r="L371" s="511">
        <f t="shared" si="17"/>
        <v>73.152709359605922</v>
      </c>
    </row>
    <row r="372" spans="1:12">
      <c r="A372" s="315">
        <f t="shared" si="15"/>
        <v>371</v>
      </c>
      <c r="B372" s="381">
        <v>4200</v>
      </c>
      <c r="C372" s="10">
        <v>3792</v>
      </c>
      <c r="D372" s="10" t="s">
        <v>8</v>
      </c>
      <c r="E372" s="10">
        <v>5221</v>
      </c>
      <c r="F372" s="10" t="s">
        <v>451</v>
      </c>
      <c r="G372" s="356"/>
      <c r="H372" s="334">
        <v>0</v>
      </c>
      <c r="I372" s="335">
        <v>50</v>
      </c>
      <c r="J372" s="336">
        <v>50</v>
      </c>
      <c r="K372" s="337">
        <f t="shared" si="16"/>
        <v>0</v>
      </c>
      <c r="L372" s="338">
        <f t="shared" si="17"/>
        <v>100</v>
      </c>
    </row>
    <row r="373" spans="1:12">
      <c r="A373" s="315">
        <f t="shared" si="15"/>
        <v>372</v>
      </c>
      <c r="B373" s="381">
        <v>4200</v>
      </c>
      <c r="C373" s="10">
        <v>3792</v>
      </c>
      <c r="D373" s="10" t="s">
        <v>8</v>
      </c>
      <c r="E373" s="10">
        <v>5222</v>
      </c>
      <c r="F373" s="353" t="s">
        <v>355</v>
      </c>
      <c r="G373" s="356" t="s">
        <v>452</v>
      </c>
      <c r="H373" s="334">
        <v>1200</v>
      </c>
      <c r="I373" s="335">
        <v>867</v>
      </c>
      <c r="J373" s="336">
        <v>636</v>
      </c>
      <c r="K373" s="337">
        <f t="shared" si="16"/>
        <v>-231</v>
      </c>
      <c r="L373" s="338">
        <f t="shared" si="17"/>
        <v>73.356401384083043</v>
      </c>
    </row>
    <row r="374" spans="1:12">
      <c r="A374" s="315">
        <f t="shared" si="15"/>
        <v>373</v>
      </c>
      <c r="B374" s="381">
        <v>4200</v>
      </c>
      <c r="C374" s="10">
        <v>3792</v>
      </c>
      <c r="D374" s="10" t="s">
        <v>8</v>
      </c>
      <c r="E374" s="10">
        <v>5229</v>
      </c>
      <c r="F374" s="383" t="s">
        <v>336</v>
      </c>
      <c r="G374" s="356"/>
      <c r="H374" s="334">
        <v>0</v>
      </c>
      <c r="I374" s="335">
        <v>62</v>
      </c>
      <c r="J374" s="336">
        <v>62</v>
      </c>
      <c r="K374" s="337">
        <f t="shared" si="16"/>
        <v>0</v>
      </c>
      <c r="L374" s="338">
        <f t="shared" si="17"/>
        <v>100</v>
      </c>
    </row>
    <row r="375" spans="1:12">
      <c r="A375" s="315">
        <f t="shared" si="15"/>
        <v>374</v>
      </c>
      <c r="B375" s="381">
        <v>4200</v>
      </c>
      <c r="C375" s="10">
        <v>3792</v>
      </c>
      <c r="D375" s="10" t="s">
        <v>8</v>
      </c>
      <c r="E375" s="10">
        <v>5339</v>
      </c>
      <c r="F375" s="12" t="s">
        <v>453</v>
      </c>
      <c r="G375" s="512"/>
      <c r="H375" s="334">
        <v>0</v>
      </c>
      <c r="I375" s="335">
        <v>221</v>
      </c>
      <c r="J375" s="336">
        <v>221</v>
      </c>
      <c r="K375" s="510">
        <f t="shared" si="16"/>
        <v>0</v>
      </c>
      <c r="L375" s="511">
        <f t="shared" si="17"/>
        <v>100</v>
      </c>
    </row>
    <row r="376" spans="1:12" ht="12.75" customHeight="1">
      <c r="A376" s="315">
        <f t="shared" si="15"/>
        <v>375</v>
      </c>
      <c r="B376" s="28"/>
      <c r="C376" s="343" t="s">
        <v>454</v>
      </c>
      <c r="D376" s="343"/>
      <c r="E376" s="343"/>
      <c r="F376" s="513"/>
      <c r="G376" s="514"/>
      <c r="H376" s="473">
        <f>SUBTOTAL(9,H371:H375)</f>
        <v>2418</v>
      </c>
      <c r="I376" s="428">
        <f>SUBTOTAL(9,I371:I375)</f>
        <v>2418</v>
      </c>
      <c r="J376" s="429">
        <f>SUBTOTAL(9,J371:J375)</f>
        <v>1860</v>
      </c>
      <c r="K376" s="474">
        <f t="shared" si="16"/>
        <v>-558</v>
      </c>
      <c r="L376" s="475">
        <f t="shared" si="17"/>
        <v>76.923076923076934</v>
      </c>
    </row>
    <row r="377" spans="1:12">
      <c r="A377" s="315">
        <f t="shared" si="15"/>
        <v>376</v>
      </c>
      <c r="B377" s="500">
        <v>4200</v>
      </c>
      <c r="C377" s="501">
        <v>5319</v>
      </c>
      <c r="D377" s="502" t="s">
        <v>455</v>
      </c>
      <c r="E377" s="501">
        <v>5331</v>
      </c>
      <c r="F377" s="383" t="s">
        <v>338</v>
      </c>
      <c r="G377" s="503"/>
      <c r="H377" s="334">
        <v>0</v>
      </c>
      <c r="I377" s="335">
        <v>20</v>
      </c>
      <c r="J377" s="336">
        <v>20</v>
      </c>
      <c r="K377" s="504">
        <f t="shared" si="16"/>
        <v>0</v>
      </c>
      <c r="L377" s="505">
        <f t="shared" si="17"/>
        <v>100</v>
      </c>
    </row>
    <row r="378" spans="1:12">
      <c r="A378" s="315">
        <f t="shared" si="15"/>
        <v>377</v>
      </c>
      <c r="B378" s="500"/>
      <c r="C378" s="343" t="s">
        <v>373</v>
      </c>
      <c r="D378" s="515"/>
      <c r="E378" s="501"/>
      <c r="F378" s="502"/>
      <c r="G378" s="503"/>
      <c r="H378" s="473">
        <f>SUBTOTAL(9,H377:H377)</f>
        <v>0</v>
      </c>
      <c r="I378" s="428">
        <f>SUBTOTAL(9,I377:I377)</f>
        <v>20</v>
      </c>
      <c r="J378" s="429">
        <f>SUBTOTAL(9,J377:J377)</f>
        <v>20</v>
      </c>
      <c r="K378" s="474">
        <f t="shared" si="16"/>
        <v>0</v>
      </c>
      <c r="L378" s="475">
        <f t="shared" si="17"/>
        <v>100</v>
      </c>
    </row>
    <row r="379" spans="1:12" ht="13.5" thickBot="1">
      <c r="A379" s="315">
        <f t="shared" si="15"/>
        <v>378</v>
      </c>
      <c r="B379" s="29" t="s">
        <v>210</v>
      </c>
      <c r="C379" s="357"/>
      <c r="D379" s="357"/>
      <c r="E379" s="357"/>
      <c r="F379" s="357"/>
      <c r="G379" s="358"/>
      <c r="H379" s="359">
        <f>SUBTOTAL(9,H317:H378)</f>
        <v>475004</v>
      </c>
      <c r="I379" s="360">
        <f>SUBTOTAL(9,I317:I378)</f>
        <v>460532.4</v>
      </c>
      <c r="J379" s="361">
        <f>SUBTOTAL(9,J317:J378)</f>
        <v>401540</v>
      </c>
      <c r="K379" s="362">
        <f t="shared" si="16"/>
        <v>-58992.400000000023</v>
      </c>
      <c r="L379" s="363">
        <f t="shared" si="17"/>
        <v>87.19039094752074</v>
      </c>
    </row>
    <row r="380" spans="1:12">
      <c r="A380" s="315">
        <f t="shared" si="15"/>
        <v>379</v>
      </c>
      <c r="B380" s="91"/>
      <c r="C380" s="409"/>
      <c r="D380" s="409"/>
      <c r="E380" s="409"/>
      <c r="F380" s="409"/>
      <c r="G380" s="410"/>
      <c r="H380" s="411"/>
      <c r="I380" s="412"/>
      <c r="J380" s="413"/>
      <c r="K380" s="414">
        <f t="shared" si="16"/>
        <v>0</v>
      </c>
      <c r="L380" s="415">
        <f t="shared" si="17"/>
        <v>0</v>
      </c>
    </row>
    <row r="381" spans="1:12" ht="15.75">
      <c r="A381" s="315">
        <f t="shared" si="15"/>
        <v>380</v>
      </c>
      <c r="B381" s="373" t="s">
        <v>45</v>
      </c>
      <c r="C381" s="12"/>
      <c r="D381" s="12"/>
      <c r="E381" s="12"/>
      <c r="F381" s="12"/>
      <c r="G381" s="158"/>
      <c r="H381" s="516"/>
      <c r="I381" s="517"/>
      <c r="J381" s="518"/>
      <c r="K381" s="510">
        <f t="shared" si="16"/>
        <v>0</v>
      </c>
      <c r="L381" s="511">
        <f t="shared" si="17"/>
        <v>0</v>
      </c>
    </row>
    <row r="382" spans="1:12">
      <c r="A382" s="315">
        <f t="shared" si="15"/>
        <v>381</v>
      </c>
      <c r="B382" s="519">
        <v>4300</v>
      </c>
      <c r="C382" s="12">
        <v>1014</v>
      </c>
      <c r="D382" s="12" t="s">
        <v>433</v>
      </c>
      <c r="E382" s="12">
        <v>5169</v>
      </c>
      <c r="F382" s="10" t="s">
        <v>313</v>
      </c>
      <c r="G382" s="333"/>
      <c r="H382" s="334">
        <v>50</v>
      </c>
      <c r="I382" s="335">
        <v>50</v>
      </c>
      <c r="J382" s="336"/>
      <c r="K382" s="337">
        <f t="shared" si="16"/>
        <v>-50</v>
      </c>
      <c r="L382" s="338">
        <f t="shared" si="17"/>
        <v>0</v>
      </c>
    </row>
    <row r="383" spans="1:12">
      <c r="A383" s="315">
        <f t="shared" si="15"/>
        <v>382</v>
      </c>
      <c r="B383" s="33"/>
      <c r="C383" s="374" t="s">
        <v>435</v>
      </c>
      <c r="D383" s="374"/>
      <c r="E383" s="374"/>
      <c r="F383" s="343"/>
      <c r="G383" s="344"/>
      <c r="H383" s="477">
        <f>SUBTOTAL(9,H382)</f>
        <v>50</v>
      </c>
      <c r="I383" s="401">
        <f>SUBTOTAL(9,I382)</f>
        <v>50</v>
      </c>
      <c r="J383" s="402">
        <f>SUBTOTAL(9,J382)</f>
        <v>0</v>
      </c>
      <c r="K383" s="478">
        <f t="shared" si="16"/>
        <v>-50</v>
      </c>
      <c r="L383" s="479">
        <f t="shared" si="17"/>
        <v>0</v>
      </c>
    </row>
    <row r="384" spans="1:12">
      <c r="A384" s="315">
        <f t="shared" si="15"/>
        <v>383</v>
      </c>
      <c r="B384" s="519">
        <v>4300</v>
      </c>
      <c r="C384" s="12">
        <v>1037</v>
      </c>
      <c r="D384" s="12" t="s">
        <v>456</v>
      </c>
      <c r="E384" s="12">
        <v>5169</v>
      </c>
      <c r="F384" s="10" t="s">
        <v>313</v>
      </c>
      <c r="G384" s="333"/>
      <c r="H384" s="334">
        <v>10</v>
      </c>
      <c r="I384" s="335">
        <v>10</v>
      </c>
      <c r="J384" s="336">
        <v>10</v>
      </c>
      <c r="K384" s="337">
        <f t="shared" si="16"/>
        <v>0</v>
      </c>
      <c r="L384" s="338">
        <f t="shared" si="17"/>
        <v>100</v>
      </c>
    </row>
    <row r="385" spans="1:12">
      <c r="A385" s="315">
        <f t="shared" si="15"/>
        <v>384</v>
      </c>
      <c r="B385" s="519">
        <v>4300</v>
      </c>
      <c r="C385" s="12">
        <v>1037</v>
      </c>
      <c r="D385" s="12" t="s">
        <v>456</v>
      </c>
      <c r="E385" s="12">
        <v>5192</v>
      </c>
      <c r="F385" s="10" t="s">
        <v>351</v>
      </c>
      <c r="G385" s="333" t="s">
        <v>457</v>
      </c>
      <c r="H385" s="334">
        <v>60</v>
      </c>
      <c r="I385" s="335">
        <v>60</v>
      </c>
      <c r="J385" s="336">
        <v>39</v>
      </c>
      <c r="K385" s="337">
        <f t="shared" si="16"/>
        <v>-21</v>
      </c>
      <c r="L385" s="338">
        <f t="shared" si="17"/>
        <v>65</v>
      </c>
    </row>
    <row r="386" spans="1:12">
      <c r="A386" s="315">
        <f t="shared" si="15"/>
        <v>385</v>
      </c>
      <c r="B386" s="519">
        <v>4300</v>
      </c>
      <c r="C386" s="12">
        <v>1037</v>
      </c>
      <c r="D386" s="12" t="s">
        <v>456</v>
      </c>
      <c r="E386" s="12">
        <v>5213</v>
      </c>
      <c r="F386" s="520" t="s">
        <v>458</v>
      </c>
      <c r="G386" s="158" t="s">
        <v>459</v>
      </c>
      <c r="H386" s="334">
        <v>0</v>
      </c>
      <c r="I386" s="335">
        <v>35</v>
      </c>
      <c r="J386" s="336">
        <v>35</v>
      </c>
      <c r="K386" s="337">
        <f t="shared" si="16"/>
        <v>0</v>
      </c>
      <c r="L386" s="338">
        <f t="shared" si="17"/>
        <v>100</v>
      </c>
    </row>
    <row r="387" spans="1:12">
      <c r="A387" s="315">
        <f t="shared" si="15"/>
        <v>386</v>
      </c>
      <c r="B387" s="33"/>
      <c r="C387" s="374" t="s">
        <v>460</v>
      </c>
      <c r="D387" s="374"/>
      <c r="E387" s="374"/>
      <c r="F387" s="374"/>
      <c r="G387" s="485"/>
      <c r="H387" s="486">
        <f>SUBTOTAL(9,H384:H386)</f>
        <v>70</v>
      </c>
      <c r="I387" s="487">
        <f>SUBTOTAL(9,I384:I386)</f>
        <v>105</v>
      </c>
      <c r="J387" s="488">
        <f>SUBTOTAL(9,J384:J386)</f>
        <v>84</v>
      </c>
      <c r="K387" s="489">
        <f t="shared" si="16"/>
        <v>-21</v>
      </c>
      <c r="L387" s="490">
        <f t="shared" si="17"/>
        <v>80</v>
      </c>
    </row>
    <row r="388" spans="1:12">
      <c r="A388" s="315">
        <f t="shared" ref="A388:A451" si="18">A387+1</f>
        <v>387</v>
      </c>
      <c r="B388" s="519">
        <v>4300</v>
      </c>
      <c r="C388" s="12">
        <v>1039</v>
      </c>
      <c r="D388" s="12" t="s">
        <v>461</v>
      </c>
      <c r="E388" s="12">
        <v>5169</v>
      </c>
      <c r="F388" s="10" t="s">
        <v>313</v>
      </c>
      <c r="G388" s="333"/>
      <c r="H388" s="334">
        <v>0</v>
      </c>
      <c r="I388" s="335">
        <v>345</v>
      </c>
      <c r="J388" s="336">
        <v>345</v>
      </c>
      <c r="K388" s="337">
        <f t="shared" si="16"/>
        <v>0</v>
      </c>
      <c r="L388" s="338">
        <f t="shared" si="17"/>
        <v>100</v>
      </c>
    </row>
    <row r="389" spans="1:12">
      <c r="A389" s="315">
        <f t="shared" si="18"/>
        <v>388</v>
      </c>
      <c r="B389" s="33"/>
      <c r="C389" s="374" t="s">
        <v>462</v>
      </c>
      <c r="D389" s="374"/>
      <c r="E389" s="374"/>
      <c r="F389" s="343"/>
      <c r="G389" s="344"/>
      <c r="H389" s="486">
        <f>SUBTOTAL(9,H388)</f>
        <v>0</v>
      </c>
      <c r="I389" s="487">
        <f>SUBTOTAL(9,I388)</f>
        <v>345</v>
      </c>
      <c r="J389" s="488">
        <f>SUBTOTAL(9,J388)</f>
        <v>345</v>
      </c>
      <c r="K389" s="489">
        <f t="shared" ref="K389:K452" si="19">J389-I389</f>
        <v>0</v>
      </c>
      <c r="L389" s="490">
        <f t="shared" ref="L389:L452" si="20">IF(I389&lt;=0,0,J389/I389*100)</f>
        <v>100</v>
      </c>
    </row>
    <row r="390" spans="1:12">
      <c r="A390" s="315">
        <f t="shared" si="18"/>
        <v>389</v>
      </c>
      <c r="B390" s="519">
        <v>4300</v>
      </c>
      <c r="C390" s="12">
        <v>2310</v>
      </c>
      <c r="D390" s="12" t="s">
        <v>5</v>
      </c>
      <c r="E390" s="12">
        <v>5169</v>
      </c>
      <c r="F390" s="10" t="s">
        <v>313</v>
      </c>
      <c r="G390" s="333"/>
      <c r="H390" s="334">
        <v>100</v>
      </c>
      <c r="I390" s="335">
        <v>100</v>
      </c>
      <c r="J390" s="336"/>
      <c r="K390" s="337">
        <f t="shared" si="19"/>
        <v>-100</v>
      </c>
      <c r="L390" s="338">
        <f t="shared" si="20"/>
        <v>0</v>
      </c>
    </row>
    <row r="391" spans="1:12">
      <c r="A391" s="315">
        <f t="shared" si="18"/>
        <v>390</v>
      </c>
      <c r="B391" s="33"/>
      <c r="C391" s="374" t="s">
        <v>463</v>
      </c>
      <c r="D391" s="374"/>
      <c r="E391" s="374"/>
      <c r="F391" s="374"/>
      <c r="G391" s="485"/>
      <c r="H391" s="486">
        <f>SUBTOTAL(9,H390:H390)</f>
        <v>100</v>
      </c>
      <c r="I391" s="487">
        <f>SUBTOTAL(9,I390:I390)</f>
        <v>100</v>
      </c>
      <c r="J391" s="488">
        <f>SUBTOTAL(9,J390:J390)</f>
        <v>0</v>
      </c>
      <c r="K391" s="489">
        <f t="shared" si="19"/>
        <v>-100</v>
      </c>
      <c r="L391" s="490">
        <f t="shared" si="20"/>
        <v>0</v>
      </c>
    </row>
    <row r="392" spans="1:12">
      <c r="A392" s="315">
        <f t="shared" si="18"/>
        <v>391</v>
      </c>
      <c r="B392" s="521">
        <v>4300</v>
      </c>
      <c r="C392" s="405">
        <v>2321</v>
      </c>
      <c r="D392" s="522" t="s">
        <v>464</v>
      </c>
      <c r="E392" s="405">
        <v>5169</v>
      </c>
      <c r="F392" s="393" t="s">
        <v>313</v>
      </c>
      <c r="G392" s="333"/>
      <c r="H392" s="523">
        <v>48</v>
      </c>
      <c r="I392" s="524">
        <v>48</v>
      </c>
      <c r="J392" s="525">
        <v>46</v>
      </c>
      <c r="K392" s="526">
        <f t="shared" si="19"/>
        <v>-2</v>
      </c>
      <c r="L392" s="527">
        <f t="shared" si="20"/>
        <v>95.833333333333343</v>
      </c>
    </row>
    <row r="393" spans="1:12">
      <c r="A393" s="315">
        <f t="shared" si="18"/>
        <v>392</v>
      </c>
      <c r="B393" s="521">
        <v>4300</v>
      </c>
      <c r="C393" s="405">
        <v>2321</v>
      </c>
      <c r="D393" s="522" t="s">
        <v>464</v>
      </c>
      <c r="E393" s="405">
        <v>5192</v>
      </c>
      <c r="F393" s="405" t="s">
        <v>351</v>
      </c>
      <c r="G393" s="528" t="s">
        <v>465</v>
      </c>
      <c r="H393" s="523">
        <v>360</v>
      </c>
      <c r="I393" s="524">
        <v>300</v>
      </c>
      <c r="J393" s="525">
        <v>131</v>
      </c>
      <c r="K393" s="526">
        <f t="shared" si="19"/>
        <v>-169</v>
      </c>
      <c r="L393" s="527">
        <f t="shared" si="20"/>
        <v>43.666666666666664</v>
      </c>
    </row>
    <row r="394" spans="1:12">
      <c r="A394" s="315">
        <f t="shared" si="18"/>
        <v>393</v>
      </c>
      <c r="B394" s="521">
        <v>4300</v>
      </c>
      <c r="C394" s="405">
        <v>2321</v>
      </c>
      <c r="D394" s="522" t="s">
        <v>464</v>
      </c>
      <c r="E394" s="405">
        <v>5909</v>
      </c>
      <c r="F394" s="405" t="s">
        <v>323</v>
      </c>
      <c r="G394" s="528" t="s">
        <v>465</v>
      </c>
      <c r="H394" s="523"/>
      <c r="I394" s="524">
        <v>60</v>
      </c>
      <c r="J394" s="525">
        <v>59</v>
      </c>
      <c r="K394" s="526">
        <f t="shared" si="19"/>
        <v>-1</v>
      </c>
      <c r="L394" s="527">
        <f t="shared" si="20"/>
        <v>98.333333333333329</v>
      </c>
    </row>
    <row r="395" spans="1:12">
      <c r="A395" s="315">
        <f t="shared" si="18"/>
        <v>394</v>
      </c>
      <c r="B395" s="529"/>
      <c r="C395" s="374" t="s">
        <v>466</v>
      </c>
      <c r="D395" s="417"/>
      <c r="E395" s="417"/>
      <c r="F395" s="417"/>
      <c r="G395" s="418"/>
      <c r="H395" s="530">
        <f>SUBTOTAL(9,H392:H394)</f>
        <v>408</v>
      </c>
      <c r="I395" s="487">
        <f>SUBTOTAL(9,I392:I394)</f>
        <v>408</v>
      </c>
      <c r="J395" s="488">
        <f>SUBTOTAL(9,J392:J394)</f>
        <v>236</v>
      </c>
      <c r="K395" s="531">
        <f t="shared" si="19"/>
        <v>-172</v>
      </c>
      <c r="L395" s="532">
        <f t="shared" si="20"/>
        <v>57.843137254901968</v>
      </c>
    </row>
    <row r="396" spans="1:12">
      <c r="A396" s="315">
        <f t="shared" si="18"/>
        <v>395</v>
      </c>
      <c r="B396" s="519">
        <v>4300</v>
      </c>
      <c r="C396" s="12">
        <v>2331</v>
      </c>
      <c r="D396" s="12" t="s">
        <v>467</v>
      </c>
      <c r="E396" s="12">
        <v>5219</v>
      </c>
      <c r="F396" s="520" t="s">
        <v>468</v>
      </c>
      <c r="G396" s="333" t="s">
        <v>469</v>
      </c>
      <c r="H396" s="334">
        <v>3800</v>
      </c>
      <c r="I396" s="335">
        <v>3800</v>
      </c>
      <c r="J396" s="336"/>
      <c r="K396" s="337">
        <f t="shared" si="19"/>
        <v>-3800</v>
      </c>
      <c r="L396" s="338">
        <f t="shared" si="20"/>
        <v>0</v>
      </c>
    </row>
    <row r="397" spans="1:12">
      <c r="A397" s="315">
        <f t="shared" si="18"/>
        <v>396</v>
      </c>
      <c r="B397" s="33"/>
      <c r="C397" s="374" t="s">
        <v>470</v>
      </c>
      <c r="D397" s="374"/>
      <c r="E397" s="374"/>
      <c r="F397" s="374"/>
      <c r="G397" s="485"/>
      <c r="H397" s="486">
        <f>SUBTOTAL(9,H396:H396)</f>
        <v>3800</v>
      </c>
      <c r="I397" s="487">
        <f>SUBTOTAL(9,I396:I396)</f>
        <v>3800</v>
      </c>
      <c r="J397" s="488">
        <f>SUBTOTAL(9,J396:J396)</f>
        <v>0</v>
      </c>
      <c r="K397" s="489">
        <f t="shared" si="19"/>
        <v>-3800</v>
      </c>
      <c r="L397" s="490">
        <f t="shared" si="20"/>
        <v>0</v>
      </c>
    </row>
    <row r="398" spans="1:12">
      <c r="A398" s="315">
        <f t="shared" si="18"/>
        <v>397</v>
      </c>
      <c r="B398" s="519">
        <v>4300</v>
      </c>
      <c r="C398" s="12">
        <v>2333</v>
      </c>
      <c r="D398" s="12" t="s">
        <v>22</v>
      </c>
      <c r="E398" s="12">
        <v>5169</v>
      </c>
      <c r="F398" s="10" t="s">
        <v>313</v>
      </c>
      <c r="G398" s="333"/>
      <c r="H398" s="334">
        <v>3450</v>
      </c>
      <c r="I398" s="335">
        <v>3450</v>
      </c>
      <c r="J398" s="336">
        <v>3450</v>
      </c>
      <c r="K398" s="337">
        <f t="shared" si="19"/>
        <v>0</v>
      </c>
      <c r="L398" s="338">
        <f t="shared" si="20"/>
        <v>100</v>
      </c>
    </row>
    <row r="399" spans="1:12">
      <c r="A399" s="315">
        <f t="shared" si="18"/>
        <v>398</v>
      </c>
      <c r="B399" s="519">
        <v>4300</v>
      </c>
      <c r="C399" s="12">
        <v>2333</v>
      </c>
      <c r="D399" s="12" t="s">
        <v>22</v>
      </c>
      <c r="E399" s="12">
        <v>5171</v>
      </c>
      <c r="F399" s="10" t="s">
        <v>394</v>
      </c>
      <c r="G399" s="333"/>
      <c r="H399" s="334">
        <v>150</v>
      </c>
      <c r="I399" s="335">
        <v>150</v>
      </c>
      <c r="J399" s="336">
        <v>147</v>
      </c>
      <c r="K399" s="337">
        <f t="shared" si="19"/>
        <v>-3</v>
      </c>
      <c r="L399" s="338">
        <f t="shared" si="20"/>
        <v>98</v>
      </c>
    </row>
    <row r="400" spans="1:12" s="387" customFormat="1">
      <c r="A400" s="315">
        <f t="shared" si="18"/>
        <v>399</v>
      </c>
      <c r="B400" s="33"/>
      <c r="C400" s="374" t="s">
        <v>471</v>
      </c>
      <c r="D400" s="374"/>
      <c r="E400" s="374"/>
      <c r="F400" s="374"/>
      <c r="G400" s="485"/>
      <c r="H400" s="486">
        <f>SUBTOTAL(9,H398:H399)</f>
        <v>3600</v>
      </c>
      <c r="I400" s="487">
        <f>SUBTOTAL(9,I398:I399)</f>
        <v>3600</v>
      </c>
      <c r="J400" s="488">
        <f>SUBTOTAL(9,J398:J399)</f>
        <v>3597</v>
      </c>
      <c r="K400" s="489">
        <f t="shared" si="19"/>
        <v>-3</v>
      </c>
      <c r="L400" s="490">
        <f t="shared" si="20"/>
        <v>99.916666666666671</v>
      </c>
    </row>
    <row r="401" spans="1:12">
      <c r="A401" s="315">
        <f t="shared" si="18"/>
        <v>400</v>
      </c>
      <c r="B401" s="521">
        <v>4300</v>
      </c>
      <c r="C401" s="405">
        <v>3739</v>
      </c>
      <c r="D401" s="405" t="s">
        <v>72</v>
      </c>
      <c r="E401" s="405">
        <v>5169</v>
      </c>
      <c r="F401" s="10" t="s">
        <v>313</v>
      </c>
      <c r="G401" s="333"/>
      <c r="H401" s="523">
        <v>250</v>
      </c>
      <c r="I401" s="524">
        <v>250</v>
      </c>
      <c r="J401" s="525"/>
      <c r="K401" s="526">
        <f t="shared" si="19"/>
        <v>-250</v>
      </c>
      <c r="L401" s="527">
        <f t="shared" si="20"/>
        <v>0</v>
      </c>
    </row>
    <row r="402" spans="1:12">
      <c r="A402" s="315">
        <f t="shared" si="18"/>
        <v>401</v>
      </c>
      <c r="B402" s="33"/>
      <c r="C402" s="374" t="s">
        <v>445</v>
      </c>
      <c r="D402" s="374"/>
      <c r="E402" s="374"/>
      <c r="F402" s="374"/>
      <c r="G402" s="485"/>
      <c r="H402" s="486">
        <f>SUBTOTAL(9,H400:H401)</f>
        <v>250</v>
      </c>
      <c r="I402" s="487">
        <f>SUBTOTAL(9,I400:I401)</f>
        <v>250</v>
      </c>
      <c r="J402" s="488">
        <f>SUBTOTAL(9,J400:J401)</f>
        <v>0</v>
      </c>
      <c r="K402" s="489">
        <f t="shared" si="19"/>
        <v>-250</v>
      </c>
      <c r="L402" s="490">
        <f t="shared" si="20"/>
        <v>0</v>
      </c>
    </row>
    <row r="403" spans="1:12">
      <c r="A403" s="315">
        <f t="shared" si="18"/>
        <v>402</v>
      </c>
      <c r="B403" s="519">
        <v>4300</v>
      </c>
      <c r="C403" s="12">
        <v>3744</v>
      </c>
      <c r="D403" s="12" t="s">
        <v>472</v>
      </c>
      <c r="E403" s="12">
        <v>5137</v>
      </c>
      <c r="F403" s="10" t="s">
        <v>346</v>
      </c>
      <c r="G403" s="333"/>
      <c r="H403" s="334">
        <v>21</v>
      </c>
      <c r="I403" s="335">
        <v>21</v>
      </c>
      <c r="J403" s="336"/>
      <c r="K403" s="533">
        <f t="shared" si="19"/>
        <v>-21</v>
      </c>
      <c r="L403" s="534">
        <f t="shared" si="20"/>
        <v>0</v>
      </c>
    </row>
    <row r="404" spans="1:12">
      <c r="A404" s="315">
        <f t="shared" si="18"/>
        <v>403</v>
      </c>
      <c r="B404" s="519">
        <v>4300</v>
      </c>
      <c r="C404" s="12">
        <v>3744</v>
      </c>
      <c r="D404" s="12" t="s">
        <v>472</v>
      </c>
      <c r="E404" s="12">
        <v>5139</v>
      </c>
      <c r="F404" s="10" t="s">
        <v>342</v>
      </c>
      <c r="G404" s="333"/>
      <c r="H404" s="334">
        <v>229</v>
      </c>
      <c r="I404" s="335">
        <v>229</v>
      </c>
      <c r="J404" s="336"/>
      <c r="K404" s="533">
        <f t="shared" si="19"/>
        <v>-229</v>
      </c>
      <c r="L404" s="534">
        <f t="shared" si="20"/>
        <v>0</v>
      </c>
    </row>
    <row r="405" spans="1:12">
      <c r="A405" s="315">
        <f t="shared" si="18"/>
        <v>404</v>
      </c>
      <c r="B405" s="519">
        <v>4300</v>
      </c>
      <c r="C405" s="12">
        <v>3744</v>
      </c>
      <c r="D405" s="12" t="s">
        <v>472</v>
      </c>
      <c r="E405" s="12">
        <v>5169</v>
      </c>
      <c r="F405" s="10" t="s">
        <v>313</v>
      </c>
      <c r="G405" s="333"/>
      <c r="H405" s="334">
        <v>146</v>
      </c>
      <c r="I405" s="335">
        <v>146</v>
      </c>
      <c r="J405" s="336"/>
      <c r="K405" s="510">
        <f t="shared" si="19"/>
        <v>-146</v>
      </c>
      <c r="L405" s="511">
        <f t="shared" si="20"/>
        <v>0</v>
      </c>
    </row>
    <row r="406" spans="1:12">
      <c r="A406" s="315">
        <f t="shared" si="18"/>
        <v>405</v>
      </c>
      <c r="B406" s="33"/>
      <c r="C406" s="374" t="s">
        <v>473</v>
      </c>
      <c r="D406" s="374"/>
      <c r="E406" s="374"/>
      <c r="F406" s="343"/>
      <c r="G406" s="344"/>
      <c r="H406" s="486">
        <f>SUBTOTAL(9,H403:H405)</f>
        <v>396</v>
      </c>
      <c r="I406" s="487">
        <f>SUBTOTAL(9,I403:I405)</f>
        <v>396</v>
      </c>
      <c r="J406" s="488">
        <f>SUBTOTAL(9,J403:J405)</f>
        <v>0</v>
      </c>
      <c r="K406" s="489">
        <f t="shared" si="19"/>
        <v>-396</v>
      </c>
      <c r="L406" s="490">
        <f t="shared" si="20"/>
        <v>0</v>
      </c>
    </row>
    <row r="407" spans="1:12">
      <c r="A407" s="315">
        <f t="shared" si="18"/>
        <v>406</v>
      </c>
      <c r="B407" s="519">
        <v>4300</v>
      </c>
      <c r="C407" s="12">
        <v>3745</v>
      </c>
      <c r="D407" s="12" t="s">
        <v>2</v>
      </c>
      <c r="E407" s="12">
        <v>5137</v>
      </c>
      <c r="F407" s="10" t="s">
        <v>346</v>
      </c>
      <c r="G407" s="333"/>
      <c r="H407" s="334">
        <v>48</v>
      </c>
      <c r="I407" s="335">
        <v>48</v>
      </c>
      <c r="J407" s="336">
        <v>48</v>
      </c>
      <c r="K407" s="533">
        <f t="shared" si="19"/>
        <v>0</v>
      </c>
      <c r="L407" s="534">
        <f t="shared" si="20"/>
        <v>100</v>
      </c>
    </row>
    <row r="408" spans="1:12" ht="12.75" customHeight="1">
      <c r="A408" s="315">
        <f t="shared" si="18"/>
        <v>407</v>
      </c>
      <c r="B408" s="519">
        <v>4300</v>
      </c>
      <c r="C408" s="12">
        <v>3745</v>
      </c>
      <c r="D408" s="12" t="s">
        <v>2</v>
      </c>
      <c r="E408" s="12">
        <v>5169</v>
      </c>
      <c r="F408" s="10" t="s">
        <v>313</v>
      </c>
      <c r="G408" s="333"/>
      <c r="H408" s="334">
        <v>9207</v>
      </c>
      <c r="I408" s="335">
        <v>9207</v>
      </c>
      <c r="J408" s="336">
        <v>9201</v>
      </c>
      <c r="K408" s="510">
        <f t="shared" si="19"/>
        <v>-6</v>
      </c>
      <c r="L408" s="511">
        <f t="shared" si="20"/>
        <v>99.934832192896707</v>
      </c>
    </row>
    <row r="409" spans="1:12">
      <c r="A409" s="315">
        <f t="shared" si="18"/>
        <v>408</v>
      </c>
      <c r="B409" s="519">
        <v>4300</v>
      </c>
      <c r="C409" s="12">
        <v>3745</v>
      </c>
      <c r="D409" s="12" t="s">
        <v>2</v>
      </c>
      <c r="E409" s="12">
        <v>5171</v>
      </c>
      <c r="F409" s="12" t="s">
        <v>394</v>
      </c>
      <c r="G409" s="158"/>
      <c r="H409" s="334">
        <v>1703</v>
      </c>
      <c r="I409" s="335">
        <v>1703</v>
      </c>
      <c r="J409" s="336">
        <v>1700</v>
      </c>
      <c r="K409" s="337">
        <f t="shared" si="19"/>
        <v>-3</v>
      </c>
      <c r="L409" s="338">
        <f t="shared" si="20"/>
        <v>99.823840281855553</v>
      </c>
    </row>
    <row r="410" spans="1:12">
      <c r="A410" s="315">
        <f t="shared" si="18"/>
        <v>409</v>
      </c>
      <c r="B410" s="33"/>
      <c r="C410" s="374" t="s">
        <v>430</v>
      </c>
      <c r="D410" s="374"/>
      <c r="E410" s="374"/>
      <c r="F410" s="374"/>
      <c r="G410" s="485"/>
      <c r="H410" s="486">
        <f>SUBTOTAL(9,H407:H409)</f>
        <v>10958</v>
      </c>
      <c r="I410" s="487">
        <f>SUBTOTAL(9,I407:I409)</f>
        <v>10958</v>
      </c>
      <c r="J410" s="488">
        <f>SUBTOTAL(9,J407:J409)</f>
        <v>10949</v>
      </c>
      <c r="K410" s="489">
        <f t="shared" si="19"/>
        <v>-9</v>
      </c>
      <c r="L410" s="490">
        <f t="shared" si="20"/>
        <v>99.917868224128497</v>
      </c>
    </row>
    <row r="411" spans="1:12" ht="13.5" thickBot="1">
      <c r="A411" s="315">
        <f t="shared" si="18"/>
        <v>410</v>
      </c>
      <c r="B411" s="29" t="s">
        <v>212</v>
      </c>
      <c r="C411" s="357"/>
      <c r="D411" s="357"/>
      <c r="E411" s="357"/>
      <c r="F411" s="357"/>
      <c r="G411" s="358"/>
      <c r="H411" s="359">
        <f>SUBTOTAL(9,H382:H410)</f>
        <v>19632</v>
      </c>
      <c r="I411" s="360">
        <f>SUBTOTAL(9,I382:I410)</f>
        <v>20012</v>
      </c>
      <c r="J411" s="361">
        <f>SUBTOTAL(9,J382:J410)</f>
        <v>15211</v>
      </c>
      <c r="K411" s="362">
        <f t="shared" si="19"/>
        <v>-4801</v>
      </c>
      <c r="L411" s="363">
        <f t="shared" si="20"/>
        <v>76.009394363381972</v>
      </c>
    </row>
    <row r="412" spans="1:12">
      <c r="A412" s="315">
        <f t="shared" si="18"/>
        <v>411</v>
      </c>
      <c r="B412" s="91"/>
      <c r="C412" s="409"/>
      <c r="D412" s="409"/>
      <c r="E412" s="409"/>
      <c r="F412" s="409"/>
      <c r="G412" s="410"/>
      <c r="H412" s="411"/>
      <c r="I412" s="412"/>
      <c r="J412" s="413"/>
      <c r="K412" s="414">
        <f t="shared" si="19"/>
        <v>0</v>
      </c>
      <c r="L412" s="415">
        <f t="shared" si="20"/>
        <v>0</v>
      </c>
    </row>
    <row r="413" spans="1:12" ht="15.75">
      <c r="A413" s="315">
        <f t="shared" si="18"/>
        <v>412</v>
      </c>
      <c r="B413" s="535" t="s">
        <v>38</v>
      </c>
      <c r="C413" s="425"/>
      <c r="D413" s="425"/>
      <c r="E413" s="425"/>
      <c r="F413" s="425"/>
      <c r="G413" s="426"/>
      <c r="H413" s="400"/>
      <c r="I413" s="401"/>
      <c r="J413" s="402"/>
      <c r="K413" s="403">
        <f t="shared" si="19"/>
        <v>0</v>
      </c>
      <c r="L413" s="404">
        <f t="shared" si="20"/>
        <v>0</v>
      </c>
    </row>
    <row r="414" spans="1:12">
      <c r="A414" s="315">
        <f t="shared" si="18"/>
        <v>413</v>
      </c>
      <c r="B414" s="381">
        <v>5300</v>
      </c>
      <c r="C414" s="10">
        <v>6171</v>
      </c>
      <c r="D414" s="10" t="s">
        <v>9</v>
      </c>
      <c r="E414" s="10">
        <v>5137</v>
      </c>
      <c r="F414" s="12" t="s">
        <v>346</v>
      </c>
      <c r="G414" s="158" t="s">
        <v>474</v>
      </c>
      <c r="H414" s="334">
        <v>7095</v>
      </c>
      <c r="I414" s="335">
        <v>8453</v>
      </c>
      <c r="J414" s="336">
        <v>7449</v>
      </c>
      <c r="K414" s="337">
        <f t="shared" si="19"/>
        <v>-1004</v>
      </c>
      <c r="L414" s="338">
        <f t="shared" si="20"/>
        <v>88.122560037856374</v>
      </c>
    </row>
    <row r="415" spans="1:12">
      <c r="A415" s="315">
        <f t="shared" si="18"/>
        <v>414</v>
      </c>
      <c r="B415" s="381">
        <v>5300</v>
      </c>
      <c r="C415" s="10">
        <v>6171</v>
      </c>
      <c r="D415" s="10" t="s">
        <v>9</v>
      </c>
      <c r="E415" s="10">
        <v>5139</v>
      </c>
      <c r="F415" s="10" t="s">
        <v>342</v>
      </c>
      <c r="G415" s="333"/>
      <c r="H415" s="334">
        <v>1960</v>
      </c>
      <c r="I415" s="335">
        <v>1960</v>
      </c>
      <c r="J415" s="336">
        <v>1959</v>
      </c>
      <c r="K415" s="337">
        <f t="shared" si="19"/>
        <v>-1</v>
      </c>
      <c r="L415" s="338">
        <f t="shared" si="20"/>
        <v>99.948979591836746</v>
      </c>
    </row>
    <row r="416" spans="1:12">
      <c r="A416" s="315">
        <f t="shared" si="18"/>
        <v>415</v>
      </c>
      <c r="B416" s="381">
        <v>5300</v>
      </c>
      <c r="C416" s="10">
        <v>6171</v>
      </c>
      <c r="D416" s="10" t="s">
        <v>9</v>
      </c>
      <c r="E416" s="10">
        <v>5139</v>
      </c>
      <c r="F416" s="10" t="s">
        <v>342</v>
      </c>
      <c r="G416" s="333" t="s">
        <v>359</v>
      </c>
      <c r="H416" s="334"/>
      <c r="I416" s="335">
        <v>200</v>
      </c>
      <c r="J416" s="336">
        <v>199</v>
      </c>
      <c r="K416" s="337">
        <f t="shared" si="19"/>
        <v>-1</v>
      </c>
      <c r="L416" s="338">
        <f t="shared" si="20"/>
        <v>99.5</v>
      </c>
    </row>
    <row r="417" spans="1:12">
      <c r="A417" s="315">
        <f t="shared" si="18"/>
        <v>416</v>
      </c>
      <c r="B417" s="381">
        <v>5300</v>
      </c>
      <c r="C417" s="10">
        <v>6171</v>
      </c>
      <c r="D417" s="10" t="s">
        <v>9</v>
      </c>
      <c r="E417" s="10">
        <v>5162</v>
      </c>
      <c r="F417" s="10" t="s">
        <v>392</v>
      </c>
      <c r="G417" s="333"/>
      <c r="H417" s="334">
        <v>7250</v>
      </c>
      <c r="I417" s="335">
        <v>7130</v>
      </c>
      <c r="J417" s="336">
        <v>5795</v>
      </c>
      <c r="K417" s="337">
        <f t="shared" si="19"/>
        <v>-1335</v>
      </c>
      <c r="L417" s="338">
        <f t="shared" si="20"/>
        <v>81.276297335203367</v>
      </c>
    </row>
    <row r="418" spans="1:12">
      <c r="A418" s="315">
        <f t="shared" si="18"/>
        <v>417</v>
      </c>
      <c r="B418" s="381">
        <v>5300</v>
      </c>
      <c r="C418" s="10">
        <v>6171</v>
      </c>
      <c r="D418" s="10" t="s">
        <v>9</v>
      </c>
      <c r="E418" s="10">
        <v>5166</v>
      </c>
      <c r="F418" s="10" t="s">
        <v>309</v>
      </c>
      <c r="G418" s="333"/>
      <c r="H418" s="334">
        <v>2000</v>
      </c>
      <c r="I418" s="335">
        <v>2248</v>
      </c>
      <c r="J418" s="336">
        <v>2247</v>
      </c>
      <c r="K418" s="337">
        <f t="shared" si="19"/>
        <v>-1</v>
      </c>
      <c r="L418" s="338">
        <f t="shared" si="20"/>
        <v>99.955516014234874</v>
      </c>
    </row>
    <row r="419" spans="1:12">
      <c r="A419" s="315">
        <f t="shared" si="18"/>
        <v>418</v>
      </c>
      <c r="B419" s="381">
        <v>5300</v>
      </c>
      <c r="C419" s="10">
        <v>6171</v>
      </c>
      <c r="D419" s="10" t="s">
        <v>9</v>
      </c>
      <c r="E419" s="10">
        <v>5166</v>
      </c>
      <c r="F419" s="10" t="s">
        <v>309</v>
      </c>
      <c r="G419" s="333" t="s">
        <v>359</v>
      </c>
      <c r="H419" s="334">
        <v>500</v>
      </c>
      <c r="I419" s="335">
        <v>2256</v>
      </c>
      <c r="J419" s="336">
        <v>2216</v>
      </c>
      <c r="K419" s="337">
        <f t="shared" si="19"/>
        <v>-40</v>
      </c>
      <c r="L419" s="338">
        <f t="shared" si="20"/>
        <v>98.226950354609926</v>
      </c>
    </row>
    <row r="420" spans="1:12">
      <c r="A420" s="315">
        <f t="shared" si="18"/>
        <v>419</v>
      </c>
      <c r="B420" s="381">
        <v>5300</v>
      </c>
      <c r="C420" s="10">
        <v>6171</v>
      </c>
      <c r="D420" s="10" t="s">
        <v>9</v>
      </c>
      <c r="E420" s="10">
        <v>5167</v>
      </c>
      <c r="F420" s="10" t="s">
        <v>393</v>
      </c>
      <c r="G420" s="333"/>
      <c r="H420" s="334">
        <v>5000</v>
      </c>
      <c r="I420" s="335">
        <v>3971</v>
      </c>
      <c r="J420" s="336">
        <v>1659</v>
      </c>
      <c r="K420" s="337">
        <f t="shared" si="19"/>
        <v>-2312</v>
      </c>
      <c r="L420" s="338">
        <f t="shared" si="20"/>
        <v>41.777889700327378</v>
      </c>
    </row>
    <row r="421" spans="1:12">
      <c r="A421" s="315">
        <f t="shared" si="18"/>
        <v>420</v>
      </c>
      <c r="B421" s="381">
        <v>5300</v>
      </c>
      <c r="C421" s="10">
        <v>6171</v>
      </c>
      <c r="D421" s="10" t="s">
        <v>9</v>
      </c>
      <c r="E421" s="10">
        <v>5167</v>
      </c>
      <c r="F421" s="10" t="s">
        <v>393</v>
      </c>
      <c r="G421" s="333" t="s">
        <v>359</v>
      </c>
      <c r="H421" s="334">
        <v>400</v>
      </c>
      <c r="I421" s="335">
        <v>356</v>
      </c>
      <c r="J421" s="336">
        <v>115</v>
      </c>
      <c r="K421" s="337">
        <f t="shared" si="19"/>
        <v>-241</v>
      </c>
      <c r="L421" s="338">
        <f t="shared" si="20"/>
        <v>32.303370786516858</v>
      </c>
    </row>
    <row r="422" spans="1:12">
      <c r="A422" s="315">
        <f t="shared" si="18"/>
        <v>421</v>
      </c>
      <c r="B422" s="381">
        <v>5300</v>
      </c>
      <c r="C422" s="10">
        <v>6171</v>
      </c>
      <c r="D422" s="10" t="s">
        <v>9</v>
      </c>
      <c r="E422" s="10">
        <v>5169</v>
      </c>
      <c r="F422" s="10" t="s">
        <v>313</v>
      </c>
      <c r="G422" s="333"/>
      <c r="H422" s="334">
        <v>172889</v>
      </c>
      <c r="I422" s="335">
        <v>170286</v>
      </c>
      <c r="J422" s="336">
        <v>158565</v>
      </c>
      <c r="K422" s="337">
        <f t="shared" si="19"/>
        <v>-11721</v>
      </c>
      <c r="L422" s="338">
        <f t="shared" si="20"/>
        <v>93.116873964976563</v>
      </c>
    </row>
    <row r="423" spans="1:12">
      <c r="A423" s="315">
        <f t="shared" si="18"/>
        <v>422</v>
      </c>
      <c r="B423" s="381">
        <v>5300</v>
      </c>
      <c r="C423" s="10">
        <v>6171</v>
      </c>
      <c r="D423" s="10" t="s">
        <v>9</v>
      </c>
      <c r="E423" s="10">
        <v>5171</v>
      </c>
      <c r="F423" s="10" t="s">
        <v>394</v>
      </c>
      <c r="G423" s="333"/>
      <c r="H423" s="334">
        <v>5161</v>
      </c>
      <c r="I423" s="335">
        <v>5161</v>
      </c>
      <c r="J423" s="336">
        <v>5152</v>
      </c>
      <c r="K423" s="337">
        <f t="shared" si="19"/>
        <v>-9</v>
      </c>
      <c r="L423" s="338">
        <f t="shared" si="20"/>
        <v>99.825615190854492</v>
      </c>
    </row>
    <row r="424" spans="1:12">
      <c r="A424" s="315">
        <f t="shared" si="18"/>
        <v>423</v>
      </c>
      <c r="B424" s="381">
        <v>5300</v>
      </c>
      <c r="C424" s="10">
        <v>6171</v>
      </c>
      <c r="D424" s="10" t="s">
        <v>9</v>
      </c>
      <c r="E424" s="10">
        <v>5172</v>
      </c>
      <c r="F424" s="10" t="s">
        <v>409</v>
      </c>
      <c r="G424" s="333"/>
      <c r="H424" s="334">
        <v>500</v>
      </c>
      <c r="I424" s="335">
        <v>500</v>
      </c>
      <c r="J424" s="336">
        <v>321</v>
      </c>
      <c r="K424" s="337">
        <f t="shared" si="19"/>
        <v>-179</v>
      </c>
      <c r="L424" s="338">
        <f t="shared" si="20"/>
        <v>64.2</v>
      </c>
    </row>
    <row r="425" spans="1:12" ht="12.75" customHeight="1">
      <c r="A425" s="315">
        <f t="shared" si="18"/>
        <v>424</v>
      </c>
      <c r="B425" s="424"/>
      <c r="C425" s="425" t="s">
        <v>315</v>
      </c>
      <c r="D425" s="425"/>
      <c r="E425" s="425"/>
      <c r="F425" s="425"/>
      <c r="G425" s="426"/>
      <c r="H425" s="427">
        <f>SUBTOTAL(9,H414:H424)</f>
        <v>202755</v>
      </c>
      <c r="I425" s="428">
        <f>SUBTOTAL(9,I414:I424)</f>
        <v>202521</v>
      </c>
      <c r="J425" s="429">
        <f>SUBTOTAL(9,J414:J424)</f>
        <v>185677</v>
      </c>
      <c r="K425" s="430">
        <f t="shared" si="19"/>
        <v>-16844</v>
      </c>
      <c r="L425" s="431">
        <f t="shared" si="20"/>
        <v>91.682837829163404</v>
      </c>
    </row>
    <row r="426" spans="1:12" ht="13.5" thickBot="1">
      <c r="A426" s="315">
        <f t="shared" si="18"/>
        <v>425</v>
      </c>
      <c r="B426" s="452" t="s">
        <v>43</v>
      </c>
      <c r="C426" s="453"/>
      <c r="D426" s="453"/>
      <c r="E426" s="453"/>
      <c r="F426" s="453"/>
      <c r="G426" s="454"/>
      <c r="H426" s="455">
        <f>SUBTOTAL(9,H414:H425)</f>
        <v>202755</v>
      </c>
      <c r="I426" s="360">
        <f>SUBTOTAL(9,I414:I425)</f>
        <v>202521</v>
      </c>
      <c r="J426" s="361">
        <f>SUBTOTAL(9,J414:J425)</f>
        <v>185677</v>
      </c>
      <c r="K426" s="456">
        <f t="shared" si="19"/>
        <v>-16844</v>
      </c>
      <c r="L426" s="457">
        <f t="shared" si="20"/>
        <v>91.682837829163404</v>
      </c>
    </row>
    <row r="427" spans="1:12">
      <c r="A427" s="315">
        <f t="shared" si="18"/>
        <v>426</v>
      </c>
      <c r="B427" s="458"/>
      <c r="C427" s="459"/>
      <c r="D427" s="459"/>
      <c r="E427" s="459"/>
      <c r="F427" s="459"/>
      <c r="G427" s="448"/>
      <c r="H427" s="460"/>
      <c r="I427" s="412"/>
      <c r="J427" s="413"/>
      <c r="K427" s="461">
        <f t="shared" si="19"/>
        <v>0</v>
      </c>
      <c r="L427" s="462">
        <f t="shared" si="20"/>
        <v>0</v>
      </c>
    </row>
    <row r="428" spans="1:12" ht="15.75">
      <c r="A428" s="315">
        <f t="shared" si="18"/>
        <v>427</v>
      </c>
      <c r="B428" s="373" t="s">
        <v>17</v>
      </c>
      <c r="C428" s="12"/>
      <c r="D428" s="12"/>
      <c r="E428" s="12"/>
      <c r="F428" s="12"/>
      <c r="G428" s="158"/>
      <c r="H428" s="516"/>
      <c r="I428" s="517"/>
      <c r="J428" s="518"/>
      <c r="K428" s="510">
        <f t="shared" si="19"/>
        <v>0</v>
      </c>
      <c r="L428" s="511">
        <f t="shared" si="20"/>
        <v>0</v>
      </c>
    </row>
    <row r="429" spans="1:12">
      <c r="A429" s="315">
        <f t="shared" si="18"/>
        <v>428</v>
      </c>
      <c r="B429" s="381">
        <v>5400</v>
      </c>
      <c r="C429" s="10">
        <v>2143</v>
      </c>
      <c r="D429" s="382" t="s">
        <v>198</v>
      </c>
      <c r="E429" s="10">
        <v>5329</v>
      </c>
      <c r="F429" s="10" t="s">
        <v>475</v>
      </c>
      <c r="G429" s="333" t="s">
        <v>476</v>
      </c>
      <c r="H429" s="334">
        <v>1486</v>
      </c>
      <c r="I429" s="335">
        <v>1486</v>
      </c>
      <c r="J429" s="336">
        <v>1486</v>
      </c>
      <c r="K429" s="337">
        <f t="shared" si="19"/>
        <v>0</v>
      </c>
      <c r="L429" s="338">
        <f t="shared" si="20"/>
        <v>100</v>
      </c>
    </row>
    <row r="430" spans="1:12">
      <c r="A430" s="315">
        <f t="shared" si="18"/>
        <v>429</v>
      </c>
      <c r="B430" s="28"/>
      <c r="C430" s="343" t="s">
        <v>341</v>
      </c>
      <c r="D430" s="343"/>
      <c r="E430" s="343"/>
      <c r="F430" s="343"/>
      <c r="G430" s="344"/>
      <c r="H430" s="473">
        <f>SUBTOTAL(9,H429)</f>
        <v>1486</v>
      </c>
      <c r="I430" s="428">
        <f>SUBTOTAL(9,I429)</f>
        <v>1486</v>
      </c>
      <c r="J430" s="429">
        <f>SUBTOTAL(9,J429)</f>
        <v>1486</v>
      </c>
      <c r="K430" s="474">
        <f t="shared" si="19"/>
        <v>0</v>
      </c>
      <c r="L430" s="475">
        <f t="shared" si="20"/>
        <v>100</v>
      </c>
    </row>
    <row r="431" spans="1:12">
      <c r="A431" s="315">
        <f t="shared" si="18"/>
        <v>430</v>
      </c>
      <c r="B431" s="519">
        <v>5400</v>
      </c>
      <c r="C431" s="12">
        <v>2212</v>
      </c>
      <c r="D431" s="12" t="s">
        <v>19</v>
      </c>
      <c r="E431" s="12">
        <v>5166</v>
      </c>
      <c r="F431" s="12" t="s">
        <v>309</v>
      </c>
      <c r="G431" s="158"/>
      <c r="H431" s="334">
        <v>2481</v>
      </c>
      <c r="I431" s="335">
        <v>2539</v>
      </c>
      <c r="J431" s="336">
        <v>2204</v>
      </c>
      <c r="K431" s="337">
        <f t="shared" si="19"/>
        <v>-335</v>
      </c>
      <c r="L431" s="338">
        <f t="shared" si="20"/>
        <v>86.805829066561628</v>
      </c>
    </row>
    <row r="432" spans="1:12">
      <c r="A432" s="315">
        <f t="shared" si="18"/>
        <v>431</v>
      </c>
      <c r="B432" s="519">
        <v>5400</v>
      </c>
      <c r="C432" s="12">
        <v>2212</v>
      </c>
      <c r="D432" s="12" t="s">
        <v>19</v>
      </c>
      <c r="E432" s="12">
        <v>5168</v>
      </c>
      <c r="F432" s="12" t="s">
        <v>448</v>
      </c>
      <c r="G432" s="158"/>
      <c r="H432" s="334">
        <v>9206</v>
      </c>
      <c r="I432" s="335">
        <v>12140</v>
      </c>
      <c r="J432" s="336">
        <v>12140</v>
      </c>
      <c r="K432" s="337">
        <f t="shared" si="19"/>
        <v>0</v>
      </c>
      <c r="L432" s="338">
        <f t="shared" si="20"/>
        <v>100</v>
      </c>
    </row>
    <row r="433" spans="1:12">
      <c r="A433" s="315">
        <f t="shared" si="18"/>
        <v>432</v>
      </c>
      <c r="B433" s="519">
        <v>5400</v>
      </c>
      <c r="C433" s="12">
        <v>2212</v>
      </c>
      <c r="D433" s="12" t="s">
        <v>19</v>
      </c>
      <c r="E433" s="12">
        <v>5169</v>
      </c>
      <c r="F433" s="10" t="s">
        <v>313</v>
      </c>
      <c r="G433" s="333"/>
      <c r="H433" s="334">
        <v>415223</v>
      </c>
      <c r="I433" s="335">
        <v>417133</v>
      </c>
      <c r="J433" s="336">
        <v>414091</v>
      </c>
      <c r="K433" s="337">
        <f t="shared" si="19"/>
        <v>-3042</v>
      </c>
      <c r="L433" s="338">
        <f t="shared" si="20"/>
        <v>99.27073619205386</v>
      </c>
    </row>
    <row r="434" spans="1:12">
      <c r="A434" s="315">
        <f t="shared" si="18"/>
        <v>433</v>
      </c>
      <c r="B434" s="519">
        <v>5400</v>
      </c>
      <c r="C434" s="12">
        <v>2212</v>
      </c>
      <c r="D434" s="12" t="s">
        <v>19</v>
      </c>
      <c r="E434" s="12">
        <v>5171</v>
      </c>
      <c r="F434" s="12" t="s">
        <v>394</v>
      </c>
      <c r="G434" s="158"/>
      <c r="H434" s="334">
        <v>145852</v>
      </c>
      <c r="I434" s="335">
        <v>139451</v>
      </c>
      <c r="J434" s="336">
        <v>139441</v>
      </c>
      <c r="K434" s="337">
        <f t="shared" si="19"/>
        <v>-10</v>
      </c>
      <c r="L434" s="338">
        <f t="shared" si="20"/>
        <v>99.992829022380619</v>
      </c>
    </row>
    <row r="435" spans="1:12">
      <c r="A435" s="315">
        <f t="shared" si="18"/>
        <v>434</v>
      </c>
      <c r="B435" s="519">
        <v>5400</v>
      </c>
      <c r="C435" s="12">
        <v>2212</v>
      </c>
      <c r="D435" s="12" t="s">
        <v>19</v>
      </c>
      <c r="E435" s="12">
        <v>5192</v>
      </c>
      <c r="F435" s="10" t="s">
        <v>351</v>
      </c>
      <c r="G435" s="158"/>
      <c r="H435" s="334">
        <v>100</v>
      </c>
      <c r="I435" s="335">
        <v>100</v>
      </c>
      <c r="J435" s="336"/>
      <c r="K435" s="337">
        <f t="shared" si="19"/>
        <v>-100</v>
      </c>
      <c r="L435" s="338">
        <f t="shared" si="20"/>
        <v>0</v>
      </c>
    </row>
    <row r="436" spans="1:12">
      <c r="A436" s="315">
        <f t="shared" si="18"/>
        <v>435</v>
      </c>
      <c r="B436" s="519">
        <v>5400</v>
      </c>
      <c r="C436" s="12">
        <v>2212</v>
      </c>
      <c r="D436" s="12" t="s">
        <v>19</v>
      </c>
      <c r="E436" s="12">
        <v>5339</v>
      </c>
      <c r="F436" s="12" t="s">
        <v>453</v>
      </c>
      <c r="G436" s="158" t="s">
        <v>477</v>
      </c>
      <c r="H436" s="334">
        <v>7000</v>
      </c>
      <c r="I436" s="335">
        <v>7000</v>
      </c>
      <c r="J436" s="336">
        <v>6998</v>
      </c>
      <c r="K436" s="337">
        <f t="shared" si="19"/>
        <v>-2</v>
      </c>
      <c r="L436" s="338">
        <f t="shared" si="20"/>
        <v>99.971428571428561</v>
      </c>
    </row>
    <row r="437" spans="1:12">
      <c r="A437" s="315">
        <f t="shared" si="18"/>
        <v>436</v>
      </c>
      <c r="B437" s="33"/>
      <c r="C437" s="374" t="s">
        <v>478</v>
      </c>
      <c r="D437" s="374"/>
      <c r="E437" s="374"/>
      <c r="F437" s="354"/>
      <c r="G437" s="355"/>
      <c r="H437" s="486">
        <f>SUBTOTAL(9,H431:H436)</f>
        <v>579862</v>
      </c>
      <c r="I437" s="487">
        <f>SUBTOTAL(9,I431:I436)</f>
        <v>578363</v>
      </c>
      <c r="J437" s="488">
        <f>SUBTOTAL(9,J431:J436)</f>
        <v>574874</v>
      </c>
      <c r="K437" s="489">
        <f t="shared" si="19"/>
        <v>-3489</v>
      </c>
      <c r="L437" s="490">
        <f t="shared" si="20"/>
        <v>99.396745642442554</v>
      </c>
    </row>
    <row r="438" spans="1:12">
      <c r="A438" s="315">
        <f t="shared" si="18"/>
        <v>437</v>
      </c>
      <c r="B438" s="521">
        <v>5400</v>
      </c>
      <c r="C438" s="405">
        <v>2219</v>
      </c>
      <c r="D438" s="405" t="s">
        <v>55</v>
      </c>
      <c r="E438" s="405">
        <v>5169</v>
      </c>
      <c r="F438" s="393" t="s">
        <v>313</v>
      </c>
      <c r="G438" s="333" t="s">
        <v>479</v>
      </c>
      <c r="H438" s="334">
        <v>26000</v>
      </c>
      <c r="I438" s="335"/>
      <c r="J438" s="336"/>
      <c r="K438" s="526">
        <f t="shared" si="19"/>
        <v>0</v>
      </c>
      <c r="L438" s="527">
        <f t="shared" si="20"/>
        <v>0</v>
      </c>
    </row>
    <row r="439" spans="1:12">
      <c r="A439" s="315">
        <f t="shared" si="18"/>
        <v>438</v>
      </c>
      <c r="B439" s="519">
        <v>5400</v>
      </c>
      <c r="C439" s="12">
        <v>2219</v>
      </c>
      <c r="D439" s="12" t="s">
        <v>55</v>
      </c>
      <c r="E439" s="12">
        <v>5192</v>
      </c>
      <c r="F439" s="10" t="s">
        <v>351</v>
      </c>
      <c r="G439" s="158" t="s">
        <v>480</v>
      </c>
      <c r="H439" s="334">
        <v>1500</v>
      </c>
      <c r="I439" s="335">
        <v>1496</v>
      </c>
      <c r="J439" s="336">
        <v>1486</v>
      </c>
      <c r="K439" s="337">
        <f t="shared" si="19"/>
        <v>-10</v>
      </c>
      <c r="L439" s="338">
        <f t="shared" si="20"/>
        <v>99.331550802139034</v>
      </c>
    </row>
    <row r="440" spans="1:12">
      <c r="A440" s="315">
        <f t="shared" si="18"/>
        <v>439</v>
      </c>
      <c r="B440" s="519">
        <v>5400</v>
      </c>
      <c r="C440" s="12">
        <v>2219</v>
      </c>
      <c r="D440" s="12" t="s">
        <v>55</v>
      </c>
      <c r="E440" s="12">
        <v>5341</v>
      </c>
      <c r="F440" s="10" t="s">
        <v>398</v>
      </c>
      <c r="G440" s="158" t="s">
        <v>481</v>
      </c>
      <c r="H440" s="334">
        <v>0</v>
      </c>
      <c r="I440" s="335">
        <v>26000</v>
      </c>
      <c r="J440" s="336"/>
      <c r="K440" s="337">
        <f t="shared" si="19"/>
        <v>-26000</v>
      </c>
      <c r="L440" s="338">
        <f t="shared" si="20"/>
        <v>0</v>
      </c>
    </row>
    <row r="441" spans="1:12">
      <c r="A441" s="315">
        <f t="shared" si="18"/>
        <v>440</v>
      </c>
      <c r="B441" s="519">
        <v>5400</v>
      </c>
      <c r="C441" s="12">
        <v>2219</v>
      </c>
      <c r="D441" s="12" t="s">
        <v>55</v>
      </c>
      <c r="E441" s="12">
        <v>5362</v>
      </c>
      <c r="F441" s="10" t="s">
        <v>321</v>
      </c>
      <c r="G441" s="158"/>
      <c r="H441" s="334"/>
      <c r="I441" s="335">
        <v>4</v>
      </c>
      <c r="J441" s="336">
        <v>3</v>
      </c>
      <c r="K441" s="337">
        <f t="shared" si="19"/>
        <v>-1</v>
      </c>
      <c r="L441" s="338">
        <f t="shared" si="20"/>
        <v>75</v>
      </c>
    </row>
    <row r="442" spans="1:12">
      <c r="A442" s="315">
        <f t="shared" si="18"/>
        <v>441</v>
      </c>
      <c r="B442" s="519">
        <v>5400</v>
      </c>
      <c r="C442" s="12">
        <v>2219</v>
      </c>
      <c r="D442" s="12" t="s">
        <v>55</v>
      </c>
      <c r="E442" s="12">
        <v>5364</v>
      </c>
      <c r="F442" s="10" t="s">
        <v>482</v>
      </c>
      <c r="G442" s="158"/>
      <c r="H442" s="334"/>
      <c r="I442" s="335">
        <v>1376</v>
      </c>
      <c r="J442" s="336">
        <v>1376</v>
      </c>
      <c r="K442" s="337">
        <f t="shared" si="19"/>
        <v>0</v>
      </c>
      <c r="L442" s="338">
        <f t="shared" si="20"/>
        <v>100</v>
      </c>
    </row>
    <row r="443" spans="1:12">
      <c r="A443" s="315">
        <f t="shared" si="18"/>
        <v>442</v>
      </c>
      <c r="B443" s="33"/>
      <c r="C443" s="374" t="s">
        <v>413</v>
      </c>
      <c r="D443" s="374"/>
      <c r="E443" s="374"/>
      <c r="F443" s="374"/>
      <c r="G443" s="485"/>
      <c r="H443" s="486">
        <f>SUBTOTAL(9,H438:H440)</f>
        <v>27500</v>
      </c>
      <c r="I443" s="487">
        <f>SUBTOTAL(9,I438:I442)</f>
        <v>28876</v>
      </c>
      <c r="J443" s="488">
        <f>SUBTOTAL(9,J438:J442)</f>
        <v>2865</v>
      </c>
      <c r="K443" s="489">
        <f t="shared" si="19"/>
        <v>-26011</v>
      </c>
      <c r="L443" s="490">
        <f t="shared" si="20"/>
        <v>9.921734312231612</v>
      </c>
    </row>
    <row r="444" spans="1:12">
      <c r="A444" s="315">
        <f t="shared" si="18"/>
        <v>443</v>
      </c>
      <c r="B444" s="519">
        <v>5400</v>
      </c>
      <c r="C444" s="12">
        <v>2229</v>
      </c>
      <c r="D444" s="12" t="s">
        <v>235</v>
      </c>
      <c r="E444" s="12">
        <v>5213</v>
      </c>
      <c r="F444" s="520" t="s">
        <v>458</v>
      </c>
      <c r="G444" s="158" t="s">
        <v>483</v>
      </c>
      <c r="H444" s="334">
        <v>1731000</v>
      </c>
      <c r="I444" s="335">
        <v>1732765</v>
      </c>
      <c r="J444" s="336">
        <v>1732765</v>
      </c>
      <c r="K444" s="337">
        <f t="shared" si="19"/>
        <v>0</v>
      </c>
      <c r="L444" s="338">
        <f t="shared" si="20"/>
        <v>100</v>
      </c>
    </row>
    <row r="445" spans="1:12">
      <c r="A445" s="315">
        <f t="shared" si="18"/>
        <v>444</v>
      </c>
      <c r="B445" s="33"/>
      <c r="C445" s="374" t="s">
        <v>414</v>
      </c>
      <c r="D445" s="374"/>
      <c r="E445" s="374"/>
      <c r="F445" s="374"/>
      <c r="G445" s="485"/>
      <c r="H445" s="486">
        <f>SUBTOTAL(9,H444:H444)</f>
        <v>1731000</v>
      </c>
      <c r="I445" s="487">
        <f>SUBTOTAL(9,I444:I444)</f>
        <v>1732765</v>
      </c>
      <c r="J445" s="488">
        <f>SUBTOTAL(9,J444:J444)</f>
        <v>1732765</v>
      </c>
      <c r="K445" s="489">
        <f t="shared" si="19"/>
        <v>0</v>
      </c>
      <c r="L445" s="490">
        <f t="shared" si="20"/>
        <v>100</v>
      </c>
    </row>
    <row r="446" spans="1:12">
      <c r="A446" s="315">
        <f t="shared" si="18"/>
        <v>445</v>
      </c>
      <c r="B446" s="521">
        <v>5400</v>
      </c>
      <c r="C446" s="405">
        <v>2242</v>
      </c>
      <c r="D446" s="405" t="s">
        <v>299</v>
      </c>
      <c r="E446" s="405">
        <v>5139</v>
      </c>
      <c r="F446" s="405" t="s">
        <v>342</v>
      </c>
      <c r="G446" s="485"/>
      <c r="H446" s="486"/>
      <c r="I446" s="536">
        <v>134</v>
      </c>
      <c r="J446" s="537">
        <v>133</v>
      </c>
      <c r="K446" s="526">
        <f>J446-I446</f>
        <v>-1</v>
      </c>
      <c r="L446" s="338">
        <f t="shared" si="20"/>
        <v>99.253731343283576</v>
      </c>
    </row>
    <row r="447" spans="1:12">
      <c r="A447" s="315">
        <f t="shared" si="18"/>
        <v>446</v>
      </c>
      <c r="B447" s="33"/>
      <c r="C447" s="374" t="s">
        <v>484</v>
      </c>
      <c r="D447" s="374"/>
      <c r="E447" s="374"/>
      <c r="F447" s="374"/>
      <c r="G447" s="485"/>
      <c r="H447" s="486"/>
      <c r="I447" s="487">
        <f>SUBTOTAL(9,I446:I446)</f>
        <v>134</v>
      </c>
      <c r="J447" s="488">
        <f>SUBTOTAL(9,J446:J446)</f>
        <v>133</v>
      </c>
      <c r="K447" s="489"/>
      <c r="L447" s="490">
        <f t="shared" si="20"/>
        <v>99.253731343283576</v>
      </c>
    </row>
    <row r="448" spans="1:12">
      <c r="A448" s="315">
        <f t="shared" si="18"/>
        <v>447</v>
      </c>
      <c r="B448" s="521">
        <v>5400</v>
      </c>
      <c r="C448" s="405">
        <v>2271</v>
      </c>
      <c r="D448" s="405" t="s">
        <v>20</v>
      </c>
      <c r="E448" s="405">
        <v>5139</v>
      </c>
      <c r="F448" s="10" t="s">
        <v>342</v>
      </c>
      <c r="G448" s="528" t="s">
        <v>359</v>
      </c>
      <c r="H448" s="334">
        <v>60</v>
      </c>
      <c r="I448" s="335">
        <v>260</v>
      </c>
      <c r="J448" s="336">
        <v>20</v>
      </c>
      <c r="K448" s="526">
        <f t="shared" si="19"/>
        <v>-240</v>
      </c>
      <c r="L448" s="527">
        <f t="shared" si="20"/>
        <v>7.6923076923076925</v>
      </c>
    </row>
    <row r="449" spans="1:12">
      <c r="A449" s="315">
        <f t="shared" si="18"/>
        <v>448</v>
      </c>
      <c r="B449" s="521">
        <v>5400</v>
      </c>
      <c r="C449" s="405">
        <v>2271</v>
      </c>
      <c r="D449" s="405" t="s">
        <v>20</v>
      </c>
      <c r="E449" s="405">
        <v>5164</v>
      </c>
      <c r="F449" s="405" t="s">
        <v>350</v>
      </c>
      <c r="G449" s="528" t="s">
        <v>359</v>
      </c>
      <c r="H449" s="334">
        <v>90</v>
      </c>
      <c r="I449" s="335">
        <v>150</v>
      </c>
      <c r="J449" s="336">
        <v>60</v>
      </c>
      <c r="K449" s="526">
        <f t="shared" si="19"/>
        <v>-90</v>
      </c>
      <c r="L449" s="527">
        <f t="shared" si="20"/>
        <v>40</v>
      </c>
    </row>
    <row r="450" spans="1:12">
      <c r="A450" s="315">
        <f t="shared" si="18"/>
        <v>449</v>
      </c>
      <c r="B450" s="521">
        <v>5400</v>
      </c>
      <c r="C450" s="405">
        <v>2271</v>
      </c>
      <c r="D450" s="405" t="s">
        <v>20</v>
      </c>
      <c r="E450" s="405">
        <v>5166</v>
      </c>
      <c r="F450" s="393" t="s">
        <v>309</v>
      </c>
      <c r="G450" s="528" t="s">
        <v>359</v>
      </c>
      <c r="H450" s="334">
        <v>100</v>
      </c>
      <c r="I450" s="335">
        <v>36</v>
      </c>
      <c r="J450" s="336"/>
      <c r="K450" s="526">
        <f t="shared" si="19"/>
        <v>-36</v>
      </c>
      <c r="L450" s="527">
        <f t="shared" si="20"/>
        <v>0</v>
      </c>
    </row>
    <row r="451" spans="1:12">
      <c r="A451" s="315">
        <f t="shared" si="18"/>
        <v>450</v>
      </c>
      <c r="B451" s="521">
        <v>5400</v>
      </c>
      <c r="C451" s="405">
        <v>2271</v>
      </c>
      <c r="D451" s="405" t="s">
        <v>20</v>
      </c>
      <c r="E451" s="405">
        <v>5169</v>
      </c>
      <c r="F451" s="405" t="s">
        <v>313</v>
      </c>
      <c r="G451" s="333"/>
      <c r="H451" s="334">
        <v>820</v>
      </c>
      <c r="I451" s="335">
        <v>1010</v>
      </c>
      <c r="J451" s="336">
        <v>959</v>
      </c>
      <c r="K451" s="526">
        <f t="shared" si="19"/>
        <v>-51</v>
      </c>
      <c r="L451" s="527">
        <f t="shared" si="20"/>
        <v>94.950495049504951</v>
      </c>
    </row>
    <row r="452" spans="1:12">
      <c r="A452" s="315">
        <f t="shared" ref="A452:A515" si="21">A451+1</f>
        <v>451</v>
      </c>
      <c r="B452" s="521">
        <v>5400</v>
      </c>
      <c r="C452" s="405">
        <v>2271</v>
      </c>
      <c r="D452" s="405" t="s">
        <v>20</v>
      </c>
      <c r="E452" s="405">
        <v>5169</v>
      </c>
      <c r="F452" s="405" t="s">
        <v>313</v>
      </c>
      <c r="G452" s="528" t="s">
        <v>359</v>
      </c>
      <c r="H452" s="334">
        <v>275</v>
      </c>
      <c r="I452" s="335">
        <v>384</v>
      </c>
      <c r="J452" s="336">
        <v>333</v>
      </c>
      <c r="K452" s="526">
        <f t="shared" si="19"/>
        <v>-51</v>
      </c>
      <c r="L452" s="527">
        <f t="shared" si="20"/>
        <v>86.71875</v>
      </c>
    </row>
    <row r="453" spans="1:12">
      <c r="A453" s="315">
        <f t="shared" si="21"/>
        <v>452</v>
      </c>
      <c r="B453" s="519">
        <v>5400</v>
      </c>
      <c r="C453" s="12">
        <v>2271</v>
      </c>
      <c r="D453" s="12" t="s">
        <v>20</v>
      </c>
      <c r="E453" s="12">
        <v>5171</v>
      </c>
      <c r="F453" s="12" t="s">
        <v>394</v>
      </c>
      <c r="G453" s="158" t="s">
        <v>485</v>
      </c>
      <c r="H453" s="334">
        <v>3080</v>
      </c>
      <c r="I453" s="335">
        <v>3080</v>
      </c>
      <c r="J453" s="336">
        <v>3079</v>
      </c>
      <c r="K453" s="538">
        <f t="shared" ref="K453:K516" si="22">J453-I453</f>
        <v>-1</v>
      </c>
      <c r="L453" s="539">
        <f t="shared" ref="L453:L516" si="23">IF(I453&lt;=0,0,J453/I453*100)</f>
        <v>99.967532467532465</v>
      </c>
    </row>
    <row r="454" spans="1:12">
      <c r="A454" s="315">
        <f t="shared" si="21"/>
        <v>453</v>
      </c>
      <c r="B454" s="521">
        <v>5400</v>
      </c>
      <c r="C454" s="405">
        <v>2271</v>
      </c>
      <c r="D454" s="405" t="s">
        <v>20</v>
      </c>
      <c r="E454" s="12">
        <v>5175</v>
      </c>
      <c r="F454" s="12" t="s">
        <v>335</v>
      </c>
      <c r="G454" s="158" t="s">
        <v>359</v>
      </c>
      <c r="H454" s="334">
        <v>50</v>
      </c>
      <c r="I454" s="335">
        <v>100</v>
      </c>
      <c r="J454" s="336">
        <v>65</v>
      </c>
      <c r="K454" s="538">
        <f t="shared" si="22"/>
        <v>-35</v>
      </c>
      <c r="L454" s="539">
        <f t="shared" si="23"/>
        <v>65</v>
      </c>
    </row>
    <row r="455" spans="1:12">
      <c r="A455" s="315">
        <f t="shared" si="21"/>
        <v>454</v>
      </c>
      <c r="B455" s="33"/>
      <c r="C455" s="374" t="s">
        <v>365</v>
      </c>
      <c r="D455" s="374"/>
      <c r="E455" s="374"/>
      <c r="F455" s="374"/>
      <c r="G455" s="485"/>
      <c r="H455" s="486">
        <f>SUBTOTAL(9,H448:H454)</f>
        <v>4475</v>
      </c>
      <c r="I455" s="487">
        <f>SUBTOTAL(9,I448:I454)</f>
        <v>5020</v>
      </c>
      <c r="J455" s="488">
        <f>SUBTOTAL(9,J448:J454)</f>
        <v>4516</v>
      </c>
      <c r="K455" s="489">
        <f t="shared" si="22"/>
        <v>-504</v>
      </c>
      <c r="L455" s="490">
        <f t="shared" si="23"/>
        <v>89.960159362549803</v>
      </c>
    </row>
    <row r="456" spans="1:12">
      <c r="A456" s="315">
        <f t="shared" si="21"/>
        <v>455</v>
      </c>
      <c r="B456" s="519">
        <v>5400</v>
      </c>
      <c r="C456" s="12">
        <v>2299</v>
      </c>
      <c r="D456" s="12" t="s">
        <v>486</v>
      </c>
      <c r="E456" s="12">
        <v>5166</v>
      </c>
      <c r="F456" s="12" t="s">
        <v>309</v>
      </c>
      <c r="G456" s="158" t="s">
        <v>487</v>
      </c>
      <c r="H456" s="334">
        <v>1650</v>
      </c>
      <c r="I456" s="335">
        <v>645</v>
      </c>
      <c r="J456" s="336">
        <v>644</v>
      </c>
      <c r="K456" s="538">
        <f t="shared" si="22"/>
        <v>-1</v>
      </c>
      <c r="L456" s="539">
        <f t="shared" si="23"/>
        <v>99.844961240310084</v>
      </c>
    </row>
    <row r="457" spans="1:12">
      <c r="A457" s="315">
        <f t="shared" si="21"/>
        <v>456</v>
      </c>
      <c r="B457" s="519">
        <v>5400</v>
      </c>
      <c r="C457" s="12">
        <v>2299</v>
      </c>
      <c r="D457" s="12" t="s">
        <v>486</v>
      </c>
      <c r="E457" s="12">
        <v>5213</v>
      </c>
      <c r="F457" s="520" t="s">
        <v>458</v>
      </c>
      <c r="G457" s="158" t="s">
        <v>487</v>
      </c>
      <c r="H457" s="334">
        <v>3850</v>
      </c>
      <c r="I457" s="335">
        <v>3850</v>
      </c>
      <c r="J457" s="336">
        <v>3850</v>
      </c>
      <c r="K457" s="538">
        <f t="shared" si="22"/>
        <v>0</v>
      </c>
      <c r="L457" s="539">
        <f t="shared" si="23"/>
        <v>100</v>
      </c>
    </row>
    <row r="458" spans="1:12">
      <c r="A458" s="315">
        <f t="shared" si="21"/>
        <v>457</v>
      </c>
      <c r="B458" s="33"/>
      <c r="C458" s="374" t="s">
        <v>488</v>
      </c>
      <c r="D458" s="374"/>
      <c r="E458" s="374"/>
      <c r="F458" s="374"/>
      <c r="G458" s="485"/>
      <c r="H458" s="345">
        <f>SUBTOTAL(9,H456:H457)</f>
        <v>5500</v>
      </c>
      <c r="I458" s="346">
        <f>SUBTOTAL(9,I456:I457)</f>
        <v>4495</v>
      </c>
      <c r="J458" s="347">
        <f>SUBTOTAL(9,J456:J457)</f>
        <v>4494</v>
      </c>
      <c r="K458" s="348">
        <f t="shared" si="22"/>
        <v>-1</v>
      </c>
      <c r="L458" s="349">
        <f t="shared" si="23"/>
        <v>99.977753058954391</v>
      </c>
    </row>
    <row r="459" spans="1:12">
      <c r="A459" s="315">
        <f t="shared" si="21"/>
        <v>458</v>
      </c>
      <c r="B459" s="519">
        <v>5400</v>
      </c>
      <c r="C459" s="12">
        <v>3636</v>
      </c>
      <c r="D459" s="12" t="s">
        <v>174</v>
      </c>
      <c r="E459" s="12">
        <v>5166</v>
      </c>
      <c r="F459" s="12" t="s">
        <v>309</v>
      </c>
      <c r="G459" s="158" t="s">
        <v>359</v>
      </c>
      <c r="H459" s="334">
        <v>1500</v>
      </c>
      <c r="I459" s="335">
        <v>1500</v>
      </c>
      <c r="J459" s="336">
        <v>1500</v>
      </c>
      <c r="K459" s="538">
        <f t="shared" si="22"/>
        <v>0</v>
      </c>
      <c r="L459" s="539">
        <f t="shared" si="23"/>
        <v>100</v>
      </c>
    </row>
    <row r="460" spans="1:12" ht="12.75" customHeight="1">
      <c r="A460" s="315">
        <f t="shared" si="21"/>
        <v>459</v>
      </c>
      <c r="B460" s="519">
        <v>5400</v>
      </c>
      <c r="C460" s="540">
        <v>3636</v>
      </c>
      <c r="D460" s="541" t="s">
        <v>174</v>
      </c>
      <c r="E460" s="541">
        <v>5166</v>
      </c>
      <c r="F460" s="541" t="s">
        <v>309</v>
      </c>
      <c r="G460" s="158"/>
      <c r="H460" s="334"/>
      <c r="I460" s="335">
        <v>2800</v>
      </c>
      <c r="J460" s="336">
        <v>2096</v>
      </c>
      <c r="K460" s="538">
        <f t="shared" si="22"/>
        <v>-704</v>
      </c>
      <c r="L460" s="539">
        <f t="shared" si="23"/>
        <v>74.857142857142861</v>
      </c>
    </row>
    <row r="461" spans="1:12">
      <c r="A461" s="315">
        <f t="shared" si="21"/>
        <v>460</v>
      </c>
      <c r="B461" s="33"/>
      <c r="C461" s="542" t="s">
        <v>353</v>
      </c>
      <c r="D461" s="543"/>
      <c r="E461" s="544"/>
      <c r="F461" s="544"/>
      <c r="G461" s="485"/>
      <c r="H461" s="486">
        <f>SUBTOTAL(9,H459:H460)</f>
        <v>1500</v>
      </c>
      <c r="I461" s="487">
        <f>SUBTOTAL(9,I459:I460)</f>
        <v>4300</v>
      </c>
      <c r="J461" s="488">
        <f>SUBTOTAL(9,J459:J460)</f>
        <v>3596</v>
      </c>
      <c r="K461" s="489">
        <f t="shared" si="22"/>
        <v>-704</v>
      </c>
      <c r="L461" s="490">
        <f t="shared" si="23"/>
        <v>83.627906976744185</v>
      </c>
    </row>
    <row r="462" spans="1:12" ht="13.5" thickBot="1">
      <c r="A462" s="315">
        <f t="shared" si="21"/>
        <v>461</v>
      </c>
      <c r="B462" s="29" t="s">
        <v>15</v>
      </c>
      <c r="C462" s="357"/>
      <c r="D462" s="357"/>
      <c r="E462" s="357"/>
      <c r="F462" s="357"/>
      <c r="G462" s="358"/>
      <c r="H462" s="359">
        <f>SUBTOTAL(9,H429:H461)</f>
        <v>2351323</v>
      </c>
      <c r="I462" s="360">
        <f>SUBTOTAL(9,I429:I461)</f>
        <v>2355439</v>
      </c>
      <c r="J462" s="361">
        <f>SUBTOTAL(9,J429:J461)</f>
        <v>2324729</v>
      </c>
      <c r="K462" s="362">
        <f t="shared" si="22"/>
        <v>-30710</v>
      </c>
      <c r="L462" s="363">
        <f t="shared" si="23"/>
        <v>98.69620907185454</v>
      </c>
    </row>
    <row r="463" spans="1:12">
      <c r="A463" s="315">
        <f t="shared" si="21"/>
        <v>462</v>
      </c>
      <c r="B463" s="91"/>
      <c r="C463" s="409"/>
      <c r="D463" s="409"/>
      <c r="E463" s="409"/>
      <c r="F463" s="409"/>
      <c r="G463" s="410"/>
      <c r="H463" s="411"/>
      <c r="I463" s="412"/>
      <c r="J463" s="413"/>
      <c r="K463" s="414">
        <f t="shared" si="22"/>
        <v>0</v>
      </c>
      <c r="L463" s="415">
        <f t="shared" si="23"/>
        <v>0</v>
      </c>
    </row>
    <row r="464" spans="1:12" ht="15.75">
      <c r="A464" s="315">
        <f t="shared" si="21"/>
        <v>463</v>
      </c>
      <c r="B464" s="373" t="s">
        <v>18</v>
      </c>
      <c r="C464" s="374"/>
      <c r="D464" s="374"/>
      <c r="E464" s="374"/>
      <c r="F464" s="374"/>
      <c r="G464" s="485"/>
      <c r="H464" s="545"/>
      <c r="I464" s="546"/>
      <c r="J464" s="547"/>
      <c r="K464" s="538">
        <f t="shared" si="22"/>
        <v>0</v>
      </c>
      <c r="L464" s="539">
        <f t="shared" si="23"/>
        <v>0</v>
      </c>
    </row>
    <row r="465" spans="1:12" s="387" customFormat="1">
      <c r="A465" s="315">
        <f t="shared" si="21"/>
        <v>464</v>
      </c>
      <c r="B465" s="521">
        <v>5600</v>
      </c>
      <c r="C465" s="405">
        <v>3111</v>
      </c>
      <c r="D465" s="405" t="s">
        <v>99</v>
      </c>
      <c r="E465" s="405">
        <v>5137</v>
      </c>
      <c r="F465" s="405" t="s">
        <v>346</v>
      </c>
      <c r="G465" s="528" t="s">
        <v>331</v>
      </c>
      <c r="H465" s="548"/>
      <c r="I465" s="546">
        <v>214</v>
      </c>
      <c r="J465" s="547">
        <v>213</v>
      </c>
      <c r="K465" s="549">
        <f t="shared" si="22"/>
        <v>-1</v>
      </c>
      <c r="L465" s="550">
        <f t="shared" si="23"/>
        <v>99.532710280373834</v>
      </c>
    </row>
    <row r="466" spans="1:12" s="408" customFormat="1" ht="13.5" customHeight="1">
      <c r="A466" s="315">
        <f t="shared" si="21"/>
        <v>465</v>
      </c>
      <c r="B466" s="416"/>
      <c r="C466" s="417" t="s">
        <v>489</v>
      </c>
      <c r="D466" s="417"/>
      <c r="E466" s="417"/>
      <c r="F466" s="417"/>
      <c r="G466" s="418"/>
      <c r="H466" s="551">
        <f>SUBTOTAL(9,H465)</f>
        <v>0</v>
      </c>
      <c r="I466" s="552">
        <f>SUBTOTAL(9,I465)</f>
        <v>214</v>
      </c>
      <c r="J466" s="553">
        <f>SUBTOTAL(9,J465)</f>
        <v>213</v>
      </c>
      <c r="K466" s="549">
        <f t="shared" si="22"/>
        <v>-1</v>
      </c>
      <c r="L466" s="550">
        <f t="shared" si="23"/>
        <v>99.532710280373834</v>
      </c>
    </row>
    <row r="467" spans="1:12">
      <c r="A467" s="315">
        <f t="shared" si="21"/>
        <v>466</v>
      </c>
      <c r="B467" s="519">
        <v>5600</v>
      </c>
      <c r="C467" s="12">
        <v>3639</v>
      </c>
      <c r="D467" s="12" t="s">
        <v>42</v>
      </c>
      <c r="E467" s="405">
        <v>5164</v>
      </c>
      <c r="F467" s="528" t="s">
        <v>350</v>
      </c>
      <c r="G467" s="554"/>
      <c r="H467" s="548"/>
      <c r="I467" s="546">
        <v>1</v>
      </c>
      <c r="J467" s="547">
        <v>1</v>
      </c>
      <c r="K467" s="549">
        <f t="shared" si="22"/>
        <v>0</v>
      </c>
      <c r="L467" s="550">
        <f t="shared" si="23"/>
        <v>100</v>
      </c>
    </row>
    <row r="468" spans="1:12">
      <c r="A468" s="315">
        <f t="shared" si="21"/>
        <v>467</v>
      </c>
      <c r="B468" s="519">
        <v>5600</v>
      </c>
      <c r="C468" s="12">
        <v>3639</v>
      </c>
      <c r="D468" s="12" t="s">
        <v>42</v>
      </c>
      <c r="E468" s="12">
        <v>5166</v>
      </c>
      <c r="F468" s="158" t="s">
        <v>309</v>
      </c>
      <c r="G468" s="12"/>
      <c r="H468" s="334">
        <v>950</v>
      </c>
      <c r="I468" s="335">
        <v>496</v>
      </c>
      <c r="J468" s="336">
        <v>166</v>
      </c>
      <c r="K468" s="337">
        <f t="shared" si="22"/>
        <v>-330</v>
      </c>
      <c r="L468" s="338">
        <f t="shared" si="23"/>
        <v>33.467741935483872</v>
      </c>
    </row>
    <row r="469" spans="1:12">
      <c r="A469" s="315">
        <f t="shared" si="21"/>
        <v>468</v>
      </c>
      <c r="B469" s="519">
        <v>5600</v>
      </c>
      <c r="C469" s="12">
        <v>3639</v>
      </c>
      <c r="D469" s="12" t="s">
        <v>42</v>
      </c>
      <c r="E469" s="12">
        <v>5169</v>
      </c>
      <c r="F469" s="333" t="s">
        <v>313</v>
      </c>
      <c r="G469" s="10"/>
      <c r="H469" s="334">
        <v>900</v>
      </c>
      <c r="I469" s="335">
        <v>899</v>
      </c>
      <c r="J469" s="336">
        <v>1</v>
      </c>
      <c r="K469" s="337">
        <f t="shared" si="22"/>
        <v>-898</v>
      </c>
      <c r="L469" s="338">
        <f t="shared" si="23"/>
        <v>0.11123470522803114</v>
      </c>
    </row>
    <row r="470" spans="1:12">
      <c r="A470" s="315">
        <f t="shared" si="21"/>
        <v>469</v>
      </c>
      <c r="B470" s="519">
        <v>5600</v>
      </c>
      <c r="C470" s="12">
        <v>3639</v>
      </c>
      <c r="D470" s="12" t="s">
        <v>42</v>
      </c>
      <c r="E470" s="12">
        <v>5171</v>
      </c>
      <c r="F470" s="12" t="s">
        <v>394</v>
      </c>
      <c r="G470" s="333"/>
      <c r="H470" s="334">
        <v>50</v>
      </c>
      <c r="I470" s="335">
        <v>50</v>
      </c>
      <c r="J470" s="336"/>
      <c r="K470" s="337">
        <f t="shared" si="22"/>
        <v>-50</v>
      </c>
      <c r="L470" s="338">
        <f t="shared" si="23"/>
        <v>0</v>
      </c>
    </row>
    <row r="471" spans="1:12">
      <c r="A471" s="315">
        <f t="shared" si="21"/>
        <v>470</v>
      </c>
      <c r="B471" s="519">
        <v>5600</v>
      </c>
      <c r="C471" s="12">
        <v>3639</v>
      </c>
      <c r="D471" s="12" t="s">
        <v>42</v>
      </c>
      <c r="E471" s="12">
        <v>5173</v>
      </c>
      <c r="F471" s="383" t="s">
        <v>363</v>
      </c>
      <c r="G471" s="333"/>
      <c r="H471" s="334">
        <v>50</v>
      </c>
      <c r="I471" s="335">
        <v>50</v>
      </c>
      <c r="J471" s="336"/>
      <c r="K471" s="337">
        <f t="shared" si="22"/>
        <v>-50</v>
      </c>
      <c r="L471" s="338">
        <f t="shared" si="23"/>
        <v>0</v>
      </c>
    </row>
    <row r="472" spans="1:12">
      <c r="A472" s="315">
        <f t="shared" si="21"/>
        <v>471</v>
      </c>
      <c r="B472" s="519">
        <v>5600</v>
      </c>
      <c r="C472" s="12">
        <v>3639</v>
      </c>
      <c r="D472" s="12" t="s">
        <v>42</v>
      </c>
      <c r="E472" s="12">
        <v>5192</v>
      </c>
      <c r="F472" s="10" t="s">
        <v>351</v>
      </c>
      <c r="G472" s="158"/>
      <c r="H472" s="334">
        <v>400</v>
      </c>
      <c r="I472" s="335">
        <v>400</v>
      </c>
      <c r="J472" s="336">
        <v>2</v>
      </c>
      <c r="K472" s="555">
        <f t="shared" si="22"/>
        <v>-398</v>
      </c>
      <c r="L472" s="556">
        <f t="shared" si="23"/>
        <v>0.5</v>
      </c>
    </row>
    <row r="473" spans="1:12">
      <c r="A473" s="315">
        <f t="shared" si="21"/>
        <v>472</v>
      </c>
      <c r="B473" s="519">
        <v>5600</v>
      </c>
      <c r="C473" s="12">
        <v>3639</v>
      </c>
      <c r="D473" s="12" t="s">
        <v>42</v>
      </c>
      <c r="E473" s="12">
        <v>5362</v>
      </c>
      <c r="F473" s="10" t="s">
        <v>321</v>
      </c>
      <c r="G473" s="158"/>
      <c r="H473" s="334">
        <v>50</v>
      </c>
      <c r="I473" s="335">
        <v>250</v>
      </c>
      <c r="J473" s="336">
        <v>202</v>
      </c>
      <c r="K473" s="555">
        <f t="shared" si="22"/>
        <v>-48</v>
      </c>
      <c r="L473" s="556">
        <f t="shared" si="23"/>
        <v>80.800000000000011</v>
      </c>
    </row>
    <row r="474" spans="1:12">
      <c r="A474" s="315">
        <f t="shared" si="21"/>
        <v>473</v>
      </c>
      <c r="B474" s="519">
        <v>5600</v>
      </c>
      <c r="C474" s="12">
        <v>3639</v>
      </c>
      <c r="D474" s="12" t="s">
        <v>42</v>
      </c>
      <c r="E474" s="12">
        <v>5363</v>
      </c>
      <c r="F474" s="10" t="s">
        <v>314</v>
      </c>
      <c r="G474" s="158"/>
      <c r="H474" s="334"/>
      <c r="I474" s="335">
        <v>254</v>
      </c>
      <c r="J474" s="336">
        <v>119</v>
      </c>
      <c r="K474" s="555">
        <f t="shared" si="22"/>
        <v>-135</v>
      </c>
      <c r="L474" s="556">
        <f t="shared" si="23"/>
        <v>46.8503937007874</v>
      </c>
    </row>
    <row r="475" spans="1:12" ht="12.75" customHeight="1">
      <c r="A475" s="315">
        <f t="shared" si="21"/>
        <v>474</v>
      </c>
      <c r="B475" s="519"/>
      <c r="C475" s="374" t="s">
        <v>427</v>
      </c>
      <c r="D475" s="12"/>
      <c r="E475" s="12"/>
      <c r="F475" s="12"/>
      <c r="G475" s="158"/>
      <c r="H475" s="486">
        <f>SUBTOTAL(9,H468:H473)</f>
        <v>2400</v>
      </c>
      <c r="I475" s="487">
        <f>SUBTOTAL(9,I467:I474)</f>
        <v>2400</v>
      </c>
      <c r="J475" s="488">
        <f>SUBTOTAL(9,J467:J474)</f>
        <v>491</v>
      </c>
      <c r="K475" s="489">
        <f t="shared" si="22"/>
        <v>-1909</v>
      </c>
      <c r="L475" s="490">
        <f t="shared" si="23"/>
        <v>20.458333333333336</v>
      </c>
    </row>
    <row r="476" spans="1:12" s="408" customFormat="1" ht="12.75" customHeight="1">
      <c r="A476" s="315">
        <f t="shared" si="21"/>
        <v>475</v>
      </c>
      <c r="B476" s="557">
        <v>5600</v>
      </c>
      <c r="C476" s="558">
        <v>3745</v>
      </c>
      <c r="D476" s="10" t="s">
        <v>2</v>
      </c>
      <c r="E476" s="558">
        <v>5169</v>
      </c>
      <c r="F476" s="333" t="s">
        <v>313</v>
      </c>
      <c r="G476" s="559" t="s">
        <v>359</v>
      </c>
      <c r="H476" s="560"/>
      <c r="I476" s="561">
        <v>110</v>
      </c>
      <c r="J476" s="562">
        <v>69</v>
      </c>
      <c r="K476" s="563">
        <f t="shared" si="22"/>
        <v>-41</v>
      </c>
      <c r="L476" s="564">
        <f t="shared" si="23"/>
        <v>62.727272727272734</v>
      </c>
    </row>
    <row r="477" spans="1:12" ht="12.75" customHeight="1">
      <c r="A477" s="315">
        <f t="shared" si="21"/>
        <v>476</v>
      </c>
      <c r="B477" s="565"/>
      <c r="C477" s="544" t="s">
        <v>430</v>
      </c>
      <c r="D477" s="541"/>
      <c r="E477" s="541"/>
      <c r="F477" s="541"/>
      <c r="G477" s="540"/>
      <c r="H477" s="566">
        <f>SUBTOTAL(9,H476)</f>
        <v>0</v>
      </c>
      <c r="I477" s="567">
        <f>SUBTOTAL(9,I476)</f>
        <v>110</v>
      </c>
      <c r="J477" s="568">
        <f>SUBTOTAL(9,J476)</f>
        <v>69</v>
      </c>
      <c r="K477" s="569">
        <f t="shared" si="22"/>
        <v>-41</v>
      </c>
      <c r="L477" s="570">
        <f t="shared" si="23"/>
        <v>62.727272727272734</v>
      </c>
    </row>
    <row r="478" spans="1:12" ht="13.5" thickBot="1">
      <c r="A478" s="315">
        <f t="shared" si="21"/>
        <v>477</v>
      </c>
      <c r="B478" s="29" t="s">
        <v>16</v>
      </c>
      <c r="C478" s="357"/>
      <c r="D478" s="357"/>
      <c r="E478" s="357"/>
      <c r="F478" s="357"/>
      <c r="G478" s="358"/>
      <c r="H478" s="359">
        <f>SUBTOTAL(9,H465:H477)</f>
        <v>2400</v>
      </c>
      <c r="I478" s="360">
        <f>SUBTOTAL(9,I465:I477)</f>
        <v>2724</v>
      </c>
      <c r="J478" s="361">
        <f>SUBTOTAL(9,J465:J477)</f>
        <v>773</v>
      </c>
      <c r="K478" s="362">
        <f t="shared" si="22"/>
        <v>-1951</v>
      </c>
      <c r="L478" s="363">
        <f t="shared" si="23"/>
        <v>28.377386196769454</v>
      </c>
    </row>
    <row r="479" spans="1:12">
      <c r="A479" s="315">
        <f t="shared" si="21"/>
        <v>478</v>
      </c>
      <c r="B479" s="91"/>
      <c r="C479" s="409"/>
      <c r="D479" s="409"/>
      <c r="E479" s="409"/>
      <c r="F479" s="409"/>
      <c r="G479" s="410"/>
      <c r="H479" s="411"/>
      <c r="I479" s="412"/>
      <c r="J479" s="413"/>
      <c r="K479" s="414">
        <f t="shared" si="22"/>
        <v>0</v>
      </c>
      <c r="L479" s="415">
        <f t="shared" si="23"/>
        <v>0</v>
      </c>
    </row>
    <row r="480" spans="1:12" ht="15.75">
      <c r="A480" s="315">
        <f t="shared" si="21"/>
        <v>479</v>
      </c>
      <c r="B480" s="373" t="s">
        <v>46</v>
      </c>
      <c r="C480" s="374"/>
      <c r="D480" s="374"/>
      <c r="E480" s="374"/>
      <c r="F480" s="374"/>
      <c r="G480" s="485"/>
      <c r="H480" s="571"/>
      <c r="I480" s="572"/>
      <c r="J480" s="573"/>
      <c r="K480" s="555">
        <f t="shared" si="22"/>
        <v>0</v>
      </c>
      <c r="L480" s="556">
        <f t="shared" si="23"/>
        <v>0</v>
      </c>
    </row>
    <row r="481" spans="1:12">
      <c r="A481" s="315">
        <f t="shared" si="21"/>
        <v>480</v>
      </c>
      <c r="B481" s="519">
        <v>5700</v>
      </c>
      <c r="C481" s="12">
        <v>2310</v>
      </c>
      <c r="D481" s="12" t="s">
        <v>5</v>
      </c>
      <c r="E481" s="12">
        <v>5166</v>
      </c>
      <c r="F481" s="12" t="s">
        <v>309</v>
      </c>
      <c r="G481" s="158"/>
      <c r="H481" s="334">
        <v>300</v>
      </c>
      <c r="I481" s="335">
        <v>300</v>
      </c>
      <c r="J481" s="336">
        <v>73</v>
      </c>
      <c r="K481" s="555">
        <f t="shared" si="22"/>
        <v>-227</v>
      </c>
      <c r="L481" s="556">
        <f t="shared" si="23"/>
        <v>24.333333333333336</v>
      </c>
    </row>
    <row r="482" spans="1:12">
      <c r="A482" s="315">
        <f t="shared" si="21"/>
        <v>481</v>
      </c>
      <c r="B482" s="519">
        <v>5700</v>
      </c>
      <c r="C482" s="12">
        <v>2310</v>
      </c>
      <c r="D482" s="12" t="s">
        <v>5</v>
      </c>
      <c r="E482" s="12">
        <v>5169</v>
      </c>
      <c r="F482" s="10" t="s">
        <v>313</v>
      </c>
      <c r="G482" s="333"/>
      <c r="H482" s="334">
        <v>392</v>
      </c>
      <c r="I482" s="335">
        <v>392</v>
      </c>
      <c r="J482" s="336"/>
      <c r="K482" s="555">
        <f t="shared" si="22"/>
        <v>-392</v>
      </c>
      <c r="L482" s="556">
        <f t="shared" si="23"/>
        <v>0</v>
      </c>
    </row>
    <row r="483" spans="1:12">
      <c r="A483" s="315">
        <f t="shared" si="21"/>
        <v>482</v>
      </c>
      <c r="B483" s="519">
        <v>5700</v>
      </c>
      <c r="C483" s="12">
        <v>2310</v>
      </c>
      <c r="D483" s="12" t="s">
        <v>5</v>
      </c>
      <c r="E483" s="12">
        <v>5341</v>
      </c>
      <c r="F483" s="10" t="s">
        <v>398</v>
      </c>
      <c r="G483" s="333" t="s">
        <v>490</v>
      </c>
      <c r="H483" s="334">
        <v>2009</v>
      </c>
      <c r="I483" s="335">
        <v>2009</v>
      </c>
      <c r="J483" s="336"/>
      <c r="K483" s="555">
        <f t="shared" si="22"/>
        <v>-2009</v>
      </c>
      <c r="L483" s="556">
        <f t="shared" si="23"/>
        <v>0</v>
      </c>
    </row>
    <row r="484" spans="1:12">
      <c r="A484" s="315">
        <f t="shared" si="21"/>
        <v>483</v>
      </c>
      <c r="B484" s="33"/>
      <c r="C484" s="374" t="s">
        <v>463</v>
      </c>
      <c r="D484" s="374"/>
      <c r="E484" s="374"/>
      <c r="F484" s="343"/>
      <c r="G484" s="344"/>
      <c r="H484" s="486">
        <f>SUBTOTAL(9,H481:H483)</f>
        <v>2701</v>
      </c>
      <c r="I484" s="487">
        <f>SUBTOTAL(9,I481:I483)</f>
        <v>2701</v>
      </c>
      <c r="J484" s="488">
        <f>SUBTOTAL(9,J481:J483)</f>
        <v>73</v>
      </c>
      <c r="K484" s="489">
        <f t="shared" si="22"/>
        <v>-2628</v>
      </c>
      <c r="L484" s="490">
        <f t="shared" si="23"/>
        <v>2.7027027027027026</v>
      </c>
    </row>
    <row r="485" spans="1:12">
      <c r="A485" s="315">
        <f t="shared" si="21"/>
        <v>484</v>
      </c>
      <c r="B485" s="519">
        <v>5700</v>
      </c>
      <c r="C485" s="12">
        <v>2321</v>
      </c>
      <c r="D485" s="12" t="s">
        <v>491</v>
      </c>
      <c r="E485" s="12">
        <v>5166</v>
      </c>
      <c r="F485" s="12" t="s">
        <v>309</v>
      </c>
      <c r="G485" s="158"/>
      <c r="H485" s="334">
        <v>706</v>
      </c>
      <c r="I485" s="335">
        <v>706</v>
      </c>
      <c r="J485" s="336">
        <v>569</v>
      </c>
      <c r="K485" s="337">
        <f t="shared" si="22"/>
        <v>-137</v>
      </c>
      <c r="L485" s="338">
        <f t="shared" si="23"/>
        <v>80.594900849858348</v>
      </c>
    </row>
    <row r="486" spans="1:12">
      <c r="A486" s="315">
        <f t="shared" si="21"/>
        <v>485</v>
      </c>
      <c r="B486" s="519">
        <v>5700</v>
      </c>
      <c r="C486" s="12">
        <v>2321</v>
      </c>
      <c r="D486" s="12" t="s">
        <v>491</v>
      </c>
      <c r="E486" s="12">
        <v>5169</v>
      </c>
      <c r="F486" s="10" t="s">
        <v>313</v>
      </c>
      <c r="G486" s="333"/>
      <c r="H486" s="334">
        <v>580</v>
      </c>
      <c r="I486" s="335">
        <v>480</v>
      </c>
      <c r="J486" s="336"/>
      <c r="K486" s="555">
        <f t="shared" si="22"/>
        <v>-480</v>
      </c>
      <c r="L486" s="556">
        <f t="shared" si="23"/>
        <v>0</v>
      </c>
    </row>
    <row r="487" spans="1:12">
      <c r="A487" s="315">
        <f t="shared" si="21"/>
        <v>486</v>
      </c>
      <c r="B487" s="519">
        <v>5700</v>
      </c>
      <c r="C487" s="12">
        <v>2321</v>
      </c>
      <c r="D487" s="12" t="s">
        <v>491</v>
      </c>
      <c r="E487" s="12">
        <v>5171</v>
      </c>
      <c r="F487" s="12" t="s">
        <v>394</v>
      </c>
      <c r="G487" s="333"/>
      <c r="H487" s="334">
        <v>100</v>
      </c>
      <c r="I487" s="335">
        <v>100</v>
      </c>
      <c r="J487" s="336"/>
      <c r="K487" s="555">
        <f t="shared" si="22"/>
        <v>-100</v>
      </c>
      <c r="L487" s="556">
        <f t="shared" si="23"/>
        <v>0</v>
      </c>
    </row>
    <row r="488" spans="1:12">
      <c r="A488" s="315">
        <f t="shared" si="21"/>
        <v>487</v>
      </c>
      <c r="B488" s="519">
        <v>5700</v>
      </c>
      <c r="C488" s="12">
        <v>2321</v>
      </c>
      <c r="D488" s="12" t="s">
        <v>491</v>
      </c>
      <c r="E488" s="12">
        <v>5192</v>
      </c>
      <c r="F488" s="10" t="s">
        <v>351</v>
      </c>
      <c r="G488" s="333"/>
      <c r="H488" s="334">
        <v>20</v>
      </c>
      <c r="I488" s="335">
        <v>120</v>
      </c>
      <c r="J488" s="336">
        <v>101</v>
      </c>
      <c r="K488" s="555">
        <f t="shared" si="22"/>
        <v>-19</v>
      </c>
      <c r="L488" s="556">
        <f t="shared" si="23"/>
        <v>84.166666666666671</v>
      </c>
    </row>
    <row r="489" spans="1:12">
      <c r="A489" s="315">
        <f t="shared" si="21"/>
        <v>488</v>
      </c>
      <c r="B489" s="33"/>
      <c r="C489" s="374" t="s">
        <v>466</v>
      </c>
      <c r="D489" s="374"/>
      <c r="E489" s="374"/>
      <c r="F489" s="343"/>
      <c r="G489" s="344"/>
      <c r="H489" s="486">
        <f>SUBTOTAL(9,H485:H488)</f>
        <v>1406</v>
      </c>
      <c r="I489" s="487">
        <f>SUBTOTAL(9,I485:I488)</f>
        <v>1406</v>
      </c>
      <c r="J489" s="488">
        <f>SUBTOTAL(9,J485:J488)</f>
        <v>670</v>
      </c>
      <c r="K489" s="489">
        <f t="shared" si="22"/>
        <v>-736</v>
      </c>
      <c r="L489" s="490">
        <f t="shared" si="23"/>
        <v>47.652916073968704</v>
      </c>
    </row>
    <row r="490" spans="1:12">
      <c r="A490" s="315">
        <f t="shared" si="21"/>
        <v>489</v>
      </c>
      <c r="B490" s="519">
        <v>5700</v>
      </c>
      <c r="C490" s="405">
        <v>3319</v>
      </c>
      <c r="D490" s="353" t="s">
        <v>492</v>
      </c>
      <c r="E490" s="405">
        <v>5213</v>
      </c>
      <c r="F490" s="520" t="s">
        <v>458</v>
      </c>
      <c r="G490" s="528" t="s">
        <v>493</v>
      </c>
      <c r="H490" s="334">
        <v>0</v>
      </c>
      <c r="I490" s="335">
        <v>1750</v>
      </c>
      <c r="J490" s="336">
        <v>1750</v>
      </c>
      <c r="K490" s="526">
        <f t="shared" si="22"/>
        <v>0</v>
      </c>
      <c r="L490" s="527">
        <f t="shared" si="23"/>
        <v>100</v>
      </c>
    </row>
    <row r="491" spans="1:12">
      <c r="A491" s="315">
        <f t="shared" si="21"/>
        <v>490</v>
      </c>
      <c r="B491" s="33"/>
      <c r="C491" s="374" t="s">
        <v>417</v>
      </c>
      <c r="D491" s="374"/>
      <c r="E491" s="374"/>
      <c r="F491" s="343"/>
      <c r="G491" s="485"/>
      <c r="H491" s="486">
        <f>SUBTOTAL(9,H490)</f>
        <v>0</v>
      </c>
      <c r="I491" s="487">
        <f>SUBTOTAL(9,I490)</f>
        <v>1750</v>
      </c>
      <c r="J491" s="488">
        <f>SUBTOTAL(9,J490)</f>
        <v>1750</v>
      </c>
      <c r="K491" s="489">
        <f t="shared" si="22"/>
        <v>0</v>
      </c>
      <c r="L491" s="490">
        <f t="shared" si="23"/>
        <v>100</v>
      </c>
    </row>
    <row r="492" spans="1:12">
      <c r="A492" s="315">
        <f t="shared" si="21"/>
        <v>491</v>
      </c>
      <c r="B492" s="519">
        <v>5700</v>
      </c>
      <c r="C492" s="12">
        <v>3631</v>
      </c>
      <c r="D492" s="12" t="s">
        <v>10</v>
      </c>
      <c r="E492" s="12">
        <v>5166</v>
      </c>
      <c r="F492" s="12" t="s">
        <v>309</v>
      </c>
      <c r="G492" s="158"/>
      <c r="H492" s="334">
        <v>100</v>
      </c>
      <c r="I492" s="335">
        <v>100</v>
      </c>
      <c r="J492" s="336">
        <v>29</v>
      </c>
      <c r="K492" s="533">
        <f t="shared" si="22"/>
        <v>-71</v>
      </c>
      <c r="L492" s="534">
        <f t="shared" si="23"/>
        <v>28.999999999999996</v>
      </c>
    </row>
    <row r="493" spans="1:12">
      <c r="A493" s="315">
        <f t="shared" si="21"/>
        <v>492</v>
      </c>
      <c r="B493" s="519">
        <v>5700</v>
      </c>
      <c r="C493" s="12">
        <v>3631</v>
      </c>
      <c r="D493" s="12" t="s">
        <v>10</v>
      </c>
      <c r="E493" s="12">
        <v>5169</v>
      </c>
      <c r="F493" s="10" t="s">
        <v>313</v>
      </c>
      <c r="G493" s="333"/>
      <c r="H493" s="334">
        <v>136742</v>
      </c>
      <c r="I493" s="335">
        <v>138567</v>
      </c>
      <c r="J493" s="336">
        <v>136658</v>
      </c>
      <c r="K493" s="555">
        <f t="shared" si="22"/>
        <v>-1909</v>
      </c>
      <c r="L493" s="556">
        <f t="shared" si="23"/>
        <v>98.622327105299249</v>
      </c>
    </row>
    <row r="494" spans="1:12">
      <c r="A494" s="315">
        <f t="shared" si="21"/>
        <v>493</v>
      </c>
      <c r="B494" s="519">
        <v>5700</v>
      </c>
      <c r="C494" s="12">
        <v>3631</v>
      </c>
      <c r="D494" s="12" t="s">
        <v>10</v>
      </c>
      <c r="E494" s="12">
        <v>5171</v>
      </c>
      <c r="F494" s="10" t="s">
        <v>394</v>
      </c>
      <c r="G494" s="333"/>
      <c r="H494" s="334"/>
      <c r="I494" s="335">
        <v>156</v>
      </c>
      <c r="J494" s="336">
        <v>156</v>
      </c>
      <c r="K494" s="555"/>
      <c r="L494" s="556"/>
    </row>
    <row r="495" spans="1:12">
      <c r="A495" s="315">
        <f t="shared" si="21"/>
        <v>494</v>
      </c>
      <c r="B495" s="519">
        <v>5700</v>
      </c>
      <c r="C495" s="12">
        <v>3631</v>
      </c>
      <c r="D495" s="12" t="s">
        <v>10</v>
      </c>
      <c r="E495" s="12">
        <v>5213</v>
      </c>
      <c r="F495" s="520" t="s">
        <v>458</v>
      </c>
      <c r="G495" s="528" t="s">
        <v>493</v>
      </c>
      <c r="H495" s="334"/>
      <c r="I495" s="335">
        <v>817</v>
      </c>
      <c r="J495" s="336">
        <v>817</v>
      </c>
      <c r="K495" s="555">
        <f t="shared" si="22"/>
        <v>0</v>
      </c>
      <c r="L495" s="556">
        <f t="shared" si="23"/>
        <v>100</v>
      </c>
    </row>
    <row r="496" spans="1:12">
      <c r="A496" s="315">
        <f t="shared" si="21"/>
        <v>495</v>
      </c>
      <c r="B496" s="33"/>
      <c r="C496" s="374" t="s">
        <v>494</v>
      </c>
      <c r="D496" s="374"/>
      <c r="E496" s="374"/>
      <c r="F496" s="343"/>
      <c r="G496" s="344"/>
      <c r="H496" s="486">
        <f>SUBTOTAL(9,H492:H495)</f>
        <v>136842</v>
      </c>
      <c r="I496" s="487">
        <f>SUBTOTAL(9,I492:I495)</f>
        <v>139640</v>
      </c>
      <c r="J496" s="488">
        <f>SUBTOTAL(9,J492:J495)</f>
        <v>137660</v>
      </c>
      <c r="K496" s="489">
        <f t="shared" si="22"/>
        <v>-1980</v>
      </c>
      <c r="L496" s="490">
        <f t="shared" si="23"/>
        <v>98.582068175307938</v>
      </c>
    </row>
    <row r="497" spans="1:12">
      <c r="A497" s="315">
        <f t="shared" si="21"/>
        <v>496</v>
      </c>
      <c r="B497" s="519">
        <v>5700</v>
      </c>
      <c r="C497" s="12">
        <v>3633</v>
      </c>
      <c r="D497" s="12" t="s">
        <v>495</v>
      </c>
      <c r="E497" s="12">
        <v>5166</v>
      </c>
      <c r="F497" s="12" t="s">
        <v>309</v>
      </c>
      <c r="G497" s="158"/>
      <c r="H497" s="334">
        <v>400</v>
      </c>
      <c r="I497" s="335">
        <v>400</v>
      </c>
      <c r="J497" s="336">
        <v>153</v>
      </c>
      <c r="K497" s="337">
        <f t="shared" si="22"/>
        <v>-247</v>
      </c>
      <c r="L497" s="338">
        <f t="shared" si="23"/>
        <v>38.25</v>
      </c>
    </row>
    <row r="498" spans="1:12">
      <c r="A498" s="315">
        <f t="shared" si="21"/>
        <v>497</v>
      </c>
      <c r="B498" s="519">
        <v>5700</v>
      </c>
      <c r="C498" s="12">
        <v>3633</v>
      </c>
      <c r="D498" s="12" t="s">
        <v>495</v>
      </c>
      <c r="E498" s="12">
        <v>5168</v>
      </c>
      <c r="F498" s="12" t="s">
        <v>448</v>
      </c>
      <c r="G498" s="158"/>
      <c r="H498" s="334">
        <v>100</v>
      </c>
      <c r="I498" s="335">
        <v>100</v>
      </c>
      <c r="J498" s="336"/>
      <c r="K498" s="337">
        <f t="shared" si="22"/>
        <v>-100</v>
      </c>
      <c r="L498" s="338">
        <f t="shared" si="23"/>
        <v>0</v>
      </c>
    </row>
    <row r="499" spans="1:12">
      <c r="A499" s="315">
        <f t="shared" si="21"/>
        <v>498</v>
      </c>
      <c r="B499" s="519">
        <v>5700</v>
      </c>
      <c r="C499" s="12">
        <v>3633</v>
      </c>
      <c r="D499" s="12" t="s">
        <v>495</v>
      </c>
      <c r="E499" s="12">
        <v>5169</v>
      </c>
      <c r="F499" s="10" t="s">
        <v>313</v>
      </c>
      <c r="G499" s="333"/>
      <c r="H499" s="334">
        <v>3922</v>
      </c>
      <c r="I499" s="335">
        <v>3922</v>
      </c>
      <c r="J499" s="336">
        <v>3830</v>
      </c>
      <c r="K499" s="337">
        <f t="shared" si="22"/>
        <v>-92</v>
      </c>
      <c r="L499" s="338">
        <f t="shared" si="23"/>
        <v>97.654258031616521</v>
      </c>
    </row>
    <row r="500" spans="1:12">
      <c r="A500" s="315">
        <f t="shared" si="21"/>
        <v>499</v>
      </c>
      <c r="B500" s="519">
        <v>5700</v>
      </c>
      <c r="C500" s="12">
        <v>3633</v>
      </c>
      <c r="D500" s="12" t="s">
        <v>495</v>
      </c>
      <c r="E500" s="12">
        <v>5171</v>
      </c>
      <c r="F500" s="10" t="s">
        <v>394</v>
      </c>
      <c r="G500" s="333"/>
      <c r="H500" s="334">
        <v>200</v>
      </c>
      <c r="I500" s="335">
        <v>200</v>
      </c>
      <c r="J500" s="336">
        <v>7</v>
      </c>
      <c r="K500" s="337">
        <f t="shared" si="22"/>
        <v>-193</v>
      </c>
      <c r="L500" s="338">
        <f t="shared" si="23"/>
        <v>3.5000000000000004</v>
      </c>
    </row>
    <row r="501" spans="1:12">
      <c r="A501" s="315">
        <f t="shared" si="21"/>
        <v>500</v>
      </c>
      <c r="B501" s="519">
        <v>5700</v>
      </c>
      <c r="C501" s="12">
        <v>3633</v>
      </c>
      <c r="D501" s="12" t="s">
        <v>495</v>
      </c>
      <c r="E501" s="12">
        <v>5213</v>
      </c>
      <c r="F501" s="520" t="s">
        <v>458</v>
      </c>
      <c r="G501" s="333" t="s">
        <v>493</v>
      </c>
      <c r="H501" s="334">
        <v>14169</v>
      </c>
      <c r="I501" s="335">
        <v>14169</v>
      </c>
      <c r="J501" s="336">
        <v>14169</v>
      </c>
      <c r="K501" s="555">
        <f t="shared" si="22"/>
        <v>0</v>
      </c>
      <c r="L501" s="556">
        <f t="shared" si="23"/>
        <v>100</v>
      </c>
    </row>
    <row r="502" spans="1:12">
      <c r="A502" s="315">
        <f t="shared" si="21"/>
        <v>501</v>
      </c>
      <c r="B502" s="33"/>
      <c r="C502" s="374" t="s">
        <v>496</v>
      </c>
      <c r="D502" s="374"/>
      <c r="E502" s="374"/>
      <c r="F502" s="374"/>
      <c r="G502" s="485"/>
      <c r="H502" s="486">
        <f>SUBTOTAL(9,H497:H501)</f>
        <v>18791</v>
      </c>
      <c r="I502" s="487">
        <f>SUBTOTAL(9,I497:I501)</f>
        <v>18791</v>
      </c>
      <c r="J502" s="488">
        <f>SUBTOTAL(9,J497:J501)</f>
        <v>18159</v>
      </c>
      <c r="K502" s="489">
        <f t="shared" si="22"/>
        <v>-632</v>
      </c>
      <c r="L502" s="490">
        <f t="shared" si="23"/>
        <v>96.636687776063013</v>
      </c>
    </row>
    <row r="503" spans="1:12">
      <c r="A503" s="315">
        <f t="shared" si="21"/>
        <v>502</v>
      </c>
      <c r="B503" s="519">
        <v>5700</v>
      </c>
      <c r="C503" s="12">
        <v>3699</v>
      </c>
      <c r="D503" s="12" t="s">
        <v>497</v>
      </c>
      <c r="E503" s="12">
        <v>5166</v>
      </c>
      <c r="F503" s="12" t="s">
        <v>309</v>
      </c>
      <c r="G503" s="158"/>
      <c r="H503" s="334">
        <v>100</v>
      </c>
      <c r="I503" s="335">
        <v>100</v>
      </c>
      <c r="J503" s="336">
        <v>43</v>
      </c>
      <c r="K503" s="533">
        <f t="shared" si="22"/>
        <v>-57</v>
      </c>
      <c r="L503" s="534">
        <f t="shared" si="23"/>
        <v>43</v>
      </c>
    </row>
    <row r="504" spans="1:12">
      <c r="A504" s="315">
        <f t="shared" si="21"/>
        <v>503</v>
      </c>
      <c r="B504" s="519">
        <v>5700</v>
      </c>
      <c r="C504" s="12">
        <v>3699</v>
      </c>
      <c r="D504" s="12" t="s">
        <v>497</v>
      </c>
      <c r="E504" s="12">
        <v>5168</v>
      </c>
      <c r="F504" s="12" t="s">
        <v>448</v>
      </c>
      <c r="G504" s="158"/>
      <c r="H504" s="334">
        <v>60</v>
      </c>
      <c r="I504" s="335">
        <v>60</v>
      </c>
      <c r="J504" s="336"/>
      <c r="K504" s="337">
        <f t="shared" si="22"/>
        <v>-60</v>
      </c>
      <c r="L504" s="338">
        <f t="shared" si="23"/>
        <v>0</v>
      </c>
    </row>
    <row r="505" spans="1:12">
      <c r="A505" s="315">
        <f t="shared" si="21"/>
        <v>504</v>
      </c>
      <c r="B505" s="519">
        <v>5700</v>
      </c>
      <c r="C505" s="12">
        <v>3699</v>
      </c>
      <c r="D505" s="12" t="s">
        <v>497</v>
      </c>
      <c r="E505" s="12">
        <v>5169</v>
      </c>
      <c r="F505" s="10" t="s">
        <v>313</v>
      </c>
      <c r="G505" s="333"/>
      <c r="H505" s="334">
        <v>8000</v>
      </c>
      <c r="I505" s="335">
        <v>4119</v>
      </c>
      <c r="J505" s="336">
        <v>1889</v>
      </c>
      <c r="K505" s="337">
        <f t="shared" si="22"/>
        <v>-2230</v>
      </c>
      <c r="L505" s="338">
        <f t="shared" si="23"/>
        <v>45.860645787812579</v>
      </c>
    </row>
    <row r="506" spans="1:12" ht="12.75" customHeight="1">
      <c r="A506" s="315">
        <f t="shared" si="21"/>
        <v>505</v>
      </c>
      <c r="B506" s="33"/>
      <c r="C506" s="374" t="s">
        <v>498</v>
      </c>
      <c r="D506" s="374"/>
      <c r="E506" s="374"/>
      <c r="F506" s="343"/>
      <c r="G506" s="344"/>
      <c r="H506" s="486">
        <f>SUBTOTAL(9,H503:H505)</f>
        <v>8160</v>
      </c>
      <c r="I506" s="487">
        <f>SUBTOTAL(9,I503:I505)</f>
        <v>4279</v>
      </c>
      <c r="J506" s="488">
        <f>SUBTOTAL(9,J503:J505)</f>
        <v>1932</v>
      </c>
      <c r="K506" s="489">
        <f t="shared" si="22"/>
        <v>-2347</v>
      </c>
      <c r="L506" s="490">
        <f t="shared" si="23"/>
        <v>45.150736153306845</v>
      </c>
    </row>
    <row r="507" spans="1:12" ht="13.5" thickBot="1">
      <c r="A507" s="315">
        <f t="shared" si="21"/>
        <v>506</v>
      </c>
      <c r="B507" s="29" t="s">
        <v>11</v>
      </c>
      <c r="C507" s="357"/>
      <c r="D507" s="357"/>
      <c r="E507" s="357"/>
      <c r="F507" s="357"/>
      <c r="G507" s="358"/>
      <c r="H507" s="359">
        <f>SUBTOTAL(9,H481:H506)</f>
        <v>167900</v>
      </c>
      <c r="I507" s="360">
        <f>SUBTOTAL(9,I481:I506)</f>
        <v>168567</v>
      </c>
      <c r="J507" s="361">
        <f>SUBTOTAL(9,J481:J506)</f>
        <v>160244</v>
      </c>
      <c r="K507" s="362">
        <f t="shared" si="22"/>
        <v>-8323</v>
      </c>
      <c r="L507" s="363">
        <f t="shared" si="23"/>
        <v>95.062497404592833</v>
      </c>
    </row>
    <row r="508" spans="1:12">
      <c r="A508" s="315">
        <f t="shared" si="21"/>
        <v>507</v>
      </c>
      <c r="B508" s="91"/>
      <c r="C508" s="409"/>
      <c r="D508" s="409"/>
      <c r="E508" s="409"/>
      <c r="F508" s="409"/>
      <c r="G508" s="410"/>
      <c r="H508" s="411"/>
      <c r="I508" s="412"/>
      <c r="J508" s="413"/>
      <c r="K508" s="414">
        <f t="shared" si="22"/>
        <v>0</v>
      </c>
      <c r="L508" s="415">
        <f t="shared" si="23"/>
        <v>0</v>
      </c>
    </row>
    <row r="509" spans="1:12" ht="15.75">
      <c r="A509" s="315">
        <f t="shared" si="21"/>
        <v>508</v>
      </c>
      <c r="B509" s="574" t="s">
        <v>237</v>
      </c>
      <c r="C509" s="575"/>
      <c r="D509" s="576"/>
      <c r="E509" s="434"/>
      <c r="F509" s="383"/>
      <c r="G509" s="445"/>
      <c r="H509" s="477"/>
      <c r="I509" s="401"/>
      <c r="J509" s="402"/>
      <c r="K509" s="478">
        <f t="shared" si="22"/>
        <v>0</v>
      </c>
      <c r="L509" s="479">
        <f t="shared" si="23"/>
        <v>0</v>
      </c>
    </row>
    <row r="510" spans="1:12">
      <c r="A510" s="315">
        <f t="shared" si="21"/>
        <v>509</v>
      </c>
      <c r="B510" s="577">
        <v>6200</v>
      </c>
      <c r="C510" s="12">
        <v>3612</v>
      </c>
      <c r="D510" s="12" t="s">
        <v>12</v>
      </c>
      <c r="E510" s="12">
        <v>5161</v>
      </c>
      <c r="F510" s="12" t="s">
        <v>382</v>
      </c>
      <c r="G510" s="158" t="s">
        <v>331</v>
      </c>
      <c r="H510" s="334">
        <v>50</v>
      </c>
      <c r="I510" s="335">
        <v>50</v>
      </c>
      <c r="J510" s="336">
        <v>0</v>
      </c>
      <c r="K510" s="337">
        <f t="shared" si="22"/>
        <v>-50</v>
      </c>
      <c r="L510" s="338">
        <f t="shared" si="23"/>
        <v>0</v>
      </c>
    </row>
    <row r="511" spans="1:12">
      <c r="A511" s="315">
        <f t="shared" si="21"/>
        <v>510</v>
      </c>
      <c r="B511" s="577">
        <v>6200</v>
      </c>
      <c r="C511" s="12">
        <v>3612</v>
      </c>
      <c r="D511" s="12" t="s">
        <v>12</v>
      </c>
      <c r="E511" s="12">
        <v>5164</v>
      </c>
      <c r="F511" s="12" t="s">
        <v>350</v>
      </c>
      <c r="G511" s="158" t="s">
        <v>331</v>
      </c>
      <c r="H511" s="334">
        <v>50</v>
      </c>
      <c r="I511" s="335">
        <v>50</v>
      </c>
      <c r="J511" s="336">
        <v>37</v>
      </c>
      <c r="K511" s="337">
        <f t="shared" si="22"/>
        <v>-13</v>
      </c>
      <c r="L511" s="338">
        <f t="shared" si="23"/>
        <v>74</v>
      </c>
    </row>
    <row r="512" spans="1:12">
      <c r="A512" s="315">
        <f t="shared" si="21"/>
        <v>511</v>
      </c>
      <c r="B512" s="577">
        <v>6200</v>
      </c>
      <c r="C512" s="12">
        <v>3612</v>
      </c>
      <c r="D512" s="12" t="s">
        <v>12</v>
      </c>
      <c r="E512" s="12">
        <v>5166</v>
      </c>
      <c r="F512" s="12" t="s">
        <v>309</v>
      </c>
      <c r="G512" s="158" t="s">
        <v>331</v>
      </c>
      <c r="H512" s="334">
        <v>5000</v>
      </c>
      <c r="I512" s="335">
        <v>5000</v>
      </c>
      <c r="J512" s="336">
        <v>1841</v>
      </c>
      <c r="K512" s="538">
        <f t="shared" si="22"/>
        <v>-3159</v>
      </c>
      <c r="L512" s="539">
        <f t="shared" si="23"/>
        <v>36.82</v>
      </c>
    </row>
    <row r="513" spans="1:12">
      <c r="A513" s="315">
        <f t="shared" si="21"/>
        <v>512</v>
      </c>
      <c r="B513" s="577">
        <v>6200</v>
      </c>
      <c r="C513" s="12">
        <v>3612</v>
      </c>
      <c r="D513" s="12" t="s">
        <v>12</v>
      </c>
      <c r="E513" s="12">
        <v>5169</v>
      </c>
      <c r="F513" s="10" t="s">
        <v>313</v>
      </c>
      <c r="G513" s="333" t="s">
        <v>331</v>
      </c>
      <c r="H513" s="334">
        <v>2000</v>
      </c>
      <c r="I513" s="335">
        <v>2000</v>
      </c>
      <c r="J513" s="336">
        <v>260</v>
      </c>
      <c r="K513" s="538">
        <f t="shared" si="22"/>
        <v>-1740</v>
      </c>
      <c r="L513" s="539">
        <f t="shared" si="23"/>
        <v>13</v>
      </c>
    </row>
    <row r="514" spans="1:12">
      <c r="A514" s="315">
        <f t="shared" si="21"/>
        <v>513</v>
      </c>
      <c r="B514" s="577">
        <v>6200</v>
      </c>
      <c r="C514" s="12">
        <v>3612</v>
      </c>
      <c r="D514" s="12" t="s">
        <v>12</v>
      </c>
      <c r="E514" s="12">
        <v>5192</v>
      </c>
      <c r="F514" s="10" t="s">
        <v>351</v>
      </c>
      <c r="G514" s="333" t="s">
        <v>331</v>
      </c>
      <c r="H514" s="334">
        <v>50</v>
      </c>
      <c r="I514" s="335">
        <v>50</v>
      </c>
      <c r="J514" s="336">
        <v>41</v>
      </c>
      <c r="K514" s="538">
        <f t="shared" si="22"/>
        <v>-9</v>
      </c>
      <c r="L514" s="539">
        <f t="shared" si="23"/>
        <v>82</v>
      </c>
    </row>
    <row r="515" spans="1:12">
      <c r="A515" s="315">
        <f t="shared" si="21"/>
        <v>514</v>
      </c>
      <c r="B515" s="577">
        <v>6200</v>
      </c>
      <c r="C515" s="12">
        <v>3612</v>
      </c>
      <c r="D515" s="12" t="s">
        <v>12</v>
      </c>
      <c r="E515" s="12">
        <v>5213</v>
      </c>
      <c r="F515" s="520" t="s">
        <v>458</v>
      </c>
      <c r="G515" s="158" t="s">
        <v>331</v>
      </c>
      <c r="H515" s="334">
        <v>126000</v>
      </c>
      <c r="I515" s="335">
        <v>76000</v>
      </c>
      <c r="J515" s="336">
        <v>26385</v>
      </c>
      <c r="K515" s="538">
        <f t="shared" si="22"/>
        <v>-49615</v>
      </c>
      <c r="L515" s="539">
        <f t="shared" si="23"/>
        <v>34.71710526315789</v>
      </c>
    </row>
    <row r="516" spans="1:12">
      <c r="A516" s="315">
        <f t="shared" ref="A516:A579" si="24">A515+1</f>
        <v>515</v>
      </c>
      <c r="B516" s="577">
        <v>6200</v>
      </c>
      <c r="C516" s="12">
        <v>3612</v>
      </c>
      <c r="D516" s="12" t="s">
        <v>12</v>
      </c>
      <c r="E516" s="12">
        <v>5222</v>
      </c>
      <c r="F516" s="353" t="s">
        <v>355</v>
      </c>
      <c r="G516" s="158" t="s">
        <v>331</v>
      </c>
      <c r="H516" s="334">
        <v>28000</v>
      </c>
      <c r="I516" s="335">
        <v>18000</v>
      </c>
      <c r="J516" s="336">
        <v>1000</v>
      </c>
      <c r="K516" s="538">
        <f t="shared" si="22"/>
        <v>-17000</v>
      </c>
      <c r="L516" s="539">
        <f t="shared" si="23"/>
        <v>5.5555555555555554</v>
      </c>
    </row>
    <row r="517" spans="1:12">
      <c r="A517" s="315">
        <f t="shared" si="24"/>
        <v>516</v>
      </c>
      <c r="B517" s="577">
        <v>6200</v>
      </c>
      <c r="C517" s="12">
        <v>3612</v>
      </c>
      <c r="D517" s="12" t="s">
        <v>12</v>
      </c>
      <c r="E517" s="12">
        <v>5225</v>
      </c>
      <c r="F517" s="10" t="s">
        <v>499</v>
      </c>
      <c r="G517" s="158" t="s">
        <v>331</v>
      </c>
      <c r="H517" s="334">
        <v>441000</v>
      </c>
      <c r="I517" s="335">
        <v>441000</v>
      </c>
      <c r="J517" s="336">
        <v>312335</v>
      </c>
      <c r="K517" s="538">
        <f t="shared" ref="K517:K580" si="25">J517-I517</f>
        <v>-128665</v>
      </c>
      <c r="L517" s="539">
        <f t="shared" ref="L517:L580" si="26">IF(I517&lt;=0,0,J517/I517*100)</f>
        <v>70.82426303854875</v>
      </c>
    </row>
    <row r="518" spans="1:12">
      <c r="A518" s="315">
        <f t="shared" si="24"/>
        <v>517</v>
      </c>
      <c r="B518" s="577">
        <v>6200</v>
      </c>
      <c r="C518" s="12">
        <v>3612</v>
      </c>
      <c r="D518" s="12" t="s">
        <v>12</v>
      </c>
      <c r="E518" s="12">
        <v>5341</v>
      </c>
      <c r="F518" s="12" t="s">
        <v>398</v>
      </c>
      <c r="G518" s="158" t="s">
        <v>331</v>
      </c>
      <c r="H518" s="334">
        <v>50</v>
      </c>
      <c r="I518" s="335">
        <v>3861</v>
      </c>
      <c r="J518" s="336">
        <v>3811</v>
      </c>
      <c r="K518" s="538">
        <f t="shared" si="25"/>
        <v>-50</v>
      </c>
      <c r="L518" s="539">
        <f t="shared" si="26"/>
        <v>98.704998704998701</v>
      </c>
    </row>
    <row r="519" spans="1:12">
      <c r="A519" s="315">
        <f t="shared" si="24"/>
        <v>518</v>
      </c>
      <c r="B519" s="577">
        <v>6200</v>
      </c>
      <c r="C519" s="12">
        <v>3612</v>
      </c>
      <c r="D519" s="12" t="s">
        <v>12</v>
      </c>
      <c r="E519" s="12">
        <v>5341</v>
      </c>
      <c r="F519" s="12" t="s">
        <v>398</v>
      </c>
      <c r="G519" s="158" t="s">
        <v>500</v>
      </c>
      <c r="H519" s="334">
        <v>22233</v>
      </c>
      <c r="I519" s="335">
        <v>22233</v>
      </c>
      <c r="J519" s="336">
        <v>0</v>
      </c>
      <c r="K519" s="538">
        <f t="shared" si="25"/>
        <v>-22233</v>
      </c>
      <c r="L519" s="539">
        <f t="shared" si="26"/>
        <v>0</v>
      </c>
    </row>
    <row r="520" spans="1:12">
      <c r="A520" s="315">
        <f t="shared" si="24"/>
        <v>519</v>
      </c>
      <c r="B520" s="577">
        <v>6200</v>
      </c>
      <c r="C520" s="12">
        <v>3612</v>
      </c>
      <c r="D520" s="12" t="s">
        <v>12</v>
      </c>
      <c r="E520" s="12">
        <v>5361</v>
      </c>
      <c r="F520" s="12" t="s">
        <v>399</v>
      </c>
      <c r="G520" s="158" t="s">
        <v>331</v>
      </c>
      <c r="H520" s="334">
        <v>300</v>
      </c>
      <c r="I520" s="335">
        <v>300</v>
      </c>
      <c r="J520" s="336">
        <v>136</v>
      </c>
      <c r="K520" s="538">
        <f t="shared" si="25"/>
        <v>-164</v>
      </c>
      <c r="L520" s="539">
        <f t="shared" si="26"/>
        <v>45.333333333333329</v>
      </c>
    </row>
    <row r="521" spans="1:12">
      <c r="A521" s="315">
        <f t="shared" si="24"/>
        <v>520</v>
      </c>
      <c r="B521" s="577">
        <v>6200</v>
      </c>
      <c r="C521" s="12">
        <v>3612</v>
      </c>
      <c r="D521" s="12" t="s">
        <v>12</v>
      </c>
      <c r="E521" s="12">
        <v>5362</v>
      </c>
      <c r="F521" s="10" t="s">
        <v>321</v>
      </c>
      <c r="G521" s="158" t="s">
        <v>331</v>
      </c>
      <c r="H521" s="334">
        <v>40000</v>
      </c>
      <c r="I521" s="335">
        <v>20000</v>
      </c>
      <c r="J521" s="336">
        <v>19168</v>
      </c>
      <c r="K521" s="538">
        <f t="shared" si="25"/>
        <v>-832</v>
      </c>
      <c r="L521" s="539">
        <f t="shared" si="26"/>
        <v>95.84</v>
      </c>
    </row>
    <row r="522" spans="1:12">
      <c r="A522" s="315">
        <f t="shared" si="24"/>
        <v>521</v>
      </c>
      <c r="B522" s="577">
        <v>6200</v>
      </c>
      <c r="C522" s="12">
        <v>3612</v>
      </c>
      <c r="D522" s="12" t="s">
        <v>12</v>
      </c>
      <c r="E522" s="12">
        <v>5499</v>
      </c>
      <c r="F522" s="10" t="s">
        <v>403</v>
      </c>
      <c r="G522" s="158" t="s">
        <v>331</v>
      </c>
      <c r="H522" s="334">
        <v>10000</v>
      </c>
      <c r="I522" s="335">
        <v>10000</v>
      </c>
      <c r="J522" s="336">
        <v>3456</v>
      </c>
      <c r="K522" s="538">
        <f t="shared" si="25"/>
        <v>-6544</v>
      </c>
      <c r="L522" s="539">
        <f t="shared" si="26"/>
        <v>34.56</v>
      </c>
    </row>
    <row r="523" spans="1:12">
      <c r="A523" s="315">
        <f t="shared" si="24"/>
        <v>522</v>
      </c>
      <c r="B523" s="33"/>
      <c r="C523" s="374" t="s">
        <v>424</v>
      </c>
      <c r="D523" s="374"/>
      <c r="E523" s="374"/>
      <c r="F523" s="343"/>
      <c r="G523" s="344"/>
      <c r="H523" s="486">
        <f>SUBTOTAL(9,H510:H522)</f>
        <v>674733</v>
      </c>
      <c r="I523" s="487">
        <f>SUBTOTAL(9,I510:I522)</f>
        <v>598544</v>
      </c>
      <c r="J523" s="488">
        <f>SUBTOTAL(9,J510:J522)</f>
        <v>368470</v>
      </c>
      <c r="K523" s="489">
        <f t="shared" si="25"/>
        <v>-230074</v>
      </c>
      <c r="L523" s="490">
        <f t="shared" si="26"/>
        <v>61.56105482637868</v>
      </c>
    </row>
    <row r="524" spans="1:12">
      <c r="A524" s="315">
        <f t="shared" si="24"/>
        <v>523</v>
      </c>
      <c r="B524" s="577">
        <v>6200</v>
      </c>
      <c r="C524" s="12">
        <v>3619</v>
      </c>
      <c r="D524" s="12" t="s">
        <v>501</v>
      </c>
      <c r="E524" s="12">
        <v>5163</v>
      </c>
      <c r="F524" s="10" t="s">
        <v>318</v>
      </c>
      <c r="G524" s="158" t="s">
        <v>500</v>
      </c>
      <c r="H524" s="334">
        <v>850</v>
      </c>
      <c r="I524" s="335">
        <v>850</v>
      </c>
      <c r="J524" s="336">
        <v>504</v>
      </c>
      <c r="K524" s="533">
        <f t="shared" si="25"/>
        <v>-346</v>
      </c>
      <c r="L524" s="534">
        <f t="shared" si="26"/>
        <v>59.294117647058819</v>
      </c>
    </row>
    <row r="525" spans="1:12">
      <c r="A525" s="315">
        <f t="shared" si="24"/>
        <v>524</v>
      </c>
      <c r="B525" s="577">
        <v>6200</v>
      </c>
      <c r="C525" s="12">
        <v>3619</v>
      </c>
      <c r="D525" s="12" t="s">
        <v>501</v>
      </c>
      <c r="E525" s="12">
        <v>5613</v>
      </c>
      <c r="F525" s="12" t="s">
        <v>502</v>
      </c>
      <c r="G525" s="158" t="s">
        <v>500</v>
      </c>
      <c r="H525" s="334">
        <v>20000</v>
      </c>
      <c r="I525" s="335">
        <v>16590</v>
      </c>
      <c r="J525" s="336">
        <v>1450</v>
      </c>
      <c r="K525" s="538">
        <f t="shared" si="25"/>
        <v>-15140</v>
      </c>
      <c r="L525" s="539">
        <f t="shared" si="26"/>
        <v>8.7402049427365895</v>
      </c>
    </row>
    <row r="526" spans="1:12">
      <c r="A526" s="315">
        <f t="shared" si="24"/>
        <v>525</v>
      </c>
      <c r="B526" s="577">
        <v>6200</v>
      </c>
      <c r="C526" s="12">
        <v>3619</v>
      </c>
      <c r="D526" s="12" t="s">
        <v>501</v>
      </c>
      <c r="E526" s="12">
        <v>5660</v>
      </c>
      <c r="F526" s="12" t="s">
        <v>503</v>
      </c>
      <c r="G526" s="158" t="s">
        <v>500</v>
      </c>
      <c r="H526" s="334">
        <v>20000</v>
      </c>
      <c r="I526" s="335">
        <v>20000</v>
      </c>
      <c r="J526" s="336">
        <v>9117</v>
      </c>
      <c r="K526" s="538">
        <f t="shared" si="25"/>
        <v>-10883</v>
      </c>
      <c r="L526" s="539">
        <f t="shared" si="26"/>
        <v>45.585000000000001</v>
      </c>
    </row>
    <row r="527" spans="1:12">
      <c r="A527" s="315">
        <f t="shared" si="24"/>
        <v>526</v>
      </c>
      <c r="B527" s="33"/>
      <c r="C527" s="374" t="s">
        <v>504</v>
      </c>
      <c r="D527" s="374"/>
      <c r="E527" s="374"/>
      <c r="F527" s="343"/>
      <c r="G527" s="344"/>
      <c r="H527" s="486">
        <f>SUBTOTAL(9,H524:H526)</f>
        <v>40850</v>
      </c>
      <c r="I527" s="487">
        <f>SUBTOTAL(9,I524:I526)</f>
        <v>37440</v>
      </c>
      <c r="J527" s="488">
        <f>SUBTOTAL(9,J524:J526)</f>
        <v>11071</v>
      </c>
      <c r="K527" s="489">
        <f t="shared" si="25"/>
        <v>-26369</v>
      </c>
      <c r="L527" s="490">
        <f t="shared" si="26"/>
        <v>29.569978632478634</v>
      </c>
    </row>
    <row r="528" spans="1:12" ht="13.5" thickBot="1">
      <c r="A528" s="315">
        <f t="shared" si="24"/>
        <v>527</v>
      </c>
      <c r="B528" s="29" t="s">
        <v>81</v>
      </c>
      <c r="C528" s="357"/>
      <c r="D528" s="357"/>
      <c r="E528" s="357"/>
      <c r="F528" s="357"/>
      <c r="G528" s="358"/>
      <c r="H528" s="359">
        <f>SUBTOTAL(9,H510:H527)</f>
        <v>715583</v>
      </c>
      <c r="I528" s="360">
        <f>SUBTOTAL(9,I510:I527)</f>
        <v>635984</v>
      </c>
      <c r="J528" s="361">
        <f>SUBTOTAL(9,J510:J527)</f>
        <v>379541</v>
      </c>
      <c r="K528" s="362">
        <f t="shared" si="25"/>
        <v>-256443</v>
      </c>
      <c r="L528" s="363">
        <f t="shared" si="26"/>
        <v>59.677759188910414</v>
      </c>
    </row>
    <row r="529" spans="1:12" ht="12.75" customHeight="1">
      <c r="A529" s="315">
        <f t="shared" si="24"/>
        <v>528</v>
      </c>
      <c r="B529" s="33"/>
      <c r="C529" s="374"/>
      <c r="D529" s="374"/>
      <c r="E529" s="374"/>
      <c r="F529" s="374"/>
      <c r="G529" s="485"/>
      <c r="H529" s="486"/>
      <c r="I529" s="487"/>
      <c r="J529" s="488"/>
      <c r="K529" s="578">
        <f t="shared" si="25"/>
        <v>0</v>
      </c>
      <c r="L529" s="579">
        <f t="shared" si="26"/>
        <v>0</v>
      </c>
    </row>
    <row r="530" spans="1:12" ht="15.75">
      <c r="A530" s="315">
        <f t="shared" si="24"/>
        <v>529</v>
      </c>
      <c r="B530" s="574" t="s">
        <v>221</v>
      </c>
      <c r="C530" s="575"/>
      <c r="D530" s="576"/>
      <c r="E530" s="434"/>
      <c r="F530" s="383"/>
      <c r="G530" s="445"/>
      <c r="H530" s="477"/>
      <c r="I530" s="401"/>
      <c r="J530" s="402"/>
      <c r="K530" s="478">
        <f t="shared" si="25"/>
        <v>0</v>
      </c>
      <c r="L530" s="479">
        <f t="shared" si="26"/>
        <v>0</v>
      </c>
    </row>
    <row r="531" spans="1:12">
      <c r="A531" s="315">
        <f t="shared" si="24"/>
        <v>530</v>
      </c>
      <c r="B531" s="577">
        <v>6300</v>
      </c>
      <c r="C531" s="434">
        <v>3639</v>
      </c>
      <c r="D531" s="12" t="s">
        <v>42</v>
      </c>
      <c r="E531" s="434">
        <v>5166</v>
      </c>
      <c r="F531" s="10" t="s">
        <v>309</v>
      </c>
      <c r="G531" s="333"/>
      <c r="H531" s="334">
        <v>5000</v>
      </c>
      <c r="I531" s="335">
        <v>3163</v>
      </c>
      <c r="J531" s="336">
        <v>2765</v>
      </c>
      <c r="K531" s="538">
        <f t="shared" si="25"/>
        <v>-398</v>
      </c>
      <c r="L531" s="539">
        <f t="shared" si="26"/>
        <v>87.417009168510901</v>
      </c>
    </row>
    <row r="532" spans="1:12">
      <c r="A532" s="315">
        <f t="shared" si="24"/>
        <v>531</v>
      </c>
      <c r="B532" s="577">
        <v>6300</v>
      </c>
      <c r="C532" s="434">
        <v>3639</v>
      </c>
      <c r="D532" s="12" t="s">
        <v>42</v>
      </c>
      <c r="E532" s="434">
        <v>5169</v>
      </c>
      <c r="F532" s="10" t="s">
        <v>313</v>
      </c>
      <c r="G532" s="333"/>
      <c r="H532" s="334">
        <v>4000</v>
      </c>
      <c r="I532" s="335">
        <v>2400</v>
      </c>
      <c r="J532" s="336">
        <v>2336</v>
      </c>
      <c r="K532" s="538">
        <f t="shared" si="25"/>
        <v>-64</v>
      </c>
      <c r="L532" s="539">
        <f t="shared" si="26"/>
        <v>97.333333333333343</v>
      </c>
    </row>
    <row r="533" spans="1:12">
      <c r="A533" s="315">
        <f t="shared" si="24"/>
        <v>532</v>
      </c>
      <c r="B533" s="577">
        <v>6300</v>
      </c>
      <c r="C533" s="434">
        <v>3639</v>
      </c>
      <c r="D533" s="12" t="s">
        <v>42</v>
      </c>
      <c r="E533" s="434">
        <v>5192</v>
      </c>
      <c r="F533" s="10" t="s">
        <v>351</v>
      </c>
      <c r="G533" s="445"/>
      <c r="H533" s="334">
        <v>5000</v>
      </c>
      <c r="I533" s="335">
        <v>9900</v>
      </c>
      <c r="J533" s="336">
        <v>9720</v>
      </c>
      <c r="K533" s="538">
        <f t="shared" si="25"/>
        <v>-180</v>
      </c>
      <c r="L533" s="539">
        <f t="shared" si="26"/>
        <v>98.181818181818187</v>
      </c>
    </row>
    <row r="534" spans="1:12">
      <c r="A534" s="315">
        <f t="shared" si="24"/>
        <v>533</v>
      </c>
      <c r="B534" s="577">
        <v>6300</v>
      </c>
      <c r="C534" s="434">
        <v>3639</v>
      </c>
      <c r="D534" s="12" t="s">
        <v>42</v>
      </c>
      <c r="E534" s="434">
        <v>5361</v>
      </c>
      <c r="F534" s="580" t="s">
        <v>399</v>
      </c>
      <c r="G534" s="581"/>
      <c r="H534" s="334">
        <v>120</v>
      </c>
      <c r="I534" s="335">
        <v>186</v>
      </c>
      <c r="J534" s="336">
        <v>185</v>
      </c>
      <c r="K534" s="538">
        <f t="shared" si="25"/>
        <v>-1</v>
      </c>
      <c r="L534" s="539">
        <f t="shared" si="26"/>
        <v>99.462365591397855</v>
      </c>
    </row>
    <row r="535" spans="1:12">
      <c r="A535" s="315">
        <f t="shared" si="24"/>
        <v>534</v>
      </c>
      <c r="B535" s="577">
        <v>6300</v>
      </c>
      <c r="C535" s="434">
        <v>3639</v>
      </c>
      <c r="D535" s="12" t="s">
        <v>42</v>
      </c>
      <c r="E535" s="434">
        <v>5362</v>
      </c>
      <c r="F535" s="10" t="s">
        <v>321</v>
      </c>
      <c r="G535" s="445"/>
      <c r="H535" s="334">
        <v>25021</v>
      </c>
      <c r="I535" s="335">
        <v>24152</v>
      </c>
      <c r="J535" s="336">
        <v>24151</v>
      </c>
      <c r="K535" s="538">
        <f t="shared" si="25"/>
        <v>-1</v>
      </c>
      <c r="L535" s="539">
        <f t="shared" si="26"/>
        <v>99.995859556144424</v>
      </c>
    </row>
    <row r="536" spans="1:12">
      <c r="A536" s="315">
        <f t="shared" si="24"/>
        <v>535</v>
      </c>
      <c r="B536" s="577">
        <v>6300</v>
      </c>
      <c r="C536" s="434">
        <v>3639</v>
      </c>
      <c r="D536" s="12" t="s">
        <v>42</v>
      </c>
      <c r="E536" s="434">
        <v>5363</v>
      </c>
      <c r="F536" s="12" t="s">
        <v>314</v>
      </c>
      <c r="G536" s="445"/>
      <c r="H536" s="334">
        <v>0</v>
      </c>
      <c r="I536" s="335">
        <v>2</v>
      </c>
      <c r="J536" s="336">
        <v>2</v>
      </c>
      <c r="K536" s="538">
        <f t="shared" si="25"/>
        <v>0</v>
      </c>
      <c r="L536" s="539">
        <f t="shared" si="26"/>
        <v>100</v>
      </c>
    </row>
    <row r="537" spans="1:12">
      <c r="A537" s="315">
        <f t="shared" si="24"/>
        <v>536</v>
      </c>
      <c r="B537" s="577">
        <v>6300</v>
      </c>
      <c r="C537" s="434">
        <v>3639</v>
      </c>
      <c r="D537" s="12" t="s">
        <v>42</v>
      </c>
      <c r="E537" s="434">
        <v>5429</v>
      </c>
      <c r="F537" s="10" t="s">
        <v>311</v>
      </c>
      <c r="G537" s="445"/>
      <c r="H537" s="334">
        <v>200</v>
      </c>
      <c r="I537" s="335">
        <v>0</v>
      </c>
      <c r="J537" s="336"/>
      <c r="K537" s="538">
        <f t="shared" si="25"/>
        <v>0</v>
      </c>
      <c r="L537" s="539">
        <f t="shared" si="26"/>
        <v>0</v>
      </c>
    </row>
    <row r="538" spans="1:12">
      <c r="A538" s="315">
        <f t="shared" si="24"/>
        <v>537</v>
      </c>
      <c r="B538" s="577">
        <v>6300</v>
      </c>
      <c r="C538" s="434">
        <v>3639</v>
      </c>
      <c r="D538" s="12" t="s">
        <v>42</v>
      </c>
      <c r="E538" s="434">
        <v>5909</v>
      </c>
      <c r="F538" s="580" t="s">
        <v>323</v>
      </c>
      <c r="G538" s="581"/>
      <c r="H538" s="334">
        <v>500</v>
      </c>
      <c r="I538" s="335">
        <v>915</v>
      </c>
      <c r="J538" s="336">
        <v>881</v>
      </c>
      <c r="K538" s="538">
        <f t="shared" si="25"/>
        <v>-34</v>
      </c>
      <c r="L538" s="539">
        <f t="shared" si="26"/>
        <v>96.284153005464475</v>
      </c>
    </row>
    <row r="539" spans="1:12">
      <c r="A539" s="315">
        <f t="shared" si="24"/>
        <v>538</v>
      </c>
      <c r="B539" s="364"/>
      <c r="C539" s="365" t="s">
        <v>427</v>
      </c>
      <c r="D539" s="374"/>
      <c r="E539" s="365"/>
      <c r="F539" s="582"/>
      <c r="G539" s="583"/>
      <c r="H539" s="584">
        <f>SUBTOTAL(9,H531:H538)</f>
        <v>39841</v>
      </c>
      <c r="I539" s="585">
        <f>SUBTOTAL(9,I531:I538)</f>
        <v>40718</v>
      </c>
      <c r="J539" s="586">
        <f>SUBTOTAL(9,J531:J538)</f>
        <v>40040</v>
      </c>
      <c r="K539" s="371">
        <f t="shared" si="25"/>
        <v>-678</v>
      </c>
      <c r="L539" s="372">
        <f t="shared" si="26"/>
        <v>98.334888746991496</v>
      </c>
    </row>
    <row r="540" spans="1:12" ht="13.5" thickBot="1">
      <c r="A540" s="315">
        <f t="shared" si="24"/>
        <v>539</v>
      </c>
      <c r="B540" s="29" t="s">
        <v>222</v>
      </c>
      <c r="C540" s="357"/>
      <c r="D540" s="357"/>
      <c r="E540" s="357"/>
      <c r="F540" s="357"/>
      <c r="G540" s="358"/>
      <c r="H540" s="359">
        <f>SUBTOTAL(9,H531:H539)</f>
        <v>39841</v>
      </c>
      <c r="I540" s="360">
        <f>SUBTOTAL(9,I531:I539)</f>
        <v>40718</v>
      </c>
      <c r="J540" s="361">
        <f>SUBTOTAL(9,J531:J539)</f>
        <v>40040</v>
      </c>
      <c r="K540" s="362">
        <f t="shared" si="25"/>
        <v>-678</v>
      </c>
      <c r="L540" s="363">
        <f t="shared" si="26"/>
        <v>98.334888746991496</v>
      </c>
    </row>
    <row r="541" spans="1:12" ht="12.75" customHeight="1">
      <c r="A541" s="315">
        <f t="shared" si="24"/>
        <v>540</v>
      </c>
      <c r="B541" s="33"/>
      <c r="C541" s="374"/>
      <c r="D541" s="374"/>
      <c r="E541" s="374"/>
      <c r="F541" s="374"/>
      <c r="G541" s="485"/>
      <c r="H541" s="486"/>
      <c r="I541" s="487"/>
      <c r="J541" s="488"/>
      <c r="K541" s="578">
        <f t="shared" si="25"/>
        <v>0</v>
      </c>
      <c r="L541" s="579">
        <f t="shared" si="26"/>
        <v>0</v>
      </c>
    </row>
    <row r="542" spans="1:12" ht="15.75">
      <c r="A542" s="315">
        <f t="shared" si="24"/>
        <v>541</v>
      </c>
      <c r="B542" s="587" t="s">
        <v>244</v>
      </c>
      <c r="C542" s="588"/>
      <c r="D542" s="588"/>
      <c r="E542" s="434"/>
      <c r="F542" s="383"/>
      <c r="G542" s="445"/>
      <c r="H542" s="545"/>
      <c r="I542" s="546"/>
      <c r="J542" s="547"/>
      <c r="K542" s="538">
        <f t="shared" si="25"/>
        <v>0</v>
      </c>
      <c r="L542" s="539">
        <f t="shared" si="26"/>
        <v>0</v>
      </c>
    </row>
    <row r="543" spans="1:12">
      <c r="A543" s="315">
        <f t="shared" si="24"/>
        <v>542</v>
      </c>
      <c r="B543" s="577">
        <v>6600</v>
      </c>
      <c r="C543" s="434">
        <v>2333</v>
      </c>
      <c r="D543" s="12" t="s">
        <v>22</v>
      </c>
      <c r="E543" s="10">
        <v>5169</v>
      </c>
      <c r="F543" s="10" t="s">
        <v>313</v>
      </c>
      <c r="G543" s="333"/>
      <c r="H543" s="334">
        <v>500</v>
      </c>
      <c r="I543" s="335">
        <v>450</v>
      </c>
      <c r="J543" s="336">
        <v>366</v>
      </c>
      <c r="K543" s="436">
        <f t="shared" si="25"/>
        <v>-84</v>
      </c>
      <c r="L543" s="437">
        <f t="shared" si="26"/>
        <v>81.333333333333329</v>
      </c>
    </row>
    <row r="544" spans="1:12">
      <c r="A544" s="315">
        <f t="shared" si="24"/>
        <v>543</v>
      </c>
      <c r="B544" s="364"/>
      <c r="C544" s="365" t="s">
        <v>471</v>
      </c>
      <c r="D544" s="374"/>
      <c r="E544" s="343"/>
      <c r="F544" s="366"/>
      <c r="G544" s="367"/>
      <c r="H544" s="473">
        <f>SUBTOTAL(9,H543:H543)</f>
        <v>500</v>
      </c>
      <c r="I544" s="428">
        <f>SUBTOTAL(9,I543:I543)</f>
        <v>450</v>
      </c>
      <c r="J544" s="429">
        <f>SUBTOTAL(9,J543:J543)</f>
        <v>366</v>
      </c>
      <c r="K544" s="474">
        <f t="shared" si="25"/>
        <v>-84</v>
      </c>
      <c r="L544" s="475">
        <f t="shared" si="26"/>
        <v>81.333333333333329</v>
      </c>
    </row>
    <row r="545" spans="1:12">
      <c r="A545" s="315">
        <f t="shared" si="24"/>
        <v>544</v>
      </c>
      <c r="B545" s="577">
        <v>6600</v>
      </c>
      <c r="C545" s="434">
        <v>3322</v>
      </c>
      <c r="D545" s="12" t="s">
        <v>28</v>
      </c>
      <c r="E545" s="10">
        <v>5171</v>
      </c>
      <c r="F545" s="383" t="s">
        <v>394</v>
      </c>
      <c r="G545" s="445"/>
      <c r="H545" s="334">
        <v>500</v>
      </c>
      <c r="I545" s="335">
        <v>550</v>
      </c>
      <c r="J545" s="336">
        <v>368</v>
      </c>
      <c r="K545" s="436">
        <f t="shared" si="25"/>
        <v>-182</v>
      </c>
      <c r="L545" s="437">
        <f t="shared" si="26"/>
        <v>66.909090909090907</v>
      </c>
    </row>
    <row r="546" spans="1:12">
      <c r="A546" s="315">
        <f t="shared" si="24"/>
        <v>545</v>
      </c>
      <c r="B546" s="364"/>
      <c r="C546" s="365" t="s">
        <v>418</v>
      </c>
      <c r="D546" s="374"/>
      <c r="E546" s="343"/>
      <c r="F546" s="366"/>
      <c r="G546" s="367"/>
      <c r="H546" s="473">
        <f>SUBTOTAL(9,H545:H545)</f>
        <v>500</v>
      </c>
      <c r="I546" s="428">
        <f>SUBTOTAL(9,I545:I545)</f>
        <v>550</v>
      </c>
      <c r="J546" s="429">
        <f>SUBTOTAL(9,J545:J545)</f>
        <v>368</v>
      </c>
      <c r="K546" s="474">
        <f t="shared" si="25"/>
        <v>-182</v>
      </c>
      <c r="L546" s="475">
        <f t="shared" si="26"/>
        <v>66.909090909090907</v>
      </c>
    </row>
    <row r="547" spans="1:12">
      <c r="A547" s="315">
        <f t="shared" si="24"/>
        <v>546</v>
      </c>
      <c r="B547" s="589">
        <v>6600</v>
      </c>
      <c r="C547" s="590">
        <v>3612</v>
      </c>
      <c r="D547" s="405" t="s">
        <v>12</v>
      </c>
      <c r="E547" s="393">
        <v>5139</v>
      </c>
      <c r="F547" s="10" t="s">
        <v>342</v>
      </c>
      <c r="G547" s="367"/>
      <c r="H547" s="334">
        <v>0</v>
      </c>
      <c r="I547" s="335">
        <v>10</v>
      </c>
      <c r="J547" s="336">
        <v>7</v>
      </c>
      <c r="K547" s="432">
        <f t="shared" si="25"/>
        <v>-3</v>
      </c>
      <c r="L547" s="433">
        <f t="shared" si="26"/>
        <v>70</v>
      </c>
    </row>
    <row r="548" spans="1:12">
      <c r="A548" s="315">
        <f t="shared" si="24"/>
        <v>547</v>
      </c>
      <c r="B548" s="589">
        <v>6600</v>
      </c>
      <c r="C548" s="590">
        <v>3612</v>
      </c>
      <c r="D548" s="405" t="s">
        <v>12</v>
      </c>
      <c r="E548" s="393">
        <v>5151</v>
      </c>
      <c r="F548" s="383" t="s">
        <v>347</v>
      </c>
      <c r="G548" s="367"/>
      <c r="H548" s="334">
        <v>500</v>
      </c>
      <c r="I548" s="335">
        <v>446</v>
      </c>
      <c r="J548" s="336">
        <v>113</v>
      </c>
      <c r="K548" s="432">
        <f t="shared" si="25"/>
        <v>-333</v>
      </c>
      <c r="L548" s="433">
        <f t="shared" si="26"/>
        <v>25.336322869955158</v>
      </c>
    </row>
    <row r="549" spans="1:12">
      <c r="A549" s="315">
        <f t="shared" si="24"/>
        <v>548</v>
      </c>
      <c r="B549" s="589">
        <v>6600</v>
      </c>
      <c r="C549" s="590">
        <v>3612</v>
      </c>
      <c r="D549" s="405" t="s">
        <v>12</v>
      </c>
      <c r="E549" s="434">
        <v>5152</v>
      </c>
      <c r="F549" s="383" t="s">
        <v>348</v>
      </c>
      <c r="G549" s="367"/>
      <c r="H549" s="334">
        <v>1000</v>
      </c>
      <c r="I549" s="335">
        <v>1400</v>
      </c>
      <c r="J549" s="336">
        <v>1399</v>
      </c>
      <c r="K549" s="432">
        <f t="shared" si="25"/>
        <v>-1</v>
      </c>
      <c r="L549" s="433">
        <f t="shared" si="26"/>
        <v>99.928571428571431</v>
      </c>
    </row>
    <row r="550" spans="1:12">
      <c r="A550" s="315">
        <f t="shared" si="24"/>
        <v>549</v>
      </c>
      <c r="B550" s="589">
        <v>6600</v>
      </c>
      <c r="C550" s="590">
        <v>3612</v>
      </c>
      <c r="D550" s="405" t="s">
        <v>12</v>
      </c>
      <c r="E550" s="434">
        <v>5153</v>
      </c>
      <c r="F550" s="383" t="s">
        <v>391</v>
      </c>
      <c r="G550" s="367"/>
      <c r="H550" s="334">
        <v>200</v>
      </c>
      <c r="I550" s="335">
        <v>150</v>
      </c>
      <c r="J550" s="336">
        <v>85</v>
      </c>
      <c r="K550" s="432">
        <f t="shared" si="25"/>
        <v>-65</v>
      </c>
      <c r="L550" s="433">
        <f t="shared" si="26"/>
        <v>56.666666666666664</v>
      </c>
    </row>
    <row r="551" spans="1:12">
      <c r="A551" s="315">
        <f t="shared" si="24"/>
        <v>550</v>
      </c>
      <c r="B551" s="589">
        <v>6600</v>
      </c>
      <c r="C551" s="590">
        <v>3612</v>
      </c>
      <c r="D551" s="405" t="s">
        <v>12</v>
      </c>
      <c r="E551" s="434">
        <v>5154</v>
      </c>
      <c r="F551" s="383" t="s">
        <v>349</v>
      </c>
      <c r="G551" s="367"/>
      <c r="H551" s="334">
        <v>500</v>
      </c>
      <c r="I551" s="335">
        <v>500</v>
      </c>
      <c r="J551" s="336">
        <v>352</v>
      </c>
      <c r="K551" s="432">
        <f t="shared" si="25"/>
        <v>-148</v>
      </c>
      <c r="L551" s="433">
        <f t="shared" si="26"/>
        <v>70.399999999999991</v>
      </c>
    </row>
    <row r="552" spans="1:12">
      <c r="A552" s="315">
        <f t="shared" si="24"/>
        <v>551</v>
      </c>
      <c r="B552" s="589">
        <v>6600</v>
      </c>
      <c r="C552" s="590">
        <v>3612</v>
      </c>
      <c r="D552" s="405" t="s">
        <v>12</v>
      </c>
      <c r="E552" s="393">
        <v>5162</v>
      </c>
      <c r="F552" s="591" t="s">
        <v>392</v>
      </c>
      <c r="G552" s="367"/>
      <c r="H552" s="334">
        <v>0</v>
      </c>
      <c r="I552" s="335">
        <v>25</v>
      </c>
      <c r="J552" s="336">
        <v>20</v>
      </c>
      <c r="K552" s="432">
        <f t="shared" si="25"/>
        <v>-5</v>
      </c>
      <c r="L552" s="433">
        <f t="shared" si="26"/>
        <v>80</v>
      </c>
    </row>
    <row r="553" spans="1:12">
      <c r="A553" s="315">
        <f t="shared" si="24"/>
        <v>552</v>
      </c>
      <c r="B553" s="589">
        <v>6600</v>
      </c>
      <c r="C553" s="590">
        <v>3612</v>
      </c>
      <c r="D553" s="405" t="s">
        <v>12</v>
      </c>
      <c r="E553" s="434">
        <v>5166</v>
      </c>
      <c r="F553" s="10" t="s">
        <v>309</v>
      </c>
      <c r="G553" s="367"/>
      <c r="H553" s="334"/>
      <c r="I553" s="335">
        <v>80</v>
      </c>
      <c r="J553" s="336">
        <v>50</v>
      </c>
      <c r="K553" s="432">
        <f t="shared" si="25"/>
        <v>-30</v>
      </c>
      <c r="L553" s="433">
        <f t="shared" si="26"/>
        <v>62.5</v>
      </c>
    </row>
    <row r="554" spans="1:12">
      <c r="A554" s="315">
        <f t="shared" si="24"/>
        <v>553</v>
      </c>
      <c r="B554" s="589">
        <v>6600</v>
      </c>
      <c r="C554" s="590">
        <v>3612</v>
      </c>
      <c r="D554" s="405" t="s">
        <v>12</v>
      </c>
      <c r="E554" s="10">
        <v>5169</v>
      </c>
      <c r="F554" s="10" t="s">
        <v>313</v>
      </c>
      <c r="G554" s="333"/>
      <c r="H554" s="334">
        <v>2000</v>
      </c>
      <c r="I554" s="335">
        <v>2700</v>
      </c>
      <c r="J554" s="336">
        <v>2588</v>
      </c>
      <c r="K554" s="432">
        <f t="shared" si="25"/>
        <v>-112</v>
      </c>
      <c r="L554" s="433">
        <f t="shared" si="26"/>
        <v>95.851851851851848</v>
      </c>
    </row>
    <row r="555" spans="1:12">
      <c r="A555" s="315">
        <f t="shared" si="24"/>
        <v>554</v>
      </c>
      <c r="B555" s="589">
        <v>6600</v>
      </c>
      <c r="C555" s="590">
        <v>3612</v>
      </c>
      <c r="D555" s="405" t="s">
        <v>12</v>
      </c>
      <c r="E555" s="10">
        <v>5171</v>
      </c>
      <c r="F555" s="383" t="s">
        <v>394</v>
      </c>
      <c r="G555" s="367"/>
      <c r="H555" s="334">
        <v>12800</v>
      </c>
      <c r="I555" s="335">
        <v>5934</v>
      </c>
      <c r="J555" s="336">
        <v>5895</v>
      </c>
      <c r="K555" s="432">
        <f t="shared" si="25"/>
        <v>-39</v>
      </c>
      <c r="L555" s="433">
        <f t="shared" si="26"/>
        <v>99.34277047522751</v>
      </c>
    </row>
    <row r="556" spans="1:12">
      <c r="A556" s="315">
        <f t="shared" si="24"/>
        <v>555</v>
      </c>
      <c r="B556" s="589">
        <v>6600</v>
      </c>
      <c r="C556" s="590">
        <v>3612</v>
      </c>
      <c r="D556" s="405" t="s">
        <v>12</v>
      </c>
      <c r="E556" s="393">
        <v>5171</v>
      </c>
      <c r="F556" s="591" t="s">
        <v>394</v>
      </c>
      <c r="G556" s="592" t="s">
        <v>331</v>
      </c>
      <c r="H556" s="334">
        <v>18000</v>
      </c>
      <c r="I556" s="335">
        <v>38463</v>
      </c>
      <c r="J556" s="336">
        <v>14767</v>
      </c>
      <c r="K556" s="432">
        <f t="shared" si="25"/>
        <v>-23696</v>
      </c>
      <c r="L556" s="433">
        <f t="shared" si="26"/>
        <v>38.392741075839119</v>
      </c>
    </row>
    <row r="557" spans="1:12">
      <c r="A557" s="315">
        <f t="shared" si="24"/>
        <v>556</v>
      </c>
      <c r="B557" s="589">
        <v>6600</v>
      </c>
      <c r="C557" s="590">
        <v>3612</v>
      </c>
      <c r="D557" s="405" t="s">
        <v>12</v>
      </c>
      <c r="E557" s="10">
        <v>5363</v>
      </c>
      <c r="F557" s="12" t="s">
        <v>314</v>
      </c>
      <c r="G557" s="367"/>
      <c r="H557" s="334"/>
      <c r="I557" s="335">
        <v>1</v>
      </c>
      <c r="J557" s="336">
        <v>1</v>
      </c>
      <c r="K557" s="432">
        <f t="shared" si="25"/>
        <v>0</v>
      </c>
      <c r="L557" s="433">
        <f t="shared" si="26"/>
        <v>100</v>
      </c>
    </row>
    <row r="558" spans="1:12">
      <c r="A558" s="315">
        <f t="shared" si="24"/>
        <v>557</v>
      </c>
      <c r="B558" s="589">
        <v>6600</v>
      </c>
      <c r="C558" s="590">
        <v>3612</v>
      </c>
      <c r="D558" s="405" t="s">
        <v>12</v>
      </c>
      <c r="E558" s="10">
        <v>5909</v>
      </c>
      <c r="F558" s="580" t="s">
        <v>323</v>
      </c>
      <c r="G558" s="367"/>
      <c r="H558" s="334">
        <v>900</v>
      </c>
      <c r="I558" s="335">
        <v>1154</v>
      </c>
      <c r="J558" s="336">
        <v>1156</v>
      </c>
      <c r="K558" s="432">
        <f t="shared" si="25"/>
        <v>2</v>
      </c>
      <c r="L558" s="433">
        <f t="shared" si="26"/>
        <v>100.1733102253033</v>
      </c>
    </row>
    <row r="559" spans="1:12">
      <c r="A559" s="315">
        <f t="shared" si="24"/>
        <v>558</v>
      </c>
      <c r="B559" s="364"/>
      <c r="C559" s="365" t="s">
        <v>424</v>
      </c>
      <c r="D559" s="374"/>
      <c r="E559" s="343"/>
      <c r="F559" s="366"/>
      <c r="G559" s="367"/>
      <c r="H559" s="473">
        <f>SUBTOTAL(9,H547:H558)</f>
        <v>35900</v>
      </c>
      <c r="I559" s="428">
        <f>SUBTOTAL(9,I547:I558)</f>
        <v>50863</v>
      </c>
      <c r="J559" s="429">
        <f>SUBTOTAL(9,J547:J558)</f>
        <v>26433</v>
      </c>
      <c r="K559" s="474">
        <f t="shared" si="25"/>
        <v>-24430</v>
      </c>
      <c r="L559" s="475">
        <f t="shared" si="26"/>
        <v>51.969014804474767</v>
      </c>
    </row>
    <row r="560" spans="1:12">
      <c r="A560" s="315">
        <f t="shared" si="24"/>
        <v>559</v>
      </c>
      <c r="B560" s="577">
        <v>6600</v>
      </c>
      <c r="C560" s="434">
        <v>3639</v>
      </c>
      <c r="D560" s="12" t="s">
        <v>42</v>
      </c>
      <c r="E560" s="434">
        <v>5137</v>
      </c>
      <c r="F560" s="10" t="s">
        <v>346</v>
      </c>
      <c r="G560" s="158"/>
      <c r="H560" s="334">
        <v>0</v>
      </c>
      <c r="I560" s="335">
        <v>15</v>
      </c>
      <c r="J560" s="336">
        <v>15</v>
      </c>
      <c r="K560" s="538">
        <f t="shared" si="25"/>
        <v>0</v>
      </c>
      <c r="L560" s="539">
        <f t="shared" si="26"/>
        <v>100</v>
      </c>
    </row>
    <row r="561" spans="1:12">
      <c r="A561" s="315">
        <f t="shared" si="24"/>
        <v>560</v>
      </c>
      <c r="B561" s="577">
        <v>6600</v>
      </c>
      <c r="C561" s="434">
        <v>3639</v>
      </c>
      <c r="D561" s="12" t="s">
        <v>42</v>
      </c>
      <c r="E561" s="434">
        <v>5139</v>
      </c>
      <c r="F561" s="10" t="s">
        <v>342</v>
      </c>
      <c r="G561" s="333"/>
      <c r="H561" s="334">
        <v>200</v>
      </c>
      <c r="I561" s="335">
        <v>200</v>
      </c>
      <c r="J561" s="336">
        <v>112</v>
      </c>
      <c r="K561" s="538">
        <f t="shared" si="25"/>
        <v>-88</v>
      </c>
      <c r="L561" s="539">
        <f t="shared" si="26"/>
        <v>56.000000000000007</v>
      </c>
    </row>
    <row r="562" spans="1:12">
      <c r="A562" s="315">
        <f t="shared" si="24"/>
        <v>561</v>
      </c>
      <c r="B562" s="577">
        <v>6600</v>
      </c>
      <c r="C562" s="434">
        <v>3639</v>
      </c>
      <c r="D562" s="12" t="s">
        <v>42</v>
      </c>
      <c r="E562" s="434">
        <v>5149</v>
      </c>
      <c r="F562" s="10" t="s">
        <v>390</v>
      </c>
      <c r="G562" s="333"/>
      <c r="H562" s="334"/>
      <c r="I562" s="335">
        <v>1</v>
      </c>
      <c r="J562" s="336"/>
      <c r="K562" s="538">
        <f t="shared" si="25"/>
        <v>-1</v>
      </c>
      <c r="L562" s="539">
        <f t="shared" si="26"/>
        <v>0</v>
      </c>
    </row>
    <row r="563" spans="1:12">
      <c r="A563" s="315">
        <f t="shared" si="24"/>
        <v>562</v>
      </c>
      <c r="B563" s="577">
        <v>6600</v>
      </c>
      <c r="C563" s="434">
        <v>3639</v>
      </c>
      <c r="D563" s="12" t="s">
        <v>42</v>
      </c>
      <c r="E563" s="434">
        <v>5151</v>
      </c>
      <c r="F563" s="383" t="s">
        <v>347</v>
      </c>
      <c r="G563" s="445"/>
      <c r="H563" s="334">
        <v>1550</v>
      </c>
      <c r="I563" s="335">
        <v>1250</v>
      </c>
      <c r="J563" s="336">
        <v>765</v>
      </c>
      <c r="K563" s="538">
        <f t="shared" si="25"/>
        <v>-485</v>
      </c>
      <c r="L563" s="539">
        <f t="shared" si="26"/>
        <v>61.199999999999996</v>
      </c>
    </row>
    <row r="564" spans="1:12">
      <c r="A564" s="315">
        <f t="shared" si="24"/>
        <v>563</v>
      </c>
      <c r="B564" s="577">
        <v>6600</v>
      </c>
      <c r="C564" s="434">
        <v>3639</v>
      </c>
      <c r="D564" s="12" t="s">
        <v>42</v>
      </c>
      <c r="E564" s="434">
        <v>5152</v>
      </c>
      <c r="F564" s="383" t="s">
        <v>348</v>
      </c>
      <c r="G564" s="445"/>
      <c r="H564" s="334">
        <v>1945</v>
      </c>
      <c r="I564" s="335">
        <v>2245</v>
      </c>
      <c r="J564" s="336">
        <v>1790</v>
      </c>
      <c r="K564" s="538">
        <f t="shared" si="25"/>
        <v>-455</v>
      </c>
      <c r="L564" s="539">
        <f t="shared" si="26"/>
        <v>79.732739420935417</v>
      </c>
    </row>
    <row r="565" spans="1:12">
      <c r="A565" s="315">
        <f t="shared" si="24"/>
        <v>564</v>
      </c>
      <c r="B565" s="577">
        <v>6600</v>
      </c>
      <c r="C565" s="434">
        <v>3639</v>
      </c>
      <c r="D565" s="12" t="s">
        <v>42</v>
      </c>
      <c r="E565" s="434">
        <v>5153</v>
      </c>
      <c r="F565" s="383" t="s">
        <v>391</v>
      </c>
      <c r="G565" s="445"/>
      <c r="H565" s="334">
        <v>1248</v>
      </c>
      <c r="I565" s="335">
        <v>1248</v>
      </c>
      <c r="J565" s="336">
        <v>1016</v>
      </c>
      <c r="K565" s="538">
        <f t="shared" si="25"/>
        <v>-232</v>
      </c>
      <c r="L565" s="539">
        <f t="shared" si="26"/>
        <v>81.410256410256409</v>
      </c>
    </row>
    <row r="566" spans="1:12">
      <c r="A566" s="315">
        <f t="shared" si="24"/>
        <v>565</v>
      </c>
      <c r="B566" s="577">
        <v>6600</v>
      </c>
      <c r="C566" s="434">
        <v>3639</v>
      </c>
      <c r="D566" s="12" t="s">
        <v>42</v>
      </c>
      <c r="E566" s="434">
        <v>5154</v>
      </c>
      <c r="F566" s="383" t="s">
        <v>349</v>
      </c>
      <c r="G566" s="445"/>
      <c r="H566" s="334">
        <v>710</v>
      </c>
      <c r="I566" s="335">
        <v>1610</v>
      </c>
      <c r="J566" s="336">
        <v>1404</v>
      </c>
      <c r="K566" s="337">
        <f t="shared" si="25"/>
        <v>-206</v>
      </c>
      <c r="L566" s="338">
        <f t="shared" si="26"/>
        <v>87.204968944099377</v>
      </c>
    </row>
    <row r="567" spans="1:12">
      <c r="A567" s="315">
        <f t="shared" si="24"/>
        <v>566</v>
      </c>
      <c r="B567" s="577">
        <v>6600</v>
      </c>
      <c r="C567" s="434">
        <v>3639</v>
      </c>
      <c r="D567" s="12" t="s">
        <v>42</v>
      </c>
      <c r="E567" s="434">
        <v>5161</v>
      </c>
      <c r="F567" s="383" t="s">
        <v>382</v>
      </c>
      <c r="G567" s="445"/>
      <c r="H567" s="334"/>
      <c r="I567" s="335">
        <v>1</v>
      </c>
      <c r="J567" s="336"/>
      <c r="K567" s="337">
        <f t="shared" si="25"/>
        <v>-1</v>
      </c>
      <c r="L567" s="338">
        <f t="shared" si="26"/>
        <v>0</v>
      </c>
    </row>
    <row r="568" spans="1:12">
      <c r="A568" s="315">
        <f t="shared" si="24"/>
        <v>567</v>
      </c>
      <c r="B568" s="577">
        <v>6600</v>
      </c>
      <c r="C568" s="434">
        <v>3639</v>
      </c>
      <c r="D568" s="12" t="s">
        <v>42</v>
      </c>
      <c r="E568" s="434">
        <v>5162</v>
      </c>
      <c r="F568" s="383" t="s">
        <v>392</v>
      </c>
      <c r="G568" s="445"/>
      <c r="H568" s="334">
        <v>0</v>
      </c>
      <c r="I568" s="335">
        <v>1</v>
      </c>
      <c r="J568" s="336"/>
      <c r="K568" s="337">
        <f t="shared" si="25"/>
        <v>-1</v>
      </c>
      <c r="L568" s="338">
        <f t="shared" si="26"/>
        <v>0</v>
      </c>
    </row>
    <row r="569" spans="1:12">
      <c r="A569" s="315">
        <f t="shared" si="24"/>
        <v>568</v>
      </c>
      <c r="B569" s="577">
        <v>6600</v>
      </c>
      <c r="C569" s="434">
        <v>3639</v>
      </c>
      <c r="D569" s="12" t="s">
        <v>42</v>
      </c>
      <c r="E569" s="10">
        <v>5164</v>
      </c>
      <c r="F569" s="10" t="s">
        <v>350</v>
      </c>
      <c r="G569" s="593"/>
      <c r="H569" s="334">
        <v>100</v>
      </c>
      <c r="I569" s="335">
        <v>100</v>
      </c>
      <c r="J569" s="336">
        <v>86</v>
      </c>
      <c r="K569" s="538">
        <f t="shared" si="25"/>
        <v>-14</v>
      </c>
      <c r="L569" s="539">
        <f t="shared" si="26"/>
        <v>86</v>
      </c>
    </row>
    <row r="570" spans="1:12">
      <c r="A570" s="315">
        <f t="shared" si="24"/>
        <v>569</v>
      </c>
      <c r="B570" s="577">
        <v>6600</v>
      </c>
      <c r="C570" s="434">
        <v>3639</v>
      </c>
      <c r="D570" s="12" t="s">
        <v>42</v>
      </c>
      <c r="E570" s="10">
        <v>5166</v>
      </c>
      <c r="F570" s="10" t="s">
        <v>309</v>
      </c>
      <c r="G570" s="593"/>
      <c r="H570" s="334">
        <v>200</v>
      </c>
      <c r="I570" s="335">
        <v>198</v>
      </c>
      <c r="J570" s="336">
        <v>39</v>
      </c>
      <c r="K570" s="538">
        <f t="shared" si="25"/>
        <v>-159</v>
      </c>
      <c r="L570" s="539">
        <f t="shared" si="26"/>
        <v>19.696969696969695</v>
      </c>
    </row>
    <row r="571" spans="1:12">
      <c r="A571" s="315">
        <f t="shared" si="24"/>
        <v>570</v>
      </c>
      <c r="B571" s="577">
        <v>6600</v>
      </c>
      <c r="C571" s="434">
        <v>3639</v>
      </c>
      <c r="D571" s="12" t="s">
        <v>42</v>
      </c>
      <c r="E571" s="10">
        <v>5169</v>
      </c>
      <c r="F571" s="10" t="s">
        <v>313</v>
      </c>
      <c r="G571" s="333"/>
      <c r="H571" s="334">
        <v>22876</v>
      </c>
      <c r="I571" s="335">
        <v>27976</v>
      </c>
      <c r="J571" s="336">
        <v>25031</v>
      </c>
      <c r="K571" s="538">
        <f t="shared" si="25"/>
        <v>-2945</v>
      </c>
      <c r="L571" s="539">
        <f t="shared" si="26"/>
        <v>89.473119816985985</v>
      </c>
    </row>
    <row r="572" spans="1:12">
      <c r="A572" s="315">
        <f t="shared" si="24"/>
        <v>571</v>
      </c>
      <c r="B572" s="577">
        <v>6600</v>
      </c>
      <c r="C572" s="434">
        <v>3639</v>
      </c>
      <c r="D572" s="12" t="s">
        <v>42</v>
      </c>
      <c r="E572" s="10">
        <v>5171</v>
      </c>
      <c r="F572" s="383" t="s">
        <v>394</v>
      </c>
      <c r="G572" s="445"/>
      <c r="H572" s="334">
        <v>22480</v>
      </c>
      <c r="I572" s="335">
        <v>23358</v>
      </c>
      <c r="J572" s="336">
        <v>21197</v>
      </c>
      <c r="K572" s="337">
        <f t="shared" si="25"/>
        <v>-2161</v>
      </c>
      <c r="L572" s="338">
        <f t="shared" si="26"/>
        <v>90.748351742443703</v>
      </c>
    </row>
    <row r="573" spans="1:12">
      <c r="A573" s="315">
        <f t="shared" si="24"/>
        <v>572</v>
      </c>
      <c r="B573" s="577">
        <v>6600</v>
      </c>
      <c r="C573" s="434">
        <v>3639</v>
      </c>
      <c r="D573" s="12" t="s">
        <v>42</v>
      </c>
      <c r="E573" s="10">
        <v>5192</v>
      </c>
      <c r="F573" s="383" t="s">
        <v>351</v>
      </c>
      <c r="G573" s="445"/>
      <c r="H573" s="334">
        <v>2730</v>
      </c>
      <c r="I573" s="335">
        <v>1714</v>
      </c>
      <c r="J573" s="336">
        <v>524</v>
      </c>
      <c r="K573" s="337">
        <f t="shared" si="25"/>
        <v>-1190</v>
      </c>
      <c r="L573" s="338">
        <f t="shared" si="26"/>
        <v>30.571761960326722</v>
      </c>
    </row>
    <row r="574" spans="1:12" ht="25.5">
      <c r="A574" s="315">
        <f t="shared" si="24"/>
        <v>573</v>
      </c>
      <c r="B574" s="577">
        <v>6600</v>
      </c>
      <c r="C574" s="434">
        <v>3639</v>
      </c>
      <c r="D574" s="12" t="s">
        <v>42</v>
      </c>
      <c r="E574" s="10">
        <v>5341</v>
      </c>
      <c r="F574" s="10" t="s">
        <v>398</v>
      </c>
      <c r="G574" s="445" t="s">
        <v>505</v>
      </c>
      <c r="H574" s="334">
        <v>750</v>
      </c>
      <c r="I574" s="335">
        <v>1676</v>
      </c>
      <c r="J574" s="336">
        <v>426</v>
      </c>
      <c r="K574" s="337">
        <f t="shared" si="25"/>
        <v>-1250</v>
      </c>
      <c r="L574" s="338">
        <f t="shared" si="26"/>
        <v>25.417661097852029</v>
      </c>
    </row>
    <row r="575" spans="1:12">
      <c r="A575" s="315">
        <f t="shared" si="24"/>
        <v>574</v>
      </c>
      <c r="B575" s="577">
        <v>6600</v>
      </c>
      <c r="C575" s="434">
        <v>3639</v>
      </c>
      <c r="D575" s="12" t="s">
        <v>42</v>
      </c>
      <c r="E575" s="10">
        <v>5909</v>
      </c>
      <c r="F575" s="580" t="s">
        <v>323</v>
      </c>
      <c r="G575" s="445"/>
      <c r="H575" s="334">
        <v>400</v>
      </c>
      <c r="I575" s="335">
        <v>200</v>
      </c>
      <c r="J575" s="336">
        <v>17</v>
      </c>
      <c r="K575" s="337">
        <f t="shared" si="25"/>
        <v>-183</v>
      </c>
      <c r="L575" s="338">
        <f t="shared" si="26"/>
        <v>8.5</v>
      </c>
    </row>
    <row r="576" spans="1:12">
      <c r="A576" s="315">
        <f t="shared" si="24"/>
        <v>575</v>
      </c>
      <c r="B576" s="577"/>
      <c r="C576" s="365" t="s">
        <v>427</v>
      </c>
      <c r="D576" s="374"/>
      <c r="E576" s="343"/>
      <c r="F576" s="366"/>
      <c r="G576" s="367"/>
      <c r="H576" s="473">
        <f>SUBTOTAL(9,H560:H575)</f>
        <v>55189</v>
      </c>
      <c r="I576" s="428">
        <f>SUBTOTAL(9,I560:I575)</f>
        <v>61793</v>
      </c>
      <c r="J576" s="429">
        <f>SUBTOTAL(9,J560:J575)</f>
        <v>52422</v>
      </c>
      <c r="K576" s="474">
        <f t="shared" si="25"/>
        <v>-9371</v>
      </c>
      <c r="L576" s="475">
        <f t="shared" si="26"/>
        <v>84.834851844060012</v>
      </c>
    </row>
    <row r="577" spans="1:12">
      <c r="A577" s="315">
        <f t="shared" si="24"/>
        <v>576</v>
      </c>
      <c r="B577" s="577">
        <v>6600</v>
      </c>
      <c r="C577" s="434">
        <v>4341</v>
      </c>
      <c r="D577" s="434" t="s">
        <v>431</v>
      </c>
      <c r="E577" s="434">
        <v>5139</v>
      </c>
      <c r="F577" s="383" t="s">
        <v>342</v>
      </c>
      <c r="G577" s="445"/>
      <c r="H577" s="334">
        <v>12</v>
      </c>
      <c r="I577" s="335">
        <v>22</v>
      </c>
      <c r="J577" s="336">
        <v>20</v>
      </c>
      <c r="K577" s="538">
        <f t="shared" si="25"/>
        <v>-2</v>
      </c>
      <c r="L577" s="539">
        <f t="shared" si="26"/>
        <v>90.909090909090907</v>
      </c>
    </row>
    <row r="578" spans="1:12">
      <c r="A578" s="315">
        <f t="shared" si="24"/>
        <v>577</v>
      </c>
      <c r="B578" s="577">
        <v>6600</v>
      </c>
      <c r="C578" s="434">
        <v>4341</v>
      </c>
      <c r="D578" s="434" t="s">
        <v>431</v>
      </c>
      <c r="E578" s="434">
        <v>5151</v>
      </c>
      <c r="F578" s="383" t="s">
        <v>347</v>
      </c>
      <c r="G578" s="445"/>
      <c r="H578" s="334">
        <v>200</v>
      </c>
      <c r="I578" s="335">
        <v>186</v>
      </c>
      <c r="J578" s="336">
        <v>154</v>
      </c>
      <c r="K578" s="538">
        <f t="shared" si="25"/>
        <v>-32</v>
      </c>
      <c r="L578" s="539">
        <f t="shared" si="26"/>
        <v>82.795698924731184</v>
      </c>
    </row>
    <row r="579" spans="1:12">
      <c r="A579" s="315">
        <f t="shared" si="24"/>
        <v>578</v>
      </c>
      <c r="B579" s="577">
        <v>6600</v>
      </c>
      <c r="C579" s="434">
        <v>4341</v>
      </c>
      <c r="D579" s="434" t="s">
        <v>431</v>
      </c>
      <c r="E579" s="434">
        <v>5153</v>
      </c>
      <c r="F579" s="383" t="s">
        <v>391</v>
      </c>
      <c r="G579" s="445"/>
      <c r="H579" s="334">
        <v>1240</v>
      </c>
      <c r="I579" s="335">
        <v>1109</v>
      </c>
      <c r="J579" s="336">
        <v>1082</v>
      </c>
      <c r="K579" s="538">
        <f t="shared" si="25"/>
        <v>-27</v>
      </c>
      <c r="L579" s="539">
        <f t="shared" si="26"/>
        <v>97.565374211000901</v>
      </c>
    </row>
    <row r="580" spans="1:12">
      <c r="A580" s="315">
        <f t="shared" ref="A580:A643" si="27">A579+1</f>
        <v>579</v>
      </c>
      <c r="B580" s="577">
        <v>6600</v>
      </c>
      <c r="C580" s="434">
        <v>4341</v>
      </c>
      <c r="D580" s="434" t="s">
        <v>431</v>
      </c>
      <c r="E580" s="434">
        <v>5154</v>
      </c>
      <c r="F580" s="383" t="s">
        <v>349</v>
      </c>
      <c r="G580" s="445"/>
      <c r="H580" s="334">
        <v>397</v>
      </c>
      <c r="I580" s="335">
        <v>397</v>
      </c>
      <c r="J580" s="336">
        <v>357</v>
      </c>
      <c r="K580" s="337">
        <f t="shared" si="25"/>
        <v>-40</v>
      </c>
      <c r="L580" s="338">
        <f t="shared" si="26"/>
        <v>89.924433249370267</v>
      </c>
    </row>
    <row r="581" spans="1:12">
      <c r="A581" s="315">
        <f t="shared" si="27"/>
        <v>580</v>
      </c>
      <c r="B581" s="577">
        <v>6600</v>
      </c>
      <c r="C581" s="434">
        <v>4341</v>
      </c>
      <c r="D581" s="434" t="s">
        <v>431</v>
      </c>
      <c r="E581" s="434">
        <v>5166</v>
      </c>
      <c r="F581" s="383" t="s">
        <v>309</v>
      </c>
      <c r="G581" s="445"/>
      <c r="H581" s="334"/>
      <c r="I581" s="335">
        <v>9</v>
      </c>
      <c r="J581" s="336">
        <v>8</v>
      </c>
      <c r="K581" s="337">
        <f t="shared" ref="K581:K644" si="28">J581-I581</f>
        <v>-1</v>
      </c>
      <c r="L581" s="338">
        <f t="shared" ref="L581:L644" si="29">IF(I581&lt;=0,0,J581/I581*100)</f>
        <v>88.888888888888886</v>
      </c>
    </row>
    <row r="582" spans="1:12">
      <c r="A582" s="315">
        <f t="shared" si="27"/>
        <v>581</v>
      </c>
      <c r="B582" s="577">
        <v>6600</v>
      </c>
      <c r="C582" s="434">
        <v>4341</v>
      </c>
      <c r="D582" s="434" t="s">
        <v>431</v>
      </c>
      <c r="E582" s="10">
        <v>5169</v>
      </c>
      <c r="F582" s="10" t="s">
        <v>313</v>
      </c>
      <c r="G582" s="333"/>
      <c r="H582" s="334">
        <v>204</v>
      </c>
      <c r="I582" s="335">
        <v>470</v>
      </c>
      <c r="J582" s="336">
        <v>408</v>
      </c>
      <c r="K582" s="538">
        <f t="shared" si="28"/>
        <v>-62</v>
      </c>
      <c r="L582" s="539">
        <f t="shared" si="29"/>
        <v>86.808510638297875</v>
      </c>
    </row>
    <row r="583" spans="1:12">
      <c r="A583" s="315">
        <f t="shared" si="27"/>
        <v>582</v>
      </c>
      <c r="B583" s="577">
        <v>6600</v>
      </c>
      <c r="C583" s="434">
        <v>4341</v>
      </c>
      <c r="D583" s="434" t="s">
        <v>431</v>
      </c>
      <c r="E583" s="10">
        <v>5171</v>
      </c>
      <c r="F583" s="383" t="s">
        <v>394</v>
      </c>
      <c r="G583" s="445"/>
      <c r="H583" s="334">
        <v>1220</v>
      </c>
      <c r="I583" s="335">
        <v>2580</v>
      </c>
      <c r="J583" s="336">
        <v>2367</v>
      </c>
      <c r="K583" s="337">
        <f t="shared" si="28"/>
        <v>-213</v>
      </c>
      <c r="L583" s="338">
        <f t="shared" si="29"/>
        <v>91.744186046511629</v>
      </c>
    </row>
    <row r="584" spans="1:12">
      <c r="A584" s="315">
        <f t="shared" si="27"/>
        <v>583</v>
      </c>
      <c r="B584" s="577"/>
      <c r="C584" s="365" t="s">
        <v>432</v>
      </c>
      <c r="D584" s="374"/>
      <c r="E584" s="343"/>
      <c r="F584" s="366"/>
      <c r="G584" s="367"/>
      <c r="H584" s="473">
        <f>SUBTOTAL(9,H577:H583)</f>
        <v>3273</v>
      </c>
      <c r="I584" s="428">
        <f>SUBTOTAL(9,I577:I583)</f>
        <v>4773</v>
      </c>
      <c r="J584" s="429">
        <f>SUBTOTAL(9,J577:J583)</f>
        <v>4396</v>
      </c>
      <c r="K584" s="474">
        <f t="shared" si="28"/>
        <v>-377</v>
      </c>
      <c r="L584" s="475">
        <f t="shared" si="29"/>
        <v>92.101403729310704</v>
      </c>
    </row>
    <row r="585" spans="1:12">
      <c r="A585" s="315">
        <f t="shared" si="27"/>
        <v>584</v>
      </c>
      <c r="B585" s="577">
        <v>6600</v>
      </c>
      <c r="C585" s="434">
        <v>6171</v>
      </c>
      <c r="D585" s="434" t="s">
        <v>9</v>
      </c>
      <c r="E585" s="10">
        <v>5137</v>
      </c>
      <c r="F585" s="10" t="s">
        <v>346</v>
      </c>
      <c r="G585" s="445"/>
      <c r="H585" s="334">
        <v>0</v>
      </c>
      <c r="I585" s="335">
        <v>10</v>
      </c>
      <c r="J585" s="336">
        <v>9</v>
      </c>
      <c r="K585" s="337">
        <f t="shared" si="28"/>
        <v>-1</v>
      </c>
      <c r="L585" s="338">
        <f t="shared" si="29"/>
        <v>90</v>
      </c>
    </row>
    <row r="586" spans="1:12">
      <c r="A586" s="315">
        <f t="shared" si="27"/>
        <v>585</v>
      </c>
      <c r="B586" s="577">
        <v>6600</v>
      </c>
      <c r="C586" s="434">
        <v>6171</v>
      </c>
      <c r="D586" s="434" t="s">
        <v>9</v>
      </c>
      <c r="E586" s="10">
        <v>5139</v>
      </c>
      <c r="F586" s="383" t="s">
        <v>342</v>
      </c>
      <c r="G586" s="445"/>
      <c r="H586" s="334">
        <v>1696</v>
      </c>
      <c r="I586" s="335">
        <v>2266</v>
      </c>
      <c r="J586" s="336">
        <v>2241</v>
      </c>
      <c r="K586" s="337">
        <f t="shared" si="28"/>
        <v>-25</v>
      </c>
      <c r="L586" s="338">
        <f t="shared" si="29"/>
        <v>98.896734333627535</v>
      </c>
    </row>
    <row r="587" spans="1:12">
      <c r="A587" s="315">
        <f t="shared" si="27"/>
        <v>586</v>
      </c>
      <c r="B587" s="577">
        <v>6600</v>
      </c>
      <c r="C587" s="434">
        <v>6171</v>
      </c>
      <c r="D587" s="434" t="s">
        <v>9</v>
      </c>
      <c r="E587" s="434">
        <v>5151</v>
      </c>
      <c r="F587" s="383" t="s">
        <v>347</v>
      </c>
      <c r="G587" s="445"/>
      <c r="H587" s="334">
        <v>1441</v>
      </c>
      <c r="I587" s="335">
        <v>1645</v>
      </c>
      <c r="J587" s="336">
        <v>1572</v>
      </c>
      <c r="K587" s="337">
        <f t="shared" si="28"/>
        <v>-73</v>
      </c>
      <c r="L587" s="338">
        <f t="shared" si="29"/>
        <v>95.562310030395139</v>
      </c>
    </row>
    <row r="588" spans="1:12">
      <c r="A588" s="315">
        <f t="shared" si="27"/>
        <v>587</v>
      </c>
      <c r="B588" s="577">
        <v>6600</v>
      </c>
      <c r="C588" s="434">
        <v>6171</v>
      </c>
      <c r="D588" s="434" t="s">
        <v>9</v>
      </c>
      <c r="E588" s="434">
        <v>5152</v>
      </c>
      <c r="F588" s="383" t="s">
        <v>348</v>
      </c>
      <c r="G588" s="445"/>
      <c r="H588" s="334">
        <v>10006</v>
      </c>
      <c r="I588" s="335">
        <v>10019</v>
      </c>
      <c r="J588" s="336">
        <v>9897</v>
      </c>
      <c r="K588" s="337">
        <f t="shared" si="28"/>
        <v>-122</v>
      </c>
      <c r="L588" s="338">
        <f t="shared" si="29"/>
        <v>98.782313604152108</v>
      </c>
    </row>
    <row r="589" spans="1:12">
      <c r="A589" s="315">
        <f t="shared" si="27"/>
        <v>588</v>
      </c>
      <c r="B589" s="577">
        <v>6600</v>
      </c>
      <c r="C589" s="434">
        <v>6171</v>
      </c>
      <c r="D589" s="434" t="s">
        <v>9</v>
      </c>
      <c r="E589" s="434">
        <v>5153</v>
      </c>
      <c r="F589" s="383" t="s">
        <v>391</v>
      </c>
      <c r="G589" s="445"/>
      <c r="H589" s="334">
        <v>376</v>
      </c>
      <c r="I589" s="335">
        <v>376</v>
      </c>
      <c r="J589" s="336">
        <v>350</v>
      </c>
      <c r="K589" s="337">
        <f t="shared" si="28"/>
        <v>-26</v>
      </c>
      <c r="L589" s="338">
        <f t="shared" si="29"/>
        <v>93.085106382978722</v>
      </c>
    </row>
    <row r="590" spans="1:12">
      <c r="A590" s="315">
        <f t="shared" si="27"/>
        <v>589</v>
      </c>
      <c r="B590" s="577">
        <v>6600</v>
      </c>
      <c r="C590" s="434">
        <v>6171</v>
      </c>
      <c r="D590" s="434" t="s">
        <v>9</v>
      </c>
      <c r="E590" s="434">
        <v>5154</v>
      </c>
      <c r="F590" s="383" t="s">
        <v>349</v>
      </c>
      <c r="G590" s="445"/>
      <c r="H590" s="334">
        <v>9026</v>
      </c>
      <c r="I590" s="335">
        <v>9043</v>
      </c>
      <c r="J590" s="336">
        <v>8825</v>
      </c>
      <c r="K590" s="337">
        <f t="shared" si="28"/>
        <v>-218</v>
      </c>
      <c r="L590" s="338">
        <f t="shared" si="29"/>
        <v>97.589295587747429</v>
      </c>
    </row>
    <row r="591" spans="1:12">
      <c r="A591" s="315">
        <f t="shared" si="27"/>
        <v>590</v>
      </c>
      <c r="B591" s="577">
        <v>6600</v>
      </c>
      <c r="C591" s="434">
        <v>6171</v>
      </c>
      <c r="D591" s="434" t="s">
        <v>9</v>
      </c>
      <c r="E591" s="434">
        <v>5162</v>
      </c>
      <c r="F591" s="383" t="s">
        <v>392</v>
      </c>
      <c r="G591" s="445"/>
      <c r="H591" s="334">
        <v>0</v>
      </c>
      <c r="I591" s="335">
        <v>2</v>
      </c>
      <c r="J591" s="336">
        <v>-29</v>
      </c>
      <c r="K591" s="337">
        <f t="shared" si="28"/>
        <v>-31</v>
      </c>
      <c r="L591" s="338"/>
    </row>
    <row r="592" spans="1:12">
      <c r="A592" s="315">
        <f t="shared" si="27"/>
        <v>591</v>
      </c>
      <c r="B592" s="577">
        <v>6600</v>
      </c>
      <c r="C592" s="434">
        <v>6171</v>
      </c>
      <c r="D592" s="434" t="s">
        <v>9</v>
      </c>
      <c r="E592" s="434">
        <v>5163</v>
      </c>
      <c r="F592" s="10" t="s">
        <v>318</v>
      </c>
      <c r="G592" s="445"/>
      <c r="H592" s="334">
        <v>196</v>
      </c>
      <c r="I592" s="335">
        <v>176</v>
      </c>
      <c r="J592" s="336">
        <v>171</v>
      </c>
      <c r="K592" s="337">
        <f t="shared" si="28"/>
        <v>-5</v>
      </c>
      <c r="L592" s="338">
        <f t="shared" si="29"/>
        <v>97.159090909090907</v>
      </c>
    </row>
    <row r="593" spans="1:12">
      <c r="A593" s="315">
        <f t="shared" si="27"/>
        <v>592</v>
      </c>
      <c r="B593" s="577">
        <v>6600</v>
      </c>
      <c r="C593" s="434">
        <v>6171</v>
      </c>
      <c r="D593" s="434" t="s">
        <v>9</v>
      </c>
      <c r="E593" s="434">
        <v>5164</v>
      </c>
      <c r="F593" s="383" t="s">
        <v>350</v>
      </c>
      <c r="G593" s="445"/>
      <c r="H593" s="334">
        <v>1209</v>
      </c>
      <c r="I593" s="335">
        <v>1219</v>
      </c>
      <c r="J593" s="336">
        <v>1213</v>
      </c>
      <c r="K593" s="337">
        <f t="shared" si="28"/>
        <v>-6</v>
      </c>
      <c r="L593" s="338">
        <f t="shared" si="29"/>
        <v>99.507793273174741</v>
      </c>
    </row>
    <row r="594" spans="1:12">
      <c r="A594" s="315">
        <f t="shared" si="27"/>
        <v>593</v>
      </c>
      <c r="B594" s="577">
        <v>6600</v>
      </c>
      <c r="C594" s="434">
        <v>6171</v>
      </c>
      <c r="D594" s="434" t="s">
        <v>9</v>
      </c>
      <c r="E594" s="434">
        <v>5166</v>
      </c>
      <c r="F594" s="383" t="s">
        <v>309</v>
      </c>
      <c r="G594" s="445"/>
      <c r="H594" s="334">
        <v>150</v>
      </c>
      <c r="I594" s="335">
        <v>121</v>
      </c>
      <c r="J594" s="336">
        <v>22</v>
      </c>
      <c r="K594" s="337">
        <f t="shared" si="28"/>
        <v>-99</v>
      </c>
      <c r="L594" s="338">
        <f t="shared" si="29"/>
        <v>18.181818181818183</v>
      </c>
    </row>
    <row r="595" spans="1:12">
      <c r="A595" s="315">
        <f t="shared" si="27"/>
        <v>594</v>
      </c>
      <c r="B595" s="577">
        <v>6600</v>
      </c>
      <c r="C595" s="434">
        <v>6171</v>
      </c>
      <c r="D595" s="434" t="s">
        <v>9</v>
      </c>
      <c r="E595" s="434">
        <v>5169</v>
      </c>
      <c r="F595" s="10" t="s">
        <v>313</v>
      </c>
      <c r="G595" s="333"/>
      <c r="H595" s="334">
        <v>26528</v>
      </c>
      <c r="I595" s="335">
        <v>30072</v>
      </c>
      <c r="J595" s="336">
        <v>28592</v>
      </c>
      <c r="K595" s="337">
        <f t="shared" si="28"/>
        <v>-1480</v>
      </c>
      <c r="L595" s="338">
        <f t="shared" si="29"/>
        <v>95.078478318701784</v>
      </c>
    </row>
    <row r="596" spans="1:12">
      <c r="A596" s="315">
        <f t="shared" si="27"/>
        <v>595</v>
      </c>
      <c r="B596" s="577">
        <v>6600</v>
      </c>
      <c r="C596" s="434">
        <v>6171</v>
      </c>
      <c r="D596" s="434" t="s">
        <v>9</v>
      </c>
      <c r="E596" s="434">
        <v>5171</v>
      </c>
      <c r="F596" s="383" t="s">
        <v>394</v>
      </c>
      <c r="G596" s="445"/>
      <c r="H596" s="334">
        <v>26308</v>
      </c>
      <c r="I596" s="335">
        <v>18736</v>
      </c>
      <c r="J596" s="336">
        <v>13880</v>
      </c>
      <c r="K596" s="337">
        <f t="shared" si="28"/>
        <v>-4856</v>
      </c>
      <c r="L596" s="338">
        <f t="shared" si="29"/>
        <v>74.081981212638766</v>
      </c>
    </row>
    <row r="597" spans="1:12">
      <c r="A597" s="315">
        <f t="shared" si="27"/>
        <v>596</v>
      </c>
      <c r="B597" s="364"/>
      <c r="C597" s="365" t="s">
        <v>315</v>
      </c>
      <c r="D597" s="365"/>
      <c r="E597" s="365"/>
      <c r="F597" s="366"/>
      <c r="G597" s="367"/>
      <c r="H597" s="584">
        <f>SUBTOTAL(9,H585:H596)</f>
        <v>76936</v>
      </c>
      <c r="I597" s="585">
        <f>SUBTOTAL(9,I585:I596)</f>
        <v>73685</v>
      </c>
      <c r="J597" s="586">
        <f>SUBTOTAL(9,J585:J596)</f>
        <v>66743</v>
      </c>
      <c r="K597" s="371">
        <f t="shared" si="28"/>
        <v>-6942</v>
      </c>
      <c r="L597" s="372">
        <f t="shared" si="29"/>
        <v>90.578815226979714</v>
      </c>
    </row>
    <row r="598" spans="1:12">
      <c r="A598" s="315">
        <f t="shared" si="27"/>
        <v>597</v>
      </c>
      <c r="B598" s="577">
        <v>6600</v>
      </c>
      <c r="C598" s="434">
        <v>6211</v>
      </c>
      <c r="D598" s="12" t="s">
        <v>58</v>
      </c>
      <c r="E598" s="434">
        <v>5139</v>
      </c>
      <c r="F598" s="383" t="s">
        <v>342</v>
      </c>
      <c r="G598" s="594"/>
      <c r="H598" s="334">
        <v>20</v>
      </c>
      <c r="I598" s="335">
        <v>20</v>
      </c>
      <c r="J598" s="336">
        <v>15</v>
      </c>
      <c r="K598" s="595">
        <f t="shared" si="28"/>
        <v>-5</v>
      </c>
      <c r="L598" s="596">
        <f t="shared" si="29"/>
        <v>75</v>
      </c>
    </row>
    <row r="599" spans="1:12">
      <c r="A599" s="315">
        <f t="shared" si="27"/>
        <v>598</v>
      </c>
      <c r="B599" s="577">
        <v>6600</v>
      </c>
      <c r="C599" s="434">
        <v>6211</v>
      </c>
      <c r="D599" s="12" t="s">
        <v>58</v>
      </c>
      <c r="E599" s="434">
        <v>5151</v>
      </c>
      <c r="F599" s="383" t="s">
        <v>347</v>
      </c>
      <c r="G599" s="594"/>
      <c r="H599" s="334">
        <v>150</v>
      </c>
      <c r="I599" s="335">
        <v>150</v>
      </c>
      <c r="J599" s="336">
        <v>116</v>
      </c>
      <c r="K599" s="595">
        <f t="shared" si="28"/>
        <v>-34</v>
      </c>
      <c r="L599" s="596">
        <f t="shared" si="29"/>
        <v>77.333333333333329</v>
      </c>
    </row>
    <row r="600" spans="1:12">
      <c r="A600" s="315">
        <f t="shared" si="27"/>
        <v>599</v>
      </c>
      <c r="B600" s="577">
        <v>6600</v>
      </c>
      <c r="C600" s="434">
        <v>6211</v>
      </c>
      <c r="D600" s="12" t="s">
        <v>58</v>
      </c>
      <c r="E600" s="434">
        <v>5152</v>
      </c>
      <c r="F600" s="383" t="s">
        <v>348</v>
      </c>
      <c r="G600" s="594"/>
      <c r="H600" s="334">
        <v>708</v>
      </c>
      <c r="I600" s="335">
        <v>708</v>
      </c>
      <c r="J600" s="336">
        <v>651</v>
      </c>
      <c r="K600" s="595">
        <f t="shared" si="28"/>
        <v>-57</v>
      </c>
      <c r="L600" s="596">
        <f t="shared" si="29"/>
        <v>91.949152542372886</v>
      </c>
    </row>
    <row r="601" spans="1:12">
      <c r="A601" s="315">
        <f t="shared" si="27"/>
        <v>600</v>
      </c>
      <c r="B601" s="577">
        <v>6600</v>
      </c>
      <c r="C601" s="434">
        <v>6211</v>
      </c>
      <c r="D601" s="12" t="s">
        <v>58</v>
      </c>
      <c r="E601" s="434">
        <v>5154</v>
      </c>
      <c r="F601" s="383" t="s">
        <v>349</v>
      </c>
      <c r="G601" s="594"/>
      <c r="H601" s="334">
        <v>1595</v>
      </c>
      <c r="I601" s="335">
        <v>1240</v>
      </c>
      <c r="J601" s="336">
        <v>1081</v>
      </c>
      <c r="K601" s="595">
        <f t="shared" si="28"/>
        <v>-159</v>
      </c>
      <c r="L601" s="596">
        <f t="shared" si="29"/>
        <v>87.177419354838719</v>
      </c>
    </row>
    <row r="602" spans="1:12">
      <c r="A602" s="315">
        <f t="shared" si="27"/>
        <v>601</v>
      </c>
      <c r="B602" s="577">
        <v>6600</v>
      </c>
      <c r="C602" s="434">
        <v>6211</v>
      </c>
      <c r="D602" s="12" t="s">
        <v>58</v>
      </c>
      <c r="E602" s="10">
        <v>5169</v>
      </c>
      <c r="F602" s="10" t="s">
        <v>313</v>
      </c>
      <c r="G602" s="333"/>
      <c r="H602" s="334">
        <v>1797</v>
      </c>
      <c r="I602" s="335">
        <v>1952</v>
      </c>
      <c r="J602" s="336">
        <v>1739</v>
      </c>
      <c r="K602" s="595">
        <f t="shared" si="28"/>
        <v>-213</v>
      </c>
      <c r="L602" s="596">
        <f t="shared" si="29"/>
        <v>89.088114754098356</v>
      </c>
    </row>
    <row r="603" spans="1:12">
      <c r="A603" s="315">
        <f t="shared" si="27"/>
        <v>602</v>
      </c>
      <c r="B603" s="577">
        <v>6600</v>
      </c>
      <c r="C603" s="434">
        <v>6211</v>
      </c>
      <c r="D603" s="12" t="s">
        <v>58</v>
      </c>
      <c r="E603" s="10">
        <v>5171</v>
      </c>
      <c r="F603" s="383" t="s">
        <v>394</v>
      </c>
      <c r="G603" s="594"/>
      <c r="H603" s="334">
        <v>320</v>
      </c>
      <c r="I603" s="335">
        <v>1320</v>
      </c>
      <c r="J603" s="336">
        <v>1307</v>
      </c>
      <c r="K603" s="595">
        <f t="shared" si="28"/>
        <v>-13</v>
      </c>
      <c r="L603" s="596">
        <f t="shared" si="29"/>
        <v>99.015151515151516</v>
      </c>
    </row>
    <row r="604" spans="1:12">
      <c r="A604" s="315">
        <f t="shared" si="27"/>
        <v>603</v>
      </c>
      <c r="B604" s="364"/>
      <c r="C604" s="365" t="s">
        <v>412</v>
      </c>
      <c r="D604" s="374"/>
      <c r="E604" s="343"/>
      <c r="F604" s="366"/>
      <c r="G604" s="594"/>
      <c r="H604" s="584">
        <f>SUBTOTAL(9,H598:H603)</f>
        <v>4590</v>
      </c>
      <c r="I604" s="585">
        <f>SUBTOTAL(9,I598:I603)</f>
        <v>5390</v>
      </c>
      <c r="J604" s="586">
        <f>SUBTOTAL(9,J598:J603)</f>
        <v>4909</v>
      </c>
      <c r="K604" s="371">
        <f t="shared" si="28"/>
        <v>-481</v>
      </c>
      <c r="L604" s="372">
        <f t="shared" si="29"/>
        <v>91.076066790352499</v>
      </c>
    </row>
    <row r="605" spans="1:12">
      <c r="A605" s="315">
        <f t="shared" si="27"/>
        <v>604</v>
      </c>
      <c r="B605" s="577">
        <v>6600</v>
      </c>
      <c r="C605" s="434">
        <v>6399</v>
      </c>
      <c r="D605" s="434" t="s">
        <v>84</v>
      </c>
      <c r="E605" s="10">
        <v>5909</v>
      </c>
      <c r="F605" s="10" t="s">
        <v>323</v>
      </c>
      <c r="G605" s="594"/>
      <c r="H605" s="334"/>
      <c r="I605" s="335"/>
      <c r="J605" s="336">
        <v>-39</v>
      </c>
      <c r="K605" s="595">
        <f>J605-I605</f>
        <v>-39</v>
      </c>
      <c r="L605" s="596">
        <f>IF(I605&lt;=0,0,J605/I605*100)</f>
        <v>0</v>
      </c>
    </row>
    <row r="606" spans="1:12">
      <c r="A606" s="315">
        <f t="shared" si="27"/>
        <v>605</v>
      </c>
      <c r="B606" s="364"/>
      <c r="C606" s="365" t="s">
        <v>324</v>
      </c>
      <c r="D606" s="374"/>
      <c r="E606" s="343"/>
      <c r="F606" s="366"/>
      <c r="G606" s="594"/>
      <c r="H606" s="584">
        <f>SUBTOTAL(9,H605:H605)</f>
        <v>0</v>
      </c>
      <c r="I606" s="585">
        <f>SUBTOTAL(9,I605:I605)</f>
        <v>0</v>
      </c>
      <c r="J606" s="586">
        <f>SUBTOTAL(9,J605:J605)</f>
        <v>-39</v>
      </c>
      <c r="K606" s="371">
        <f>J606-I606</f>
        <v>-39</v>
      </c>
      <c r="L606" s="372">
        <f>IF(I606&lt;=0,0,J606/I606*100)</f>
        <v>0</v>
      </c>
    </row>
    <row r="607" spans="1:12" ht="13.5" thickBot="1">
      <c r="A607" s="315">
        <f t="shared" si="27"/>
        <v>606</v>
      </c>
      <c r="B607" s="29" t="s">
        <v>85</v>
      </c>
      <c r="C607" s="357"/>
      <c r="D607" s="357"/>
      <c r="E607" s="357"/>
      <c r="F607" s="357"/>
      <c r="G607" s="358"/>
      <c r="H607" s="359">
        <f>SUBTOTAL(9,H543:H606)</f>
        <v>176888</v>
      </c>
      <c r="I607" s="360">
        <f>SUBTOTAL(9,I543:I606)</f>
        <v>197504</v>
      </c>
      <c r="J607" s="361">
        <f>SUBTOTAL(9,J543:J606)</f>
        <v>155598</v>
      </c>
      <c r="K607" s="362">
        <f t="shared" si="28"/>
        <v>-41906</v>
      </c>
      <c r="L607" s="363">
        <f t="shared" si="29"/>
        <v>78.782201879455599</v>
      </c>
    </row>
    <row r="608" spans="1:12" ht="12.75" customHeight="1">
      <c r="A608" s="315">
        <f t="shared" si="27"/>
        <v>607</v>
      </c>
      <c r="B608" s="364"/>
      <c r="C608" s="365"/>
      <c r="D608" s="365"/>
      <c r="E608" s="365"/>
      <c r="F608" s="366"/>
      <c r="G608" s="367"/>
      <c r="H608" s="467"/>
      <c r="I608" s="369"/>
      <c r="J608" s="370"/>
      <c r="K608" s="371">
        <f t="shared" si="28"/>
        <v>0</v>
      </c>
      <c r="L608" s="372">
        <f t="shared" si="29"/>
        <v>0</v>
      </c>
    </row>
    <row r="609" spans="1:12" ht="15.75">
      <c r="A609" s="315">
        <f t="shared" si="27"/>
        <v>608</v>
      </c>
      <c r="B609" s="373" t="s">
        <v>205</v>
      </c>
      <c r="C609" s="12"/>
      <c r="D609" s="12"/>
      <c r="E609" s="597"/>
      <c r="F609" s="520"/>
      <c r="G609" s="598"/>
      <c r="H609" s="477"/>
      <c r="I609" s="401"/>
      <c r="J609" s="402"/>
      <c r="K609" s="478">
        <f t="shared" si="28"/>
        <v>0</v>
      </c>
      <c r="L609" s="479">
        <f t="shared" si="29"/>
        <v>0</v>
      </c>
    </row>
    <row r="610" spans="1:12">
      <c r="A610" s="315">
        <f t="shared" si="27"/>
        <v>609</v>
      </c>
      <c r="B610" s="519">
        <v>7100</v>
      </c>
      <c r="C610" s="12">
        <v>3511</v>
      </c>
      <c r="D610" s="12" t="s">
        <v>13</v>
      </c>
      <c r="E610" s="597">
        <v>5331</v>
      </c>
      <c r="F610" s="383" t="s">
        <v>338</v>
      </c>
      <c r="G610" s="333" t="s">
        <v>506</v>
      </c>
      <c r="H610" s="334">
        <v>2775</v>
      </c>
      <c r="I610" s="335">
        <v>2775</v>
      </c>
      <c r="J610" s="336">
        <v>2775</v>
      </c>
      <c r="K610" s="538">
        <f t="shared" si="28"/>
        <v>0</v>
      </c>
      <c r="L610" s="539">
        <f t="shared" si="29"/>
        <v>100</v>
      </c>
    </row>
    <row r="611" spans="1:12">
      <c r="A611" s="315">
        <f t="shared" si="27"/>
        <v>610</v>
      </c>
      <c r="B611" s="519">
        <v>7100</v>
      </c>
      <c r="C611" s="12">
        <v>3511</v>
      </c>
      <c r="D611" s="12" t="s">
        <v>13</v>
      </c>
      <c r="E611" s="597">
        <v>5331</v>
      </c>
      <c r="F611" s="383" t="s">
        <v>338</v>
      </c>
      <c r="G611" s="333" t="s">
        <v>507</v>
      </c>
      <c r="H611" s="334">
        <v>5341</v>
      </c>
      <c r="I611" s="335">
        <v>5341</v>
      </c>
      <c r="J611" s="336">
        <v>5341</v>
      </c>
      <c r="K611" s="538">
        <f t="shared" si="28"/>
        <v>0</v>
      </c>
      <c r="L611" s="539">
        <f t="shared" si="29"/>
        <v>100</v>
      </c>
    </row>
    <row r="612" spans="1:12">
      <c r="A612" s="315">
        <f t="shared" si="27"/>
        <v>611</v>
      </c>
      <c r="B612" s="33"/>
      <c r="C612" s="374" t="s">
        <v>312</v>
      </c>
      <c r="D612" s="374"/>
      <c r="E612" s="599"/>
      <c r="F612" s="343"/>
      <c r="G612" s="344"/>
      <c r="H612" s="600">
        <f>SUBTOTAL(9,H610:H611)</f>
        <v>8116</v>
      </c>
      <c r="I612" s="552">
        <f>SUBTOTAL(9,I610:I611)</f>
        <v>8116</v>
      </c>
      <c r="J612" s="553">
        <f>SUBTOTAL(9,J610:J611)</f>
        <v>8116</v>
      </c>
      <c r="K612" s="601">
        <f t="shared" si="28"/>
        <v>0</v>
      </c>
      <c r="L612" s="602">
        <f t="shared" si="29"/>
        <v>100</v>
      </c>
    </row>
    <row r="613" spans="1:12">
      <c r="A613" s="315">
        <f t="shared" si="27"/>
        <v>612</v>
      </c>
      <c r="B613" s="519">
        <v>7100</v>
      </c>
      <c r="C613" s="405">
        <v>3522</v>
      </c>
      <c r="D613" s="405" t="s">
        <v>225</v>
      </c>
      <c r="E613" s="603">
        <v>5331</v>
      </c>
      <c r="F613" s="383" t="s">
        <v>338</v>
      </c>
      <c r="G613" s="435" t="s">
        <v>508</v>
      </c>
      <c r="H613" s="334">
        <v>33712</v>
      </c>
      <c r="I613" s="335">
        <v>21712</v>
      </c>
      <c r="J613" s="336">
        <v>21712</v>
      </c>
      <c r="K613" s="601">
        <f t="shared" si="28"/>
        <v>0</v>
      </c>
      <c r="L613" s="550">
        <f t="shared" si="29"/>
        <v>100</v>
      </c>
    </row>
    <row r="614" spans="1:12">
      <c r="A614" s="315">
        <f t="shared" si="27"/>
        <v>613</v>
      </c>
      <c r="B614" s="519">
        <v>7100</v>
      </c>
      <c r="C614" s="405">
        <v>3522</v>
      </c>
      <c r="D614" s="405" t="s">
        <v>509</v>
      </c>
      <c r="E614" s="603">
        <v>5336</v>
      </c>
      <c r="F614" s="10" t="s">
        <v>340</v>
      </c>
      <c r="G614" s="435" t="s">
        <v>508</v>
      </c>
      <c r="H614" s="334"/>
      <c r="I614" s="335">
        <v>65</v>
      </c>
      <c r="J614" s="336">
        <v>65</v>
      </c>
      <c r="K614" s="604">
        <f t="shared" si="28"/>
        <v>0</v>
      </c>
      <c r="L614" s="605">
        <f t="shared" si="29"/>
        <v>100</v>
      </c>
    </row>
    <row r="615" spans="1:12">
      <c r="A615" s="315">
        <f t="shared" si="27"/>
        <v>614</v>
      </c>
      <c r="B615" s="519">
        <v>7100</v>
      </c>
      <c r="C615" s="405">
        <v>3522</v>
      </c>
      <c r="D615" s="405" t="s">
        <v>225</v>
      </c>
      <c r="E615" s="603">
        <v>5336</v>
      </c>
      <c r="F615" s="10" t="s">
        <v>340</v>
      </c>
      <c r="G615" s="435" t="s">
        <v>510</v>
      </c>
      <c r="H615" s="334"/>
      <c r="I615" s="335">
        <v>472</v>
      </c>
      <c r="J615" s="336">
        <v>472</v>
      </c>
      <c r="K615" s="604">
        <f t="shared" si="28"/>
        <v>0</v>
      </c>
      <c r="L615" s="605">
        <f t="shared" si="29"/>
        <v>100</v>
      </c>
    </row>
    <row r="616" spans="1:12">
      <c r="A616" s="315">
        <f t="shared" si="27"/>
        <v>615</v>
      </c>
      <c r="B616" s="519">
        <v>7100</v>
      </c>
      <c r="C616" s="405">
        <v>3522</v>
      </c>
      <c r="D616" s="405" t="s">
        <v>225</v>
      </c>
      <c r="E616" s="603">
        <v>5651</v>
      </c>
      <c r="F616" s="10" t="s">
        <v>511</v>
      </c>
      <c r="G616" s="435" t="s">
        <v>510</v>
      </c>
      <c r="H616" s="334">
        <v>20000</v>
      </c>
      <c r="I616" s="335">
        <v>20000</v>
      </c>
      <c r="J616" s="336">
        <v>20000</v>
      </c>
      <c r="K616" s="604">
        <f t="shared" si="28"/>
        <v>0</v>
      </c>
      <c r="L616" s="605">
        <f t="shared" si="29"/>
        <v>100</v>
      </c>
    </row>
    <row r="617" spans="1:12">
      <c r="A617" s="315">
        <f t="shared" si="27"/>
        <v>616</v>
      </c>
      <c r="B617" s="33"/>
      <c r="C617" s="374" t="s">
        <v>512</v>
      </c>
      <c r="D617" s="374"/>
      <c r="E617" s="599"/>
      <c r="F617" s="343"/>
      <c r="G617" s="606"/>
      <c r="H617" s="607">
        <f>SUBTOTAL(9,H613:H616)</f>
        <v>53712</v>
      </c>
      <c r="I617" s="487">
        <f>SUBTOTAL(9,I613:I616)</f>
        <v>42249</v>
      </c>
      <c r="J617" s="488">
        <f>SUBTOTAL(9,J613:J616)</f>
        <v>42249</v>
      </c>
      <c r="K617" s="608">
        <f t="shared" si="28"/>
        <v>0</v>
      </c>
      <c r="L617" s="609">
        <f t="shared" si="29"/>
        <v>100</v>
      </c>
    </row>
    <row r="618" spans="1:12">
      <c r="A618" s="315">
        <f t="shared" si="27"/>
        <v>617</v>
      </c>
      <c r="B618" s="519">
        <v>7100</v>
      </c>
      <c r="C618" s="12">
        <v>3523</v>
      </c>
      <c r="D618" s="12" t="s">
        <v>87</v>
      </c>
      <c r="E618" s="597">
        <v>5331</v>
      </c>
      <c r="F618" s="383" t="s">
        <v>338</v>
      </c>
      <c r="G618" s="333" t="s">
        <v>513</v>
      </c>
      <c r="H618" s="334">
        <v>10881</v>
      </c>
      <c r="I618" s="335">
        <v>10881</v>
      </c>
      <c r="J618" s="336">
        <v>10881</v>
      </c>
      <c r="K618" s="538">
        <f t="shared" si="28"/>
        <v>0</v>
      </c>
      <c r="L618" s="539">
        <f t="shared" si="29"/>
        <v>100</v>
      </c>
    </row>
    <row r="619" spans="1:12">
      <c r="A619" s="315">
        <f t="shared" si="27"/>
        <v>618</v>
      </c>
      <c r="B619" s="33"/>
      <c r="C619" s="374" t="s">
        <v>514</v>
      </c>
      <c r="D619" s="374"/>
      <c r="E619" s="599"/>
      <c r="F619" s="343"/>
      <c r="G619" s="344"/>
      <c r="H619" s="486">
        <f>SUBTOTAL(9,H618:H618)</f>
        <v>10881</v>
      </c>
      <c r="I619" s="487">
        <f>SUBTOTAL(9,I618:I618)</f>
        <v>10881</v>
      </c>
      <c r="J619" s="488">
        <f>SUBTOTAL(9,J618:J618)</f>
        <v>10881</v>
      </c>
      <c r="K619" s="489">
        <f t="shared" si="28"/>
        <v>0</v>
      </c>
      <c r="L619" s="490">
        <f t="shared" si="29"/>
        <v>100</v>
      </c>
    </row>
    <row r="620" spans="1:12">
      <c r="A620" s="315">
        <f t="shared" si="27"/>
        <v>619</v>
      </c>
      <c r="B620" s="519">
        <v>7100</v>
      </c>
      <c r="C620" s="12">
        <v>3529</v>
      </c>
      <c r="D620" s="12" t="s">
        <v>515</v>
      </c>
      <c r="E620" s="597">
        <v>5331</v>
      </c>
      <c r="F620" s="383" t="s">
        <v>338</v>
      </c>
      <c r="G620" s="333" t="s">
        <v>516</v>
      </c>
      <c r="H620" s="334">
        <v>44836</v>
      </c>
      <c r="I620" s="335">
        <v>42948</v>
      </c>
      <c r="J620" s="336">
        <v>41954</v>
      </c>
      <c r="K620" s="538">
        <f t="shared" si="28"/>
        <v>-994</v>
      </c>
      <c r="L620" s="539">
        <f t="shared" si="29"/>
        <v>97.685573251373754</v>
      </c>
    </row>
    <row r="621" spans="1:12">
      <c r="A621" s="315">
        <f t="shared" si="27"/>
        <v>620</v>
      </c>
      <c r="B621" s="33"/>
      <c r="C621" s="374" t="s">
        <v>517</v>
      </c>
      <c r="D621" s="374"/>
      <c r="E621" s="599"/>
      <c r="F621" s="374"/>
      <c r="G621" s="485"/>
      <c r="H621" s="486">
        <f>SUBTOTAL(9,H620:H620)</f>
        <v>44836</v>
      </c>
      <c r="I621" s="487">
        <f>SUBTOTAL(9,I620:I620)</f>
        <v>42948</v>
      </c>
      <c r="J621" s="488">
        <f>SUBTOTAL(9,J620:J620)</f>
        <v>41954</v>
      </c>
      <c r="K621" s="489">
        <f t="shared" si="28"/>
        <v>-994</v>
      </c>
      <c r="L621" s="490">
        <f t="shared" si="29"/>
        <v>97.685573251373754</v>
      </c>
    </row>
    <row r="622" spans="1:12">
      <c r="A622" s="315">
        <f t="shared" si="27"/>
        <v>621</v>
      </c>
      <c r="B622" s="519">
        <v>7100</v>
      </c>
      <c r="C622" s="12">
        <v>3539</v>
      </c>
      <c r="D622" s="12" t="s">
        <v>518</v>
      </c>
      <c r="E622" s="597">
        <v>5331</v>
      </c>
      <c r="F622" s="383" t="s">
        <v>338</v>
      </c>
      <c r="G622" s="333" t="s">
        <v>519</v>
      </c>
      <c r="H622" s="334">
        <v>6981</v>
      </c>
      <c r="I622" s="335">
        <v>6981</v>
      </c>
      <c r="J622" s="336">
        <v>6981</v>
      </c>
      <c r="K622" s="538">
        <f t="shared" si="28"/>
        <v>0</v>
      </c>
      <c r="L622" s="539">
        <f t="shared" si="29"/>
        <v>100</v>
      </c>
    </row>
    <row r="623" spans="1:12">
      <c r="A623" s="315">
        <f t="shared" si="27"/>
        <v>622</v>
      </c>
      <c r="B623" s="33"/>
      <c r="C623" s="374" t="s">
        <v>520</v>
      </c>
      <c r="D623" s="374"/>
      <c r="E623" s="599"/>
      <c r="F623" s="343"/>
      <c r="G623" s="344"/>
      <c r="H623" s="610">
        <f>SUBTOTAL(9,H622)</f>
        <v>6981</v>
      </c>
      <c r="I623" s="487">
        <f>SUBTOTAL(9,I622)</f>
        <v>6981</v>
      </c>
      <c r="J623" s="488">
        <f>SUBTOTAL(9,J622)</f>
        <v>6981</v>
      </c>
      <c r="K623" s="608">
        <f t="shared" si="28"/>
        <v>0</v>
      </c>
      <c r="L623" s="609">
        <f t="shared" si="29"/>
        <v>100</v>
      </c>
    </row>
    <row r="624" spans="1:12">
      <c r="A624" s="315">
        <f t="shared" si="27"/>
        <v>623</v>
      </c>
      <c r="B624" s="519">
        <v>7100</v>
      </c>
      <c r="C624" s="12">
        <v>3599</v>
      </c>
      <c r="D624" s="12" t="s">
        <v>521</v>
      </c>
      <c r="E624" s="597">
        <v>5136</v>
      </c>
      <c r="F624" s="220" t="s">
        <v>389</v>
      </c>
      <c r="G624" s="333"/>
      <c r="H624" s="334">
        <v>128</v>
      </c>
      <c r="I624" s="335">
        <v>2</v>
      </c>
      <c r="J624" s="336">
        <v>2</v>
      </c>
      <c r="K624" s="538">
        <f t="shared" si="28"/>
        <v>0</v>
      </c>
      <c r="L624" s="539">
        <f t="shared" si="29"/>
        <v>100</v>
      </c>
    </row>
    <row r="625" spans="1:12">
      <c r="A625" s="315">
        <f t="shared" si="27"/>
        <v>624</v>
      </c>
      <c r="B625" s="519">
        <v>7100</v>
      </c>
      <c r="C625" s="12">
        <v>3599</v>
      </c>
      <c r="D625" s="12" t="s">
        <v>521</v>
      </c>
      <c r="E625" s="597">
        <v>5137</v>
      </c>
      <c r="F625" s="10" t="s">
        <v>346</v>
      </c>
      <c r="G625" s="333"/>
      <c r="H625" s="334">
        <v>0</v>
      </c>
      <c r="I625" s="335">
        <v>600</v>
      </c>
      <c r="J625" s="336"/>
      <c r="K625" s="538">
        <f t="shared" si="28"/>
        <v>-600</v>
      </c>
      <c r="L625" s="539">
        <f t="shared" si="29"/>
        <v>0</v>
      </c>
    </row>
    <row r="626" spans="1:12">
      <c r="A626" s="315">
        <f t="shared" si="27"/>
        <v>625</v>
      </c>
      <c r="B626" s="519">
        <v>7100</v>
      </c>
      <c r="C626" s="12">
        <v>3599</v>
      </c>
      <c r="D626" s="12" t="s">
        <v>521</v>
      </c>
      <c r="E626" s="597">
        <v>5139</v>
      </c>
      <c r="F626" s="10" t="s">
        <v>342</v>
      </c>
      <c r="G626" s="333"/>
      <c r="H626" s="334">
        <v>23</v>
      </c>
      <c r="I626" s="335">
        <v>351</v>
      </c>
      <c r="J626" s="336">
        <v>350</v>
      </c>
      <c r="K626" s="538">
        <f t="shared" si="28"/>
        <v>-1</v>
      </c>
      <c r="L626" s="539">
        <f t="shared" si="29"/>
        <v>99.715099715099726</v>
      </c>
    </row>
    <row r="627" spans="1:12">
      <c r="A627" s="315">
        <f t="shared" si="27"/>
        <v>626</v>
      </c>
      <c r="B627" s="519">
        <v>7100</v>
      </c>
      <c r="C627" s="12">
        <v>3599</v>
      </c>
      <c r="D627" s="12" t="s">
        <v>521</v>
      </c>
      <c r="E627" s="597">
        <v>5154</v>
      </c>
      <c r="F627" s="520" t="s">
        <v>349</v>
      </c>
      <c r="G627" s="598"/>
      <c r="H627" s="334">
        <v>1</v>
      </c>
      <c r="I627" s="335">
        <v>6</v>
      </c>
      <c r="J627" s="336">
        <v>5</v>
      </c>
      <c r="K627" s="538">
        <f t="shared" si="28"/>
        <v>-1</v>
      </c>
      <c r="L627" s="539">
        <f t="shared" si="29"/>
        <v>83.333333333333343</v>
      </c>
    </row>
    <row r="628" spans="1:12">
      <c r="A628" s="315">
        <f t="shared" si="27"/>
        <v>627</v>
      </c>
      <c r="B628" s="519">
        <v>7100</v>
      </c>
      <c r="C628" s="12">
        <v>3599</v>
      </c>
      <c r="D628" s="12" t="s">
        <v>521</v>
      </c>
      <c r="E628" s="597">
        <v>5163</v>
      </c>
      <c r="F628" s="520" t="s">
        <v>318</v>
      </c>
      <c r="G628" s="598"/>
      <c r="H628" s="334"/>
      <c r="I628" s="335">
        <v>3</v>
      </c>
      <c r="J628" s="336">
        <v>2</v>
      </c>
      <c r="K628" s="538">
        <f t="shared" si="28"/>
        <v>-1</v>
      </c>
      <c r="L628" s="539">
        <f t="shared" si="29"/>
        <v>66.666666666666657</v>
      </c>
    </row>
    <row r="629" spans="1:12">
      <c r="A629" s="315">
        <f t="shared" si="27"/>
        <v>628</v>
      </c>
      <c r="B629" s="519">
        <v>7100</v>
      </c>
      <c r="C629" s="12">
        <v>3599</v>
      </c>
      <c r="D629" s="12" t="s">
        <v>521</v>
      </c>
      <c r="E629" s="597">
        <v>5164</v>
      </c>
      <c r="F629" s="520" t="s">
        <v>350</v>
      </c>
      <c r="G629" s="598"/>
      <c r="H629" s="334">
        <v>15</v>
      </c>
      <c r="I629" s="335">
        <v>10</v>
      </c>
      <c r="J629" s="336">
        <v>9</v>
      </c>
      <c r="K629" s="538">
        <f t="shared" si="28"/>
        <v>-1</v>
      </c>
      <c r="L629" s="539">
        <f t="shared" si="29"/>
        <v>90</v>
      </c>
    </row>
    <row r="630" spans="1:12">
      <c r="A630" s="315">
        <f t="shared" si="27"/>
        <v>629</v>
      </c>
      <c r="B630" s="519">
        <v>7100</v>
      </c>
      <c r="C630" s="12">
        <v>3599</v>
      </c>
      <c r="D630" s="12" t="s">
        <v>521</v>
      </c>
      <c r="E630" s="597">
        <v>5166</v>
      </c>
      <c r="F630" s="10" t="s">
        <v>309</v>
      </c>
      <c r="G630" s="333"/>
      <c r="H630" s="334">
        <v>134</v>
      </c>
      <c r="I630" s="335">
        <v>20</v>
      </c>
      <c r="J630" s="336">
        <v>18</v>
      </c>
      <c r="K630" s="538">
        <f t="shared" si="28"/>
        <v>-2</v>
      </c>
      <c r="L630" s="539">
        <f t="shared" si="29"/>
        <v>90</v>
      </c>
    </row>
    <row r="631" spans="1:12">
      <c r="A631" s="315">
        <f t="shared" si="27"/>
        <v>630</v>
      </c>
      <c r="B631" s="519">
        <v>7100</v>
      </c>
      <c r="C631" s="12">
        <v>3599</v>
      </c>
      <c r="D631" s="12" t="s">
        <v>521</v>
      </c>
      <c r="E631" s="597">
        <v>5169</v>
      </c>
      <c r="F631" s="10" t="s">
        <v>313</v>
      </c>
      <c r="G631" s="333"/>
      <c r="H631" s="334">
        <v>1643</v>
      </c>
      <c r="I631" s="335">
        <v>1893</v>
      </c>
      <c r="J631" s="336">
        <v>1827</v>
      </c>
      <c r="K631" s="538">
        <f t="shared" si="28"/>
        <v>-66</v>
      </c>
      <c r="L631" s="539">
        <f t="shared" si="29"/>
        <v>96.513470681458003</v>
      </c>
    </row>
    <row r="632" spans="1:12">
      <c r="A632" s="315">
        <f t="shared" si="27"/>
        <v>631</v>
      </c>
      <c r="B632" s="519">
        <v>7100</v>
      </c>
      <c r="C632" s="12">
        <v>3599</v>
      </c>
      <c r="D632" s="12" t="s">
        <v>521</v>
      </c>
      <c r="E632" s="597">
        <v>5171</v>
      </c>
      <c r="F632" s="520" t="s">
        <v>394</v>
      </c>
      <c r="G632" s="598"/>
      <c r="H632" s="334">
        <v>20</v>
      </c>
      <c r="I632" s="335"/>
      <c r="J632" s="336">
        <v>0</v>
      </c>
      <c r="K632" s="538">
        <f t="shared" si="28"/>
        <v>0</v>
      </c>
      <c r="L632" s="539">
        <f t="shared" si="29"/>
        <v>0</v>
      </c>
    </row>
    <row r="633" spans="1:12">
      <c r="A633" s="315">
        <f t="shared" si="27"/>
        <v>632</v>
      </c>
      <c r="B633" s="519">
        <v>7100</v>
      </c>
      <c r="C633" s="12">
        <v>3599</v>
      </c>
      <c r="D633" s="12" t="s">
        <v>521</v>
      </c>
      <c r="E633" s="597">
        <v>5175</v>
      </c>
      <c r="F633" s="520" t="s">
        <v>335</v>
      </c>
      <c r="G633" s="598"/>
      <c r="H633" s="334">
        <v>38</v>
      </c>
      <c r="I633" s="335">
        <v>25</v>
      </c>
      <c r="J633" s="336">
        <v>25</v>
      </c>
      <c r="K633" s="538">
        <f t="shared" si="28"/>
        <v>0</v>
      </c>
      <c r="L633" s="539">
        <f t="shared" si="29"/>
        <v>100</v>
      </c>
    </row>
    <row r="634" spans="1:12">
      <c r="A634" s="315">
        <f t="shared" si="27"/>
        <v>633</v>
      </c>
      <c r="B634" s="519">
        <v>7100</v>
      </c>
      <c r="C634" s="12">
        <v>3599</v>
      </c>
      <c r="D634" s="12" t="s">
        <v>521</v>
      </c>
      <c r="E634" s="597">
        <v>5221</v>
      </c>
      <c r="F634" s="10" t="s">
        <v>451</v>
      </c>
      <c r="G634" s="598"/>
      <c r="H634" s="334">
        <v>0</v>
      </c>
      <c r="I634" s="335">
        <v>80</v>
      </c>
      <c r="J634" s="336">
        <v>80</v>
      </c>
      <c r="K634" s="538">
        <f t="shared" si="28"/>
        <v>0</v>
      </c>
      <c r="L634" s="539">
        <f t="shared" si="29"/>
        <v>100</v>
      </c>
    </row>
    <row r="635" spans="1:12">
      <c r="A635" s="315">
        <f t="shared" si="27"/>
        <v>634</v>
      </c>
      <c r="B635" s="519">
        <v>7100</v>
      </c>
      <c r="C635" s="12">
        <v>3599</v>
      </c>
      <c r="D635" s="12" t="s">
        <v>521</v>
      </c>
      <c r="E635" s="597">
        <v>5222</v>
      </c>
      <c r="F635" s="353" t="s">
        <v>355</v>
      </c>
      <c r="G635" s="356" t="s">
        <v>522</v>
      </c>
      <c r="H635" s="334">
        <v>1178</v>
      </c>
      <c r="I635" s="335">
        <v>2378</v>
      </c>
      <c r="J635" s="336">
        <v>2378</v>
      </c>
      <c r="K635" s="538">
        <f t="shared" si="28"/>
        <v>0</v>
      </c>
      <c r="L635" s="539">
        <f t="shared" si="29"/>
        <v>100</v>
      </c>
    </row>
    <row r="636" spans="1:12">
      <c r="A636" s="315">
        <f t="shared" si="27"/>
        <v>635</v>
      </c>
      <c r="B636" s="519">
        <v>7100</v>
      </c>
      <c r="C636" s="12">
        <v>3599</v>
      </c>
      <c r="D636" s="12" t="s">
        <v>521</v>
      </c>
      <c r="E636" s="597">
        <v>5223</v>
      </c>
      <c r="F636" s="10" t="s">
        <v>523</v>
      </c>
      <c r="G636" s="356" t="s">
        <v>522</v>
      </c>
      <c r="H636" s="334">
        <v>2565</v>
      </c>
      <c r="I636" s="335">
        <v>2655</v>
      </c>
      <c r="J636" s="336">
        <v>2655</v>
      </c>
      <c r="K636" s="538">
        <f t="shared" si="28"/>
        <v>0</v>
      </c>
      <c r="L636" s="539">
        <f t="shared" si="29"/>
        <v>100</v>
      </c>
    </row>
    <row r="637" spans="1:12">
      <c r="A637" s="315">
        <f t="shared" si="27"/>
        <v>636</v>
      </c>
      <c r="B637" s="519">
        <v>7100</v>
      </c>
      <c r="C637" s="12">
        <v>3599</v>
      </c>
      <c r="D637" s="12" t="s">
        <v>521</v>
      </c>
      <c r="E637" s="597">
        <v>5229</v>
      </c>
      <c r="F637" s="383" t="s">
        <v>336</v>
      </c>
      <c r="G637" s="356" t="s">
        <v>452</v>
      </c>
      <c r="H637" s="334">
        <v>1500</v>
      </c>
      <c r="I637" s="335">
        <v>30</v>
      </c>
      <c r="J637" s="336">
        <v>30</v>
      </c>
      <c r="K637" s="538">
        <f t="shared" si="28"/>
        <v>0</v>
      </c>
      <c r="L637" s="539">
        <f t="shared" si="29"/>
        <v>100</v>
      </c>
    </row>
    <row r="638" spans="1:12">
      <c r="A638" s="315">
        <f t="shared" si="27"/>
        <v>637</v>
      </c>
      <c r="B638" s="519">
        <v>7100</v>
      </c>
      <c r="C638" s="12">
        <v>3599</v>
      </c>
      <c r="D638" s="12" t="s">
        <v>521</v>
      </c>
      <c r="E638" s="597">
        <v>5332</v>
      </c>
      <c r="F638" s="10" t="s">
        <v>524</v>
      </c>
      <c r="G638" s="356"/>
      <c r="H638" s="334">
        <v>0</v>
      </c>
      <c r="I638" s="335">
        <v>15</v>
      </c>
      <c r="J638" s="336">
        <v>11</v>
      </c>
      <c r="K638" s="538">
        <f t="shared" si="28"/>
        <v>-4</v>
      </c>
      <c r="L638" s="539">
        <f t="shared" si="29"/>
        <v>73.333333333333329</v>
      </c>
    </row>
    <row r="639" spans="1:12">
      <c r="A639" s="315">
        <f t="shared" si="27"/>
        <v>638</v>
      </c>
      <c r="B639" s="519">
        <v>7100</v>
      </c>
      <c r="C639" s="12">
        <v>3599</v>
      </c>
      <c r="D639" s="12" t="s">
        <v>521</v>
      </c>
      <c r="E639" s="597">
        <v>5339</v>
      </c>
      <c r="F639" s="12" t="s">
        <v>453</v>
      </c>
      <c r="G639" s="356" t="s">
        <v>525</v>
      </c>
      <c r="H639" s="334">
        <v>0</v>
      </c>
      <c r="I639" s="335">
        <v>115</v>
      </c>
      <c r="J639" s="336">
        <v>115</v>
      </c>
      <c r="K639" s="538">
        <f t="shared" si="28"/>
        <v>0</v>
      </c>
      <c r="L639" s="539">
        <f t="shared" si="29"/>
        <v>100</v>
      </c>
    </row>
    <row r="640" spans="1:12">
      <c r="A640" s="315">
        <f t="shared" si="27"/>
        <v>639</v>
      </c>
      <c r="B640" s="33"/>
      <c r="C640" s="374" t="s">
        <v>526</v>
      </c>
      <c r="D640" s="374"/>
      <c r="E640" s="599"/>
      <c r="F640" s="374"/>
      <c r="G640" s="355"/>
      <c r="H640" s="486">
        <f>SUBTOTAL(9,H624:H639)</f>
        <v>7245</v>
      </c>
      <c r="I640" s="487">
        <f>SUBTOTAL(9,I624:I639)</f>
        <v>8183</v>
      </c>
      <c r="J640" s="488">
        <f>SUBTOTAL(9,J624:J639)</f>
        <v>7507</v>
      </c>
      <c r="K640" s="489">
        <f t="shared" si="28"/>
        <v>-676</v>
      </c>
      <c r="L640" s="490">
        <f t="shared" si="29"/>
        <v>91.738971037516805</v>
      </c>
    </row>
    <row r="641" spans="1:12" ht="13.5" thickBot="1">
      <c r="A641" s="315">
        <f t="shared" si="27"/>
        <v>640</v>
      </c>
      <c r="B641" s="29" t="s">
        <v>14</v>
      </c>
      <c r="C641" s="357"/>
      <c r="D641" s="357"/>
      <c r="E641" s="357"/>
      <c r="F641" s="357"/>
      <c r="G641" s="358"/>
      <c r="H641" s="611">
        <f>SUBTOTAL(9,H610:H640)</f>
        <v>131771</v>
      </c>
      <c r="I641" s="612">
        <f>SUBTOTAL(9,I610:I640)</f>
        <v>119358</v>
      </c>
      <c r="J641" s="613">
        <f>SUBTOTAL(9,J610:J640)</f>
        <v>117688</v>
      </c>
      <c r="K641" s="362">
        <f t="shared" si="28"/>
        <v>-1670</v>
      </c>
      <c r="L641" s="363">
        <f t="shared" si="29"/>
        <v>98.600847869434801</v>
      </c>
    </row>
    <row r="642" spans="1:12">
      <c r="A642" s="315">
        <f t="shared" si="27"/>
        <v>641</v>
      </c>
      <c r="B642" s="91"/>
      <c r="C642" s="409"/>
      <c r="D642" s="409"/>
      <c r="E642" s="409"/>
      <c r="F642" s="409"/>
      <c r="G642" s="410"/>
      <c r="H642" s="614"/>
      <c r="I642" s="615"/>
      <c r="J642" s="616"/>
      <c r="K642" s="414">
        <f t="shared" si="28"/>
        <v>0</v>
      </c>
      <c r="L642" s="415">
        <f t="shared" si="29"/>
        <v>0</v>
      </c>
    </row>
    <row r="643" spans="1:12" ht="15.75">
      <c r="A643" s="315">
        <f t="shared" si="27"/>
        <v>642</v>
      </c>
      <c r="B643" s="587" t="s">
        <v>40</v>
      </c>
      <c r="C643" s="588"/>
      <c r="D643" s="588"/>
      <c r="E643" s="434"/>
      <c r="F643" s="383"/>
      <c r="G643" s="445"/>
      <c r="H643" s="545"/>
      <c r="I643" s="546"/>
      <c r="J643" s="547"/>
      <c r="K643" s="538">
        <f t="shared" si="28"/>
        <v>0</v>
      </c>
      <c r="L643" s="539">
        <f t="shared" si="29"/>
        <v>0</v>
      </c>
    </row>
    <row r="644" spans="1:12">
      <c r="A644" s="315">
        <f t="shared" ref="A644:A707" si="30">A643+1</f>
        <v>643</v>
      </c>
      <c r="B644" s="519">
        <v>7200</v>
      </c>
      <c r="C644" s="12">
        <v>3541</v>
      </c>
      <c r="D644" s="12" t="s">
        <v>527</v>
      </c>
      <c r="E644" s="597">
        <v>5221</v>
      </c>
      <c r="F644" s="10" t="s">
        <v>451</v>
      </c>
      <c r="G644" s="356"/>
      <c r="H644" s="334">
        <v>0</v>
      </c>
      <c r="I644" s="335">
        <v>158</v>
      </c>
      <c r="J644" s="336">
        <v>158</v>
      </c>
      <c r="K644" s="538">
        <f t="shared" si="28"/>
        <v>0</v>
      </c>
      <c r="L644" s="539">
        <f t="shared" si="29"/>
        <v>100</v>
      </c>
    </row>
    <row r="645" spans="1:12">
      <c r="A645" s="315">
        <f t="shared" si="30"/>
        <v>644</v>
      </c>
      <c r="B645" s="519">
        <v>7200</v>
      </c>
      <c r="C645" s="12">
        <v>3541</v>
      </c>
      <c r="D645" s="12" t="s">
        <v>527</v>
      </c>
      <c r="E645" s="597">
        <v>5222</v>
      </c>
      <c r="F645" s="353" t="s">
        <v>355</v>
      </c>
      <c r="G645" s="356" t="s">
        <v>528</v>
      </c>
      <c r="H645" s="334">
        <v>3973</v>
      </c>
      <c r="I645" s="335">
        <v>3745</v>
      </c>
      <c r="J645" s="336">
        <v>3745</v>
      </c>
      <c r="K645" s="538">
        <f t="shared" ref="K645:K708" si="31">J645-I645</f>
        <v>0</v>
      </c>
      <c r="L645" s="539">
        <f t="shared" ref="L645:L708" si="32">IF(I645&lt;=0,0,J645/I645*100)</f>
        <v>100</v>
      </c>
    </row>
    <row r="646" spans="1:12">
      <c r="A646" s="315">
        <f t="shared" si="30"/>
        <v>645</v>
      </c>
      <c r="B646" s="519">
        <v>7200</v>
      </c>
      <c r="C646" s="12">
        <v>3541</v>
      </c>
      <c r="D646" s="12" t="s">
        <v>527</v>
      </c>
      <c r="E646" s="597">
        <v>5223</v>
      </c>
      <c r="F646" s="10" t="s">
        <v>523</v>
      </c>
      <c r="G646" s="158"/>
      <c r="H646" s="334">
        <v>0</v>
      </c>
      <c r="I646" s="335">
        <v>70</v>
      </c>
      <c r="J646" s="336">
        <v>70</v>
      </c>
      <c r="K646" s="538">
        <f t="shared" si="31"/>
        <v>0</v>
      </c>
      <c r="L646" s="539">
        <f t="shared" si="32"/>
        <v>100</v>
      </c>
    </row>
    <row r="647" spans="1:12">
      <c r="A647" s="315">
        <f t="shared" si="30"/>
        <v>646</v>
      </c>
      <c r="B647" s="519">
        <v>7200</v>
      </c>
      <c r="C647" s="12">
        <v>3541</v>
      </c>
      <c r="D647" s="12" t="s">
        <v>527</v>
      </c>
      <c r="E647" s="597">
        <v>5339</v>
      </c>
      <c r="F647" s="12" t="s">
        <v>453</v>
      </c>
      <c r="G647" s="158" t="s">
        <v>529</v>
      </c>
      <c r="H647" s="334">
        <v>1882</v>
      </c>
      <c r="I647" s="335">
        <v>1882</v>
      </c>
      <c r="J647" s="336">
        <v>1882</v>
      </c>
      <c r="K647" s="538">
        <f t="shared" si="31"/>
        <v>0</v>
      </c>
      <c r="L647" s="539">
        <f t="shared" si="32"/>
        <v>100</v>
      </c>
    </row>
    <row r="648" spans="1:12">
      <c r="A648" s="315">
        <f t="shared" si="30"/>
        <v>647</v>
      </c>
      <c r="B648" s="33"/>
      <c r="C648" s="374" t="s">
        <v>530</v>
      </c>
      <c r="D648" s="374"/>
      <c r="E648" s="599"/>
      <c r="F648" s="374"/>
      <c r="G648" s="485"/>
      <c r="H648" s="486">
        <f>SUBTOTAL(9,H644:H647)</f>
        <v>5855</v>
      </c>
      <c r="I648" s="487">
        <f>SUBTOTAL(9,I644:I647)</f>
        <v>5855</v>
      </c>
      <c r="J648" s="488">
        <f>SUBTOTAL(9,J644:J647)</f>
        <v>5855</v>
      </c>
      <c r="K648" s="489">
        <f t="shared" si="31"/>
        <v>0</v>
      </c>
      <c r="L648" s="490">
        <f t="shared" si="32"/>
        <v>100</v>
      </c>
    </row>
    <row r="649" spans="1:12">
      <c r="A649" s="315">
        <f t="shared" si="30"/>
        <v>648</v>
      </c>
      <c r="B649" s="521">
        <v>7200</v>
      </c>
      <c r="C649" s="405">
        <v>3691</v>
      </c>
      <c r="D649" s="405" t="s">
        <v>284</v>
      </c>
      <c r="E649" s="603">
        <v>5169</v>
      </c>
      <c r="F649" s="405" t="s">
        <v>313</v>
      </c>
      <c r="G649" s="528" t="s">
        <v>531</v>
      </c>
      <c r="H649" s="486"/>
      <c r="I649" s="524">
        <v>445</v>
      </c>
      <c r="J649" s="525">
        <v>209</v>
      </c>
      <c r="K649" s="489">
        <f t="shared" si="31"/>
        <v>-236</v>
      </c>
      <c r="L649" s="490">
        <f t="shared" si="32"/>
        <v>46.966292134831463</v>
      </c>
    </row>
    <row r="650" spans="1:12">
      <c r="A650" s="315">
        <f t="shared" si="30"/>
        <v>649</v>
      </c>
      <c r="B650" s="33"/>
      <c r="C650" s="374" t="s">
        <v>532</v>
      </c>
      <c r="D650" s="374"/>
      <c r="E650" s="599"/>
      <c r="F650" s="374"/>
      <c r="G650" s="485"/>
      <c r="H650" s="486">
        <f>SUBTOTAL(9,H649:H649)</f>
        <v>0</v>
      </c>
      <c r="I650" s="487">
        <f>SUBTOTAL(9,I649:I649)</f>
        <v>445</v>
      </c>
      <c r="J650" s="488">
        <f>SUBTOTAL(9,J649:J649)</f>
        <v>209</v>
      </c>
      <c r="K650" s="489">
        <f t="shared" si="31"/>
        <v>-236</v>
      </c>
      <c r="L650" s="490">
        <f t="shared" si="32"/>
        <v>46.966292134831463</v>
      </c>
    </row>
    <row r="651" spans="1:12">
      <c r="A651" s="315">
        <f t="shared" si="30"/>
        <v>650</v>
      </c>
      <c r="B651" s="589">
        <v>7200</v>
      </c>
      <c r="C651" s="590">
        <v>4311</v>
      </c>
      <c r="D651" s="590" t="s">
        <v>533</v>
      </c>
      <c r="E651" s="590">
        <v>5221</v>
      </c>
      <c r="F651" s="10" t="s">
        <v>451</v>
      </c>
      <c r="G651" s="435"/>
      <c r="H651" s="334">
        <v>0</v>
      </c>
      <c r="I651" s="335">
        <v>110</v>
      </c>
      <c r="J651" s="336">
        <v>110</v>
      </c>
      <c r="K651" s="549">
        <f t="shared" si="31"/>
        <v>0</v>
      </c>
      <c r="L651" s="550">
        <f t="shared" si="32"/>
        <v>100</v>
      </c>
    </row>
    <row r="652" spans="1:12">
      <c r="A652" s="315">
        <f t="shared" si="30"/>
        <v>651</v>
      </c>
      <c r="B652" s="589">
        <v>7200</v>
      </c>
      <c r="C652" s="590">
        <v>4311</v>
      </c>
      <c r="D652" s="590" t="s">
        <v>533</v>
      </c>
      <c r="E652" s="590">
        <v>5222</v>
      </c>
      <c r="F652" s="353" t="s">
        <v>355</v>
      </c>
      <c r="G652" s="435"/>
      <c r="H652" s="334">
        <v>0</v>
      </c>
      <c r="I652" s="335">
        <v>1380</v>
      </c>
      <c r="J652" s="336">
        <v>1380</v>
      </c>
      <c r="K652" s="549">
        <f t="shared" si="31"/>
        <v>0</v>
      </c>
      <c r="L652" s="550">
        <f t="shared" si="32"/>
        <v>100</v>
      </c>
    </row>
    <row r="653" spans="1:12">
      <c r="A653" s="315">
        <f t="shared" si="30"/>
        <v>652</v>
      </c>
      <c r="B653" s="589">
        <v>7200</v>
      </c>
      <c r="C653" s="590">
        <v>4311</v>
      </c>
      <c r="D653" s="590" t="s">
        <v>533</v>
      </c>
      <c r="E653" s="590">
        <v>5223</v>
      </c>
      <c r="F653" s="10" t="s">
        <v>523</v>
      </c>
      <c r="G653" s="435"/>
      <c r="H653" s="334">
        <v>0</v>
      </c>
      <c r="I653" s="335">
        <v>50</v>
      </c>
      <c r="J653" s="336">
        <v>50</v>
      </c>
      <c r="K653" s="549">
        <f t="shared" si="31"/>
        <v>0</v>
      </c>
      <c r="L653" s="550">
        <f t="shared" si="32"/>
        <v>100</v>
      </c>
    </row>
    <row r="654" spans="1:12">
      <c r="A654" s="315">
        <f t="shared" si="30"/>
        <v>653</v>
      </c>
      <c r="B654" s="364"/>
      <c r="C654" s="365" t="s">
        <v>534</v>
      </c>
      <c r="D654" s="365"/>
      <c r="E654" s="365"/>
      <c r="F654" s="343"/>
      <c r="G654" s="344"/>
      <c r="H654" s="584">
        <f>SUBTOTAL(9,H651:H653)</f>
        <v>0</v>
      </c>
      <c r="I654" s="585">
        <f>SUBTOTAL(9,I651:I653)</f>
        <v>1540</v>
      </c>
      <c r="J654" s="586">
        <f>SUBTOTAL(9,J651:J653)</f>
        <v>1540</v>
      </c>
      <c r="K654" s="371">
        <f t="shared" si="31"/>
        <v>0</v>
      </c>
      <c r="L654" s="372">
        <f t="shared" si="32"/>
        <v>100</v>
      </c>
    </row>
    <row r="655" spans="1:12">
      <c r="A655" s="315">
        <f t="shared" si="30"/>
        <v>654</v>
      </c>
      <c r="B655" s="589">
        <v>7200</v>
      </c>
      <c r="C655" s="590">
        <v>4324</v>
      </c>
      <c r="D655" s="590" t="s">
        <v>535</v>
      </c>
      <c r="E655" s="590">
        <v>5136</v>
      </c>
      <c r="F655" s="383" t="s">
        <v>389</v>
      </c>
      <c r="G655" s="435"/>
      <c r="H655" s="334">
        <v>0</v>
      </c>
      <c r="I655" s="335">
        <v>12</v>
      </c>
      <c r="J655" s="336">
        <v>12</v>
      </c>
      <c r="K655" s="549">
        <f t="shared" si="31"/>
        <v>0</v>
      </c>
      <c r="L655" s="550">
        <f t="shared" si="32"/>
        <v>100</v>
      </c>
    </row>
    <row r="656" spans="1:12">
      <c r="A656" s="315">
        <f t="shared" si="30"/>
        <v>655</v>
      </c>
      <c r="B656" s="589">
        <v>7200</v>
      </c>
      <c r="C656" s="590">
        <v>4324</v>
      </c>
      <c r="D656" s="590" t="s">
        <v>535</v>
      </c>
      <c r="E656" s="590">
        <v>5137</v>
      </c>
      <c r="F656" s="10" t="s">
        <v>346</v>
      </c>
      <c r="G656" s="435"/>
      <c r="H656" s="334">
        <v>0</v>
      </c>
      <c r="I656" s="335">
        <v>37</v>
      </c>
      <c r="J656" s="336">
        <v>37</v>
      </c>
      <c r="K656" s="549">
        <f t="shared" si="31"/>
        <v>0</v>
      </c>
      <c r="L656" s="550">
        <f t="shared" si="32"/>
        <v>100</v>
      </c>
    </row>
    <row r="657" spans="1:12">
      <c r="A657" s="315">
        <f t="shared" si="30"/>
        <v>656</v>
      </c>
      <c r="B657" s="589">
        <v>7200</v>
      </c>
      <c r="C657" s="590">
        <v>4324</v>
      </c>
      <c r="D657" s="590" t="s">
        <v>535</v>
      </c>
      <c r="E657" s="590">
        <v>5139</v>
      </c>
      <c r="F657" s="10" t="s">
        <v>342</v>
      </c>
      <c r="G657" s="435"/>
      <c r="H657" s="334">
        <v>0</v>
      </c>
      <c r="I657" s="335">
        <v>77</v>
      </c>
      <c r="J657" s="336">
        <v>77</v>
      </c>
      <c r="K657" s="549">
        <f t="shared" si="31"/>
        <v>0</v>
      </c>
      <c r="L657" s="550">
        <f t="shared" si="32"/>
        <v>100</v>
      </c>
    </row>
    <row r="658" spans="1:12">
      <c r="A658" s="315">
        <f t="shared" si="30"/>
        <v>657</v>
      </c>
      <c r="B658" s="589">
        <v>7200</v>
      </c>
      <c r="C658" s="590">
        <v>4324</v>
      </c>
      <c r="D658" s="590" t="s">
        <v>535</v>
      </c>
      <c r="E658" s="590">
        <v>5162</v>
      </c>
      <c r="F658" s="10" t="s">
        <v>392</v>
      </c>
      <c r="G658" s="435"/>
      <c r="H658" s="334">
        <v>0</v>
      </c>
      <c r="I658" s="335">
        <v>52</v>
      </c>
      <c r="J658" s="336">
        <v>52</v>
      </c>
      <c r="K658" s="549">
        <f t="shared" si="31"/>
        <v>0</v>
      </c>
      <c r="L658" s="550">
        <f t="shared" si="32"/>
        <v>100</v>
      </c>
    </row>
    <row r="659" spans="1:12">
      <c r="A659" s="315">
        <f t="shared" si="30"/>
        <v>658</v>
      </c>
      <c r="B659" s="589">
        <v>7200</v>
      </c>
      <c r="C659" s="590">
        <v>4324</v>
      </c>
      <c r="D659" s="590" t="s">
        <v>535</v>
      </c>
      <c r="E659" s="590">
        <v>5167</v>
      </c>
      <c r="F659" s="10" t="s">
        <v>393</v>
      </c>
      <c r="G659" s="435"/>
      <c r="H659" s="334">
        <v>0</v>
      </c>
      <c r="I659" s="335">
        <v>54</v>
      </c>
      <c r="J659" s="336">
        <v>45</v>
      </c>
      <c r="K659" s="549">
        <f t="shared" si="31"/>
        <v>-9</v>
      </c>
      <c r="L659" s="550">
        <f t="shared" si="32"/>
        <v>83.333333333333343</v>
      </c>
    </row>
    <row r="660" spans="1:12">
      <c r="A660" s="315">
        <f t="shared" si="30"/>
        <v>659</v>
      </c>
      <c r="B660" s="589">
        <v>7200</v>
      </c>
      <c r="C660" s="590">
        <v>4324</v>
      </c>
      <c r="D660" s="590" t="s">
        <v>535</v>
      </c>
      <c r="E660" s="590">
        <v>5169</v>
      </c>
      <c r="F660" s="10" t="s">
        <v>313</v>
      </c>
      <c r="G660" s="333"/>
      <c r="H660" s="334">
        <v>0</v>
      </c>
      <c r="I660" s="335">
        <v>3</v>
      </c>
      <c r="J660" s="336"/>
      <c r="K660" s="549">
        <f t="shared" si="31"/>
        <v>-3</v>
      </c>
      <c r="L660" s="550">
        <f t="shared" si="32"/>
        <v>0</v>
      </c>
    </row>
    <row r="661" spans="1:12">
      <c r="A661" s="315">
        <f t="shared" si="30"/>
        <v>660</v>
      </c>
      <c r="B661" s="589">
        <v>7200</v>
      </c>
      <c r="C661" s="590">
        <v>4324</v>
      </c>
      <c r="D661" s="590" t="s">
        <v>535</v>
      </c>
      <c r="E661" s="590">
        <v>5171</v>
      </c>
      <c r="F661" s="590" t="s">
        <v>394</v>
      </c>
      <c r="G661" s="435"/>
      <c r="H661" s="334">
        <v>0</v>
      </c>
      <c r="I661" s="335">
        <v>13</v>
      </c>
      <c r="J661" s="336">
        <v>8</v>
      </c>
      <c r="K661" s="549">
        <f t="shared" si="31"/>
        <v>-5</v>
      </c>
      <c r="L661" s="550">
        <f t="shared" si="32"/>
        <v>61.53846153846154</v>
      </c>
    </row>
    <row r="662" spans="1:12">
      <c r="A662" s="315">
        <f t="shared" si="30"/>
        <v>661</v>
      </c>
      <c r="B662" s="364"/>
      <c r="C662" s="365" t="s">
        <v>536</v>
      </c>
      <c r="D662" s="365"/>
      <c r="E662" s="365"/>
      <c r="F662" s="343"/>
      <c r="G662" s="344"/>
      <c r="H662" s="584">
        <f>SUBTOTAL(9,H655:H661)</f>
        <v>0</v>
      </c>
      <c r="I662" s="585">
        <f>SUBTOTAL(9,I655:I661)</f>
        <v>248</v>
      </c>
      <c r="J662" s="586">
        <f>SUBTOTAL(9,J655:J661)</f>
        <v>231</v>
      </c>
      <c r="K662" s="371">
        <f t="shared" si="31"/>
        <v>-17</v>
      </c>
      <c r="L662" s="372">
        <f t="shared" si="32"/>
        <v>93.145161290322577</v>
      </c>
    </row>
    <row r="663" spans="1:12">
      <c r="A663" s="315">
        <f t="shared" si="30"/>
        <v>662</v>
      </c>
      <c r="B663" s="577">
        <v>7200</v>
      </c>
      <c r="C663" s="434">
        <v>4341</v>
      </c>
      <c r="D663" s="434" t="s">
        <v>431</v>
      </c>
      <c r="E663" s="434">
        <v>5133</v>
      </c>
      <c r="F663" s="383" t="s">
        <v>388</v>
      </c>
      <c r="G663" s="344"/>
      <c r="H663" s="334">
        <v>6</v>
      </c>
      <c r="I663" s="335">
        <v>6</v>
      </c>
      <c r="J663" s="336">
        <v>5</v>
      </c>
      <c r="K663" s="617">
        <f t="shared" si="31"/>
        <v>-1</v>
      </c>
      <c r="L663" s="618">
        <f t="shared" si="32"/>
        <v>83.333333333333343</v>
      </c>
    </row>
    <row r="664" spans="1:12">
      <c r="A664" s="315">
        <f t="shared" si="30"/>
        <v>663</v>
      </c>
      <c r="B664" s="577">
        <v>7200</v>
      </c>
      <c r="C664" s="434">
        <v>4341</v>
      </c>
      <c r="D664" s="434" t="s">
        <v>431</v>
      </c>
      <c r="E664" s="434">
        <v>5134</v>
      </c>
      <c r="F664" s="383" t="s">
        <v>537</v>
      </c>
      <c r="G664" s="445"/>
      <c r="H664" s="334">
        <v>5</v>
      </c>
      <c r="I664" s="335">
        <v>20</v>
      </c>
      <c r="J664" s="336">
        <v>20</v>
      </c>
      <c r="K664" s="619">
        <f t="shared" si="31"/>
        <v>0</v>
      </c>
      <c r="L664" s="620">
        <f t="shared" si="32"/>
        <v>100</v>
      </c>
    </row>
    <row r="665" spans="1:12">
      <c r="A665" s="315">
        <f t="shared" si="30"/>
        <v>664</v>
      </c>
      <c r="B665" s="577">
        <v>7200</v>
      </c>
      <c r="C665" s="434">
        <v>4341</v>
      </c>
      <c r="D665" s="434" t="s">
        <v>431</v>
      </c>
      <c r="E665" s="434">
        <v>5136</v>
      </c>
      <c r="F665" s="383" t="s">
        <v>389</v>
      </c>
      <c r="G665" s="445"/>
      <c r="H665" s="334">
        <v>25</v>
      </c>
      <c r="I665" s="335">
        <v>25</v>
      </c>
      <c r="J665" s="336">
        <v>18</v>
      </c>
      <c r="K665" s="538">
        <f t="shared" si="31"/>
        <v>-7</v>
      </c>
      <c r="L665" s="539">
        <f t="shared" si="32"/>
        <v>72</v>
      </c>
    </row>
    <row r="666" spans="1:12">
      <c r="A666" s="315">
        <f t="shared" si="30"/>
        <v>665</v>
      </c>
      <c r="B666" s="577">
        <v>7200</v>
      </c>
      <c r="C666" s="434">
        <v>4341</v>
      </c>
      <c r="D666" s="434" t="s">
        <v>431</v>
      </c>
      <c r="E666" s="434">
        <v>5137</v>
      </c>
      <c r="F666" s="10" t="s">
        <v>346</v>
      </c>
      <c r="G666" s="158" t="s">
        <v>538</v>
      </c>
      <c r="H666" s="334">
        <v>495</v>
      </c>
      <c r="I666" s="335">
        <v>595</v>
      </c>
      <c r="J666" s="336">
        <v>553</v>
      </c>
      <c r="K666" s="538">
        <f t="shared" si="31"/>
        <v>-42</v>
      </c>
      <c r="L666" s="539">
        <f t="shared" si="32"/>
        <v>92.941176470588232</v>
      </c>
    </row>
    <row r="667" spans="1:12">
      <c r="A667" s="315">
        <f t="shared" si="30"/>
        <v>666</v>
      </c>
      <c r="B667" s="577">
        <v>7200</v>
      </c>
      <c r="C667" s="434">
        <v>4341</v>
      </c>
      <c r="D667" s="434" t="s">
        <v>431</v>
      </c>
      <c r="E667" s="434">
        <v>5139</v>
      </c>
      <c r="F667" s="10" t="s">
        <v>342</v>
      </c>
      <c r="G667" s="158" t="s">
        <v>538</v>
      </c>
      <c r="H667" s="334">
        <v>455</v>
      </c>
      <c r="I667" s="335">
        <v>395</v>
      </c>
      <c r="J667" s="336">
        <v>379</v>
      </c>
      <c r="K667" s="538">
        <f t="shared" si="31"/>
        <v>-16</v>
      </c>
      <c r="L667" s="539">
        <f t="shared" si="32"/>
        <v>95.949367088607602</v>
      </c>
    </row>
    <row r="668" spans="1:12">
      <c r="A668" s="315">
        <f t="shared" si="30"/>
        <v>667</v>
      </c>
      <c r="B668" s="577">
        <v>7200</v>
      </c>
      <c r="C668" s="434">
        <v>4341</v>
      </c>
      <c r="D668" s="434" t="s">
        <v>431</v>
      </c>
      <c r="E668" s="434">
        <v>5151</v>
      </c>
      <c r="F668" s="10" t="s">
        <v>347</v>
      </c>
      <c r="G668" s="333"/>
      <c r="H668" s="334">
        <v>10</v>
      </c>
      <c r="I668" s="335">
        <v>10</v>
      </c>
      <c r="J668" s="336">
        <v>7</v>
      </c>
      <c r="K668" s="538">
        <f t="shared" si="31"/>
        <v>-3</v>
      </c>
      <c r="L668" s="539">
        <f t="shared" si="32"/>
        <v>70</v>
      </c>
    </row>
    <row r="669" spans="1:12">
      <c r="A669" s="315">
        <f t="shared" si="30"/>
        <v>668</v>
      </c>
      <c r="B669" s="577">
        <v>7200</v>
      </c>
      <c r="C669" s="434">
        <v>4341</v>
      </c>
      <c r="D669" s="434" t="s">
        <v>431</v>
      </c>
      <c r="E669" s="434">
        <v>5152</v>
      </c>
      <c r="F669" s="10" t="s">
        <v>348</v>
      </c>
      <c r="G669" s="333"/>
      <c r="H669" s="334">
        <v>20</v>
      </c>
      <c r="I669" s="335">
        <v>20</v>
      </c>
      <c r="J669" s="336">
        <v>17</v>
      </c>
      <c r="K669" s="538">
        <f t="shared" si="31"/>
        <v>-3</v>
      </c>
      <c r="L669" s="539">
        <f t="shared" si="32"/>
        <v>85</v>
      </c>
    </row>
    <row r="670" spans="1:12">
      <c r="A670" s="315">
        <f t="shared" si="30"/>
        <v>669</v>
      </c>
      <c r="B670" s="577">
        <v>7200</v>
      </c>
      <c r="C670" s="434">
        <v>4341</v>
      </c>
      <c r="D670" s="434" t="s">
        <v>431</v>
      </c>
      <c r="E670" s="434">
        <v>5154</v>
      </c>
      <c r="F670" s="383" t="s">
        <v>349</v>
      </c>
      <c r="G670" s="445"/>
      <c r="H670" s="334">
        <v>30</v>
      </c>
      <c r="I670" s="335">
        <v>30</v>
      </c>
      <c r="J670" s="336">
        <v>11</v>
      </c>
      <c r="K670" s="538">
        <f t="shared" si="31"/>
        <v>-19</v>
      </c>
      <c r="L670" s="539">
        <f t="shared" si="32"/>
        <v>36.666666666666664</v>
      </c>
    </row>
    <row r="671" spans="1:12">
      <c r="A671" s="315">
        <f t="shared" si="30"/>
        <v>670</v>
      </c>
      <c r="B671" s="577">
        <v>7200</v>
      </c>
      <c r="C671" s="434">
        <v>4341</v>
      </c>
      <c r="D671" s="434" t="s">
        <v>431</v>
      </c>
      <c r="E671" s="434">
        <v>5156</v>
      </c>
      <c r="F671" s="383" t="s">
        <v>381</v>
      </c>
      <c r="G671" s="445"/>
      <c r="H671" s="334">
        <v>178</v>
      </c>
      <c r="I671" s="335">
        <v>135</v>
      </c>
      <c r="J671" s="336">
        <v>98</v>
      </c>
      <c r="K671" s="538">
        <f t="shared" si="31"/>
        <v>-37</v>
      </c>
      <c r="L671" s="539">
        <f t="shared" si="32"/>
        <v>72.592592592592595</v>
      </c>
    </row>
    <row r="672" spans="1:12">
      <c r="A672" s="315">
        <f t="shared" si="30"/>
        <v>671</v>
      </c>
      <c r="B672" s="577">
        <v>7200</v>
      </c>
      <c r="C672" s="434">
        <v>4341</v>
      </c>
      <c r="D672" s="434" t="s">
        <v>431</v>
      </c>
      <c r="E672" s="434">
        <v>5157</v>
      </c>
      <c r="F672" s="383" t="s">
        <v>539</v>
      </c>
      <c r="G672" s="445"/>
      <c r="H672" s="334">
        <v>10</v>
      </c>
      <c r="I672" s="335">
        <v>12</v>
      </c>
      <c r="J672" s="336">
        <v>10</v>
      </c>
      <c r="K672" s="538">
        <f t="shared" si="31"/>
        <v>-2</v>
      </c>
      <c r="L672" s="539">
        <f t="shared" si="32"/>
        <v>83.333333333333343</v>
      </c>
    </row>
    <row r="673" spans="1:12">
      <c r="A673" s="315">
        <f t="shared" si="30"/>
        <v>672</v>
      </c>
      <c r="B673" s="577">
        <v>7200</v>
      </c>
      <c r="C673" s="434">
        <v>4341</v>
      </c>
      <c r="D673" s="434" t="s">
        <v>431</v>
      </c>
      <c r="E673" s="434">
        <v>5162</v>
      </c>
      <c r="F673" s="10" t="s">
        <v>392</v>
      </c>
      <c r="G673" s="445"/>
      <c r="H673" s="334">
        <v>337</v>
      </c>
      <c r="I673" s="335">
        <v>337</v>
      </c>
      <c r="J673" s="336">
        <v>291</v>
      </c>
      <c r="K673" s="538">
        <f t="shared" si="31"/>
        <v>-46</v>
      </c>
      <c r="L673" s="539">
        <f t="shared" si="32"/>
        <v>86.350148367952514</v>
      </c>
    </row>
    <row r="674" spans="1:12">
      <c r="A674" s="315">
        <f t="shared" si="30"/>
        <v>673</v>
      </c>
      <c r="B674" s="577">
        <v>7200</v>
      </c>
      <c r="C674" s="434">
        <v>4341</v>
      </c>
      <c r="D674" s="434" t="s">
        <v>431</v>
      </c>
      <c r="E674" s="434">
        <v>5163</v>
      </c>
      <c r="F674" s="383" t="s">
        <v>318</v>
      </c>
      <c r="G674" s="445"/>
      <c r="H674" s="334">
        <v>149</v>
      </c>
      <c r="I674" s="335">
        <v>119</v>
      </c>
      <c r="J674" s="336">
        <v>97</v>
      </c>
      <c r="K674" s="538">
        <f t="shared" si="31"/>
        <v>-22</v>
      </c>
      <c r="L674" s="539">
        <f t="shared" si="32"/>
        <v>81.512605042016801</v>
      </c>
    </row>
    <row r="675" spans="1:12">
      <c r="A675" s="315">
        <f t="shared" si="30"/>
        <v>674</v>
      </c>
      <c r="B675" s="577">
        <v>7200</v>
      </c>
      <c r="C675" s="434">
        <v>4341</v>
      </c>
      <c r="D675" s="434" t="s">
        <v>431</v>
      </c>
      <c r="E675" s="434">
        <v>5164</v>
      </c>
      <c r="F675" s="383" t="s">
        <v>350</v>
      </c>
      <c r="G675" s="445"/>
      <c r="H675" s="334">
        <v>59</v>
      </c>
      <c r="I675" s="335">
        <v>59</v>
      </c>
      <c r="J675" s="336">
        <v>48</v>
      </c>
      <c r="K675" s="538">
        <f t="shared" si="31"/>
        <v>-11</v>
      </c>
      <c r="L675" s="539">
        <f t="shared" si="32"/>
        <v>81.355932203389841</v>
      </c>
    </row>
    <row r="676" spans="1:12">
      <c r="A676" s="315">
        <f t="shared" si="30"/>
        <v>675</v>
      </c>
      <c r="B676" s="577">
        <v>7200</v>
      </c>
      <c r="C676" s="434">
        <v>4341</v>
      </c>
      <c r="D676" s="434" t="s">
        <v>431</v>
      </c>
      <c r="E676" s="434">
        <v>5167</v>
      </c>
      <c r="F676" s="383" t="s">
        <v>393</v>
      </c>
      <c r="G676" s="445"/>
      <c r="H676" s="334">
        <v>40</v>
      </c>
      <c r="I676" s="335">
        <v>36</v>
      </c>
      <c r="J676" s="336">
        <v>12</v>
      </c>
      <c r="K676" s="538">
        <f t="shared" si="31"/>
        <v>-24</v>
      </c>
      <c r="L676" s="539">
        <f t="shared" si="32"/>
        <v>33.333333333333329</v>
      </c>
    </row>
    <row r="677" spans="1:12">
      <c r="A677" s="315">
        <f t="shared" si="30"/>
        <v>676</v>
      </c>
      <c r="B677" s="577">
        <v>7200</v>
      </c>
      <c r="C677" s="434">
        <v>4341</v>
      </c>
      <c r="D677" s="434" t="s">
        <v>431</v>
      </c>
      <c r="E677" s="434">
        <v>5169</v>
      </c>
      <c r="F677" s="10" t="s">
        <v>313</v>
      </c>
      <c r="G677" s="333" t="s">
        <v>538</v>
      </c>
      <c r="H677" s="334">
        <v>233</v>
      </c>
      <c r="I677" s="335">
        <v>403</v>
      </c>
      <c r="J677" s="336">
        <v>384</v>
      </c>
      <c r="K677" s="538">
        <f t="shared" si="31"/>
        <v>-19</v>
      </c>
      <c r="L677" s="539">
        <f t="shared" si="32"/>
        <v>95.285359801488838</v>
      </c>
    </row>
    <row r="678" spans="1:12">
      <c r="A678" s="315">
        <f t="shared" si="30"/>
        <v>677</v>
      </c>
      <c r="B678" s="577">
        <v>7200</v>
      </c>
      <c r="C678" s="434">
        <v>4341</v>
      </c>
      <c r="D678" s="434" t="s">
        <v>431</v>
      </c>
      <c r="E678" s="434">
        <v>5171</v>
      </c>
      <c r="F678" s="383" t="s">
        <v>394</v>
      </c>
      <c r="G678" s="445"/>
      <c r="H678" s="334">
        <v>444</v>
      </c>
      <c r="I678" s="335">
        <v>432</v>
      </c>
      <c r="J678" s="336">
        <v>410</v>
      </c>
      <c r="K678" s="538">
        <f t="shared" si="31"/>
        <v>-22</v>
      </c>
      <c r="L678" s="539">
        <f t="shared" si="32"/>
        <v>94.907407407407405</v>
      </c>
    </row>
    <row r="679" spans="1:12">
      <c r="A679" s="315">
        <f t="shared" si="30"/>
        <v>678</v>
      </c>
      <c r="B679" s="577">
        <v>7200</v>
      </c>
      <c r="C679" s="434">
        <v>4341</v>
      </c>
      <c r="D679" s="434" t="s">
        <v>431</v>
      </c>
      <c r="E679" s="434">
        <v>5172</v>
      </c>
      <c r="F679" s="383" t="s">
        <v>409</v>
      </c>
      <c r="G679" s="445"/>
      <c r="H679" s="334">
        <v>50</v>
      </c>
      <c r="I679" s="335">
        <v>0</v>
      </c>
      <c r="J679" s="336"/>
      <c r="K679" s="337">
        <f t="shared" si="31"/>
        <v>0</v>
      </c>
      <c r="L679" s="338">
        <f t="shared" si="32"/>
        <v>0</v>
      </c>
    </row>
    <row r="680" spans="1:12">
      <c r="A680" s="315">
        <f t="shared" si="30"/>
        <v>679</v>
      </c>
      <c r="B680" s="577">
        <v>7200</v>
      </c>
      <c r="C680" s="434">
        <v>4341</v>
      </c>
      <c r="D680" s="434" t="s">
        <v>431</v>
      </c>
      <c r="E680" s="434">
        <v>5173</v>
      </c>
      <c r="F680" s="383" t="s">
        <v>363</v>
      </c>
      <c r="G680" s="445"/>
      <c r="H680" s="334">
        <v>59</v>
      </c>
      <c r="I680" s="335">
        <v>129</v>
      </c>
      <c r="J680" s="336">
        <v>98</v>
      </c>
      <c r="K680" s="538">
        <f t="shared" si="31"/>
        <v>-31</v>
      </c>
      <c r="L680" s="539">
        <f t="shared" si="32"/>
        <v>75.968992248062023</v>
      </c>
    </row>
    <row r="681" spans="1:12">
      <c r="A681" s="315">
        <f t="shared" si="30"/>
        <v>680</v>
      </c>
      <c r="B681" s="577">
        <v>7200</v>
      </c>
      <c r="C681" s="434">
        <v>4341</v>
      </c>
      <c r="D681" s="434" t="s">
        <v>431</v>
      </c>
      <c r="E681" s="434">
        <v>5175</v>
      </c>
      <c r="F681" s="383" t="s">
        <v>335</v>
      </c>
      <c r="G681" s="445"/>
      <c r="H681" s="334">
        <v>0</v>
      </c>
      <c r="I681" s="335">
        <v>8</v>
      </c>
      <c r="J681" s="336">
        <v>4</v>
      </c>
      <c r="K681" s="538">
        <f t="shared" si="31"/>
        <v>-4</v>
      </c>
      <c r="L681" s="539">
        <f t="shared" si="32"/>
        <v>50</v>
      </c>
    </row>
    <row r="682" spans="1:12">
      <c r="A682" s="315">
        <f t="shared" si="30"/>
        <v>681</v>
      </c>
      <c r="B682" s="577">
        <v>7200</v>
      </c>
      <c r="C682" s="434">
        <v>4341</v>
      </c>
      <c r="D682" s="434" t="s">
        <v>431</v>
      </c>
      <c r="E682" s="434">
        <v>5194</v>
      </c>
      <c r="F682" s="383" t="s">
        <v>343</v>
      </c>
      <c r="G682" s="445"/>
      <c r="H682" s="334">
        <v>10</v>
      </c>
      <c r="I682" s="335">
        <v>14</v>
      </c>
      <c r="J682" s="336">
        <v>14</v>
      </c>
      <c r="K682" s="538">
        <f t="shared" si="31"/>
        <v>0</v>
      </c>
      <c r="L682" s="539">
        <f t="shared" si="32"/>
        <v>100</v>
      </c>
    </row>
    <row r="683" spans="1:12">
      <c r="A683" s="315">
        <f t="shared" si="30"/>
        <v>682</v>
      </c>
      <c r="B683" s="577">
        <v>7200</v>
      </c>
      <c r="C683" s="434">
        <v>4341</v>
      </c>
      <c r="D683" s="434" t="s">
        <v>431</v>
      </c>
      <c r="E683" s="434">
        <v>5362</v>
      </c>
      <c r="F683" s="10" t="s">
        <v>321</v>
      </c>
      <c r="G683" s="445"/>
      <c r="H683" s="334">
        <v>4</v>
      </c>
      <c r="I683" s="335">
        <v>4</v>
      </c>
      <c r="J683" s="336">
        <v>3</v>
      </c>
      <c r="K683" s="538">
        <f t="shared" si="31"/>
        <v>-1</v>
      </c>
      <c r="L683" s="539">
        <f t="shared" si="32"/>
        <v>75</v>
      </c>
    </row>
    <row r="684" spans="1:12">
      <c r="A684" s="315">
        <f t="shared" si="30"/>
        <v>683</v>
      </c>
      <c r="B684" s="364"/>
      <c r="C684" s="365" t="s">
        <v>432</v>
      </c>
      <c r="D684" s="365"/>
      <c r="E684" s="365"/>
      <c r="F684" s="366"/>
      <c r="G684" s="367"/>
      <c r="H684" s="584">
        <f>SUBTOTAL(9,H663:H683)</f>
        <v>2619</v>
      </c>
      <c r="I684" s="585">
        <f>SUBTOTAL(9,I663:I683)</f>
        <v>2789</v>
      </c>
      <c r="J684" s="586">
        <f>SUBTOTAL(9,J663:J683)</f>
        <v>2479</v>
      </c>
      <c r="K684" s="371">
        <f t="shared" si="31"/>
        <v>-310</v>
      </c>
      <c r="L684" s="372">
        <f t="shared" si="32"/>
        <v>88.884904983865184</v>
      </c>
    </row>
    <row r="685" spans="1:12">
      <c r="A685" s="315">
        <f t="shared" si="30"/>
        <v>684</v>
      </c>
      <c r="B685" s="577">
        <v>7200</v>
      </c>
      <c r="C685" s="434">
        <v>4342</v>
      </c>
      <c r="D685" s="10" t="s">
        <v>540</v>
      </c>
      <c r="E685" s="434">
        <v>5164</v>
      </c>
      <c r="F685" s="383" t="s">
        <v>350</v>
      </c>
      <c r="G685" s="333"/>
      <c r="H685" s="334">
        <v>0</v>
      </c>
      <c r="I685" s="335">
        <v>160</v>
      </c>
      <c r="J685" s="336">
        <v>160</v>
      </c>
      <c r="K685" s="538">
        <f t="shared" si="31"/>
        <v>0</v>
      </c>
      <c r="L685" s="539">
        <f t="shared" si="32"/>
        <v>100</v>
      </c>
    </row>
    <row r="686" spans="1:12">
      <c r="A686" s="315">
        <f t="shared" si="30"/>
        <v>685</v>
      </c>
      <c r="B686" s="577">
        <v>7200</v>
      </c>
      <c r="C686" s="434">
        <v>4342</v>
      </c>
      <c r="D686" s="10" t="s">
        <v>540</v>
      </c>
      <c r="E686" s="434">
        <v>5222</v>
      </c>
      <c r="F686" s="353" t="s">
        <v>355</v>
      </c>
      <c r="G686" s="356" t="s">
        <v>541</v>
      </c>
      <c r="H686" s="334">
        <v>950</v>
      </c>
      <c r="I686" s="335">
        <v>950</v>
      </c>
      <c r="J686" s="336">
        <v>950</v>
      </c>
      <c r="K686" s="538">
        <f t="shared" si="31"/>
        <v>0</v>
      </c>
      <c r="L686" s="539">
        <f t="shared" si="32"/>
        <v>100</v>
      </c>
    </row>
    <row r="687" spans="1:12">
      <c r="A687" s="315">
        <f t="shared" si="30"/>
        <v>686</v>
      </c>
      <c r="B687" s="364"/>
      <c r="C687" s="365" t="s">
        <v>542</v>
      </c>
      <c r="D687" s="343"/>
      <c r="E687" s="365"/>
      <c r="F687" s="354"/>
      <c r="G687" s="355"/>
      <c r="H687" s="584">
        <f>SUBTOTAL(9,H685:H686)</f>
        <v>950</v>
      </c>
      <c r="I687" s="585">
        <f>SUBTOTAL(9,I685:I686)</f>
        <v>1110</v>
      </c>
      <c r="J687" s="586">
        <f>SUBTOTAL(9,J685:J686)</f>
        <v>1110</v>
      </c>
      <c r="K687" s="371">
        <f t="shared" si="31"/>
        <v>0</v>
      </c>
      <c r="L687" s="372">
        <f t="shared" si="32"/>
        <v>100</v>
      </c>
    </row>
    <row r="688" spans="1:12">
      <c r="A688" s="315">
        <f t="shared" si="30"/>
        <v>687</v>
      </c>
      <c r="B688" s="577">
        <v>7200</v>
      </c>
      <c r="C688" s="434">
        <v>4344</v>
      </c>
      <c r="D688" s="10" t="s">
        <v>232</v>
      </c>
      <c r="E688" s="434">
        <v>5221</v>
      </c>
      <c r="F688" s="10" t="s">
        <v>451</v>
      </c>
      <c r="G688" s="355"/>
      <c r="H688" s="334">
        <v>0</v>
      </c>
      <c r="I688" s="335">
        <v>100</v>
      </c>
      <c r="J688" s="336">
        <v>100</v>
      </c>
      <c r="K688" s="617">
        <f t="shared" si="31"/>
        <v>0</v>
      </c>
      <c r="L688" s="618">
        <f t="shared" si="32"/>
        <v>100</v>
      </c>
    </row>
    <row r="689" spans="1:12">
      <c r="A689" s="315">
        <f t="shared" si="30"/>
        <v>688</v>
      </c>
      <c r="B689" s="577">
        <v>7200</v>
      </c>
      <c r="C689" s="434">
        <v>4344</v>
      </c>
      <c r="D689" s="10" t="s">
        <v>232</v>
      </c>
      <c r="E689" s="434">
        <v>5222</v>
      </c>
      <c r="F689" s="353" t="s">
        <v>355</v>
      </c>
      <c r="G689" s="355"/>
      <c r="H689" s="334"/>
      <c r="I689" s="335">
        <v>125</v>
      </c>
      <c r="J689" s="336">
        <v>125</v>
      </c>
      <c r="K689" s="617">
        <f t="shared" si="31"/>
        <v>0</v>
      </c>
      <c r="L689" s="618">
        <f t="shared" si="32"/>
        <v>100</v>
      </c>
    </row>
    <row r="690" spans="1:12">
      <c r="A690" s="315">
        <f t="shared" si="30"/>
        <v>689</v>
      </c>
      <c r="B690" s="364"/>
      <c r="C690" s="365" t="s">
        <v>543</v>
      </c>
      <c r="D690" s="343"/>
      <c r="E690" s="365"/>
      <c r="F690" s="354"/>
      <c r="G690" s="354"/>
      <c r="H690" s="584">
        <f>SUBTOTAL(9,H688:H688)</f>
        <v>0</v>
      </c>
      <c r="I690" s="585">
        <f>SUBTOTAL(9,I688:I689)</f>
        <v>225</v>
      </c>
      <c r="J690" s="586">
        <f>SUBTOTAL(9,J688:J689)</f>
        <v>225</v>
      </c>
      <c r="K690" s="371">
        <f t="shared" si="31"/>
        <v>0</v>
      </c>
      <c r="L690" s="372">
        <f t="shared" si="32"/>
        <v>100</v>
      </c>
    </row>
    <row r="691" spans="1:12">
      <c r="A691" s="315">
        <f t="shared" si="30"/>
        <v>690</v>
      </c>
      <c r="B691" s="577">
        <v>7200</v>
      </c>
      <c r="C691" s="434">
        <v>4351</v>
      </c>
      <c r="D691" s="434" t="s">
        <v>544</v>
      </c>
      <c r="E691" s="434">
        <v>5221</v>
      </c>
      <c r="F691" s="10" t="s">
        <v>451</v>
      </c>
      <c r="G691" s="10"/>
      <c r="H691" s="334">
        <v>0</v>
      </c>
      <c r="I691" s="335">
        <v>375</v>
      </c>
      <c r="J691" s="336">
        <v>375</v>
      </c>
      <c r="K691" s="621">
        <f t="shared" si="31"/>
        <v>0</v>
      </c>
      <c r="L691" s="622">
        <f t="shared" si="32"/>
        <v>100</v>
      </c>
    </row>
    <row r="692" spans="1:12">
      <c r="A692" s="315">
        <f t="shared" si="30"/>
        <v>691</v>
      </c>
      <c r="B692" s="577">
        <v>7200</v>
      </c>
      <c r="C692" s="434">
        <v>4351</v>
      </c>
      <c r="D692" s="434" t="s">
        <v>544</v>
      </c>
      <c r="E692" s="434">
        <v>5222</v>
      </c>
      <c r="F692" s="10" t="s">
        <v>355</v>
      </c>
      <c r="G692" s="10" t="s">
        <v>545</v>
      </c>
      <c r="H692" s="334">
        <v>0</v>
      </c>
      <c r="I692" s="335">
        <v>1250</v>
      </c>
      <c r="J692" s="336">
        <v>1250</v>
      </c>
      <c r="K692" s="621">
        <f t="shared" si="31"/>
        <v>0</v>
      </c>
      <c r="L692" s="622">
        <f t="shared" si="32"/>
        <v>100</v>
      </c>
    </row>
    <row r="693" spans="1:12">
      <c r="A693" s="315">
        <f t="shared" si="30"/>
        <v>692</v>
      </c>
      <c r="B693" s="577">
        <v>7200</v>
      </c>
      <c r="C693" s="434">
        <v>4351</v>
      </c>
      <c r="D693" s="434" t="s">
        <v>544</v>
      </c>
      <c r="E693" s="434">
        <v>5222</v>
      </c>
      <c r="F693" s="10" t="s">
        <v>355</v>
      </c>
      <c r="G693" s="10" t="s">
        <v>546</v>
      </c>
      <c r="H693" s="334">
        <v>0</v>
      </c>
      <c r="I693" s="335">
        <v>900</v>
      </c>
      <c r="J693" s="336">
        <v>900</v>
      </c>
      <c r="K693" s="621">
        <f t="shared" si="31"/>
        <v>0</v>
      </c>
      <c r="L693" s="622">
        <f t="shared" si="32"/>
        <v>100</v>
      </c>
    </row>
    <row r="694" spans="1:12">
      <c r="A694" s="315">
        <f t="shared" si="30"/>
        <v>693</v>
      </c>
      <c r="B694" s="577">
        <v>7200</v>
      </c>
      <c r="C694" s="434">
        <v>4351</v>
      </c>
      <c r="D694" s="434" t="s">
        <v>544</v>
      </c>
      <c r="E694" s="434">
        <v>5222</v>
      </c>
      <c r="F694" s="10" t="s">
        <v>355</v>
      </c>
      <c r="G694" s="10" t="s">
        <v>547</v>
      </c>
      <c r="H694" s="334">
        <v>0</v>
      </c>
      <c r="I694" s="335">
        <v>200</v>
      </c>
      <c r="J694" s="336">
        <v>200</v>
      </c>
      <c r="K694" s="621">
        <f t="shared" si="31"/>
        <v>0</v>
      </c>
      <c r="L694" s="622">
        <f t="shared" si="32"/>
        <v>100</v>
      </c>
    </row>
    <row r="695" spans="1:12">
      <c r="A695" s="315">
        <f t="shared" si="30"/>
        <v>694</v>
      </c>
      <c r="B695" s="577">
        <v>7200</v>
      </c>
      <c r="C695" s="434">
        <v>4351</v>
      </c>
      <c r="D695" s="434" t="s">
        <v>544</v>
      </c>
      <c r="E695" s="434">
        <v>5222</v>
      </c>
      <c r="F695" s="10" t="s">
        <v>355</v>
      </c>
      <c r="G695" s="10" t="s">
        <v>548</v>
      </c>
      <c r="H695" s="334">
        <v>0</v>
      </c>
      <c r="I695" s="335">
        <v>3055</v>
      </c>
      <c r="J695" s="336">
        <v>3055</v>
      </c>
      <c r="K695" s="621">
        <f t="shared" si="31"/>
        <v>0</v>
      </c>
      <c r="L695" s="622">
        <f t="shared" si="32"/>
        <v>100</v>
      </c>
    </row>
    <row r="696" spans="1:12">
      <c r="A696" s="315">
        <f t="shared" si="30"/>
        <v>695</v>
      </c>
      <c r="B696" s="577">
        <v>7200</v>
      </c>
      <c r="C696" s="434">
        <v>4351</v>
      </c>
      <c r="D696" s="434" t="s">
        <v>544</v>
      </c>
      <c r="E696" s="434">
        <v>5223</v>
      </c>
      <c r="F696" s="10" t="s">
        <v>523</v>
      </c>
      <c r="G696" s="10" t="s">
        <v>549</v>
      </c>
      <c r="H696" s="334">
        <v>0</v>
      </c>
      <c r="I696" s="335">
        <v>1980</v>
      </c>
      <c r="J696" s="336">
        <v>1980</v>
      </c>
      <c r="K696" s="621">
        <f t="shared" si="31"/>
        <v>0</v>
      </c>
      <c r="L696" s="622">
        <f t="shared" si="32"/>
        <v>100</v>
      </c>
    </row>
    <row r="697" spans="1:12">
      <c r="A697" s="315">
        <f t="shared" si="30"/>
        <v>696</v>
      </c>
      <c r="B697" s="577">
        <v>7200</v>
      </c>
      <c r="C697" s="434">
        <v>4351</v>
      </c>
      <c r="D697" s="434" t="s">
        <v>544</v>
      </c>
      <c r="E697" s="434">
        <v>5223</v>
      </c>
      <c r="F697" s="10" t="s">
        <v>523</v>
      </c>
      <c r="G697" s="10" t="s">
        <v>550</v>
      </c>
      <c r="H697" s="334">
        <v>0</v>
      </c>
      <c r="I697" s="335">
        <v>1250</v>
      </c>
      <c r="J697" s="336">
        <v>1250</v>
      </c>
      <c r="K697" s="621">
        <f t="shared" si="31"/>
        <v>0</v>
      </c>
      <c r="L697" s="622">
        <f t="shared" si="32"/>
        <v>100</v>
      </c>
    </row>
    <row r="698" spans="1:12">
      <c r="A698" s="315">
        <f t="shared" si="30"/>
        <v>697</v>
      </c>
      <c r="B698" s="364"/>
      <c r="C698" s="365" t="s">
        <v>551</v>
      </c>
      <c r="D698" s="365"/>
      <c r="E698" s="365"/>
      <c r="F698" s="343"/>
      <c r="G698" s="343"/>
      <c r="H698" s="584">
        <f>SUBTOTAL(9,H691:H697)</f>
        <v>0</v>
      </c>
      <c r="I698" s="585">
        <f>SUBTOTAL(9,I691:I697)</f>
        <v>9010</v>
      </c>
      <c r="J698" s="586">
        <f>SUBTOTAL(9,J691:J697)</f>
        <v>9010</v>
      </c>
      <c r="K698" s="371">
        <f t="shared" si="31"/>
        <v>0</v>
      </c>
      <c r="L698" s="372">
        <f t="shared" si="32"/>
        <v>100</v>
      </c>
    </row>
    <row r="699" spans="1:12">
      <c r="A699" s="315">
        <f t="shared" si="30"/>
        <v>698</v>
      </c>
      <c r="B699" s="577">
        <v>7200</v>
      </c>
      <c r="C699" s="434">
        <v>4353</v>
      </c>
      <c r="D699" s="434" t="s">
        <v>213</v>
      </c>
      <c r="E699" s="590">
        <v>5221</v>
      </c>
      <c r="F699" s="10" t="s">
        <v>451</v>
      </c>
      <c r="G699" s="343"/>
      <c r="H699" s="623"/>
      <c r="I699" s="624">
        <v>100</v>
      </c>
      <c r="J699" s="625">
        <v>100</v>
      </c>
      <c r="K699" s="617">
        <f t="shared" si="31"/>
        <v>0</v>
      </c>
      <c r="L699" s="618">
        <f t="shared" si="32"/>
        <v>100</v>
      </c>
    </row>
    <row r="700" spans="1:12">
      <c r="A700" s="315">
        <f t="shared" si="30"/>
        <v>699</v>
      </c>
      <c r="B700" s="364"/>
      <c r="C700" s="365" t="s">
        <v>552</v>
      </c>
      <c r="D700" s="365"/>
      <c r="E700" s="365"/>
      <c r="F700" s="343"/>
      <c r="G700" s="343"/>
      <c r="H700" s="584">
        <f>SUBTOTAL(9,H699:H699)</f>
        <v>0</v>
      </c>
      <c r="I700" s="585">
        <f>SUBTOTAL(9,I699:I699)</f>
        <v>100</v>
      </c>
      <c r="J700" s="586">
        <f>SUBTOTAL(9,J699:J699)</f>
        <v>100</v>
      </c>
      <c r="K700" s="371">
        <f t="shared" si="31"/>
        <v>0</v>
      </c>
      <c r="L700" s="372">
        <f t="shared" si="32"/>
        <v>100</v>
      </c>
    </row>
    <row r="701" spans="1:12">
      <c r="A701" s="315">
        <f t="shared" si="30"/>
        <v>700</v>
      </c>
      <c r="B701" s="577">
        <v>7200</v>
      </c>
      <c r="C701" s="434">
        <v>4354</v>
      </c>
      <c r="D701" s="434" t="s">
        <v>206</v>
      </c>
      <c r="E701" s="434">
        <v>5222</v>
      </c>
      <c r="F701" s="10" t="s">
        <v>355</v>
      </c>
      <c r="G701" s="10" t="s">
        <v>547</v>
      </c>
      <c r="H701" s="449">
        <v>0</v>
      </c>
      <c r="I701" s="335">
        <v>250</v>
      </c>
      <c r="J701" s="336">
        <v>250</v>
      </c>
      <c r="K701" s="617">
        <f t="shared" si="31"/>
        <v>0</v>
      </c>
      <c r="L701" s="618">
        <f t="shared" si="32"/>
        <v>100</v>
      </c>
    </row>
    <row r="702" spans="1:12">
      <c r="A702" s="315">
        <f t="shared" si="30"/>
        <v>701</v>
      </c>
      <c r="B702" s="577">
        <v>7200</v>
      </c>
      <c r="C702" s="434">
        <v>4354</v>
      </c>
      <c r="D702" s="434" t="s">
        <v>206</v>
      </c>
      <c r="E702" s="434">
        <v>5223</v>
      </c>
      <c r="F702" s="10" t="s">
        <v>523</v>
      </c>
      <c r="G702" s="10" t="s">
        <v>549</v>
      </c>
      <c r="H702" s="449">
        <v>0</v>
      </c>
      <c r="I702" s="335">
        <v>2450</v>
      </c>
      <c r="J702" s="336">
        <v>2450</v>
      </c>
      <c r="K702" s="617">
        <f t="shared" si="31"/>
        <v>0</v>
      </c>
      <c r="L702" s="618">
        <f t="shared" si="32"/>
        <v>100</v>
      </c>
    </row>
    <row r="703" spans="1:12">
      <c r="A703" s="315">
        <f t="shared" si="30"/>
        <v>702</v>
      </c>
      <c r="B703" s="577">
        <v>7200</v>
      </c>
      <c r="C703" s="434">
        <v>4354</v>
      </c>
      <c r="D703" s="434" t="s">
        <v>206</v>
      </c>
      <c r="E703" s="434">
        <v>5223</v>
      </c>
      <c r="F703" s="10" t="s">
        <v>523</v>
      </c>
      <c r="G703" s="10" t="s">
        <v>553</v>
      </c>
      <c r="H703" s="449">
        <v>0</v>
      </c>
      <c r="I703" s="335">
        <v>120</v>
      </c>
      <c r="J703" s="336">
        <v>120</v>
      </c>
      <c r="K703" s="617">
        <f t="shared" si="31"/>
        <v>0</v>
      </c>
      <c r="L703" s="618">
        <f t="shared" si="32"/>
        <v>100</v>
      </c>
    </row>
    <row r="704" spans="1:12">
      <c r="A704" s="315">
        <f t="shared" si="30"/>
        <v>703</v>
      </c>
      <c r="B704" s="364"/>
      <c r="C704" s="365" t="s">
        <v>554</v>
      </c>
      <c r="D704" s="365"/>
      <c r="E704" s="365"/>
      <c r="F704" s="343"/>
      <c r="G704" s="343"/>
      <c r="H704" s="584">
        <f>SUBTOTAL(9,H701:H703)</f>
        <v>0</v>
      </c>
      <c r="I704" s="585">
        <f>SUBTOTAL(9,I701:I703)</f>
        <v>2820</v>
      </c>
      <c r="J704" s="586">
        <f>SUBTOTAL(9,J701:J703)</f>
        <v>2820</v>
      </c>
      <c r="K704" s="371">
        <f t="shared" si="31"/>
        <v>0</v>
      </c>
      <c r="L704" s="372">
        <f t="shared" si="32"/>
        <v>100</v>
      </c>
    </row>
    <row r="705" spans="1:12">
      <c r="A705" s="315">
        <f t="shared" si="30"/>
        <v>704</v>
      </c>
      <c r="B705" s="577">
        <v>7200</v>
      </c>
      <c r="C705" s="434">
        <v>4356</v>
      </c>
      <c r="D705" s="434" t="s">
        <v>207</v>
      </c>
      <c r="E705" s="434">
        <v>5222</v>
      </c>
      <c r="F705" s="10" t="s">
        <v>355</v>
      </c>
      <c r="G705" s="10" t="s">
        <v>545</v>
      </c>
      <c r="H705" s="449">
        <v>0</v>
      </c>
      <c r="I705" s="335">
        <v>50</v>
      </c>
      <c r="J705" s="336">
        <v>50</v>
      </c>
      <c r="K705" s="617">
        <f t="shared" si="31"/>
        <v>0</v>
      </c>
      <c r="L705" s="618">
        <f t="shared" si="32"/>
        <v>100</v>
      </c>
    </row>
    <row r="706" spans="1:12">
      <c r="A706" s="315">
        <f t="shared" si="30"/>
        <v>705</v>
      </c>
      <c r="B706" s="577">
        <v>7200</v>
      </c>
      <c r="C706" s="434">
        <v>4356</v>
      </c>
      <c r="D706" s="434" t="s">
        <v>207</v>
      </c>
      <c r="E706" s="434">
        <v>5222</v>
      </c>
      <c r="F706" s="10" t="s">
        <v>355</v>
      </c>
      <c r="G706" s="10" t="s">
        <v>555</v>
      </c>
      <c r="H706" s="449">
        <v>0</v>
      </c>
      <c r="I706" s="335">
        <v>900</v>
      </c>
      <c r="J706" s="336">
        <v>900</v>
      </c>
      <c r="K706" s="617">
        <f t="shared" si="31"/>
        <v>0</v>
      </c>
      <c r="L706" s="618">
        <f t="shared" si="32"/>
        <v>100</v>
      </c>
    </row>
    <row r="707" spans="1:12">
      <c r="A707" s="315">
        <f t="shared" si="30"/>
        <v>706</v>
      </c>
      <c r="B707" s="577">
        <v>7200</v>
      </c>
      <c r="C707" s="434">
        <v>4356</v>
      </c>
      <c r="D707" s="434" t="s">
        <v>207</v>
      </c>
      <c r="E707" s="434">
        <v>5222</v>
      </c>
      <c r="F707" s="10" t="s">
        <v>355</v>
      </c>
      <c r="G707" s="10" t="s">
        <v>556</v>
      </c>
      <c r="H707" s="449">
        <v>0</v>
      </c>
      <c r="I707" s="335">
        <v>320</v>
      </c>
      <c r="J707" s="336">
        <v>320</v>
      </c>
      <c r="K707" s="617">
        <f t="shared" si="31"/>
        <v>0</v>
      </c>
      <c r="L707" s="618">
        <f t="shared" si="32"/>
        <v>100</v>
      </c>
    </row>
    <row r="708" spans="1:12">
      <c r="A708" s="315">
        <f t="shared" ref="A708:A771" si="33">A707+1</f>
        <v>707</v>
      </c>
      <c r="B708" s="577">
        <v>7200</v>
      </c>
      <c r="C708" s="434">
        <v>4356</v>
      </c>
      <c r="D708" s="434" t="s">
        <v>207</v>
      </c>
      <c r="E708" s="434">
        <v>5223</v>
      </c>
      <c r="F708" s="10" t="s">
        <v>523</v>
      </c>
      <c r="G708" s="10" t="s">
        <v>549</v>
      </c>
      <c r="H708" s="449">
        <v>0</v>
      </c>
      <c r="I708" s="335">
        <v>2450</v>
      </c>
      <c r="J708" s="336">
        <v>2450</v>
      </c>
      <c r="K708" s="617">
        <f t="shared" si="31"/>
        <v>0</v>
      </c>
      <c r="L708" s="618">
        <f t="shared" si="32"/>
        <v>100</v>
      </c>
    </row>
    <row r="709" spans="1:12">
      <c r="A709" s="315">
        <f t="shared" si="33"/>
        <v>708</v>
      </c>
      <c r="B709" s="577">
        <v>7200</v>
      </c>
      <c r="C709" s="434">
        <v>4356</v>
      </c>
      <c r="D709" s="434" t="s">
        <v>207</v>
      </c>
      <c r="E709" s="434">
        <v>5223</v>
      </c>
      <c r="F709" s="10" t="s">
        <v>523</v>
      </c>
      <c r="G709" s="10" t="s">
        <v>553</v>
      </c>
      <c r="H709" s="449">
        <v>0</v>
      </c>
      <c r="I709" s="335">
        <v>500</v>
      </c>
      <c r="J709" s="336">
        <v>500</v>
      </c>
      <c r="K709" s="617">
        <f t="shared" ref="K709:K772" si="34">J709-I709</f>
        <v>0</v>
      </c>
      <c r="L709" s="618">
        <f t="shared" ref="L709:L772" si="35">IF(I709&lt;=0,0,J709/I709*100)</f>
        <v>100</v>
      </c>
    </row>
    <row r="710" spans="1:12">
      <c r="A710" s="315">
        <f t="shared" si="33"/>
        <v>709</v>
      </c>
      <c r="B710" s="577"/>
      <c r="C710" s="365" t="s">
        <v>557</v>
      </c>
      <c r="D710" s="434"/>
      <c r="E710" s="434"/>
      <c r="F710" s="10"/>
      <c r="G710" s="10"/>
      <c r="H710" s="584">
        <f>SUBTOTAL(9,H705:H709)</f>
        <v>0</v>
      </c>
      <c r="I710" s="585">
        <f>SUBTOTAL(9,I705:I709)</f>
        <v>4220</v>
      </c>
      <c r="J710" s="586">
        <f>SUBTOTAL(9,J705:J709)</f>
        <v>4220</v>
      </c>
      <c r="K710" s="371">
        <f t="shared" si="34"/>
        <v>0</v>
      </c>
      <c r="L710" s="372">
        <f t="shared" si="35"/>
        <v>100</v>
      </c>
    </row>
    <row r="711" spans="1:12">
      <c r="A711" s="315">
        <f t="shared" si="33"/>
        <v>710</v>
      </c>
      <c r="B711" s="577">
        <v>7200</v>
      </c>
      <c r="C711" s="434">
        <v>4357</v>
      </c>
      <c r="D711" s="434" t="s">
        <v>184</v>
      </c>
      <c r="E711" s="434">
        <v>5222</v>
      </c>
      <c r="F711" s="10" t="s">
        <v>355</v>
      </c>
      <c r="G711" s="10" t="s">
        <v>545</v>
      </c>
      <c r="H711" s="449">
        <v>0</v>
      </c>
      <c r="I711" s="335">
        <v>9450</v>
      </c>
      <c r="J711" s="336">
        <v>9450</v>
      </c>
      <c r="K711" s="617">
        <f t="shared" si="34"/>
        <v>0</v>
      </c>
      <c r="L711" s="618">
        <f t="shared" si="35"/>
        <v>100</v>
      </c>
    </row>
    <row r="712" spans="1:12">
      <c r="A712" s="315">
        <f t="shared" si="33"/>
        <v>711</v>
      </c>
      <c r="B712" s="577">
        <v>7200</v>
      </c>
      <c r="C712" s="434">
        <v>4357</v>
      </c>
      <c r="D712" s="434" t="s">
        <v>184</v>
      </c>
      <c r="E712" s="434">
        <v>5222</v>
      </c>
      <c r="F712" s="10" t="s">
        <v>355</v>
      </c>
      <c r="G712" s="10" t="s">
        <v>546</v>
      </c>
      <c r="H712" s="449">
        <v>0</v>
      </c>
      <c r="I712" s="335">
        <v>3800</v>
      </c>
      <c r="J712" s="336">
        <v>3800</v>
      </c>
      <c r="K712" s="617">
        <f t="shared" si="34"/>
        <v>0</v>
      </c>
      <c r="L712" s="618">
        <f t="shared" si="35"/>
        <v>100</v>
      </c>
    </row>
    <row r="713" spans="1:12">
      <c r="A713" s="315">
        <f t="shared" si="33"/>
        <v>712</v>
      </c>
      <c r="B713" s="577">
        <v>7200</v>
      </c>
      <c r="C713" s="434">
        <v>4357</v>
      </c>
      <c r="D713" s="434" t="s">
        <v>184</v>
      </c>
      <c r="E713" s="434">
        <v>5222</v>
      </c>
      <c r="F713" s="10" t="s">
        <v>355</v>
      </c>
      <c r="G713" s="10" t="s">
        <v>558</v>
      </c>
      <c r="H713" s="449">
        <v>0</v>
      </c>
      <c r="I713" s="335">
        <v>2900</v>
      </c>
      <c r="J713" s="336">
        <v>2900</v>
      </c>
      <c r="K713" s="617">
        <f t="shared" si="34"/>
        <v>0</v>
      </c>
      <c r="L713" s="618">
        <f t="shared" si="35"/>
        <v>100</v>
      </c>
    </row>
    <row r="714" spans="1:12">
      <c r="A714" s="315">
        <f t="shared" si="33"/>
        <v>713</v>
      </c>
      <c r="B714" s="577">
        <v>7200</v>
      </c>
      <c r="C714" s="434">
        <v>4357</v>
      </c>
      <c r="D714" s="434" t="s">
        <v>184</v>
      </c>
      <c r="E714" s="434">
        <v>5222</v>
      </c>
      <c r="F714" s="10" t="s">
        <v>355</v>
      </c>
      <c r="G714" s="10" t="s">
        <v>555</v>
      </c>
      <c r="H714" s="449">
        <v>0</v>
      </c>
      <c r="I714" s="335">
        <v>1000</v>
      </c>
      <c r="J714" s="336">
        <v>1000</v>
      </c>
      <c r="K714" s="617">
        <f t="shared" si="34"/>
        <v>0</v>
      </c>
      <c r="L714" s="618">
        <f t="shared" si="35"/>
        <v>100</v>
      </c>
    </row>
    <row r="715" spans="1:12">
      <c r="A715" s="315">
        <f t="shared" si="33"/>
        <v>714</v>
      </c>
      <c r="B715" s="577">
        <v>7200</v>
      </c>
      <c r="C715" s="434">
        <v>4357</v>
      </c>
      <c r="D715" s="434" t="s">
        <v>184</v>
      </c>
      <c r="E715" s="434">
        <v>5223</v>
      </c>
      <c r="F715" s="10" t="s">
        <v>523</v>
      </c>
      <c r="G715" s="10" t="s">
        <v>559</v>
      </c>
      <c r="H715" s="449">
        <v>0</v>
      </c>
      <c r="I715" s="335">
        <v>2970</v>
      </c>
      <c r="J715" s="336">
        <v>2970</v>
      </c>
      <c r="K715" s="617">
        <f t="shared" si="34"/>
        <v>0</v>
      </c>
      <c r="L715" s="618">
        <f t="shared" si="35"/>
        <v>100</v>
      </c>
    </row>
    <row r="716" spans="1:12">
      <c r="A716" s="315">
        <f t="shared" si="33"/>
        <v>715</v>
      </c>
      <c r="B716" s="577">
        <v>7200</v>
      </c>
      <c r="C716" s="434">
        <v>4357</v>
      </c>
      <c r="D716" s="434" t="s">
        <v>184</v>
      </c>
      <c r="E716" s="434">
        <v>5331</v>
      </c>
      <c r="F716" s="383" t="s">
        <v>338</v>
      </c>
      <c r="G716" s="10" t="s">
        <v>560</v>
      </c>
      <c r="H716" s="449">
        <v>27870</v>
      </c>
      <c r="I716" s="335">
        <v>30370</v>
      </c>
      <c r="J716" s="336">
        <v>30370</v>
      </c>
      <c r="K716" s="617">
        <f t="shared" si="34"/>
        <v>0</v>
      </c>
      <c r="L716" s="618">
        <f t="shared" si="35"/>
        <v>100</v>
      </c>
    </row>
    <row r="717" spans="1:12">
      <c r="A717" s="315">
        <f t="shared" si="33"/>
        <v>716</v>
      </c>
      <c r="B717" s="577">
        <v>7200</v>
      </c>
      <c r="C717" s="434">
        <v>4357</v>
      </c>
      <c r="D717" s="434" t="s">
        <v>184</v>
      </c>
      <c r="E717" s="434">
        <v>5331</v>
      </c>
      <c r="F717" s="383" t="s">
        <v>338</v>
      </c>
      <c r="G717" s="10" t="s">
        <v>561</v>
      </c>
      <c r="H717" s="449">
        <v>17621</v>
      </c>
      <c r="I717" s="335">
        <v>19621</v>
      </c>
      <c r="J717" s="336">
        <v>19621</v>
      </c>
      <c r="K717" s="617">
        <f t="shared" si="34"/>
        <v>0</v>
      </c>
      <c r="L717" s="618">
        <f t="shared" si="35"/>
        <v>100</v>
      </c>
    </row>
    <row r="718" spans="1:12">
      <c r="A718" s="315">
        <f t="shared" si="33"/>
        <v>717</v>
      </c>
      <c r="B718" s="577">
        <v>7200</v>
      </c>
      <c r="C718" s="434">
        <v>4357</v>
      </c>
      <c r="D718" s="434" t="s">
        <v>184</v>
      </c>
      <c r="E718" s="434">
        <v>5331</v>
      </c>
      <c r="F718" s="383" t="s">
        <v>338</v>
      </c>
      <c r="G718" s="10" t="s">
        <v>562</v>
      </c>
      <c r="H718" s="334">
        <v>9024</v>
      </c>
      <c r="I718" s="335">
        <v>9024</v>
      </c>
      <c r="J718" s="336">
        <v>9024</v>
      </c>
      <c r="K718" s="621">
        <f t="shared" si="34"/>
        <v>0</v>
      </c>
      <c r="L718" s="622">
        <f t="shared" si="35"/>
        <v>100</v>
      </c>
    </row>
    <row r="719" spans="1:12">
      <c r="A719" s="315">
        <f t="shared" si="33"/>
        <v>718</v>
      </c>
      <c r="B719" s="577">
        <v>7200</v>
      </c>
      <c r="C719" s="434">
        <v>4357</v>
      </c>
      <c r="D719" s="434" t="s">
        <v>184</v>
      </c>
      <c r="E719" s="434">
        <v>5331</v>
      </c>
      <c r="F719" s="383" t="s">
        <v>338</v>
      </c>
      <c r="G719" s="10" t="s">
        <v>563</v>
      </c>
      <c r="H719" s="334">
        <v>21516</v>
      </c>
      <c r="I719" s="335">
        <v>21516</v>
      </c>
      <c r="J719" s="336">
        <v>21516</v>
      </c>
      <c r="K719" s="621">
        <f t="shared" si="34"/>
        <v>0</v>
      </c>
      <c r="L719" s="622">
        <f t="shared" si="35"/>
        <v>100</v>
      </c>
    </row>
    <row r="720" spans="1:12">
      <c r="A720" s="315">
        <f t="shared" si="33"/>
        <v>719</v>
      </c>
      <c r="B720" s="577">
        <v>7200</v>
      </c>
      <c r="C720" s="434">
        <v>4357</v>
      </c>
      <c r="D720" s="434" t="s">
        <v>184</v>
      </c>
      <c r="E720" s="434">
        <v>5331</v>
      </c>
      <c r="F720" s="383" t="s">
        <v>338</v>
      </c>
      <c r="G720" s="10" t="s">
        <v>564</v>
      </c>
      <c r="H720" s="334">
        <v>13834</v>
      </c>
      <c r="I720" s="335">
        <v>13834</v>
      </c>
      <c r="J720" s="336">
        <v>13834</v>
      </c>
      <c r="K720" s="621">
        <f t="shared" si="34"/>
        <v>0</v>
      </c>
      <c r="L720" s="622">
        <f t="shared" si="35"/>
        <v>100</v>
      </c>
    </row>
    <row r="721" spans="1:12">
      <c r="A721" s="315">
        <f t="shared" si="33"/>
        <v>720</v>
      </c>
      <c r="B721" s="577">
        <v>7200</v>
      </c>
      <c r="C721" s="434">
        <v>4357</v>
      </c>
      <c r="D721" s="434" t="s">
        <v>184</v>
      </c>
      <c r="E721" s="434">
        <v>5331</v>
      </c>
      <c r="F721" s="383" t="s">
        <v>338</v>
      </c>
      <c r="G721" s="10" t="s">
        <v>565</v>
      </c>
      <c r="H721" s="334">
        <v>15636</v>
      </c>
      <c r="I721" s="335">
        <v>15636</v>
      </c>
      <c r="J721" s="336">
        <v>15636</v>
      </c>
      <c r="K721" s="621">
        <f t="shared" si="34"/>
        <v>0</v>
      </c>
      <c r="L721" s="622">
        <f t="shared" si="35"/>
        <v>100</v>
      </c>
    </row>
    <row r="722" spans="1:12">
      <c r="A722" s="315">
        <f t="shared" si="33"/>
        <v>721</v>
      </c>
      <c r="B722" s="577">
        <v>7200</v>
      </c>
      <c r="C722" s="434">
        <v>4357</v>
      </c>
      <c r="D722" s="434" t="s">
        <v>184</v>
      </c>
      <c r="E722" s="434">
        <v>5331</v>
      </c>
      <c r="F722" s="383" t="s">
        <v>338</v>
      </c>
      <c r="G722" s="10" t="s">
        <v>566</v>
      </c>
      <c r="H722" s="334">
        <v>7175</v>
      </c>
      <c r="I722" s="335">
        <v>7175</v>
      </c>
      <c r="J722" s="336">
        <v>7175</v>
      </c>
      <c r="K722" s="621">
        <f t="shared" si="34"/>
        <v>0</v>
      </c>
      <c r="L722" s="622">
        <f t="shared" si="35"/>
        <v>100</v>
      </c>
    </row>
    <row r="723" spans="1:12">
      <c r="A723" s="315">
        <f t="shared" si="33"/>
        <v>722</v>
      </c>
      <c r="B723" s="577">
        <v>7200</v>
      </c>
      <c r="C723" s="434">
        <v>4357</v>
      </c>
      <c r="D723" s="434" t="s">
        <v>184</v>
      </c>
      <c r="E723" s="434">
        <v>5331</v>
      </c>
      <c r="F723" s="383" t="s">
        <v>338</v>
      </c>
      <c r="G723" s="10" t="s">
        <v>567</v>
      </c>
      <c r="H723" s="334">
        <v>6729</v>
      </c>
      <c r="I723" s="335">
        <v>6729</v>
      </c>
      <c r="J723" s="336">
        <v>6729</v>
      </c>
      <c r="K723" s="621">
        <f t="shared" si="34"/>
        <v>0</v>
      </c>
      <c r="L723" s="622">
        <f t="shared" si="35"/>
        <v>100</v>
      </c>
    </row>
    <row r="724" spans="1:12">
      <c r="A724" s="315">
        <f t="shared" si="33"/>
        <v>723</v>
      </c>
      <c r="B724" s="577">
        <v>7200</v>
      </c>
      <c r="C724" s="434">
        <v>4357</v>
      </c>
      <c r="D724" s="434" t="s">
        <v>184</v>
      </c>
      <c r="E724" s="434">
        <v>5331</v>
      </c>
      <c r="F724" s="383" t="s">
        <v>338</v>
      </c>
      <c r="G724" s="10" t="s">
        <v>568</v>
      </c>
      <c r="H724" s="334">
        <v>7259</v>
      </c>
      <c r="I724" s="335">
        <v>7259</v>
      </c>
      <c r="J724" s="336">
        <v>7259</v>
      </c>
      <c r="K724" s="621">
        <f t="shared" si="34"/>
        <v>0</v>
      </c>
      <c r="L724" s="622">
        <f t="shared" si="35"/>
        <v>100</v>
      </c>
    </row>
    <row r="725" spans="1:12">
      <c r="A725" s="315">
        <f t="shared" si="33"/>
        <v>724</v>
      </c>
      <c r="B725" s="577">
        <v>7200</v>
      </c>
      <c r="C725" s="434">
        <v>4357</v>
      </c>
      <c r="D725" s="434" t="s">
        <v>184</v>
      </c>
      <c r="E725" s="434">
        <v>5331</v>
      </c>
      <c r="F725" s="383" t="s">
        <v>338</v>
      </c>
      <c r="G725" s="10" t="s">
        <v>569</v>
      </c>
      <c r="H725" s="334">
        <v>17291</v>
      </c>
      <c r="I725" s="335">
        <v>18291</v>
      </c>
      <c r="J725" s="336">
        <v>18291</v>
      </c>
      <c r="K725" s="621">
        <f t="shared" si="34"/>
        <v>0</v>
      </c>
      <c r="L725" s="622">
        <f t="shared" si="35"/>
        <v>100</v>
      </c>
    </row>
    <row r="726" spans="1:12">
      <c r="A726" s="315">
        <f t="shared" si="33"/>
        <v>725</v>
      </c>
      <c r="B726" s="577">
        <v>7200</v>
      </c>
      <c r="C726" s="434">
        <v>4357</v>
      </c>
      <c r="D726" s="434" t="s">
        <v>184</v>
      </c>
      <c r="E726" s="434">
        <v>5331</v>
      </c>
      <c r="F726" s="383" t="s">
        <v>338</v>
      </c>
      <c r="G726" s="10" t="s">
        <v>570</v>
      </c>
      <c r="H726" s="334">
        <v>13823</v>
      </c>
      <c r="I726" s="335">
        <v>13823</v>
      </c>
      <c r="J726" s="336">
        <v>13823</v>
      </c>
      <c r="K726" s="621">
        <f t="shared" si="34"/>
        <v>0</v>
      </c>
      <c r="L726" s="622">
        <f t="shared" si="35"/>
        <v>100</v>
      </c>
    </row>
    <row r="727" spans="1:12">
      <c r="A727" s="315">
        <f t="shared" si="33"/>
        <v>726</v>
      </c>
      <c r="B727" s="577">
        <v>7200</v>
      </c>
      <c r="C727" s="434">
        <v>4357</v>
      </c>
      <c r="D727" s="434" t="s">
        <v>184</v>
      </c>
      <c r="E727" s="434">
        <v>5331</v>
      </c>
      <c r="F727" s="383" t="s">
        <v>338</v>
      </c>
      <c r="G727" s="10" t="s">
        <v>571</v>
      </c>
      <c r="H727" s="334">
        <v>63348</v>
      </c>
      <c r="I727" s="335">
        <v>65748</v>
      </c>
      <c r="J727" s="336">
        <v>65748</v>
      </c>
      <c r="K727" s="621">
        <f t="shared" si="34"/>
        <v>0</v>
      </c>
      <c r="L727" s="622">
        <f t="shared" si="35"/>
        <v>100</v>
      </c>
    </row>
    <row r="728" spans="1:12">
      <c r="A728" s="315">
        <f t="shared" si="33"/>
        <v>727</v>
      </c>
      <c r="B728" s="577">
        <v>7200</v>
      </c>
      <c r="C728" s="434">
        <v>4357</v>
      </c>
      <c r="D728" s="434" t="s">
        <v>184</v>
      </c>
      <c r="E728" s="434">
        <v>5336</v>
      </c>
      <c r="F728" s="10" t="s">
        <v>340</v>
      </c>
      <c r="G728" s="10" t="s">
        <v>560</v>
      </c>
      <c r="H728" s="334"/>
      <c r="I728" s="335">
        <v>65</v>
      </c>
      <c r="J728" s="336">
        <v>65</v>
      </c>
      <c r="K728" s="621">
        <f t="shared" si="34"/>
        <v>0</v>
      </c>
      <c r="L728" s="622">
        <f t="shared" si="35"/>
        <v>100</v>
      </c>
    </row>
    <row r="729" spans="1:12">
      <c r="A729" s="315">
        <f t="shared" si="33"/>
        <v>728</v>
      </c>
      <c r="B729" s="577">
        <v>7200</v>
      </c>
      <c r="C729" s="434">
        <v>4357</v>
      </c>
      <c r="D729" s="434" t="s">
        <v>184</v>
      </c>
      <c r="E729" s="434">
        <v>5336</v>
      </c>
      <c r="F729" s="10" t="s">
        <v>340</v>
      </c>
      <c r="G729" s="10" t="s">
        <v>564</v>
      </c>
      <c r="H729" s="334"/>
      <c r="I729" s="335">
        <v>65</v>
      </c>
      <c r="J729" s="336">
        <v>65</v>
      </c>
      <c r="K729" s="621">
        <f t="shared" si="34"/>
        <v>0</v>
      </c>
      <c r="L729" s="622">
        <f t="shared" si="35"/>
        <v>100</v>
      </c>
    </row>
    <row r="730" spans="1:12">
      <c r="A730" s="315">
        <f t="shared" si="33"/>
        <v>729</v>
      </c>
      <c r="B730" s="577">
        <v>7200</v>
      </c>
      <c r="C730" s="434">
        <v>4357</v>
      </c>
      <c r="D730" s="434" t="s">
        <v>184</v>
      </c>
      <c r="E730" s="434">
        <v>5336</v>
      </c>
      <c r="F730" s="10" t="s">
        <v>340</v>
      </c>
      <c r="G730" s="10" t="s">
        <v>570</v>
      </c>
      <c r="H730" s="334"/>
      <c r="I730" s="335">
        <v>65</v>
      </c>
      <c r="J730" s="336">
        <v>65</v>
      </c>
      <c r="K730" s="621">
        <f t="shared" si="34"/>
        <v>0</v>
      </c>
      <c r="L730" s="622">
        <f t="shared" si="35"/>
        <v>100</v>
      </c>
    </row>
    <row r="731" spans="1:12">
      <c r="A731" s="315">
        <f t="shared" si="33"/>
        <v>730</v>
      </c>
      <c r="B731" s="364"/>
      <c r="C731" s="365" t="s">
        <v>572</v>
      </c>
      <c r="D731" s="365"/>
      <c r="E731" s="365"/>
      <c r="F731" s="343"/>
      <c r="G731" s="343"/>
      <c r="H731" s="584">
        <f>SUBTOTAL(9,H711:H727)</f>
        <v>221126</v>
      </c>
      <c r="I731" s="585">
        <f>SUBTOTAL(9,I711:I730)</f>
        <v>249341</v>
      </c>
      <c r="J731" s="586">
        <f>SUBTOTAL(9,J711:J730)</f>
        <v>249341</v>
      </c>
      <c r="K731" s="371">
        <f t="shared" si="34"/>
        <v>0</v>
      </c>
      <c r="L731" s="372">
        <f t="shared" si="35"/>
        <v>100</v>
      </c>
    </row>
    <row r="732" spans="1:12">
      <c r="A732" s="315">
        <f t="shared" si="33"/>
        <v>731</v>
      </c>
      <c r="B732" s="577">
        <v>7200</v>
      </c>
      <c r="C732" s="434">
        <v>4359</v>
      </c>
      <c r="D732" s="434" t="s">
        <v>573</v>
      </c>
      <c r="E732" s="434">
        <v>5222</v>
      </c>
      <c r="F732" s="10" t="s">
        <v>355</v>
      </c>
      <c r="G732" s="10" t="s">
        <v>574</v>
      </c>
      <c r="H732" s="334">
        <v>44200</v>
      </c>
      <c r="I732" s="335">
        <v>664</v>
      </c>
      <c r="J732" s="336">
        <v>664</v>
      </c>
      <c r="K732" s="621">
        <f t="shared" si="34"/>
        <v>0</v>
      </c>
      <c r="L732" s="622">
        <f t="shared" si="35"/>
        <v>100</v>
      </c>
    </row>
    <row r="733" spans="1:12">
      <c r="A733" s="315">
        <f t="shared" si="33"/>
        <v>732</v>
      </c>
      <c r="B733" s="577">
        <v>7200</v>
      </c>
      <c r="C733" s="434">
        <v>4359</v>
      </c>
      <c r="D733" s="434" t="s">
        <v>573</v>
      </c>
      <c r="E733" s="434">
        <v>5223</v>
      </c>
      <c r="F733" s="10" t="s">
        <v>523</v>
      </c>
      <c r="G733" s="10" t="s">
        <v>559</v>
      </c>
      <c r="H733" s="334">
        <v>0</v>
      </c>
      <c r="I733" s="335">
        <v>1386</v>
      </c>
      <c r="J733" s="336">
        <v>1386</v>
      </c>
      <c r="K733" s="621">
        <f t="shared" si="34"/>
        <v>0</v>
      </c>
      <c r="L733" s="622">
        <f t="shared" si="35"/>
        <v>100</v>
      </c>
    </row>
    <row r="734" spans="1:12">
      <c r="A734" s="315">
        <f t="shared" si="33"/>
        <v>733</v>
      </c>
      <c r="B734" s="364"/>
      <c r="C734" s="365" t="s">
        <v>575</v>
      </c>
      <c r="D734" s="365"/>
      <c r="E734" s="365"/>
      <c r="F734" s="343"/>
      <c r="G734" s="343"/>
      <c r="H734" s="584">
        <f>SUBTOTAL(9,H732:H733)</f>
        <v>44200</v>
      </c>
      <c r="I734" s="585">
        <f>SUBTOTAL(9,I732:I733)</f>
        <v>2050</v>
      </c>
      <c r="J734" s="586">
        <f>SUBTOTAL(9,J732:J733)</f>
        <v>2050</v>
      </c>
      <c r="K734" s="371">
        <f t="shared" si="34"/>
        <v>0</v>
      </c>
      <c r="L734" s="372">
        <f t="shared" si="35"/>
        <v>100</v>
      </c>
    </row>
    <row r="735" spans="1:12">
      <c r="A735" s="315">
        <f t="shared" si="33"/>
        <v>734</v>
      </c>
      <c r="B735" s="577">
        <v>7200</v>
      </c>
      <c r="C735" s="434">
        <v>4371</v>
      </c>
      <c r="D735" s="434" t="s">
        <v>576</v>
      </c>
      <c r="E735" s="434">
        <v>5222</v>
      </c>
      <c r="F735" s="10" t="s">
        <v>355</v>
      </c>
      <c r="G735" s="10"/>
      <c r="H735" s="449">
        <v>0</v>
      </c>
      <c r="I735" s="335">
        <v>620</v>
      </c>
      <c r="J735" s="336">
        <v>620</v>
      </c>
      <c r="K735" s="617">
        <f t="shared" si="34"/>
        <v>0</v>
      </c>
      <c r="L735" s="618">
        <f t="shared" si="35"/>
        <v>100</v>
      </c>
    </row>
    <row r="736" spans="1:12">
      <c r="A736" s="315">
        <f t="shared" si="33"/>
        <v>735</v>
      </c>
      <c r="B736" s="577">
        <v>7200</v>
      </c>
      <c r="C736" s="434">
        <v>4371</v>
      </c>
      <c r="D736" s="434" t="s">
        <v>576</v>
      </c>
      <c r="E736" s="434">
        <v>5223</v>
      </c>
      <c r="F736" s="10" t="s">
        <v>523</v>
      </c>
      <c r="G736" s="10"/>
      <c r="H736" s="449">
        <v>0</v>
      </c>
      <c r="I736" s="335">
        <v>225</v>
      </c>
      <c r="J736" s="336">
        <v>225</v>
      </c>
      <c r="K736" s="617">
        <f t="shared" si="34"/>
        <v>0</v>
      </c>
      <c r="L736" s="618">
        <f t="shared" si="35"/>
        <v>100</v>
      </c>
    </row>
    <row r="737" spans="1:12">
      <c r="A737" s="315">
        <f t="shared" si="33"/>
        <v>736</v>
      </c>
      <c r="B737" s="364"/>
      <c r="C737" s="365" t="s">
        <v>577</v>
      </c>
      <c r="D737" s="365"/>
      <c r="E737" s="365"/>
      <c r="F737" s="343"/>
      <c r="G737" s="343"/>
      <c r="H737" s="584">
        <f>SUBTOTAL(9,H735:H736)</f>
        <v>0</v>
      </c>
      <c r="I737" s="585">
        <f>SUBTOTAL(9,I735:I736)</f>
        <v>845</v>
      </c>
      <c r="J737" s="586">
        <f>SUBTOTAL(9,J735:J736)</f>
        <v>845</v>
      </c>
      <c r="K737" s="371">
        <f t="shared" si="34"/>
        <v>0</v>
      </c>
      <c r="L737" s="372">
        <f t="shared" si="35"/>
        <v>100</v>
      </c>
    </row>
    <row r="738" spans="1:12">
      <c r="A738" s="315">
        <f t="shared" si="33"/>
        <v>737</v>
      </c>
      <c r="B738" s="577">
        <v>7200</v>
      </c>
      <c r="C738" s="434">
        <v>4372</v>
      </c>
      <c r="D738" s="434" t="s">
        <v>199</v>
      </c>
      <c r="E738" s="434">
        <v>5221</v>
      </c>
      <c r="F738" s="10" t="s">
        <v>451</v>
      </c>
      <c r="G738" s="10" t="s">
        <v>578</v>
      </c>
      <c r="H738" s="449">
        <v>0</v>
      </c>
      <c r="I738" s="335">
        <v>250</v>
      </c>
      <c r="J738" s="336">
        <v>250</v>
      </c>
      <c r="K738" s="617">
        <f t="shared" si="34"/>
        <v>0</v>
      </c>
      <c r="L738" s="618">
        <f t="shared" si="35"/>
        <v>100</v>
      </c>
    </row>
    <row r="739" spans="1:12">
      <c r="A739" s="315">
        <f t="shared" si="33"/>
        <v>738</v>
      </c>
      <c r="B739" s="364"/>
      <c r="C739" s="365" t="s">
        <v>579</v>
      </c>
      <c r="D739" s="365"/>
      <c r="E739" s="365"/>
      <c r="F739" s="343"/>
      <c r="G739" s="343"/>
      <c r="H739" s="584">
        <f>SUBTOTAL(9,H738:H738)</f>
        <v>0</v>
      </c>
      <c r="I739" s="585">
        <f>SUBTOTAL(9,I738:I738)</f>
        <v>250</v>
      </c>
      <c r="J739" s="586">
        <f>SUBTOTAL(9,J738:J738)</f>
        <v>250</v>
      </c>
      <c r="K739" s="371">
        <f t="shared" si="34"/>
        <v>0</v>
      </c>
      <c r="L739" s="372">
        <f t="shared" si="35"/>
        <v>100</v>
      </c>
    </row>
    <row r="740" spans="1:12">
      <c r="A740" s="315">
        <f t="shared" si="33"/>
        <v>739</v>
      </c>
      <c r="B740" s="577">
        <v>7200</v>
      </c>
      <c r="C740" s="434">
        <v>4374</v>
      </c>
      <c r="D740" s="434" t="s">
        <v>580</v>
      </c>
      <c r="E740" s="434">
        <v>5222</v>
      </c>
      <c r="F740" s="10" t="s">
        <v>355</v>
      </c>
      <c r="G740" s="10" t="s">
        <v>581</v>
      </c>
      <c r="H740" s="449">
        <v>0</v>
      </c>
      <c r="I740" s="335">
        <v>660</v>
      </c>
      <c r="J740" s="336">
        <v>660</v>
      </c>
      <c r="K740" s="617">
        <f t="shared" si="34"/>
        <v>0</v>
      </c>
      <c r="L740" s="618">
        <f t="shared" si="35"/>
        <v>100</v>
      </c>
    </row>
    <row r="741" spans="1:12">
      <c r="A741" s="315">
        <f t="shared" si="33"/>
        <v>740</v>
      </c>
      <c r="B741" s="577">
        <v>7200</v>
      </c>
      <c r="C741" s="434">
        <v>4374</v>
      </c>
      <c r="D741" s="434" t="s">
        <v>580</v>
      </c>
      <c r="E741" s="434">
        <v>5223</v>
      </c>
      <c r="F741" s="10" t="s">
        <v>523</v>
      </c>
      <c r="G741" s="10" t="s">
        <v>559</v>
      </c>
      <c r="H741" s="449">
        <v>0</v>
      </c>
      <c r="I741" s="335">
        <v>310</v>
      </c>
      <c r="J741" s="336">
        <v>310</v>
      </c>
      <c r="K741" s="617">
        <f t="shared" si="34"/>
        <v>0</v>
      </c>
      <c r="L741" s="618">
        <f t="shared" si="35"/>
        <v>100</v>
      </c>
    </row>
    <row r="742" spans="1:12">
      <c r="A742" s="315">
        <f t="shared" si="33"/>
        <v>741</v>
      </c>
      <c r="B742" s="577"/>
      <c r="C742" s="365" t="s">
        <v>582</v>
      </c>
      <c r="D742" s="434"/>
      <c r="E742" s="434"/>
      <c r="F742" s="10"/>
      <c r="G742" s="10"/>
      <c r="H742" s="584">
        <f>SUBTOTAL(9,H740:H741)</f>
        <v>0</v>
      </c>
      <c r="I742" s="585">
        <f>SUBTOTAL(9,I740:I741)</f>
        <v>970</v>
      </c>
      <c r="J742" s="586">
        <f>SUBTOTAL(9,J740:J741)</f>
        <v>970</v>
      </c>
      <c r="K742" s="371">
        <f t="shared" si="34"/>
        <v>0</v>
      </c>
      <c r="L742" s="372">
        <f t="shared" si="35"/>
        <v>100</v>
      </c>
    </row>
    <row r="743" spans="1:12">
      <c r="A743" s="315">
        <f t="shared" si="33"/>
        <v>742</v>
      </c>
      <c r="B743" s="577">
        <v>7200</v>
      </c>
      <c r="C743" s="434">
        <v>4375</v>
      </c>
      <c r="D743" s="434" t="s">
        <v>214</v>
      </c>
      <c r="E743" s="434">
        <v>5222</v>
      </c>
      <c r="F743" s="10" t="s">
        <v>355</v>
      </c>
      <c r="G743" s="10" t="s">
        <v>547</v>
      </c>
      <c r="H743" s="449">
        <v>0</v>
      </c>
      <c r="I743" s="335">
        <v>430</v>
      </c>
      <c r="J743" s="336">
        <v>430</v>
      </c>
      <c r="K743" s="617">
        <f t="shared" si="34"/>
        <v>0</v>
      </c>
      <c r="L743" s="618">
        <f t="shared" si="35"/>
        <v>100</v>
      </c>
    </row>
    <row r="744" spans="1:12">
      <c r="A744" s="315">
        <f t="shared" si="33"/>
        <v>743</v>
      </c>
      <c r="B744" s="577">
        <v>7200</v>
      </c>
      <c r="C744" s="434">
        <v>4375</v>
      </c>
      <c r="D744" s="434" t="s">
        <v>214</v>
      </c>
      <c r="E744" s="434">
        <v>5223</v>
      </c>
      <c r="F744" s="10" t="s">
        <v>523</v>
      </c>
      <c r="G744" s="10"/>
      <c r="H744" s="449">
        <v>0</v>
      </c>
      <c r="I744" s="335">
        <v>80</v>
      </c>
      <c r="J744" s="336">
        <v>80</v>
      </c>
      <c r="K744" s="617">
        <f t="shared" si="34"/>
        <v>0</v>
      </c>
      <c r="L744" s="618">
        <f t="shared" si="35"/>
        <v>100</v>
      </c>
    </row>
    <row r="745" spans="1:12">
      <c r="A745" s="315">
        <f t="shared" si="33"/>
        <v>744</v>
      </c>
      <c r="B745" s="577"/>
      <c r="C745" s="365" t="s">
        <v>583</v>
      </c>
      <c r="D745" s="434"/>
      <c r="E745" s="434"/>
      <c r="F745" s="10"/>
      <c r="G745" s="10"/>
      <c r="H745" s="584">
        <f>SUBTOTAL(9,H743:H744)</f>
        <v>0</v>
      </c>
      <c r="I745" s="585">
        <f>SUBTOTAL(9,I743:I744)</f>
        <v>510</v>
      </c>
      <c r="J745" s="586">
        <f>SUBTOTAL(9,J743:J744)</f>
        <v>510</v>
      </c>
      <c r="K745" s="371">
        <f t="shared" si="34"/>
        <v>0</v>
      </c>
      <c r="L745" s="372">
        <f t="shared" si="35"/>
        <v>100</v>
      </c>
    </row>
    <row r="746" spans="1:12">
      <c r="A746" s="315">
        <f t="shared" si="33"/>
        <v>745</v>
      </c>
      <c r="B746" s="577">
        <v>7200</v>
      </c>
      <c r="C746" s="434">
        <v>4376</v>
      </c>
      <c r="D746" s="434" t="s">
        <v>584</v>
      </c>
      <c r="E746" s="434">
        <v>5221</v>
      </c>
      <c r="F746" s="10" t="s">
        <v>451</v>
      </c>
      <c r="G746" s="10"/>
      <c r="H746" s="449">
        <v>0</v>
      </c>
      <c r="I746" s="335">
        <v>170</v>
      </c>
      <c r="J746" s="336">
        <v>170</v>
      </c>
      <c r="K746" s="617">
        <f t="shared" si="34"/>
        <v>0</v>
      </c>
      <c r="L746" s="618">
        <f t="shared" si="35"/>
        <v>100</v>
      </c>
    </row>
    <row r="747" spans="1:12">
      <c r="A747" s="315">
        <f t="shared" si="33"/>
        <v>746</v>
      </c>
      <c r="B747" s="577">
        <v>7200</v>
      </c>
      <c r="C747" s="434">
        <v>4376</v>
      </c>
      <c r="D747" s="434" t="s">
        <v>584</v>
      </c>
      <c r="E747" s="434">
        <v>5222</v>
      </c>
      <c r="F747" s="10" t="s">
        <v>355</v>
      </c>
      <c r="G747" s="10" t="s">
        <v>585</v>
      </c>
      <c r="H747" s="449">
        <v>0</v>
      </c>
      <c r="I747" s="335">
        <v>270</v>
      </c>
      <c r="J747" s="336">
        <v>270</v>
      </c>
      <c r="K747" s="617">
        <f t="shared" si="34"/>
        <v>0</v>
      </c>
      <c r="L747" s="618">
        <f t="shared" si="35"/>
        <v>100</v>
      </c>
    </row>
    <row r="748" spans="1:12">
      <c r="A748" s="315">
        <f t="shared" si="33"/>
        <v>747</v>
      </c>
      <c r="B748" s="577"/>
      <c r="C748" s="365" t="s">
        <v>586</v>
      </c>
      <c r="D748" s="434"/>
      <c r="E748" s="434"/>
      <c r="F748" s="10"/>
      <c r="G748" s="10"/>
      <c r="H748" s="584">
        <f>SUBTOTAL(9,H746:H747)</f>
        <v>0</v>
      </c>
      <c r="I748" s="585">
        <f>SUBTOTAL(9,I746:I747)</f>
        <v>440</v>
      </c>
      <c r="J748" s="586">
        <f>SUBTOTAL(9,J746:J747)</f>
        <v>440</v>
      </c>
      <c r="K748" s="371">
        <f t="shared" si="34"/>
        <v>0</v>
      </c>
      <c r="L748" s="372">
        <f t="shared" si="35"/>
        <v>100</v>
      </c>
    </row>
    <row r="749" spans="1:12">
      <c r="A749" s="315">
        <f t="shared" si="33"/>
        <v>748</v>
      </c>
      <c r="B749" s="577">
        <v>7200</v>
      </c>
      <c r="C749" s="434">
        <v>4378</v>
      </c>
      <c r="D749" s="434" t="s">
        <v>215</v>
      </c>
      <c r="E749" s="434">
        <v>5222</v>
      </c>
      <c r="F749" s="10" t="s">
        <v>355</v>
      </c>
      <c r="G749" s="10"/>
      <c r="H749" s="449">
        <v>0</v>
      </c>
      <c r="I749" s="335">
        <v>50</v>
      </c>
      <c r="J749" s="336">
        <v>50</v>
      </c>
      <c r="K749" s="621">
        <f t="shared" si="34"/>
        <v>0</v>
      </c>
      <c r="L749" s="622">
        <f t="shared" si="35"/>
        <v>100</v>
      </c>
    </row>
    <row r="750" spans="1:12">
      <c r="A750" s="315">
        <f t="shared" si="33"/>
        <v>749</v>
      </c>
      <c r="B750" s="577"/>
      <c r="C750" s="365" t="s">
        <v>587</v>
      </c>
      <c r="D750" s="434"/>
      <c r="E750" s="434"/>
      <c r="F750" s="10"/>
      <c r="G750" s="10"/>
      <c r="H750" s="584">
        <f>SUBTOTAL(9,H749:H749)</f>
        <v>0</v>
      </c>
      <c r="I750" s="585">
        <f>SUBTOTAL(9,I749:I749)</f>
        <v>50</v>
      </c>
      <c r="J750" s="586">
        <f>SUBTOTAL(9,J749:J749)</f>
        <v>50</v>
      </c>
      <c r="K750" s="371">
        <f t="shared" si="34"/>
        <v>0</v>
      </c>
      <c r="L750" s="372">
        <f t="shared" si="35"/>
        <v>100</v>
      </c>
    </row>
    <row r="751" spans="1:12">
      <c r="A751" s="315">
        <f t="shared" si="33"/>
        <v>750</v>
      </c>
      <c r="B751" s="577">
        <v>7200</v>
      </c>
      <c r="C751" s="434">
        <v>4379</v>
      </c>
      <c r="D751" s="434" t="s">
        <v>588</v>
      </c>
      <c r="E751" s="434">
        <v>5221</v>
      </c>
      <c r="F751" s="10" t="s">
        <v>451</v>
      </c>
      <c r="G751" s="10" t="s">
        <v>589</v>
      </c>
      <c r="H751" s="449">
        <v>0</v>
      </c>
      <c r="I751" s="335">
        <v>80</v>
      </c>
      <c r="J751" s="336">
        <v>80</v>
      </c>
      <c r="K751" s="617">
        <f t="shared" si="34"/>
        <v>0</v>
      </c>
      <c r="L751" s="618">
        <f t="shared" si="35"/>
        <v>100</v>
      </c>
    </row>
    <row r="752" spans="1:12">
      <c r="A752" s="315">
        <f t="shared" si="33"/>
        <v>751</v>
      </c>
      <c r="B752" s="577">
        <v>7200</v>
      </c>
      <c r="C752" s="434">
        <v>4379</v>
      </c>
      <c r="D752" s="434" t="s">
        <v>588</v>
      </c>
      <c r="E752" s="434">
        <v>5222</v>
      </c>
      <c r="F752" s="10" t="s">
        <v>355</v>
      </c>
      <c r="G752" s="10"/>
      <c r="H752" s="449">
        <v>0</v>
      </c>
      <c r="I752" s="335">
        <v>1090</v>
      </c>
      <c r="J752" s="336">
        <v>1090</v>
      </c>
      <c r="K752" s="617">
        <f t="shared" si="34"/>
        <v>0</v>
      </c>
      <c r="L752" s="618">
        <f t="shared" si="35"/>
        <v>100</v>
      </c>
    </row>
    <row r="753" spans="1:12">
      <c r="A753" s="315">
        <f t="shared" si="33"/>
        <v>752</v>
      </c>
      <c r="B753" s="577">
        <v>7200</v>
      </c>
      <c r="C753" s="434">
        <v>4379</v>
      </c>
      <c r="D753" s="434" t="s">
        <v>588</v>
      </c>
      <c r="E753" s="434">
        <v>5339</v>
      </c>
      <c r="F753" s="12" t="s">
        <v>453</v>
      </c>
      <c r="G753" s="10" t="s">
        <v>590</v>
      </c>
      <c r="H753" s="449">
        <v>995</v>
      </c>
      <c r="I753" s="335">
        <v>995</v>
      </c>
      <c r="J753" s="336">
        <v>995</v>
      </c>
      <c r="K753" s="617">
        <f t="shared" si="34"/>
        <v>0</v>
      </c>
      <c r="L753" s="618">
        <f t="shared" si="35"/>
        <v>100</v>
      </c>
    </row>
    <row r="754" spans="1:12">
      <c r="A754" s="315">
        <f t="shared" si="33"/>
        <v>753</v>
      </c>
      <c r="B754" s="577"/>
      <c r="C754" s="365" t="s">
        <v>591</v>
      </c>
      <c r="D754" s="434"/>
      <c r="E754" s="434"/>
      <c r="F754" s="10"/>
      <c r="G754" s="10"/>
      <c r="H754" s="584">
        <f>SUBTOTAL(9,H751:H753)</f>
        <v>995</v>
      </c>
      <c r="I754" s="585">
        <f>SUBTOTAL(9,I751:I753)</f>
        <v>2165</v>
      </c>
      <c r="J754" s="586">
        <f>SUBTOTAL(9,J751:J753)</f>
        <v>2165</v>
      </c>
      <c r="K754" s="371">
        <f t="shared" si="34"/>
        <v>0</v>
      </c>
      <c r="L754" s="372">
        <f t="shared" si="35"/>
        <v>100</v>
      </c>
    </row>
    <row r="755" spans="1:12">
      <c r="A755" s="315">
        <f t="shared" si="33"/>
        <v>754</v>
      </c>
      <c r="B755" s="577">
        <v>7200</v>
      </c>
      <c r="C755" s="434">
        <v>4399</v>
      </c>
      <c r="D755" s="434" t="s">
        <v>588</v>
      </c>
      <c r="E755" s="434">
        <v>5169</v>
      </c>
      <c r="F755" s="10" t="s">
        <v>313</v>
      </c>
      <c r="G755" s="333"/>
      <c r="H755" s="623"/>
      <c r="I755" s="624">
        <v>40</v>
      </c>
      <c r="J755" s="625">
        <v>40</v>
      </c>
      <c r="K755" s="617">
        <f t="shared" si="34"/>
        <v>0</v>
      </c>
      <c r="L755" s="618">
        <f t="shared" si="35"/>
        <v>100</v>
      </c>
    </row>
    <row r="756" spans="1:12">
      <c r="A756" s="315">
        <f t="shared" si="33"/>
        <v>755</v>
      </c>
      <c r="B756" s="577"/>
      <c r="C756" s="365" t="s">
        <v>592</v>
      </c>
      <c r="D756" s="434"/>
      <c r="E756" s="434"/>
      <c r="F756" s="10"/>
      <c r="G756" s="10"/>
      <c r="H756" s="584">
        <f>SUBTOTAL(9,H755:H755)</f>
        <v>0</v>
      </c>
      <c r="I756" s="585">
        <f>SUBTOTAL(9,I755:I755)</f>
        <v>40</v>
      </c>
      <c r="J756" s="586">
        <f>SUBTOTAL(9,J755:J755)</f>
        <v>40</v>
      </c>
      <c r="K756" s="371">
        <f t="shared" si="34"/>
        <v>0</v>
      </c>
      <c r="L756" s="372">
        <f t="shared" si="35"/>
        <v>100</v>
      </c>
    </row>
    <row r="757" spans="1:12">
      <c r="A757" s="315">
        <f t="shared" si="33"/>
        <v>756</v>
      </c>
      <c r="B757" s="577">
        <v>7200</v>
      </c>
      <c r="C757" s="434">
        <v>5319</v>
      </c>
      <c r="D757" s="434" t="s">
        <v>372</v>
      </c>
      <c r="E757" s="434">
        <v>5137</v>
      </c>
      <c r="F757" s="10" t="s">
        <v>346</v>
      </c>
      <c r="G757" s="485"/>
      <c r="H757" s="449">
        <v>0</v>
      </c>
      <c r="I757" s="335">
        <v>44</v>
      </c>
      <c r="J757" s="336">
        <v>44</v>
      </c>
      <c r="K757" s="549">
        <f t="shared" si="34"/>
        <v>0</v>
      </c>
      <c r="L757" s="550">
        <f t="shared" si="35"/>
        <v>100</v>
      </c>
    </row>
    <row r="758" spans="1:12">
      <c r="A758" s="315">
        <f t="shared" si="33"/>
        <v>757</v>
      </c>
      <c r="B758" s="577">
        <v>7200</v>
      </c>
      <c r="C758" s="434">
        <v>5319</v>
      </c>
      <c r="D758" s="434" t="s">
        <v>372</v>
      </c>
      <c r="E758" s="434">
        <v>5169</v>
      </c>
      <c r="F758" s="10" t="s">
        <v>313</v>
      </c>
      <c r="G758" s="333" t="s">
        <v>593</v>
      </c>
      <c r="H758" s="449">
        <v>0</v>
      </c>
      <c r="I758" s="335">
        <v>260</v>
      </c>
      <c r="J758" s="336">
        <v>260</v>
      </c>
      <c r="K758" s="549">
        <f t="shared" si="34"/>
        <v>0</v>
      </c>
      <c r="L758" s="550">
        <f t="shared" si="35"/>
        <v>100</v>
      </c>
    </row>
    <row r="759" spans="1:12">
      <c r="A759" s="315">
        <f t="shared" si="33"/>
        <v>758</v>
      </c>
      <c r="B759" s="577">
        <v>7200</v>
      </c>
      <c r="C759" s="434">
        <v>5319</v>
      </c>
      <c r="D759" s="434" t="s">
        <v>372</v>
      </c>
      <c r="E759" s="434">
        <v>5172</v>
      </c>
      <c r="F759" s="10" t="s">
        <v>409</v>
      </c>
      <c r="G759" s="333"/>
      <c r="H759" s="449"/>
      <c r="I759" s="335">
        <v>8</v>
      </c>
      <c r="J759" s="336">
        <v>8</v>
      </c>
      <c r="K759" s="549">
        <f t="shared" si="34"/>
        <v>0</v>
      </c>
      <c r="L759" s="550">
        <f t="shared" si="35"/>
        <v>100</v>
      </c>
    </row>
    <row r="760" spans="1:12">
      <c r="A760" s="315">
        <f t="shared" si="33"/>
        <v>759</v>
      </c>
      <c r="B760" s="577">
        <v>7200</v>
      </c>
      <c r="C760" s="434">
        <v>5319</v>
      </c>
      <c r="D760" s="434" t="s">
        <v>372</v>
      </c>
      <c r="E760" s="434">
        <v>5213</v>
      </c>
      <c r="F760" s="520" t="s">
        <v>458</v>
      </c>
      <c r="G760" s="528" t="s">
        <v>593</v>
      </c>
      <c r="H760" s="449">
        <v>2500</v>
      </c>
      <c r="I760" s="335">
        <v>150</v>
      </c>
      <c r="J760" s="336">
        <v>150</v>
      </c>
      <c r="K760" s="549">
        <f t="shared" si="34"/>
        <v>0</v>
      </c>
      <c r="L760" s="550">
        <f t="shared" si="35"/>
        <v>100</v>
      </c>
    </row>
    <row r="761" spans="1:12">
      <c r="A761" s="315">
        <f t="shared" si="33"/>
        <v>760</v>
      </c>
      <c r="B761" s="577">
        <v>7200</v>
      </c>
      <c r="C761" s="434">
        <v>5319</v>
      </c>
      <c r="D761" s="434" t="s">
        <v>372</v>
      </c>
      <c r="E761" s="434">
        <v>5222</v>
      </c>
      <c r="F761" s="353" t="s">
        <v>355</v>
      </c>
      <c r="G761" s="485"/>
      <c r="H761" s="449">
        <v>0</v>
      </c>
      <c r="I761" s="335">
        <v>738</v>
      </c>
      <c r="J761" s="336">
        <v>738</v>
      </c>
      <c r="K761" s="549">
        <f t="shared" si="34"/>
        <v>0</v>
      </c>
      <c r="L761" s="550">
        <f t="shared" si="35"/>
        <v>100</v>
      </c>
    </row>
    <row r="762" spans="1:12">
      <c r="A762" s="315">
        <f t="shared" si="33"/>
        <v>761</v>
      </c>
      <c r="B762" s="577">
        <v>7200</v>
      </c>
      <c r="C762" s="434">
        <v>5319</v>
      </c>
      <c r="D762" s="434" t="s">
        <v>372</v>
      </c>
      <c r="E762" s="434">
        <v>5223</v>
      </c>
      <c r="F762" s="10" t="s">
        <v>523</v>
      </c>
      <c r="G762" s="485"/>
      <c r="H762" s="449">
        <v>0</v>
      </c>
      <c r="I762" s="335">
        <v>153</v>
      </c>
      <c r="J762" s="336">
        <v>153</v>
      </c>
      <c r="K762" s="549">
        <f t="shared" si="34"/>
        <v>0</v>
      </c>
      <c r="L762" s="550">
        <f t="shared" si="35"/>
        <v>100</v>
      </c>
    </row>
    <row r="763" spans="1:12">
      <c r="A763" s="315">
        <f t="shared" si="33"/>
        <v>762</v>
      </c>
      <c r="B763" s="577">
        <v>7200</v>
      </c>
      <c r="C763" s="434">
        <v>5319</v>
      </c>
      <c r="D763" s="434" t="s">
        <v>372</v>
      </c>
      <c r="E763" s="434">
        <v>5311</v>
      </c>
      <c r="F763" s="10" t="s">
        <v>594</v>
      </c>
      <c r="G763" s="528"/>
      <c r="H763" s="449">
        <v>0</v>
      </c>
      <c r="I763" s="335">
        <v>161</v>
      </c>
      <c r="J763" s="336">
        <v>99</v>
      </c>
      <c r="K763" s="549">
        <f t="shared" si="34"/>
        <v>-62</v>
      </c>
      <c r="L763" s="550">
        <f t="shared" si="35"/>
        <v>61.490683229813669</v>
      </c>
    </row>
    <row r="764" spans="1:12">
      <c r="A764" s="315">
        <f t="shared" si="33"/>
        <v>763</v>
      </c>
      <c r="B764" s="577">
        <v>7200</v>
      </c>
      <c r="C764" s="434">
        <v>5319</v>
      </c>
      <c r="D764" s="434" t="s">
        <v>372</v>
      </c>
      <c r="E764" s="434">
        <v>5331</v>
      </c>
      <c r="F764" s="383" t="s">
        <v>338</v>
      </c>
      <c r="G764" s="528" t="s">
        <v>595</v>
      </c>
      <c r="H764" s="449"/>
      <c r="I764" s="335">
        <v>60</v>
      </c>
      <c r="J764" s="336">
        <v>60</v>
      </c>
      <c r="K764" s="549">
        <f t="shared" si="34"/>
        <v>0</v>
      </c>
      <c r="L764" s="550">
        <f t="shared" si="35"/>
        <v>100</v>
      </c>
    </row>
    <row r="765" spans="1:12">
      <c r="A765" s="315">
        <f t="shared" si="33"/>
        <v>764</v>
      </c>
      <c r="B765" s="577">
        <v>7200</v>
      </c>
      <c r="C765" s="434">
        <v>5319</v>
      </c>
      <c r="D765" s="434" t="s">
        <v>372</v>
      </c>
      <c r="E765" s="434">
        <v>5339</v>
      </c>
      <c r="F765" s="12" t="s">
        <v>453</v>
      </c>
      <c r="G765" s="333"/>
      <c r="H765" s="449">
        <v>0</v>
      </c>
      <c r="I765" s="335">
        <v>70</v>
      </c>
      <c r="J765" s="336">
        <v>70</v>
      </c>
      <c r="K765" s="549">
        <f t="shared" si="34"/>
        <v>0</v>
      </c>
      <c r="L765" s="550">
        <f t="shared" si="35"/>
        <v>100</v>
      </c>
    </row>
    <row r="766" spans="1:12">
      <c r="A766" s="315">
        <f t="shared" si="33"/>
        <v>765</v>
      </c>
      <c r="B766" s="364"/>
      <c r="C766" s="365" t="s">
        <v>373</v>
      </c>
      <c r="D766" s="434"/>
      <c r="E766" s="434"/>
      <c r="F766" s="10"/>
      <c r="G766" s="10"/>
      <c r="H766" s="584">
        <f>SUBTOTAL(9,H757:H765)</f>
        <v>2500</v>
      </c>
      <c r="I766" s="585">
        <f>SUBTOTAL(9,I757:I765)</f>
        <v>1644</v>
      </c>
      <c r="J766" s="586">
        <f>SUBTOTAL(9,J757:J765)</f>
        <v>1582</v>
      </c>
      <c r="K766" s="371">
        <f t="shared" si="34"/>
        <v>-62</v>
      </c>
      <c r="L766" s="372">
        <f t="shared" si="35"/>
        <v>96.228710462287097</v>
      </c>
    </row>
    <row r="767" spans="1:12">
      <c r="A767" s="315">
        <f t="shared" si="33"/>
        <v>766</v>
      </c>
      <c r="B767" s="577">
        <v>7200</v>
      </c>
      <c r="C767" s="434">
        <v>6409</v>
      </c>
      <c r="D767" s="340" t="s">
        <v>329</v>
      </c>
      <c r="E767" s="434">
        <v>5321</v>
      </c>
      <c r="F767" s="12" t="s">
        <v>330</v>
      </c>
      <c r="G767" s="158"/>
      <c r="H767" s="449">
        <v>0</v>
      </c>
      <c r="I767" s="335">
        <v>350</v>
      </c>
      <c r="J767" s="336">
        <v>350</v>
      </c>
      <c r="K767" s="626">
        <f t="shared" si="34"/>
        <v>0</v>
      </c>
      <c r="L767" s="627">
        <f t="shared" si="35"/>
        <v>100</v>
      </c>
    </row>
    <row r="768" spans="1:12">
      <c r="A768" s="315">
        <f t="shared" si="33"/>
        <v>767</v>
      </c>
      <c r="B768" s="577"/>
      <c r="C768" s="365" t="s">
        <v>334</v>
      </c>
      <c r="D768" s="365"/>
      <c r="E768" s="365"/>
      <c r="F768" s="366"/>
      <c r="G768" s="367"/>
      <c r="H768" s="473">
        <f>SUBTOTAL(9,H767)</f>
        <v>0</v>
      </c>
      <c r="I768" s="428">
        <f>SUBTOTAL(9,I767)</f>
        <v>350</v>
      </c>
      <c r="J768" s="429">
        <f>SUBTOTAL(9,J767)</f>
        <v>350</v>
      </c>
      <c r="K768" s="474">
        <f t="shared" si="34"/>
        <v>0</v>
      </c>
      <c r="L768" s="475">
        <f t="shared" si="35"/>
        <v>100</v>
      </c>
    </row>
    <row r="769" spans="1:12" ht="12.75" customHeight="1" thickBot="1">
      <c r="A769" s="315">
        <f t="shared" si="33"/>
        <v>768</v>
      </c>
      <c r="B769" s="29" t="s">
        <v>35</v>
      </c>
      <c r="C769" s="357"/>
      <c r="D769" s="357"/>
      <c r="E769" s="357"/>
      <c r="F769" s="357"/>
      <c r="G769" s="358"/>
      <c r="H769" s="359">
        <f>SUBTOTAL(9,H644:H768)</f>
        <v>278245</v>
      </c>
      <c r="I769" s="360">
        <f>SUBTOTAL(9,I644:I768)</f>
        <v>287017</v>
      </c>
      <c r="J769" s="361">
        <f>SUBTOTAL(9,J644:J768)</f>
        <v>286392</v>
      </c>
      <c r="K769" s="362">
        <f t="shared" si="34"/>
        <v>-625</v>
      </c>
      <c r="L769" s="363">
        <f t="shared" si="35"/>
        <v>99.782242863663129</v>
      </c>
    </row>
    <row r="770" spans="1:12" ht="12.75" customHeight="1">
      <c r="A770" s="315">
        <f t="shared" si="33"/>
        <v>769</v>
      </c>
      <c r="B770" s="91"/>
      <c r="C770" s="409"/>
      <c r="D770" s="409"/>
      <c r="E770" s="409"/>
      <c r="F770" s="409"/>
      <c r="G770" s="410"/>
      <c r="H770" s="411"/>
      <c r="I770" s="412"/>
      <c r="J770" s="413"/>
      <c r="K770" s="414">
        <f t="shared" si="34"/>
        <v>0</v>
      </c>
      <c r="L770" s="415">
        <f t="shared" si="35"/>
        <v>0</v>
      </c>
    </row>
    <row r="771" spans="1:12" ht="15.75">
      <c r="A771" s="315">
        <f t="shared" si="33"/>
        <v>770</v>
      </c>
      <c r="B771" s="332" t="s">
        <v>30</v>
      </c>
      <c r="C771" s="353"/>
      <c r="D771" s="353"/>
      <c r="E771" s="353"/>
      <c r="F771" s="353"/>
      <c r="G771" s="356"/>
      <c r="H771" s="545"/>
      <c r="I771" s="546"/>
      <c r="J771" s="547"/>
      <c r="K771" s="538">
        <f t="shared" si="34"/>
        <v>0</v>
      </c>
      <c r="L771" s="539">
        <f t="shared" si="35"/>
        <v>0</v>
      </c>
    </row>
    <row r="772" spans="1:12">
      <c r="A772" s="315">
        <f t="shared" ref="A772:A835" si="36">A771+1</f>
        <v>771</v>
      </c>
      <c r="B772" s="480">
        <v>7300</v>
      </c>
      <c r="C772" s="353">
        <v>3311</v>
      </c>
      <c r="D772" s="353" t="s">
        <v>24</v>
      </c>
      <c r="E772" s="353">
        <v>5212</v>
      </c>
      <c r="F772" s="520" t="s">
        <v>596</v>
      </c>
      <c r="G772" s="598"/>
      <c r="H772" s="334">
        <v>0</v>
      </c>
      <c r="I772" s="335">
        <v>135</v>
      </c>
      <c r="J772" s="336">
        <v>135</v>
      </c>
      <c r="K772" s="538">
        <f t="shared" si="34"/>
        <v>0</v>
      </c>
      <c r="L772" s="539">
        <f t="shared" si="35"/>
        <v>100</v>
      </c>
    </row>
    <row r="773" spans="1:12">
      <c r="A773" s="315">
        <f t="shared" si="36"/>
        <v>772</v>
      </c>
      <c r="B773" s="480">
        <v>7300</v>
      </c>
      <c r="C773" s="353">
        <v>3311</v>
      </c>
      <c r="D773" s="353" t="s">
        <v>24</v>
      </c>
      <c r="E773" s="353">
        <v>5213</v>
      </c>
      <c r="F773" s="520" t="s">
        <v>458</v>
      </c>
      <c r="G773" s="158"/>
      <c r="H773" s="334">
        <v>0</v>
      </c>
      <c r="I773" s="335">
        <v>50</v>
      </c>
      <c r="J773" s="336">
        <v>50</v>
      </c>
      <c r="K773" s="538">
        <f t="shared" ref="K773:K836" si="37">J773-I773</f>
        <v>0</v>
      </c>
      <c r="L773" s="539">
        <f t="shared" ref="L773:L836" si="38">IF(I773&lt;=0,0,J773/I773*100)</f>
        <v>100</v>
      </c>
    </row>
    <row r="774" spans="1:12">
      <c r="A774" s="315">
        <f t="shared" si="36"/>
        <v>773</v>
      </c>
      <c r="B774" s="480">
        <v>7300</v>
      </c>
      <c r="C774" s="353">
        <v>3311</v>
      </c>
      <c r="D774" s="353" t="s">
        <v>24</v>
      </c>
      <c r="E774" s="353">
        <v>5222</v>
      </c>
      <c r="F774" s="353" t="s">
        <v>355</v>
      </c>
      <c r="G774" s="356"/>
      <c r="H774" s="334">
        <v>300</v>
      </c>
      <c r="I774" s="335">
        <v>2920</v>
      </c>
      <c r="J774" s="336">
        <v>2920</v>
      </c>
      <c r="K774" s="538">
        <f t="shared" si="37"/>
        <v>0</v>
      </c>
      <c r="L774" s="539">
        <f t="shared" si="38"/>
        <v>100</v>
      </c>
    </row>
    <row r="775" spans="1:12">
      <c r="A775" s="315">
        <f t="shared" si="36"/>
        <v>774</v>
      </c>
      <c r="B775" s="480">
        <v>7300</v>
      </c>
      <c r="C775" s="353">
        <v>3311</v>
      </c>
      <c r="D775" s="353" t="s">
        <v>24</v>
      </c>
      <c r="E775" s="353">
        <v>5331</v>
      </c>
      <c r="F775" s="383" t="s">
        <v>338</v>
      </c>
      <c r="G775" s="333" t="s">
        <v>597</v>
      </c>
      <c r="H775" s="334">
        <v>273589</v>
      </c>
      <c r="I775" s="335">
        <v>270123</v>
      </c>
      <c r="J775" s="336">
        <v>270123</v>
      </c>
      <c r="K775" s="538">
        <f t="shared" si="37"/>
        <v>0</v>
      </c>
      <c r="L775" s="539">
        <f t="shared" si="38"/>
        <v>100</v>
      </c>
    </row>
    <row r="776" spans="1:12">
      <c r="A776" s="315">
        <f t="shared" si="36"/>
        <v>775</v>
      </c>
      <c r="B776" s="480">
        <v>7300</v>
      </c>
      <c r="C776" s="353">
        <v>3311</v>
      </c>
      <c r="D776" s="353" t="s">
        <v>24</v>
      </c>
      <c r="E776" s="353">
        <v>5331</v>
      </c>
      <c r="F776" s="383" t="s">
        <v>338</v>
      </c>
      <c r="G776" s="333" t="s">
        <v>598</v>
      </c>
      <c r="H776" s="334">
        <v>30846</v>
      </c>
      <c r="I776" s="335">
        <v>30849</v>
      </c>
      <c r="J776" s="336">
        <v>30849</v>
      </c>
      <c r="K776" s="538">
        <f t="shared" si="37"/>
        <v>0</v>
      </c>
      <c r="L776" s="539">
        <f t="shared" si="38"/>
        <v>100</v>
      </c>
    </row>
    <row r="777" spans="1:12">
      <c r="A777" s="315">
        <f t="shared" si="36"/>
        <v>776</v>
      </c>
      <c r="B777" s="480">
        <v>7300</v>
      </c>
      <c r="C777" s="353">
        <v>3311</v>
      </c>
      <c r="D777" s="353" t="s">
        <v>24</v>
      </c>
      <c r="E777" s="353">
        <v>5331</v>
      </c>
      <c r="F777" s="383" t="s">
        <v>338</v>
      </c>
      <c r="G777" s="333" t="s">
        <v>599</v>
      </c>
      <c r="H777" s="334">
        <v>170385</v>
      </c>
      <c r="I777" s="335">
        <v>170591</v>
      </c>
      <c r="J777" s="336">
        <v>170591</v>
      </c>
      <c r="K777" s="538">
        <f t="shared" si="37"/>
        <v>0</v>
      </c>
      <c r="L777" s="539">
        <f t="shared" si="38"/>
        <v>100</v>
      </c>
    </row>
    <row r="778" spans="1:12">
      <c r="A778" s="315">
        <f t="shared" si="36"/>
        <v>777</v>
      </c>
      <c r="B778" s="480">
        <v>7300</v>
      </c>
      <c r="C778" s="353">
        <v>3311</v>
      </c>
      <c r="D778" s="353" t="s">
        <v>24</v>
      </c>
      <c r="E778" s="353">
        <v>5331</v>
      </c>
      <c r="F778" s="383" t="s">
        <v>338</v>
      </c>
      <c r="G778" s="333" t="s">
        <v>600</v>
      </c>
      <c r="H778" s="334">
        <v>15210</v>
      </c>
      <c r="I778" s="335">
        <v>16410</v>
      </c>
      <c r="J778" s="336">
        <v>16410</v>
      </c>
      <c r="K778" s="538">
        <f t="shared" si="37"/>
        <v>0</v>
      </c>
      <c r="L778" s="539">
        <f t="shared" si="38"/>
        <v>100</v>
      </c>
    </row>
    <row r="779" spans="1:12">
      <c r="A779" s="315">
        <f t="shared" si="36"/>
        <v>778</v>
      </c>
      <c r="B779" s="480">
        <v>7300</v>
      </c>
      <c r="C779" s="353">
        <v>3311</v>
      </c>
      <c r="D779" s="353" t="s">
        <v>24</v>
      </c>
      <c r="E779" s="353">
        <v>5332</v>
      </c>
      <c r="F779" s="10" t="s">
        <v>524</v>
      </c>
      <c r="G779" s="333"/>
      <c r="H779" s="334">
        <v>260</v>
      </c>
      <c r="I779" s="335">
        <v>260</v>
      </c>
      <c r="J779" s="336">
        <v>260</v>
      </c>
      <c r="K779" s="538">
        <f t="shared" si="37"/>
        <v>0</v>
      </c>
      <c r="L779" s="539">
        <f t="shared" si="38"/>
        <v>100</v>
      </c>
    </row>
    <row r="780" spans="1:12">
      <c r="A780" s="315">
        <f t="shared" si="36"/>
        <v>779</v>
      </c>
      <c r="B780" s="480">
        <v>7300</v>
      </c>
      <c r="C780" s="353">
        <v>3311</v>
      </c>
      <c r="D780" s="353" t="s">
        <v>24</v>
      </c>
      <c r="E780" s="353">
        <v>5336</v>
      </c>
      <c r="F780" s="10" t="s">
        <v>340</v>
      </c>
      <c r="G780" s="333" t="s">
        <v>597</v>
      </c>
      <c r="H780" s="334">
        <v>0</v>
      </c>
      <c r="I780" s="335">
        <v>7735</v>
      </c>
      <c r="J780" s="336">
        <v>7735</v>
      </c>
      <c r="K780" s="538">
        <f t="shared" si="37"/>
        <v>0</v>
      </c>
      <c r="L780" s="539">
        <f t="shared" si="38"/>
        <v>100</v>
      </c>
    </row>
    <row r="781" spans="1:12">
      <c r="A781" s="315">
        <f t="shared" si="36"/>
        <v>780</v>
      </c>
      <c r="B781" s="480">
        <v>7300</v>
      </c>
      <c r="C781" s="353">
        <v>3311</v>
      </c>
      <c r="D781" s="353" t="s">
        <v>24</v>
      </c>
      <c r="E781" s="353">
        <v>5336</v>
      </c>
      <c r="F781" s="10" t="s">
        <v>340</v>
      </c>
      <c r="G781" s="333" t="s">
        <v>598</v>
      </c>
      <c r="H781" s="334">
        <v>0</v>
      </c>
      <c r="I781" s="335">
        <v>2875</v>
      </c>
      <c r="J781" s="336">
        <v>2875</v>
      </c>
      <c r="K781" s="538">
        <f t="shared" si="37"/>
        <v>0</v>
      </c>
      <c r="L781" s="539">
        <f t="shared" si="38"/>
        <v>100</v>
      </c>
    </row>
    <row r="782" spans="1:12">
      <c r="A782" s="315">
        <f t="shared" si="36"/>
        <v>781</v>
      </c>
      <c r="B782" s="480">
        <v>7300</v>
      </c>
      <c r="C782" s="353">
        <v>3311</v>
      </c>
      <c r="D782" s="353" t="s">
        <v>24</v>
      </c>
      <c r="E782" s="353">
        <v>5336</v>
      </c>
      <c r="F782" s="10" t="s">
        <v>340</v>
      </c>
      <c r="G782" s="333" t="s">
        <v>599</v>
      </c>
      <c r="H782" s="334">
        <v>0</v>
      </c>
      <c r="I782" s="335">
        <v>3750</v>
      </c>
      <c r="J782" s="336">
        <v>3750</v>
      </c>
      <c r="K782" s="538">
        <f t="shared" si="37"/>
        <v>0</v>
      </c>
      <c r="L782" s="539">
        <f t="shared" si="38"/>
        <v>100</v>
      </c>
    </row>
    <row r="783" spans="1:12">
      <c r="A783" s="315">
        <f t="shared" si="36"/>
        <v>782</v>
      </c>
      <c r="B783" s="480">
        <v>7300</v>
      </c>
      <c r="C783" s="353">
        <v>3311</v>
      </c>
      <c r="D783" s="353" t="s">
        <v>24</v>
      </c>
      <c r="E783" s="353">
        <v>5336</v>
      </c>
      <c r="F783" s="10" t="s">
        <v>340</v>
      </c>
      <c r="G783" s="333" t="s">
        <v>600</v>
      </c>
      <c r="H783" s="334">
        <v>0</v>
      </c>
      <c r="I783" s="335">
        <v>585</v>
      </c>
      <c r="J783" s="336">
        <v>585</v>
      </c>
      <c r="K783" s="538">
        <f t="shared" si="37"/>
        <v>0</v>
      </c>
      <c r="L783" s="539">
        <f t="shared" si="38"/>
        <v>100</v>
      </c>
    </row>
    <row r="784" spans="1:12">
      <c r="A784" s="315">
        <f t="shared" si="36"/>
        <v>783</v>
      </c>
      <c r="B784" s="480">
        <v>7300</v>
      </c>
      <c r="C784" s="353">
        <v>3311</v>
      </c>
      <c r="D784" s="353" t="s">
        <v>24</v>
      </c>
      <c r="E784" s="353">
        <v>5651</v>
      </c>
      <c r="F784" s="10" t="s">
        <v>511</v>
      </c>
      <c r="G784" s="333" t="s">
        <v>599</v>
      </c>
      <c r="H784" s="334">
        <v>5000</v>
      </c>
      <c r="I784" s="335">
        <v>20000</v>
      </c>
      <c r="J784" s="336">
        <v>20000</v>
      </c>
      <c r="K784" s="538">
        <f t="shared" si="37"/>
        <v>0</v>
      </c>
      <c r="L784" s="539">
        <f t="shared" si="38"/>
        <v>100</v>
      </c>
    </row>
    <row r="785" spans="1:12">
      <c r="A785" s="315">
        <f t="shared" si="36"/>
        <v>784</v>
      </c>
      <c r="B785" s="482"/>
      <c r="C785" s="354" t="s">
        <v>601</v>
      </c>
      <c r="D785" s="354"/>
      <c r="E785" s="354"/>
      <c r="F785" s="343"/>
      <c r="G785" s="344"/>
      <c r="H785" s="628">
        <f>SUBTOTAL(9,H772:H784)</f>
        <v>495590</v>
      </c>
      <c r="I785" s="629">
        <f>SUBTOTAL(9,I772:I784)</f>
        <v>526283</v>
      </c>
      <c r="J785" s="630">
        <f>SUBTOTAL(9,J772:J784)</f>
        <v>526283</v>
      </c>
      <c r="K785" s="631">
        <f t="shared" si="37"/>
        <v>0</v>
      </c>
      <c r="L785" s="632">
        <f t="shared" si="38"/>
        <v>100</v>
      </c>
    </row>
    <row r="786" spans="1:12">
      <c r="A786" s="315">
        <f t="shared" si="36"/>
        <v>785</v>
      </c>
      <c r="B786" s="480">
        <v>7300</v>
      </c>
      <c r="C786" s="353">
        <v>3312</v>
      </c>
      <c r="D786" s="353" t="s">
        <v>602</v>
      </c>
      <c r="E786" s="353">
        <v>5163</v>
      </c>
      <c r="F786" s="356" t="s">
        <v>318</v>
      </c>
      <c r="G786" s="333" t="s">
        <v>603</v>
      </c>
      <c r="H786" s="334">
        <v>0</v>
      </c>
      <c r="I786" s="335">
        <v>1</v>
      </c>
      <c r="J786" s="336">
        <v>1</v>
      </c>
      <c r="K786" s="633">
        <f t="shared" si="37"/>
        <v>0</v>
      </c>
      <c r="L786" s="634">
        <f t="shared" si="38"/>
        <v>100</v>
      </c>
    </row>
    <row r="787" spans="1:12">
      <c r="A787" s="315">
        <f t="shared" si="36"/>
        <v>786</v>
      </c>
      <c r="B787" s="480">
        <v>7300</v>
      </c>
      <c r="C787" s="353">
        <v>3312</v>
      </c>
      <c r="D787" s="353" t="s">
        <v>602</v>
      </c>
      <c r="E787" s="353">
        <v>5169</v>
      </c>
      <c r="F787" s="10" t="s">
        <v>313</v>
      </c>
      <c r="G787" s="333"/>
      <c r="H787" s="334">
        <v>0</v>
      </c>
      <c r="I787" s="335">
        <v>32</v>
      </c>
      <c r="J787" s="336">
        <v>32</v>
      </c>
      <c r="K787" s="538">
        <f t="shared" si="37"/>
        <v>0</v>
      </c>
      <c r="L787" s="539">
        <f t="shared" si="38"/>
        <v>100</v>
      </c>
    </row>
    <row r="788" spans="1:12">
      <c r="A788" s="315">
        <f t="shared" si="36"/>
        <v>787</v>
      </c>
      <c r="B788" s="480">
        <v>7300</v>
      </c>
      <c r="C788" s="353">
        <v>3312</v>
      </c>
      <c r="D788" s="353" t="s">
        <v>602</v>
      </c>
      <c r="E788" s="353">
        <v>5192</v>
      </c>
      <c r="F788" s="383" t="s">
        <v>351</v>
      </c>
      <c r="G788" s="333"/>
      <c r="H788" s="334"/>
      <c r="I788" s="335">
        <v>127</v>
      </c>
      <c r="J788" s="336"/>
      <c r="K788" s="538">
        <f t="shared" si="37"/>
        <v>-127</v>
      </c>
      <c r="L788" s="539">
        <f t="shared" si="38"/>
        <v>0</v>
      </c>
    </row>
    <row r="789" spans="1:12">
      <c r="A789" s="315">
        <f t="shared" si="36"/>
        <v>788</v>
      </c>
      <c r="B789" s="480">
        <v>7300</v>
      </c>
      <c r="C789" s="353">
        <v>3312</v>
      </c>
      <c r="D789" s="353" t="s">
        <v>602</v>
      </c>
      <c r="E789" s="353">
        <v>5212</v>
      </c>
      <c r="F789" s="520" t="s">
        <v>596</v>
      </c>
      <c r="G789" s="598"/>
      <c r="H789" s="334">
        <v>0</v>
      </c>
      <c r="I789" s="335">
        <v>385</v>
      </c>
      <c r="J789" s="336">
        <v>385</v>
      </c>
      <c r="K789" s="538">
        <f t="shared" si="37"/>
        <v>0</v>
      </c>
      <c r="L789" s="539">
        <f t="shared" si="38"/>
        <v>100</v>
      </c>
    </row>
    <row r="790" spans="1:12">
      <c r="A790" s="315">
        <f t="shared" si="36"/>
        <v>789</v>
      </c>
      <c r="B790" s="480">
        <v>7300</v>
      </c>
      <c r="C790" s="353">
        <v>3312</v>
      </c>
      <c r="D790" s="353" t="s">
        <v>602</v>
      </c>
      <c r="E790" s="353">
        <v>5213</v>
      </c>
      <c r="F790" s="520" t="s">
        <v>458</v>
      </c>
      <c r="G790" s="158"/>
      <c r="H790" s="334">
        <v>0</v>
      </c>
      <c r="I790" s="335">
        <v>260</v>
      </c>
      <c r="J790" s="336">
        <v>260</v>
      </c>
      <c r="K790" s="538">
        <f t="shared" si="37"/>
        <v>0</v>
      </c>
      <c r="L790" s="539">
        <f t="shared" si="38"/>
        <v>100</v>
      </c>
    </row>
    <row r="791" spans="1:12">
      <c r="A791" s="315">
        <f t="shared" si="36"/>
        <v>790</v>
      </c>
      <c r="B791" s="480">
        <v>7300</v>
      </c>
      <c r="C791" s="353">
        <v>3312</v>
      </c>
      <c r="D791" s="353" t="s">
        <v>602</v>
      </c>
      <c r="E791" s="353">
        <v>5221</v>
      </c>
      <c r="F791" s="10" t="s">
        <v>451</v>
      </c>
      <c r="G791" s="356"/>
      <c r="H791" s="334">
        <v>900</v>
      </c>
      <c r="I791" s="335">
        <v>980</v>
      </c>
      <c r="J791" s="336">
        <v>980</v>
      </c>
      <c r="K791" s="538">
        <f t="shared" si="37"/>
        <v>0</v>
      </c>
      <c r="L791" s="539">
        <f t="shared" si="38"/>
        <v>100</v>
      </c>
    </row>
    <row r="792" spans="1:12">
      <c r="A792" s="315">
        <f t="shared" si="36"/>
        <v>791</v>
      </c>
      <c r="B792" s="480">
        <v>7300</v>
      </c>
      <c r="C792" s="353">
        <v>3312</v>
      </c>
      <c r="D792" s="353" t="s">
        <v>602</v>
      </c>
      <c r="E792" s="353">
        <v>5222</v>
      </c>
      <c r="F792" s="353" t="s">
        <v>355</v>
      </c>
      <c r="G792" s="356"/>
      <c r="H792" s="334">
        <v>80</v>
      </c>
      <c r="I792" s="335">
        <v>1452</v>
      </c>
      <c r="J792" s="336">
        <v>1452</v>
      </c>
      <c r="K792" s="538">
        <f t="shared" si="37"/>
        <v>0</v>
      </c>
      <c r="L792" s="539">
        <f t="shared" si="38"/>
        <v>100</v>
      </c>
    </row>
    <row r="793" spans="1:12">
      <c r="A793" s="315">
        <f t="shared" si="36"/>
        <v>792</v>
      </c>
      <c r="B793" s="480">
        <v>7300</v>
      </c>
      <c r="C793" s="353">
        <v>3312</v>
      </c>
      <c r="D793" s="353" t="s">
        <v>602</v>
      </c>
      <c r="E793" s="353">
        <v>5223</v>
      </c>
      <c r="F793" s="10" t="s">
        <v>523</v>
      </c>
      <c r="G793" s="333"/>
      <c r="H793" s="334">
        <v>0</v>
      </c>
      <c r="I793" s="335">
        <v>35</v>
      </c>
      <c r="J793" s="336">
        <v>35</v>
      </c>
      <c r="K793" s="538">
        <f t="shared" si="37"/>
        <v>0</v>
      </c>
      <c r="L793" s="539">
        <f t="shared" si="38"/>
        <v>100</v>
      </c>
    </row>
    <row r="794" spans="1:12">
      <c r="A794" s="315">
        <f t="shared" si="36"/>
        <v>793</v>
      </c>
      <c r="B794" s="480">
        <v>7300</v>
      </c>
      <c r="C794" s="353">
        <v>3312</v>
      </c>
      <c r="D794" s="353" t="s">
        <v>602</v>
      </c>
      <c r="E794" s="353">
        <v>5229</v>
      </c>
      <c r="F794" s="383" t="s">
        <v>336</v>
      </c>
      <c r="G794" s="333"/>
      <c r="H794" s="334">
        <v>0</v>
      </c>
      <c r="I794" s="335">
        <v>20</v>
      </c>
      <c r="J794" s="336">
        <v>20</v>
      </c>
      <c r="K794" s="538">
        <f t="shared" si="37"/>
        <v>0</v>
      </c>
      <c r="L794" s="539">
        <f t="shared" si="38"/>
        <v>100</v>
      </c>
    </row>
    <row r="795" spans="1:12">
      <c r="A795" s="315">
        <f t="shared" si="36"/>
        <v>794</v>
      </c>
      <c r="B795" s="480">
        <v>7300</v>
      </c>
      <c r="C795" s="353">
        <v>3312</v>
      </c>
      <c r="D795" s="353" t="s">
        <v>602</v>
      </c>
      <c r="E795" s="353">
        <v>5331</v>
      </c>
      <c r="F795" s="383" t="s">
        <v>338</v>
      </c>
      <c r="G795" s="333" t="s">
        <v>604</v>
      </c>
      <c r="H795" s="334">
        <v>55783</v>
      </c>
      <c r="I795" s="335">
        <v>55295</v>
      </c>
      <c r="J795" s="336">
        <v>55295</v>
      </c>
      <c r="K795" s="538">
        <f t="shared" si="37"/>
        <v>0</v>
      </c>
      <c r="L795" s="539">
        <f t="shared" si="38"/>
        <v>100</v>
      </c>
    </row>
    <row r="796" spans="1:12">
      <c r="A796" s="315">
        <f t="shared" si="36"/>
        <v>795</v>
      </c>
      <c r="B796" s="480">
        <v>7300</v>
      </c>
      <c r="C796" s="353">
        <v>3312</v>
      </c>
      <c r="D796" s="353" t="s">
        <v>602</v>
      </c>
      <c r="E796" s="353">
        <v>5332</v>
      </c>
      <c r="F796" s="10" t="s">
        <v>524</v>
      </c>
      <c r="G796" s="333"/>
      <c r="H796" s="334">
        <v>520</v>
      </c>
      <c r="I796" s="335">
        <v>645</v>
      </c>
      <c r="J796" s="336">
        <v>640</v>
      </c>
      <c r="K796" s="538">
        <f t="shared" si="37"/>
        <v>-5</v>
      </c>
      <c r="L796" s="539">
        <f t="shared" si="38"/>
        <v>99.224806201550393</v>
      </c>
    </row>
    <row r="797" spans="1:12">
      <c r="A797" s="315">
        <f t="shared" si="36"/>
        <v>796</v>
      </c>
      <c r="B797" s="480">
        <v>7300</v>
      </c>
      <c r="C797" s="353">
        <v>3312</v>
      </c>
      <c r="D797" s="353" t="s">
        <v>602</v>
      </c>
      <c r="E797" s="353">
        <v>5336</v>
      </c>
      <c r="F797" s="10" t="s">
        <v>340</v>
      </c>
      <c r="G797" s="333" t="s">
        <v>604</v>
      </c>
      <c r="H797" s="334">
        <v>0</v>
      </c>
      <c r="I797" s="335">
        <v>2592</v>
      </c>
      <c r="J797" s="336">
        <v>2592</v>
      </c>
      <c r="K797" s="538">
        <f t="shared" si="37"/>
        <v>0</v>
      </c>
      <c r="L797" s="539">
        <f t="shared" si="38"/>
        <v>100</v>
      </c>
    </row>
    <row r="798" spans="1:12">
      <c r="A798" s="315">
        <f t="shared" si="36"/>
        <v>797</v>
      </c>
      <c r="B798" s="480">
        <v>7300</v>
      </c>
      <c r="C798" s="353">
        <v>3312</v>
      </c>
      <c r="D798" s="353" t="s">
        <v>602</v>
      </c>
      <c r="E798" s="353">
        <v>5339</v>
      </c>
      <c r="F798" s="12" t="s">
        <v>453</v>
      </c>
      <c r="G798" s="333"/>
      <c r="H798" s="334">
        <v>0</v>
      </c>
      <c r="I798" s="335">
        <v>20</v>
      </c>
      <c r="J798" s="336">
        <v>20</v>
      </c>
      <c r="K798" s="538">
        <f t="shared" si="37"/>
        <v>0</v>
      </c>
      <c r="L798" s="539">
        <f t="shared" si="38"/>
        <v>100</v>
      </c>
    </row>
    <row r="799" spans="1:12">
      <c r="A799" s="315">
        <f t="shared" si="36"/>
        <v>798</v>
      </c>
      <c r="B799" s="482"/>
      <c r="C799" s="354" t="s">
        <v>605</v>
      </c>
      <c r="D799" s="354"/>
      <c r="E799" s="354"/>
      <c r="F799" s="343"/>
      <c r="G799" s="344"/>
      <c r="H799" s="628">
        <f>SUBTOTAL(9,H786:H798)</f>
        <v>57283</v>
      </c>
      <c r="I799" s="629">
        <f>SUBTOTAL(9,I786:I798)</f>
        <v>61844</v>
      </c>
      <c r="J799" s="630">
        <f>SUBTOTAL(9,J786:J798)</f>
        <v>61712</v>
      </c>
      <c r="K799" s="631">
        <f t="shared" si="37"/>
        <v>-132</v>
      </c>
      <c r="L799" s="632">
        <f t="shared" si="38"/>
        <v>99.786559730935906</v>
      </c>
    </row>
    <row r="800" spans="1:12">
      <c r="A800" s="315">
        <f t="shared" si="36"/>
        <v>799</v>
      </c>
      <c r="B800" s="480">
        <v>7300</v>
      </c>
      <c r="C800" s="353">
        <v>3314</v>
      </c>
      <c r="D800" s="353" t="s">
        <v>94</v>
      </c>
      <c r="E800" s="353">
        <v>5331</v>
      </c>
      <c r="F800" s="383" t="s">
        <v>338</v>
      </c>
      <c r="G800" s="333" t="s">
        <v>606</v>
      </c>
      <c r="H800" s="334">
        <v>44733</v>
      </c>
      <c r="I800" s="335">
        <v>46683</v>
      </c>
      <c r="J800" s="336">
        <v>46683</v>
      </c>
      <c r="K800" s="538">
        <f t="shared" si="37"/>
        <v>0</v>
      </c>
      <c r="L800" s="539">
        <f t="shared" si="38"/>
        <v>100</v>
      </c>
    </row>
    <row r="801" spans="1:12">
      <c r="A801" s="315">
        <f t="shared" si="36"/>
        <v>800</v>
      </c>
      <c r="B801" s="480">
        <v>7300</v>
      </c>
      <c r="C801" s="353">
        <v>3314</v>
      </c>
      <c r="D801" s="353" t="s">
        <v>94</v>
      </c>
      <c r="E801" s="353">
        <v>5336</v>
      </c>
      <c r="F801" s="10" t="s">
        <v>340</v>
      </c>
      <c r="G801" s="333" t="s">
        <v>606</v>
      </c>
      <c r="H801" s="334">
        <v>0</v>
      </c>
      <c r="I801" s="335">
        <v>1400</v>
      </c>
      <c r="J801" s="336">
        <v>1400</v>
      </c>
      <c r="K801" s="538">
        <f t="shared" si="37"/>
        <v>0</v>
      </c>
      <c r="L801" s="539">
        <f t="shared" si="38"/>
        <v>100</v>
      </c>
    </row>
    <row r="802" spans="1:12">
      <c r="A802" s="315">
        <f t="shared" si="36"/>
        <v>801</v>
      </c>
      <c r="B802" s="482"/>
      <c r="C802" s="354" t="s">
        <v>607</v>
      </c>
      <c r="D802" s="354"/>
      <c r="E802" s="354"/>
      <c r="F802" s="343"/>
      <c r="G802" s="344"/>
      <c r="H802" s="628">
        <f>SUBTOTAL(9,H800:H800)</f>
        <v>44733</v>
      </c>
      <c r="I802" s="629">
        <f>SUBTOTAL(9,I800:I801)</f>
        <v>48083</v>
      </c>
      <c r="J802" s="630">
        <f>SUBTOTAL(9,J800:J801)</f>
        <v>48083</v>
      </c>
      <c r="K802" s="631">
        <f t="shared" si="37"/>
        <v>0</v>
      </c>
      <c r="L802" s="632">
        <f t="shared" si="38"/>
        <v>100</v>
      </c>
    </row>
    <row r="803" spans="1:12">
      <c r="A803" s="315">
        <f t="shared" si="36"/>
        <v>802</v>
      </c>
      <c r="B803" s="480">
        <v>7300</v>
      </c>
      <c r="C803" s="353">
        <v>3315</v>
      </c>
      <c r="D803" s="353" t="s">
        <v>95</v>
      </c>
      <c r="E803" s="353">
        <v>5331</v>
      </c>
      <c r="F803" s="383" t="s">
        <v>338</v>
      </c>
      <c r="G803" s="333" t="s">
        <v>608</v>
      </c>
      <c r="H803" s="334">
        <v>42386</v>
      </c>
      <c r="I803" s="335">
        <v>41909</v>
      </c>
      <c r="J803" s="336">
        <v>41779</v>
      </c>
      <c r="K803" s="538">
        <f t="shared" si="37"/>
        <v>-130</v>
      </c>
      <c r="L803" s="539">
        <f t="shared" si="38"/>
        <v>99.689804099358142</v>
      </c>
    </row>
    <row r="804" spans="1:12">
      <c r="A804" s="315">
        <f t="shared" si="36"/>
        <v>803</v>
      </c>
      <c r="B804" s="480">
        <v>7300</v>
      </c>
      <c r="C804" s="353">
        <v>3315</v>
      </c>
      <c r="D804" s="353" t="s">
        <v>95</v>
      </c>
      <c r="E804" s="353">
        <v>5336</v>
      </c>
      <c r="F804" s="10" t="s">
        <v>340</v>
      </c>
      <c r="G804" s="333" t="s">
        <v>608</v>
      </c>
      <c r="H804" s="334">
        <v>0</v>
      </c>
      <c r="I804" s="335">
        <v>2263</v>
      </c>
      <c r="J804" s="336">
        <v>2033</v>
      </c>
      <c r="K804" s="538">
        <f t="shared" si="37"/>
        <v>-230</v>
      </c>
      <c r="L804" s="539">
        <f t="shared" si="38"/>
        <v>89.836500220945652</v>
      </c>
    </row>
    <row r="805" spans="1:12">
      <c r="A805" s="315">
        <f t="shared" si="36"/>
        <v>804</v>
      </c>
      <c r="B805" s="482"/>
      <c r="C805" s="354" t="s">
        <v>416</v>
      </c>
      <c r="D805" s="354"/>
      <c r="E805" s="354"/>
      <c r="F805" s="343"/>
      <c r="G805" s="344"/>
      <c r="H805" s="628">
        <f>SUBTOTAL(9,H803:H804)</f>
        <v>42386</v>
      </c>
      <c r="I805" s="629">
        <f>SUBTOTAL(9,I803:I804)</f>
        <v>44172</v>
      </c>
      <c r="J805" s="630">
        <f>SUBTOTAL(9,J803:J804)</f>
        <v>43812</v>
      </c>
      <c r="K805" s="631">
        <f t="shared" si="37"/>
        <v>-360</v>
      </c>
      <c r="L805" s="632">
        <f t="shared" si="38"/>
        <v>99.185004074979616</v>
      </c>
    </row>
    <row r="806" spans="1:12">
      <c r="A806" s="315">
        <f t="shared" si="36"/>
        <v>805</v>
      </c>
      <c r="B806" s="480">
        <v>7300</v>
      </c>
      <c r="C806" s="353">
        <v>3317</v>
      </c>
      <c r="D806" s="353" t="s">
        <v>96</v>
      </c>
      <c r="E806" s="353">
        <v>5212</v>
      </c>
      <c r="F806" s="520" t="s">
        <v>596</v>
      </c>
      <c r="G806" s="598"/>
      <c r="H806" s="334">
        <v>0</v>
      </c>
      <c r="I806" s="335">
        <v>90</v>
      </c>
      <c r="J806" s="336">
        <v>90</v>
      </c>
      <c r="K806" s="538">
        <f t="shared" si="37"/>
        <v>0</v>
      </c>
      <c r="L806" s="539">
        <f t="shared" si="38"/>
        <v>100</v>
      </c>
    </row>
    <row r="807" spans="1:12">
      <c r="A807" s="315">
        <f t="shared" si="36"/>
        <v>806</v>
      </c>
      <c r="B807" s="480">
        <v>7300</v>
      </c>
      <c r="C807" s="353">
        <v>3317</v>
      </c>
      <c r="D807" s="353" t="s">
        <v>96</v>
      </c>
      <c r="E807" s="353">
        <v>5221</v>
      </c>
      <c r="F807" s="10" t="s">
        <v>451</v>
      </c>
      <c r="G807" s="598"/>
      <c r="H807" s="334">
        <v>0</v>
      </c>
      <c r="I807" s="335">
        <v>10</v>
      </c>
      <c r="J807" s="336">
        <v>10</v>
      </c>
      <c r="K807" s="538">
        <f t="shared" si="37"/>
        <v>0</v>
      </c>
      <c r="L807" s="539">
        <f t="shared" si="38"/>
        <v>100</v>
      </c>
    </row>
    <row r="808" spans="1:12">
      <c r="A808" s="315">
        <f t="shared" si="36"/>
        <v>807</v>
      </c>
      <c r="B808" s="480">
        <v>7300</v>
      </c>
      <c r="C808" s="353">
        <v>3317</v>
      </c>
      <c r="D808" s="353" t="s">
        <v>96</v>
      </c>
      <c r="E808" s="353">
        <v>5222</v>
      </c>
      <c r="F808" s="353" t="s">
        <v>355</v>
      </c>
      <c r="G808" s="356"/>
      <c r="H808" s="334">
        <v>0</v>
      </c>
      <c r="I808" s="335">
        <v>235</v>
      </c>
      <c r="J808" s="336">
        <v>235</v>
      </c>
      <c r="K808" s="538">
        <f t="shared" si="37"/>
        <v>0</v>
      </c>
      <c r="L808" s="539">
        <f t="shared" si="38"/>
        <v>100</v>
      </c>
    </row>
    <row r="809" spans="1:12">
      <c r="A809" s="315">
        <f t="shared" si="36"/>
        <v>808</v>
      </c>
      <c r="B809" s="480">
        <v>7300</v>
      </c>
      <c r="C809" s="353">
        <v>3317</v>
      </c>
      <c r="D809" s="353" t="s">
        <v>96</v>
      </c>
      <c r="E809" s="353">
        <v>5223</v>
      </c>
      <c r="F809" s="10" t="s">
        <v>523</v>
      </c>
      <c r="G809" s="356"/>
      <c r="H809" s="334"/>
      <c r="I809" s="335">
        <v>25</v>
      </c>
      <c r="J809" s="336">
        <v>25</v>
      </c>
      <c r="K809" s="538">
        <f t="shared" si="37"/>
        <v>0</v>
      </c>
      <c r="L809" s="539">
        <f t="shared" si="38"/>
        <v>100</v>
      </c>
    </row>
    <row r="810" spans="1:12">
      <c r="A810" s="315">
        <f t="shared" si="36"/>
        <v>809</v>
      </c>
      <c r="B810" s="480">
        <v>7300</v>
      </c>
      <c r="C810" s="353">
        <v>3317</v>
      </c>
      <c r="D810" s="353" t="s">
        <v>96</v>
      </c>
      <c r="E810" s="353">
        <v>5229</v>
      </c>
      <c r="F810" s="383" t="s">
        <v>336</v>
      </c>
      <c r="G810" s="356"/>
      <c r="H810" s="334">
        <v>0</v>
      </c>
      <c r="I810" s="335">
        <v>45</v>
      </c>
      <c r="J810" s="336">
        <v>45</v>
      </c>
      <c r="K810" s="538">
        <f t="shared" si="37"/>
        <v>0</v>
      </c>
      <c r="L810" s="539">
        <f t="shared" si="38"/>
        <v>100</v>
      </c>
    </row>
    <row r="811" spans="1:12">
      <c r="A811" s="315">
        <f t="shared" si="36"/>
        <v>810</v>
      </c>
      <c r="B811" s="480">
        <v>7300</v>
      </c>
      <c r="C811" s="353">
        <v>3317</v>
      </c>
      <c r="D811" s="353" t="s">
        <v>96</v>
      </c>
      <c r="E811" s="353">
        <v>5331</v>
      </c>
      <c r="F811" s="383" t="s">
        <v>338</v>
      </c>
      <c r="G811" s="333" t="s">
        <v>609</v>
      </c>
      <c r="H811" s="334">
        <v>12040</v>
      </c>
      <c r="I811" s="335">
        <v>12202</v>
      </c>
      <c r="J811" s="336">
        <v>12202</v>
      </c>
      <c r="K811" s="538">
        <f t="shared" si="37"/>
        <v>0</v>
      </c>
      <c r="L811" s="539">
        <f t="shared" si="38"/>
        <v>100</v>
      </c>
    </row>
    <row r="812" spans="1:12">
      <c r="A812" s="315">
        <f t="shared" si="36"/>
        <v>811</v>
      </c>
      <c r="B812" s="480">
        <v>7300</v>
      </c>
      <c r="C812" s="353">
        <v>3317</v>
      </c>
      <c r="D812" s="353" t="s">
        <v>96</v>
      </c>
      <c r="E812" s="353">
        <v>5336</v>
      </c>
      <c r="F812" s="10" t="s">
        <v>340</v>
      </c>
      <c r="G812" s="333" t="s">
        <v>609</v>
      </c>
      <c r="H812" s="334">
        <v>0</v>
      </c>
      <c r="I812" s="335">
        <v>765</v>
      </c>
      <c r="J812" s="336">
        <v>765</v>
      </c>
      <c r="K812" s="538">
        <f t="shared" si="37"/>
        <v>0</v>
      </c>
      <c r="L812" s="539">
        <f t="shared" si="38"/>
        <v>100</v>
      </c>
    </row>
    <row r="813" spans="1:12">
      <c r="A813" s="315">
        <f t="shared" si="36"/>
        <v>812</v>
      </c>
      <c r="B813" s="480">
        <v>7300</v>
      </c>
      <c r="C813" s="353">
        <v>3317</v>
      </c>
      <c r="D813" s="353" t="s">
        <v>96</v>
      </c>
      <c r="E813" s="353">
        <v>5339</v>
      </c>
      <c r="F813" s="12" t="s">
        <v>453</v>
      </c>
      <c r="G813" s="333"/>
      <c r="H813" s="334">
        <v>250</v>
      </c>
      <c r="I813" s="335">
        <v>325</v>
      </c>
      <c r="J813" s="336">
        <v>275</v>
      </c>
      <c r="K813" s="538">
        <f t="shared" si="37"/>
        <v>-50</v>
      </c>
      <c r="L813" s="539">
        <f t="shared" si="38"/>
        <v>84.615384615384613</v>
      </c>
    </row>
    <row r="814" spans="1:12">
      <c r="A814" s="315">
        <f t="shared" si="36"/>
        <v>813</v>
      </c>
      <c r="B814" s="482"/>
      <c r="C814" s="354" t="s">
        <v>610</v>
      </c>
      <c r="D814" s="354"/>
      <c r="E814" s="354"/>
      <c r="F814" s="343"/>
      <c r="G814" s="344"/>
      <c r="H814" s="628">
        <f>SUBTOTAL(9,H806:H813)</f>
        <v>12290</v>
      </c>
      <c r="I814" s="629">
        <f>SUBTOTAL(9,I806:I813)</f>
        <v>13697</v>
      </c>
      <c r="J814" s="630">
        <f>SUBTOTAL(9,J806:J813)</f>
        <v>13647</v>
      </c>
      <c r="K814" s="631">
        <f t="shared" si="37"/>
        <v>-50</v>
      </c>
      <c r="L814" s="632">
        <f t="shared" si="38"/>
        <v>99.634956559830627</v>
      </c>
    </row>
    <row r="815" spans="1:12">
      <c r="A815" s="315">
        <f t="shared" si="36"/>
        <v>814</v>
      </c>
      <c r="B815" s="480">
        <v>7300</v>
      </c>
      <c r="C815" s="353">
        <v>3319</v>
      </c>
      <c r="D815" s="353" t="s">
        <v>492</v>
      </c>
      <c r="E815" s="353">
        <v>5139</v>
      </c>
      <c r="F815" s="10" t="s">
        <v>342</v>
      </c>
      <c r="G815" s="333"/>
      <c r="H815" s="334">
        <v>264</v>
      </c>
      <c r="I815" s="335">
        <v>220</v>
      </c>
      <c r="J815" s="336">
        <v>220</v>
      </c>
      <c r="K815" s="538">
        <f t="shared" si="37"/>
        <v>0</v>
      </c>
      <c r="L815" s="539">
        <f t="shared" si="38"/>
        <v>100</v>
      </c>
    </row>
    <row r="816" spans="1:12">
      <c r="A816" s="315">
        <f t="shared" si="36"/>
        <v>815</v>
      </c>
      <c r="B816" s="480">
        <v>7300</v>
      </c>
      <c r="C816" s="353">
        <v>3319</v>
      </c>
      <c r="D816" s="353" t="s">
        <v>492</v>
      </c>
      <c r="E816" s="353">
        <v>5154</v>
      </c>
      <c r="F816" s="383" t="s">
        <v>349</v>
      </c>
      <c r="G816" s="333"/>
      <c r="H816" s="334">
        <v>40</v>
      </c>
      <c r="I816" s="335">
        <v>40</v>
      </c>
      <c r="J816" s="336">
        <v>38</v>
      </c>
      <c r="K816" s="538">
        <f t="shared" si="37"/>
        <v>-2</v>
      </c>
      <c r="L816" s="539">
        <f t="shared" si="38"/>
        <v>95</v>
      </c>
    </row>
    <row r="817" spans="1:12">
      <c r="A817" s="315">
        <f t="shared" si="36"/>
        <v>816</v>
      </c>
      <c r="B817" s="480">
        <v>7300</v>
      </c>
      <c r="C817" s="353">
        <v>3319</v>
      </c>
      <c r="D817" s="353" t="s">
        <v>492</v>
      </c>
      <c r="E817" s="353">
        <v>5163</v>
      </c>
      <c r="F817" s="383" t="s">
        <v>318</v>
      </c>
      <c r="G817" s="333"/>
      <c r="H817" s="334">
        <v>25</v>
      </c>
      <c r="I817" s="335">
        <v>25</v>
      </c>
      <c r="J817" s="336">
        <v>15</v>
      </c>
      <c r="K817" s="538">
        <f t="shared" si="37"/>
        <v>-10</v>
      </c>
      <c r="L817" s="539">
        <f t="shared" si="38"/>
        <v>60</v>
      </c>
    </row>
    <row r="818" spans="1:12">
      <c r="A818" s="315">
        <f t="shared" si="36"/>
        <v>817</v>
      </c>
      <c r="B818" s="480">
        <v>7300</v>
      </c>
      <c r="C818" s="353">
        <v>3319</v>
      </c>
      <c r="D818" s="353" t="s">
        <v>492</v>
      </c>
      <c r="E818" s="353">
        <v>5166</v>
      </c>
      <c r="F818" s="10" t="s">
        <v>309</v>
      </c>
      <c r="G818" s="333"/>
      <c r="H818" s="334">
        <v>100</v>
      </c>
      <c r="I818" s="335">
        <v>75</v>
      </c>
      <c r="J818" s="336">
        <v>9</v>
      </c>
      <c r="K818" s="337">
        <f t="shared" si="37"/>
        <v>-66</v>
      </c>
      <c r="L818" s="338">
        <f t="shared" si="38"/>
        <v>12</v>
      </c>
    </row>
    <row r="819" spans="1:12">
      <c r="A819" s="315">
        <f t="shared" si="36"/>
        <v>818</v>
      </c>
      <c r="B819" s="480">
        <v>7300</v>
      </c>
      <c r="C819" s="353">
        <v>3319</v>
      </c>
      <c r="D819" s="353" t="s">
        <v>492</v>
      </c>
      <c r="E819" s="353">
        <v>5169</v>
      </c>
      <c r="F819" s="10" t="s">
        <v>313</v>
      </c>
      <c r="G819" s="333"/>
      <c r="H819" s="334">
        <v>780</v>
      </c>
      <c r="I819" s="335">
        <v>780</v>
      </c>
      <c r="J819" s="336">
        <v>715</v>
      </c>
      <c r="K819" s="538">
        <f t="shared" si="37"/>
        <v>-65</v>
      </c>
      <c r="L819" s="539">
        <f t="shared" si="38"/>
        <v>91.666666666666657</v>
      </c>
    </row>
    <row r="820" spans="1:12">
      <c r="A820" s="315">
        <f t="shared" si="36"/>
        <v>819</v>
      </c>
      <c r="B820" s="480">
        <v>7300</v>
      </c>
      <c r="C820" s="353">
        <v>3319</v>
      </c>
      <c r="D820" s="353" t="s">
        <v>492</v>
      </c>
      <c r="E820" s="353">
        <v>5175</v>
      </c>
      <c r="F820" s="383" t="s">
        <v>335</v>
      </c>
      <c r="G820" s="356"/>
      <c r="H820" s="334">
        <v>10</v>
      </c>
      <c r="I820" s="335">
        <v>10</v>
      </c>
      <c r="J820" s="336">
        <v>4</v>
      </c>
      <c r="K820" s="538">
        <f t="shared" si="37"/>
        <v>-6</v>
      </c>
      <c r="L820" s="539">
        <f t="shared" si="38"/>
        <v>40</v>
      </c>
    </row>
    <row r="821" spans="1:12">
      <c r="A821" s="315">
        <f t="shared" si="36"/>
        <v>820</v>
      </c>
      <c r="B821" s="480">
        <v>7300</v>
      </c>
      <c r="C821" s="353">
        <v>3319</v>
      </c>
      <c r="D821" s="353" t="s">
        <v>492</v>
      </c>
      <c r="E821" s="353">
        <v>5212</v>
      </c>
      <c r="F821" s="520" t="s">
        <v>596</v>
      </c>
      <c r="G821" s="598"/>
      <c r="H821" s="334">
        <v>0</v>
      </c>
      <c r="I821" s="335">
        <v>355</v>
      </c>
      <c r="J821" s="336">
        <v>300</v>
      </c>
      <c r="K821" s="538">
        <f t="shared" si="37"/>
        <v>-55</v>
      </c>
      <c r="L821" s="539">
        <f t="shared" si="38"/>
        <v>84.507042253521121</v>
      </c>
    </row>
    <row r="822" spans="1:12">
      <c r="A822" s="315">
        <f t="shared" si="36"/>
        <v>821</v>
      </c>
      <c r="B822" s="480">
        <v>7300</v>
      </c>
      <c r="C822" s="353">
        <v>3319</v>
      </c>
      <c r="D822" s="353" t="s">
        <v>492</v>
      </c>
      <c r="E822" s="353">
        <v>5213</v>
      </c>
      <c r="F822" s="520" t="s">
        <v>458</v>
      </c>
      <c r="G822" s="158"/>
      <c r="H822" s="334">
        <v>200</v>
      </c>
      <c r="I822" s="335">
        <v>755</v>
      </c>
      <c r="J822" s="336">
        <v>755</v>
      </c>
      <c r="K822" s="538">
        <f t="shared" si="37"/>
        <v>0</v>
      </c>
      <c r="L822" s="539">
        <f t="shared" si="38"/>
        <v>100</v>
      </c>
    </row>
    <row r="823" spans="1:12">
      <c r="A823" s="315">
        <f t="shared" si="36"/>
        <v>822</v>
      </c>
      <c r="B823" s="480">
        <v>7300</v>
      </c>
      <c r="C823" s="353">
        <v>3319</v>
      </c>
      <c r="D823" s="353" t="s">
        <v>492</v>
      </c>
      <c r="E823" s="353">
        <v>5221</v>
      </c>
      <c r="F823" s="10" t="s">
        <v>451</v>
      </c>
      <c r="G823" s="356"/>
      <c r="H823" s="334">
        <v>0</v>
      </c>
      <c r="I823" s="335">
        <v>180</v>
      </c>
      <c r="J823" s="336">
        <v>180</v>
      </c>
      <c r="K823" s="538">
        <f t="shared" si="37"/>
        <v>0</v>
      </c>
      <c r="L823" s="539">
        <f t="shared" si="38"/>
        <v>100</v>
      </c>
    </row>
    <row r="824" spans="1:12">
      <c r="A824" s="315">
        <f t="shared" si="36"/>
        <v>823</v>
      </c>
      <c r="B824" s="480">
        <v>7300</v>
      </c>
      <c r="C824" s="353">
        <v>3319</v>
      </c>
      <c r="D824" s="353" t="s">
        <v>492</v>
      </c>
      <c r="E824" s="353">
        <v>5222</v>
      </c>
      <c r="F824" s="353" t="s">
        <v>355</v>
      </c>
      <c r="G824" s="356"/>
      <c r="H824" s="334">
        <v>10040</v>
      </c>
      <c r="I824" s="335">
        <v>3068</v>
      </c>
      <c r="J824" s="336">
        <v>3028</v>
      </c>
      <c r="K824" s="538">
        <f t="shared" si="37"/>
        <v>-40</v>
      </c>
      <c r="L824" s="539">
        <f t="shared" si="38"/>
        <v>98.696219035202077</v>
      </c>
    </row>
    <row r="825" spans="1:12">
      <c r="A825" s="315">
        <f t="shared" si="36"/>
        <v>824</v>
      </c>
      <c r="B825" s="480">
        <v>7300</v>
      </c>
      <c r="C825" s="353">
        <v>3319</v>
      </c>
      <c r="D825" s="353" t="s">
        <v>492</v>
      </c>
      <c r="E825" s="353">
        <v>5223</v>
      </c>
      <c r="F825" s="10" t="s">
        <v>523</v>
      </c>
      <c r="G825" s="333"/>
      <c r="H825" s="334">
        <v>0</v>
      </c>
      <c r="I825" s="335">
        <v>125</v>
      </c>
      <c r="J825" s="336">
        <v>125</v>
      </c>
      <c r="K825" s="538">
        <f t="shared" si="37"/>
        <v>0</v>
      </c>
      <c r="L825" s="539">
        <f t="shared" si="38"/>
        <v>100</v>
      </c>
    </row>
    <row r="826" spans="1:12">
      <c r="A826" s="315">
        <f t="shared" si="36"/>
        <v>825</v>
      </c>
      <c r="B826" s="480">
        <v>7300</v>
      </c>
      <c r="C826" s="353">
        <v>3319</v>
      </c>
      <c r="D826" s="353" t="s">
        <v>492</v>
      </c>
      <c r="E826" s="353">
        <v>5229</v>
      </c>
      <c r="F826" s="383" t="s">
        <v>336</v>
      </c>
      <c r="G826" s="445"/>
      <c r="H826" s="334">
        <v>0</v>
      </c>
      <c r="I826" s="335">
        <v>70</v>
      </c>
      <c r="J826" s="336">
        <v>70</v>
      </c>
      <c r="K826" s="538">
        <f t="shared" si="37"/>
        <v>0</v>
      </c>
      <c r="L826" s="539">
        <f t="shared" si="38"/>
        <v>100</v>
      </c>
    </row>
    <row r="827" spans="1:12">
      <c r="A827" s="315">
        <f t="shared" si="36"/>
        <v>826</v>
      </c>
      <c r="B827" s="480">
        <v>7300</v>
      </c>
      <c r="C827" s="353">
        <v>3319</v>
      </c>
      <c r="D827" s="353" t="s">
        <v>492</v>
      </c>
      <c r="E827" s="353">
        <v>5331</v>
      </c>
      <c r="F827" s="383" t="s">
        <v>338</v>
      </c>
      <c r="G827" s="333" t="s">
        <v>611</v>
      </c>
      <c r="H827" s="334">
        <v>6623</v>
      </c>
      <c r="I827" s="335">
        <v>6623</v>
      </c>
      <c r="J827" s="336">
        <v>6623</v>
      </c>
      <c r="K827" s="538">
        <f t="shared" si="37"/>
        <v>0</v>
      </c>
      <c r="L827" s="539">
        <f t="shared" si="38"/>
        <v>100</v>
      </c>
    </row>
    <row r="828" spans="1:12">
      <c r="A828" s="315">
        <f t="shared" si="36"/>
        <v>827</v>
      </c>
      <c r="B828" s="480">
        <v>7300</v>
      </c>
      <c r="C828" s="353">
        <v>3319</v>
      </c>
      <c r="D828" s="353" t="s">
        <v>492</v>
      </c>
      <c r="E828" s="353">
        <v>5332</v>
      </c>
      <c r="F828" s="10" t="s">
        <v>524</v>
      </c>
      <c r="G828" s="333"/>
      <c r="H828" s="334">
        <v>0</v>
      </c>
      <c r="I828" s="335">
        <v>30</v>
      </c>
      <c r="J828" s="336">
        <v>30</v>
      </c>
      <c r="K828" s="538">
        <f t="shared" si="37"/>
        <v>0</v>
      </c>
      <c r="L828" s="539">
        <f t="shared" si="38"/>
        <v>100</v>
      </c>
    </row>
    <row r="829" spans="1:12">
      <c r="A829" s="315">
        <f t="shared" si="36"/>
        <v>828</v>
      </c>
      <c r="B829" s="480">
        <v>7300</v>
      </c>
      <c r="C829" s="353">
        <v>3319</v>
      </c>
      <c r="D829" s="353" t="s">
        <v>492</v>
      </c>
      <c r="E829" s="353">
        <v>5336</v>
      </c>
      <c r="F829" s="10" t="s">
        <v>340</v>
      </c>
      <c r="G829" s="333" t="s">
        <v>611</v>
      </c>
      <c r="H829" s="334">
        <v>0</v>
      </c>
      <c r="I829" s="335">
        <v>481</v>
      </c>
      <c r="J829" s="336">
        <v>481</v>
      </c>
      <c r="K829" s="538">
        <f t="shared" si="37"/>
        <v>0</v>
      </c>
      <c r="L829" s="539">
        <f t="shared" si="38"/>
        <v>100</v>
      </c>
    </row>
    <row r="830" spans="1:12">
      <c r="A830" s="315">
        <f t="shared" si="36"/>
        <v>829</v>
      </c>
      <c r="B830" s="480">
        <v>7300</v>
      </c>
      <c r="C830" s="353">
        <v>3319</v>
      </c>
      <c r="D830" s="353" t="s">
        <v>492</v>
      </c>
      <c r="E830" s="353">
        <v>5339</v>
      </c>
      <c r="F830" s="12" t="s">
        <v>453</v>
      </c>
      <c r="G830" s="333"/>
      <c r="H830" s="334">
        <v>0</v>
      </c>
      <c r="I830" s="335">
        <v>75</v>
      </c>
      <c r="J830" s="336">
        <v>75</v>
      </c>
      <c r="K830" s="538">
        <f t="shared" si="37"/>
        <v>0</v>
      </c>
      <c r="L830" s="539">
        <f t="shared" si="38"/>
        <v>100</v>
      </c>
    </row>
    <row r="831" spans="1:12">
      <c r="A831" s="315">
        <f t="shared" si="36"/>
        <v>830</v>
      </c>
      <c r="B831" s="480">
        <v>7300</v>
      </c>
      <c r="C831" s="353">
        <v>3319</v>
      </c>
      <c r="D831" s="353" t="s">
        <v>492</v>
      </c>
      <c r="E831" s="353">
        <v>5366</v>
      </c>
      <c r="F831" s="10" t="s">
        <v>325</v>
      </c>
      <c r="G831" s="333"/>
      <c r="H831" s="334"/>
      <c r="I831" s="335">
        <v>140</v>
      </c>
      <c r="J831" s="336">
        <v>140</v>
      </c>
      <c r="K831" s="538">
        <f t="shared" si="37"/>
        <v>0</v>
      </c>
      <c r="L831" s="539">
        <f t="shared" si="38"/>
        <v>100</v>
      </c>
    </row>
    <row r="832" spans="1:12">
      <c r="A832" s="315">
        <f t="shared" si="36"/>
        <v>831</v>
      </c>
      <c r="B832" s="482"/>
      <c r="C832" s="354" t="s">
        <v>417</v>
      </c>
      <c r="D832" s="354"/>
      <c r="E832" s="354"/>
      <c r="F832" s="374"/>
      <c r="G832" s="485"/>
      <c r="H832" s="628">
        <f>SUBTOTAL(9,H815:H830)</f>
        <v>18082</v>
      </c>
      <c r="I832" s="629">
        <f>SUBTOTAL(9,I815:I831)</f>
        <v>13052</v>
      </c>
      <c r="J832" s="630">
        <f>SUBTOTAL(9,J815:J831)</f>
        <v>12808</v>
      </c>
      <c r="K832" s="631">
        <f t="shared" si="37"/>
        <v>-244</v>
      </c>
      <c r="L832" s="632">
        <f t="shared" si="38"/>
        <v>98.130554704259893</v>
      </c>
    </row>
    <row r="833" spans="1:12">
      <c r="A833" s="315">
        <f t="shared" si="36"/>
        <v>832</v>
      </c>
      <c r="B833" s="480">
        <v>7300</v>
      </c>
      <c r="C833" s="353">
        <v>3326</v>
      </c>
      <c r="D833" s="353" t="s">
        <v>419</v>
      </c>
      <c r="E833" s="353">
        <v>5171</v>
      </c>
      <c r="F833" s="353" t="s">
        <v>394</v>
      </c>
      <c r="G833" s="356"/>
      <c r="H833" s="334">
        <v>1200</v>
      </c>
      <c r="I833" s="335">
        <v>1167</v>
      </c>
      <c r="J833" s="336">
        <v>994</v>
      </c>
      <c r="K833" s="337">
        <f t="shared" si="37"/>
        <v>-173</v>
      </c>
      <c r="L833" s="338">
        <f t="shared" si="38"/>
        <v>85.175664095972579</v>
      </c>
    </row>
    <row r="834" spans="1:12">
      <c r="A834" s="315">
        <f t="shared" si="36"/>
        <v>833</v>
      </c>
      <c r="B834" s="635"/>
      <c r="C834" s="636" t="s">
        <v>420</v>
      </c>
      <c r="D834" s="636"/>
      <c r="E834" s="636"/>
      <c r="F834" s="636"/>
      <c r="G834" s="637"/>
      <c r="H834" s="628">
        <f>SUBTOTAL(9,H833)</f>
        <v>1200</v>
      </c>
      <c r="I834" s="629">
        <f>SUBTOTAL(9,I833)</f>
        <v>1167</v>
      </c>
      <c r="J834" s="630">
        <f>SUBTOTAL(9,J833)</f>
        <v>994</v>
      </c>
      <c r="K834" s="631">
        <f t="shared" si="37"/>
        <v>-173</v>
      </c>
      <c r="L834" s="632">
        <f t="shared" si="38"/>
        <v>85.175664095972579</v>
      </c>
    </row>
    <row r="835" spans="1:12">
      <c r="A835" s="315">
        <f t="shared" si="36"/>
        <v>834</v>
      </c>
      <c r="B835" s="480">
        <v>7300</v>
      </c>
      <c r="C835" s="353">
        <v>3329</v>
      </c>
      <c r="D835" s="353" t="s">
        <v>612</v>
      </c>
      <c r="E835" s="353">
        <v>5329</v>
      </c>
      <c r="F835" s="10" t="s">
        <v>475</v>
      </c>
      <c r="G835" s="638" t="s">
        <v>613</v>
      </c>
      <c r="H835" s="334">
        <v>100</v>
      </c>
      <c r="I835" s="335">
        <v>150</v>
      </c>
      <c r="J835" s="336">
        <v>150</v>
      </c>
      <c r="K835" s="337">
        <f t="shared" si="37"/>
        <v>0</v>
      </c>
      <c r="L835" s="338">
        <f t="shared" si="38"/>
        <v>100</v>
      </c>
    </row>
    <row r="836" spans="1:12">
      <c r="A836" s="315">
        <f t="shared" ref="A836:A899" si="39">A835+1</f>
        <v>835</v>
      </c>
      <c r="B836" s="635"/>
      <c r="C836" s="636" t="s">
        <v>614</v>
      </c>
      <c r="D836" s="636"/>
      <c r="E836" s="636"/>
      <c r="F836" s="636"/>
      <c r="G836" s="637"/>
      <c r="H836" s="628">
        <f>SUBTOTAL(9,H835)</f>
        <v>100</v>
      </c>
      <c r="I836" s="629">
        <f>SUBTOTAL(9,I835)</f>
        <v>150</v>
      </c>
      <c r="J836" s="630">
        <f>SUBTOTAL(9,J835)</f>
        <v>150</v>
      </c>
      <c r="K836" s="631">
        <f t="shared" si="37"/>
        <v>0</v>
      </c>
      <c r="L836" s="632">
        <f t="shared" si="38"/>
        <v>100</v>
      </c>
    </row>
    <row r="837" spans="1:12" ht="13.5" thickBot="1">
      <c r="A837" s="315">
        <f t="shared" si="39"/>
        <v>836</v>
      </c>
      <c r="B837" s="29" t="s">
        <v>27</v>
      </c>
      <c r="C837" s="357"/>
      <c r="D837" s="357"/>
      <c r="E837" s="357"/>
      <c r="F837" s="357"/>
      <c r="G837" s="358"/>
      <c r="H837" s="359">
        <f>SUBTOTAL(9,H772:H836)</f>
        <v>671664</v>
      </c>
      <c r="I837" s="360">
        <f>SUBTOTAL(9,I772:I836)</f>
        <v>708448</v>
      </c>
      <c r="J837" s="361">
        <f>SUBTOTAL(9,J772:J836)</f>
        <v>707489</v>
      </c>
      <c r="K837" s="362">
        <f t="shared" ref="K837:K900" si="40">J837-I837</f>
        <v>-959</v>
      </c>
      <c r="L837" s="363">
        <f t="shared" ref="L837:L900" si="41">IF(I837&lt;=0,0,J837/I837*100)</f>
        <v>99.864633678124576</v>
      </c>
    </row>
    <row r="838" spans="1:12" ht="12.75" customHeight="1">
      <c r="A838" s="315">
        <f t="shared" si="39"/>
        <v>837</v>
      </c>
      <c r="B838" s="482"/>
      <c r="C838" s="354"/>
      <c r="D838" s="354"/>
      <c r="E838" s="354"/>
      <c r="F838" s="354"/>
      <c r="G838" s="355"/>
      <c r="H838" s="628"/>
      <c r="I838" s="629"/>
      <c r="J838" s="630"/>
      <c r="K838" s="631">
        <f t="shared" si="40"/>
        <v>0</v>
      </c>
      <c r="L838" s="632">
        <f t="shared" si="41"/>
        <v>0</v>
      </c>
    </row>
    <row r="839" spans="1:12" ht="15.75">
      <c r="A839" s="315">
        <f t="shared" si="39"/>
        <v>838</v>
      </c>
      <c r="B839" s="639" t="s">
        <v>41</v>
      </c>
      <c r="C839" s="425"/>
      <c r="D839" s="425"/>
      <c r="E839" s="425"/>
      <c r="F839" s="425"/>
      <c r="G839" s="426"/>
      <c r="H839" s="400"/>
      <c r="I839" s="401"/>
      <c r="J839" s="402"/>
      <c r="K839" s="403">
        <f t="shared" si="40"/>
        <v>0</v>
      </c>
      <c r="L839" s="404">
        <f t="shared" si="41"/>
        <v>0</v>
      </c>
    </row>
    <row r="840" spans="1:12">
      <c r="A840" s="315">
        <f t="shared" si="39"/>
        <v>839</v>
      </c>
      <c r="B840" s="381">
        <v>7400</v>
      </c>
      <c r="C840" s="10">
        <v>3111</v>
      </c>
      <c r="D840" s="10" t="s">
        <v>99</v>
      </c>
      <c r="E840" s="10">
        <v>5166</v>
      </c>
      <c r="F840" s="10" t="s">
        <v>309</v>
      </c>
      <c r="G840" s="333"/>
      <c r="H840" s="334">
        <v>150</v>
      </c>
      <c r="I840" s="335">
        <v>49</v>
      </c>
      <c r="J840" s="336"/>
      <c r="K840" s="337">
        <f t="shared" si="40"/>
        <v>-49</v>
      </c>
      <c r="L840" s="338">
        <f t="shared" si="41"/>
        <v>0</v>
      </c>
    </row>
    <row r="841" spans="1:12">
      <c r="A841" s="315">
        <f t="shared" si="39"/>
        <v>840</v>
      </c>
      <c r="B841" s="381">
        <v>7400</v>
      </c>
      <c r="C841" s="10">
        <v>3111</v>
      </c>
      <c r="D841" s="10" t="s">
        <v>99</v>
      </c>
      <c r="E841" s="10">
        <v>5171</v>
      </c>
      <c r="F841" s="10" t="s">
        <v>394</v>
      </c>
      <c r="G841" s="333" t="s">
        <v>615</v>
      </c>
      <c r="H841" s="334">
        <v>410</v>
      </c>
      <c r="I841" s="335">
        <v>440</v>
      </c>
      <c r="J841" s="336">
        <v>439</v>
      </c>
      <c r="K841" s="337">
        <f t="shared" si="40"/>
        <v>-1</v>
      </c>
      <c r="L841" s="338">
        <f t="shared" si="41"/>
        <v>99.772727272727266</v>
      </c>
    </row>
    <row r="842" spans="1:12">
      <c r="A842" s="315">
        <f t="shared" si="39"/>
        <v>841</v>
      </c>
      <c r="B842" s="381">
        <v>7400</v>
      </c>
      <c r="C842" s="10">
        <v>3111</v>
      </c>
      <c r="D842" s="10" t="s">
        <v>99</v>
      </c>
      <c r="E842" s="10">
        <v>5192</v>
      </c>
      <c r="F842" s="10" t="s">
        <v>351</v>
      </c>
      <c r="G842" s="333"/>
      <c r="H842" s="334">
        <v>0</v>
      </c>
      <c r="I842" s="335">
        <v>8</v>
      </c>
      <c r="J842" s="336">
        <v>8</v>
      </c>
      <c r="K842" s="337">
        <f t="shared" si="40"/>
        <v>0</v>
      </c>
      <c r="L842" s="338">
        <f t="shared" si="41"/>
        <v>100</v>
      </c>
    </row>
    <row r="843" spans="1:12">
      <c r="A843" s="315">
        <f t="shared" si="39"/>
        <v>842</v>
      </c>
      <c r="B843" s="381">
        <v>7400</v>
      </c>
      <c r="C843" s="10">
        <v>3111</v>
      </c>
      <c r="D843" s="10" t="s">
        <v>99</v>
      </c>
      <c r="E843" s="10">
        <v>5331</v>
      </c>
      <c r="F843" s="383" t="s">
        <v>338</v>
      </c>
      <c r="G843" s="333" t="s">
        <v>616</v>
      </c>
      <c r="H843" s="334">
        <v>642</v>
      </c>
      <c r="I843" s="335">
        <v>642</v>
      </c>
      <c r="J843" s="336">
        <v>642</v>
      </c>
      <c r="K843" s="337">
        <f t="shared" si="40"/>
        <v>0</v>
      </c>
      <c r="L843" s="338">
        <f t="shared" si="41"/>
        <v>100</v>
      </c>
    </row>
    <row r="844" spans="1:12">
      <c r="A844" s="315">
        <f t="shared" si="39"/>
        <v>843</v>
      </c>
      <c r="B844" s="381">
        <v>7400</v>
      </c>
      <c r="C844" s="10">
        <v>3111</v>
      </c>
      <c r="D844" s="10" t="s">
        <v>99</v>
      </c>
      <c r="E844" s="10">
        <v>5331</v>
      </c>
      <c r="F844" s="383" t="s">
        <v>338</v>
      </c>
      <c r="G844" s="333" t="s">
        <v>617</v>
      </c>
      <c r="H844" s="334">
        <v>1019</v>
      </c>
      <c r="I844" s="335">
        <v>1082</v>
      </c>
      <c r="J844" s="336">
        <v>1082</v>
      </c>
      <c r="K844" s="337">
        <f t="shared" si="40"/>
        <v>0</v>
      </c>
      <c r="L844" s="338">
        <f t="shared" si="41"/>
        <v>100</v>
      </c>
    </row>
    <row r="845" spans="1:12">
      <c r="A845" s="315">
        <f t="shared" si="39"/>
        <v>844</v>
      </c>
      <c r="B845" s="381">
        <v>7400</v>
      </c>
      <c r="C845" s="10">
        <v>3111</v>
      </c>
      <c r="D845" s="10" t="s">
        <v>99</v>
      </c>
      <c r="E845" s="10">
        <v>5331</v>
      </c>
      <c r="F845" s="383" t="s">
        <v>338</v>
      </c>
      <c r="G845" s="333" t="s">
        <v>618</v>
      </c>
      <c r="H845" s="334">
        <v>228</v>
      </c>
      <c r="I845" s="335">
        <v>228</v>
      </c>
      <c r="J845" s="336">
        <v>228</v>
      </c>
      <c r="K845" s="337">
        <f t="shared" si="40"/>
        <v>0</v>
      </c>
      <c r="L845" s="338">
        <f t="shared" si="41"/>
        <v>100</v>
      </c>
    </row>
    <row r="846" spans="1:12">
      <c r="A846" s="315">
        <f t="shared" si="39"/>
        <v>845</v>
      </c>
      <c r="B846" s="424"/>
      <c r="C846" s="425" t="s">
        <v>489</v>
      </c>
      <c r="D846" s="425"/>
      <c r="E846" s="425"/>
      <c r="F846" s="425"/>
      <c r="G846" s="426"/>
      <c r="H846" s="427">
        <f>SUBTOTAL(9,H840:H845)</f>
        <v>2449</v>
      </c>
      <c r="I846" s="428">
        <f>SUBTOTAL(9,I840:I845)</f>
        <v>2449</v>
      </c>
      <c r="J846" s="429">
        <f>SUBTOTAL(9,J840:J845)</f>
        <v>2399</v>
      </c>
      <c r="K846" s="430">
        <f t="shared" si="40"/>
        <v>-50</v>
      </c>
      <c r="L846" s="431">
        <f t="shared" si="41"/>
        <v>97.95835034708044</v>
      </c>
    </row>
    <row r="847" spans="1:12">
      <c r="A847" s="315">
        <f t="shared" si="39"/>
        <v>846</v>
      </c>
      <c r="B847" s="381">
        <v>7400</v>
      </c>
      <c r="C847" s="10">
        <v>3113</v>
      </c>
      <c r="D847" s="10" t="s">
        <v>23</v>
      </c>
      <c r="E847" s="10">
        <v>5137</v>
      </c>
      <c r="F847" s="10" t="s">
        <v>346</v>
      </c>
      <c r="G847" s="158" t="s">
        <v>619</v>
      </c>
      <c r="H847" s="334">
        <v>1350</v>
      </c>
      <c r="I847" s="335">
        <v>0</v>
      </c>
      <c r="J847" s="336">
        <v>0</v>
      </c>
      <c r="K847" s="538">
        <f t="shared" si="40"/>
        <v>0</v>
      </c>
      <c r="L847" s="539">
        <f t="shared" si="41"/>
        <v>0</v>
      </c>
    </row>
    <row r="848" spans="1:12">
      <c r="A848" s="315">
        <f t="shared" si="39"/>
        <v>847</v>
      </c>
      <c r="B848" s="381">
        <v>7400</v>
      </c>
      <c r="C848" s="10">
        <v>3113</v>
      </c>
      <c r="D848" s="10" t="s">
        <v>23</v>
      </c>
      <c r="E848" s="10">
        <v>5139</v>
      </c>
      <c r="F848" s="10" t="s">
        <v>342</v>
      </c>
      <c r="G848" s="158"/>
      <c r="H848" s="334"/>
      <c r="I848" s="335">
        <v>30</v>
      </c>
      <c r="J848" s="336">
        <v>30</v>
      </c>
      <c r="K848" s="538">
        <f t="shared" si="40"/>
        <v>0</v>
      </c>
      <c r="L848" s="539">
        <f t="shared" si="41"/>
        <v>100</v>
      </c>
    </row>
    <row r="849" spans="1:12">
      <c r="A849" s="315">
        <f t="shared" si="39"/>
        <v>848</v>
      </c>
      <c r="B849" s="381">
        <v>7400</v>
      </c>
      <c r="C849" s="10">
        <v>3113</v>
      </c>
      <c r="D849" s="10" t="s">
        <v>23</v>
      </c>
      <c r="E849" s="10">
        <v>5164</v>
      </c>
      <c r="F849" s="10" t="s">
        <v>350</v>
      </c>
      <c r="G849" s="333" t="s">
        <v>620</v>
      </c>
      <c r="H849" s="334">
        <v>2039</v>
      </c>
      <c r="I849" s="335">
        <v>2039</v>
      </c>
      <c r="J849" s="336">
        <v>1674</v>
      </c>
      <c r="K849" s="538">
        <f t="shared" si="40"/>
        <v>-365</v>
      </c>
      <c r="L849" s="539">
        <f t="shared" si="41"/>
        <v>82.099068170671899</v>
      </c>
    </row>
    <row r="850" spans="1:12">
      <c r="A850" s="315">
        <f t="shared" si="39"/>
        <v>849</v>
      </c>
      <c r="B850" s="381">
        <v>7400</v>
      </c>
      <c r="C850" s="10">
        <v>3113</v>
      </c>
      <c r="D850" s="10" t="s">
        <v>23</v>
      </c>
      <c r="E850" s="10">
        <v>5166</v>
      </c>
      <c r="F850" s="10" t="s">
        <v>309</v>
      </c>
      <c r="G850" s="333"/>
      <c r="H850" s="334">
        <v>150</v>
      </c>
      <c r="I850" s="335">
        <v>93</v>
      </c>
      <c r="J850" s="336"/>
      <c r="K850" s="538">
        <f t="shared" si="40"/>
        <v>-93</v>
      </c>
      <c r="L850" s="539">
        <f t="shared" si="41"/>
        <v>0</v>
      </c>
    </row>
    <row r="851" spans="1:12">
      <c r="A851" s="315">
        <f t="shared" si="39"/>
        <v>850</v>
      </c>
      <c r="B851" s="381">
        <v>7400</v>
      </c>
      <c r="C851" s="10">
        <v>3113</v>
      </c>
      <c r="D851" s="10" t="s">
        <v>23</v>
      </c>
      <c r="E851" s="10">
        <v>5169</v>
      </c>
      <c r="F851" s="10" t="s">
        <v>313</v>
      </c>
      <c r="G851" s="333" t="s">
        <v>621</v>
      </c>
      <c r="H851" s="334">
        <v>1500</v>
      </c>
      <c r="I851" s="335">
        <v>121</v>
      </c>
      <c r="J851" s="336">
        <v>121</v>
      </c>
      <c r="K851" s="538">
        <f t="shared" si="40"/>
        <v>0</v>
      </c>
      <c r="L851" s="539">
        <f t="shared" si="41"/>
        <v>100</v>
      </c>
    </row>
    <row r="852" spans="1:12">
      <c r="A852" s="315">
        <f t="shared" si="39"/>
        <v>851</v>
      </c>
      <c r="B852" s="640">
        <v>7400</v>
      </c>
      <c r="C852" s="641">
        <v>3113</v>
      </c>
      <c r="D852" s="641" t="s">
        <v>23</v>
      </c>
      <c r="E852" s="641">
        <v>5169</v>
      </c>
      <c r="F852" s="10" t="s">
        <v>313</v>
      </c>
      <c r="G852" s="333" t="s">
        <v>620</v>
      </c>
      <c r="H852" s="334">
        <v>2163</v>
      </c>
      <c r="I852" s="335">
        <v>0</v>
      </c>
      <c r="J852" s="336"/>
      <c r="K852" s="538">
        <f t="shared" si="40"/>
        <v>0</v>
      </c>
      <c r="L852" s="539">
        <f t="shared" si="41"/>
        <v>0</v>
      </c>
    </row>
    <row r="853" spans="1:12">
      <c r="A853" s="315">
        <f t="shared" si="39"/>
        <v>852</v>
      </c>
      <c r="B853" s="640">
        <v>7400</v>
      </c>
      <c r="C853" s="641">
        <v>3113</v>
      </c>
      <c r="D853" s="641" t="s">
        <v>23</v>
      </c>
      <c r="E853" s="641">
        <v>5171</v>
      </c>
      <c r="F853" s="10" t="s">
        <v>394</v>
      </c>
      <c r="G853" s="333" t="s">
        <v>622</v>
      </c>
      <c r="H853" s="334">
        <v>700</v>
      </c>
      <c r="I853" s="335">
        <v>700</v>
      </c>
      <c r="J853" s="336">
        <v>527</v>
      </c>
      <c r="K853" s="538">
        <f t="shared" si="40"/>
        <v>-173</v>
      </c>
      <c r="L853" s="539">
        <f t="shared" si="41"/>
        <v>75.285714285714292</v>
      </c>
    </row>
    <row r="854" spans="1:12">
      <c r="A854" s="315">
        <f t="shared" si="39"/>
        <v>853</v>
      </c>
      <c r="B854" s="640">
        <v>7400</v>
      </c>
      <c r="C854" s="641">
        <v>3113</v>
      </c>
      <c r="D854" s="641" t="s">
        <v>23</v>
      </c>
      <c r="E854" s="641">
        <v>5192</v>
      </c>
      <c r="F854" s="10" t="s">
        <v>351</v>
      </c>
      <c r="G854" s="333"/>
      <c r="H854" s="334">
        <v>0</v>
      </c>
      <c r="I854" s="335">
        <v>57</v>
      </c>
      <c r="J854" s="336">
        <v>56</v>
      </c>
      <c r="K854" s="538">
        <f t="shared" si="40"/>
        <v>-1</v>
      </c>
      <c r="L854" s="539">
        <f t="shared" si="41"/>
        <v>98.245614035087712</v>
      </c>
    </row>
    <row r="855" spans="1:12">
      <c r="A855" s="315">
        <f t="shared" si="39"/>
        <v>854</v>
      </c>
      <c r="B855" s="640">
        <v>7400</v>
      </c>
      <c r="C855" s="641">
        <v>3113</v>
      </c>
      <c r="D855" s="641" t="s">
        <v>23</v>
      </c>
      <c r="E855" s="641">
        <v>5331</v>
      </c>
      <c r="F855" s="383" t="s">
        <v>338</v>
      </c>
      <c r="G855" s="333" t="s">
        <v>623</v>
      </c>
      <c r="H855" s="334">
        <v>2022</v>
      </c>
      <c r="I855" s="335">
        <v>2022</v>
      </c>
      <c r="J855" s="336">
        <v>2022</v>
      </c>
      <c r="K855" s="538">
        <f t="shared" si="40"/>
        <v>0</v>
      </c>
      <c r="L855" s="539">
        <f t="shared" si="41"/>
        <v>100</v>
      </c>
    </row>
    <row r="856" spans="1:12">
      <c r="A856" s="315">
        <f t="shared" si="39"/>
        <v>855</v>
      </c>
      <c r="B856" s="640">
        <v>7400</v>
      </c>
      <c r="C856" s="641">
        <v>3113</v>
      </c>
      <c r="D856" s="641" t="s">
        <v>23</v>
      </c>
      <c r="E856" s="641">
        <v>5331</v>
      </c>
      <c r="F856" s="383" t="s">
        <v>338</v>
      </c>
      <c r="G856" s="333" t="s">
        <v>624</v>
      </c>
      <c r="H856" s="334">
        <v>7012</v>
      </c>
      <c r="I856" s="335">
        <v>7012</v>
      </c>
      <c r="J856" s="336">
        <v>7012</v>
      </c>
      <c r="K856" s="538">
        <f t="shared" si="40"/>
        <v>0</v>
      </c>
      <c r="L856" s="539">
        <f t="shared" si="41"/>
        <v>100</v>
      </c>
    </row>
    <row r="857" spans="1:12">
      <c r="A857" s="315">
        <f t="shared" si="39"/>
        <v>856</v>
      </c>
      <c r="B857" s="640">
        <v>7400</v>
      </c>
      <c r="C857" s="641">
        <v>3113</v>
      </c>
      <c r="D857" s="641" t="s">
        <v>23</v>
      </c>
      <c r="E857" s="641">
        <v>5331</v>
      </c>
      <c r="F857" s="383" t="s">
        <v>338</v>
      </c>
      <c r="G857" s="333" t="s">
        <v>625</v>
      </c>
      <c r="H857" s="334">
        <v>2811</v>
      </c>
      <c r="I857" s="335">
        <v>2882</v>
      </c>
      <c r="J857" s="336">
        <v>2882</v>
      </c>
      <c r="K857" s="538">
        <f t="shared" si="40"/>
        <v>0</v>
      </c>
      <c r="L857" s="539">
        <f t="shared" si="41"/>
        <v>100</v>
      </c>
    </row>
    <row r="858" spans="1:12">
      <c r="A858" s="315">
        <f t="shared" si="39"/>
        <v>857</v>
      </c>
      <c r="B858" s="640">
        <v>7400</v>
      </c>
      <c r="C858" s="641">
        <v>3113</v>
      </c>
      <c r="D858" s="641" t="s">
        <v>23</v>
      </c>
      <c r="E858" s="641">
        <v>5331</v>
      </c>
      <c r="F858" s="383" t="s">
        <v>338</v>
      </c>
      <c r="G858" s="333" t="s">
        <v>626</v>
      </c>
      <c r="H858" s="334">
        <v>500</v>
      </c>
      <c r="I858" s="335">
        <v>500</v>
      </c>
      <c r="J858" s="336">
        <v>500</v>
      </c>
      <c r="K858" s="538">
        <f t="shared" si="40"/>
        <v>0</v>
      </c>
      <c r="L858" s="539">
        <f t="shared" si="41"/>
        <v>100</v>
      </c>
    </row>
    <row r="859" spans="1:12">
      <c r="A859" s="315">
        <f t="shared" si="39"/>
        <v>858</v>
      </c>
      <c r="B859" s="640">
        <v>7400</v>
      </c>
      <c r="C859" s="641">
        <v>3113</v>
      </c>
      <c r="D859" s="641" t="s">
        <v>23</v>
      </c>
      <c r="E859" s="641">
        <v>5331</v>
      </c>
      <c r="F859" s="383" t="s">
        <v>338</v>
      </c>
      <c r="G859" s="333" t="s">
        <v>627</v>
      </c>
      <c r="H859" s="334">
        <v>400</v>
      </c>
      <c r="I859" s="335">
        <v>400</v>
      </c>
      <c r="J859" s="336">
        <v>400</v>
      </c>
      <c r="K859" s="538">
        <f t="shared" si="40"/>
        <v>0</v>
      </c>
      <c r="L859" s="539">
        <f t="shared" si="41"/>
        <v>100</v>
      </c>
    </row>
    <row r="860" spans="1:12">
      <c r="A860" s="315">
        <f t="shared" si="39"/>
        <v>859</v>
      </c>
      <c r="B860" s="640">
        <v>7400</v>
      </c>
      <c r="C860" s="641">
        <v>3113</v>
      </c>
      <c r="D860" s="641" t="s">
        <v>23</v>
      </c>
      <c r="E860" s="641">
        <v>5331</v>
      </c>
      <c r="F860" s="383" t="s">
        <v>338</v>
      </c>
      <c r="G860" s="333" t="s">
        <v>628</v>
      </c>
      <c r="H860" s="334">
        <v>300</v>
      </c>
      <c r="I860" s="335">
        <v>300</v>
      </c>
      <c r="J860" s="336">
        <v>300</v>
      </c>
      <c r="K860" s="538">
        <f t="shared" si="40"/>
        <v>0</v>
      </c>
      <c r="L860" s="539">
        <f t="shared" si="41"/>
        <v>100</v>
      </c>
    </row>
    <row r="861" spans="1:12">
      <c r="A861" s="315">
        <f t="shared" si="39"/>
        <v>860</v>
      </c>
      <c r="B861" s="640">
        <v>7400</v>
      </c>
      <c r="C861" s="641">
        <v>3113</v>
      </c>
      <c r="D861" s="641" t="s">
        <v>23</v>
      </c>
      <c r="E861" s="641">
        <v>5331</v>
      </c>
      <c r="F861" s="383" t="s">
        <v>338</v>
      </c>
      <c r="G861" s="333" t="s">
        <v>629</v>
      </c>
      <c r="H861" s="334">
        <v>100</v>
      </c>
      <c r="I861" s="335">
        <v>100</v>
      </c>
      <c r="J861" s="336">
        <v>100</v>
      </c>
      <c r="K861" s="538">
        <f t="shared" si="40"/>
        <v>0</v>
      </c>
      <c r="L861" s="539">
        <f t="shared" si="41"/>
        <v>100</v>
      </c>
    </row>
    <row r="862" spans="1:12">
      <c r="A862" s="315">
        <f t="shared" si="39"/>
        <v>861</v>
      </c>
      <c r="B862" s="640">
        <v>7400</v>
      </c>
      <c r="C862" s="641">
        <v>3113</v>
      </c>
      <c r="D862" s="641" t="s">
        <v>23</v>
      </c>
      <c r="E862" s="641">
        <v>5331</v>
      </c>
      <c r="F862" s="383" t="s">
        <v>338</v>
      </c>
      <c r="G862" s="333" t="s">
        <v>620</v>
      </c>
      <c r="H862" s="334">
        <v>0</v>
      </c>
      <c r="I862" s="335">
        <v>2163</v>
      </c>
      <c r="J862" s="336">
        <v>2163</v>
      </c>
      <c r="K862" s="538">
        <f t="shared" si="40"/>
        <v>0</v>
      </c>
      <c r="L862" s="539">
        <f t="shared" si="41"/>
        <v>100</v>
      </c>
    </row>
    <row r="863" spans="1:12">
      <c r="A863" s="315">
        <f t="shared" si="39"/>
        <v>862</v>
      </c>
      <c r="B863" s="640">
        <v>7400</v>
      </c>
      <c r="C863" s="641">
        <v>3113</v>
      </c>
      <c r="D863" s="641" t="s">
        <v>23</v>
      </c>
      <c r="E863" s="641">
        <v>5331</v>
      </c>
      <c r="F863" s="383" t="s">
        <v>338</v>
      </c>
      <c r="G863" s="333" t="s">
        <v>621</v>
      </c>
      <c r="H863" s="334">
        <v>0</v>
      </c>
      <c r="I863" s="335">
        <f>1278-71</f>
        <v>1207</v>
      </c>
      <c r="J863" s="336">
        <v>1207</v>
      </c>
      <c r="K863" s="538">
        <f t="shared" si="40"/>
        <v>0</v>
      </c>
      <c r="L863" s="539">
        <f t="shared" si="41"/>
        <v>100</v>
      </c>
    </row>
    <row r="864" spans="1:12">
      <c r="A864" s="315">
        <f t="shared" si="39"/>
        <v>863</v>
      </c>
      <c r="B864" s="640">
        <v>7400</v>
      </c>
      <c r="C864" s="641">
        <v>3113</v>
      </c>
      <c r="D864" s="641" t="s">
        <v>23</v>
      </c>
      <c r="E864" s="641">
        <v>5331</v>
      </c>
      <c r="F864" s="383" t="s">
        <v>338</v>
      </c>
      <c r="G864" s="333" t="s">
        <v>630</v>
      </c>
      <c r="H864" s="334"/>
      <c r="I864" s="335">
        <v>175</v>
      </c>
      <c r="J864" s="336">
        <v>175</v>
      </c>
      <c r="K864" s="538">
        <f t="shared" si="40"/>
        <v>0</v>
      </c>
      <c r="L864" s="539">
        <f t="shared" si="41"/>
        <v>100</v>
      </c>
    </row>
    <row r="865" spans="1:12">
      <c r="A865" s="315">
        <f t="shared" si="39"/>
        <v>864</v>
      </c>
      <c r="B865" s="640">
        <v>7400</v>
      </c>
      <c r="C865" s="641">
        <v>3113</v>
      </c>
      <c r="D865" s="641" t="s">
        <v>23</v>
      </c>
      <c r="E865" s="641">
        <v>5336</v>
      </c>
      <c r="F865" s="10" t="s">
        <v>340</v>
      </c>
      <c r="G865" s="333" t="s">
        <v>631</v>
      </c>
      <c r="H865" s="334"/>
      <c r="I865" s="335">
        <v>1285</v>
      </c>
      <c r="J865" s="336">
        <v>1285</v>
      </c>
      <c r="K865" s="538">
        <f t="shared" si="40"/>
        <v>0</v>
      </c>
      <c r="L865" s="539">
        <f t="shared" si="41"/>
        <v>100</v>
      </c>
    </row>
    <row r="866" spans="1:12">
      <c r="A866" s="315">
        <f t="shared" si="39"/>
        <v>865</v>
      </c>
      <c r="B866" s="640">
        <v>7400</v>
      </c>
      <c r="C866" s="641">
        <v>3113</v>
      </c>
      <c r="D866" s="641" t="s">
        <v>23</v>
      </c>
      <c r="E866" s="641">
        <v>5336</v>
      </c>
      <c r="F866" s="10" t="s">
        <v>340</v>
      </c>
      <c r="G866" s="333"/>
      <c r="H866" s="334"/>
      <c r="I866" s="335">
        <f>81474-I865</f>
        <v>80189</v>
      </c>
      <c r="J866" s="336">
        <f>80185-J865</f>
        <v>78900</v>
      </c>
      <c r="K866" s="538">
        <f t="shared" si="40"/>
        <v>-1289</v>
      </c>
      <c r="L866" s="539">
        <f t="shared" si="41"/>
        <v>98.392547606280161</v>
      </c>
    </row>
    <row r="867" spans="1:12">
      <c r="A867" s="315">
        <f t="shared" si="39"/>
        <v>866</v>
      </c>
      <c r="B867" s="640">
        <v>7400</v>
      </c>
      <c r="C867" s="641">
        <v>3113</v>
      </c>
      <c r="D867" s="641" t="s">
        <v>23</v>
      </c>
      <c r="E867" s="641">
        <v>5901</v>
      </c>
      <c r="F867" s="10" t="s">
        <v>632</v>
      </c>
      <c r="G867" s="333" t="s">
        <v>331</v>
      </c>
      <c r="H867" s="334"/>
      <c r="I867" s="335">
        <v>6435</v>
      </c>
      <c r="J867" s="336"/>
      <c r="K867" s="538">
        <f t="shared" si="40"/>
        <v>-6435</v>
      </c>
      <c r="L867" s="539">
        <f t="shared" si="41"/>
        <v>0</v>
      </c>
    </row>
    <row r="868" spans="1:12">
      <c r="A868" s="315">
        <f t="shared" si="39"/>
        <v>867</v>
      </c>
      <c r="B868" s="642"/>
      <c r="C868" s="643" t="s">
        <v>415</v>
      </c>
      <c r="D868" s="643"/>
      <c r="E868" s="643"/>
      <c r="F868" s="425"/>
      <c r="G868" s="426"/>
      <c r="H868" s="644">
        <f>SUBTOTAL(9,H847:H865)</f>
        <v>21047</v>
      </c>
      <c r="I868" s="645">
        <f>SUBTOTAL(9,I847:I867)</f>
        <v>107710</v>
      </c>
      <c r="J868" s="646">
        <f>SUBTOTAL(9,J847:J867)</f>
        <v>99354</v>
      </c>
      <c r="K868" s="647">
        <f t="shared" si="40"/>
        <v>-8356</v>
      </c>
      <c r="L868" s="648">
        <f t="shared" si="41"/>
        <v>92.242131649800385</v>
      </c>
    </row>
    <row r="869" spans="1:12">
      <c r="A869" s="315">
        <f t="shared" si="39"/>
        <v>868</v>
      </c>
      <c r="B869" s="381">
        <v>7400</v>
      </c>
      <c r="C869" s="10">
        <v>3141</v>
      </c>
      <c r="D869" s="10" t="s">
        <v>633</v>
      </c>
      <c r="E869" s="10">
        <v>5137</v>
      </c>
      <c r="F869" s="12" t="s">
        <v>346</v>
      </c>
      <c r="G869" s="158" t="s">
        <v>634</v>
      </c>
      <c r="H869" s="334">
        <v>2000</v>
      </c>
      <c r="I869" s="335">
        <v>0</v>
      </c>
      <c r="J869" s="336">
        <v>0</v>
      </c>
      <c r="K869" s="538">
        <f t="shared" si="40"/>
        <v>0</v>
      </c>
      <c r="L869" s="539">
        <f t="shared" si="41"/>
        <v>0</v>
      </c>
    </row>
    <row r="870" spans="1:12">
      <c r="A870" s="315">
        <f t="shared" si="39"/>
        <v>869</v>
      </c>
      <c r="B870" s="424"/>
      <c r="C870" s="425" t="s">
        <v>635</v>
      </c>
      <c r="D870" s="425"/>
      <c r="E870" s="425"/>
      <c r="F870" s="425"/>
      <c r="G870" s="426"/>
      <c r="H870" s="427">
        <f>SUBTOTAL(9,H869:H869)</f>
        <v>2000</v>
      </c>
      <c r="I870" s="428">
        <f>SUBTOTAL(9,I869:I869)</f>
        <v>0</v>
      </c>
      <c r="J870" s="429">
        <f>SUBTOTAL(9,J869:J869)</f>
        <v>0</v>
      </c>
      <c r="K870" s="430">
        <f t="shared" si="40"/>
        <v>0</v>
      </c>
      <c r="L870" s="431">
        <f t="shared" si="41"/>
        <v>0</v>
      </c>
    </row>
    <row r="871" spans="1:12">
      <c r="A871" s="315">
        <f t="shared" si="39"/>
        <v>870</v>
      </c>
      <c r="B871" s="381">
        <v>7400</v>
      </c>
      <c r="C871" s="10">
        <v>3149</v>
      </c>
      <c r="D871" s="10" t="s">
        <v>636</v>
      </c>
      <c r="E871" s="10">
        <v>5154</v>
      </c>
      <c r="F871" s="10" t="s">
        <v>349</v>
      </c>
      <c r="G871" s="333"/>
      <c r="H871" s="649"/>
      <c r="I871" s="492">
        <v>3</v>
      </c>
      <c r="J871" s="493">
        <v>2</v>
      </c>
      <c r="K871" s="436">
        <f t="shared" si="40"/>
        <v>-1</v>
      </c>
      <c r="L871" s="437">
        <f t="shared" si="41"/>
        <v>66.666666666666657</v>
      </c>
    </row>
    <row r="872" spans="1:12">
      <c r="A872" s="315">
        <f t="shared" si="39"/>
        <v>871</v>
      </c>
      <c r="B872" s="381">
        <v>7400</v>
      </c>
      <c r="C872" s="10">
        <v>3149</v>
      </c>
      <c r="D872" s="10" t="s">
        <v>636</v>
      </c>
      <c r="E872" s="10">
        <v>5169</v>
      </c>
      <c r="F872" s="10" t="s">
        <v>313</v>
      </c>
      <c r="G872" s="333" t="s">
        <v>637</v>
      </c>
      <c r="H872" s="334">
        <v>1020</v>
      </c>
      <c r="I872" s="335">
        <v>947</v>
      </c>
      <c r="J872" s="336">
        <v>335</v>
      </c>
      <c r="K872" s="538">
        <f t="shared" si="40"/>
        <v>-612</v>
      </c>
      <c r="L872" s="539">
        <f t="shared" si="41"/>
        <v>35.374868004223863</v>
      </c>
    </row>
    <row r="873" spans="1:12">
      <c r="A873" s="315">
        <f t="shared" si="39"/>
        <v>872</v>
      </c>
      <c r="B873" s="381">
        <v>7400</v>
      </c>
      <c r="C873" s="10">
        <v>3149</v>
      </c>
      <c r="D873" s="10" t="s">
        <v>636</v>
      </c>
      <c r="E873" s="10">
        <v>5173</v>
      </c>
      <c r="F873" s="10" t="s">
        <v>363</v>
      </c>
      <c r="G873" s="333" t="s">
        <v>637</v>
      </c>
      <c r="H873" s="334">
        <v>50</v>
      </c>
      <c r="I873" s="335">
        <v>50</v>
      </c>
      <c r="J873" s="336">
        <v>5</v>
      </c>
      <c r="K873" s="538">
        <f t="shared" si="40"/>
        <v>-45</v>
      </c>
      <c r="L873" s="539">
        <f t="shared" si="41"/>
        <v>10</v>
      </c>
    </row>
    <row r="874" spans="1:12">
      <c r="A874" s="315">
        <f t="shared" si="39"/>
        <v>873</v>
      </c>
      <c r="B874" s="381">
        <v>7400</v>
      </c>
      <c r="C874" s="10">
        <v>3149</v>
      </c>
      <c r="D874" s="10" t="s">
        <v>636</v>
      </c>
      <c r="E874" s="10">
        <v>5175</v>
      </c>
      <c r="F874" s="10" t="s">
        <v>335</v>
      </c>
      <c r="G874" s="333"/>
      <c r="H874" s="334">
        <v>0</v>
      </c>
      <c r="I874" s="335">
        <v>40</v>
      </c>
      <c r="J874" s="336">
        <v>38</v>
      </c>
      <c r="K874" s="538">
        <f t="shared" si="40"/>
        <v>-2</v>
      </c>
      <c r="L874" s="539">
        <f t="shared" si="41"/>
        <v>95</v>
      </c>
    </row>
    <row r="875" spans="1:12">
      <c r="A875" s="315">
        <f t="shared" si="39"/>
        <v>874</v>
      </c>
      <c r="B875" s="381">
        <v>7400</v>
      </c>
      <c r="C875" s="10">
        <v>3149</v>
      </c>
      <c r="D875" s="10" t="s">
        <v>636</v>
      </c>
      <c r="E875" s="10">
        <v>5194</v>
      </c>
      <c r="F875" s="12" t="s">
        <v>343</v>
      </c>
      <c r="G875" s="158"/>
      <c r="H875" s="334">
        <v>0</v>
      </c>
      <c r="I875" s="335">
        <v>30</v>
      </c>
      <c r="J875" s="336">
        <v>30</v>
      </c>
      <c r="K875" s="538">
        <f t="shared" si="40"/>
        <v>0</v>
      </c>
      <c r="L875" s="539">
        <f t="shared" si="41"/>
        <v>100</v>
      </c>
    </row>
    <row r="876" spans="1:12">
      <c r="A876" s="315">
        <f t="shared" si="39"/>
        <v>875</v>
      </c>
      <c r="B876" s="381">
        <v>7400</v>
      </c>
      <c r="C876" s="10">
        <v>3149</v>
      </c>
      <c r="D876" s="10" t="s">
        <v>636</v>
      </c>
      <c r="E876" s="10">
        <v>5332</v>
      </c>
      <c r="F876" s="12" t="s">
        <v>524</v>
      </c>
      <c r="G876" s="158" t="s">
        <v>638</v>
      </c>
      <c r="H876" s="334">
        <v>200</v>
      </c>
      <c r="I876" s="335">
        <v>200</v>
      </c>
      <c r="J876" s="336"/>
      <c r="K876" s="538">
        <f t="shared" si="40"/>
        <v>-200</v>
      </c>
      <c r="L876" s="539">
        <f t="shared" si="41"/>
        <v>0</v>
      </c>
    </row>
    <row r="877" spans="1:12">
      <c r="A877" s="315">
        <f t="shared" si="39"/>
        <v>876</v>
      </c>
      <c r="B877" s="424"/>
      <c r="C877" s="425" t="s">
        <v>639</v>
      </c>
      <c r="D877" s="425"/>
      <c r="E877" s="425"/>
      <c r="F877" s="417"/>
      <c r="G877" s="418"/>
      <c r="H877" s="427">
        <f>SUBTOTAL(9,H872:H876)</f>
        <v>1270</v>
      </c>
      <c r="I877" s="428">
        <f>SUBTOTAL(9,I871:I876)</f>
        <v>1270</v>
      </c>
      <c r="J877" s="429">
        <f>SUBTOTAL(9,J871:J876)</f>
        <v>410</v>
      </c>
      <c r="K877" s="430">
        <f t="shared" si="40"/>
        <v>-860</v>
      </c>
      <c r="L877" s="431">
        <f t="shared" si="41"/>
        <v>32.283464566929133</v>
      </c>
    </row>
    <row r="878" spans="1:12">
      <c r="A878" s="315">
        <f t="shared" si="39"/>
        <v>877</v>
      </c>
      <c r="B878" s="381">
        <v>7400</v>
      </c>
      <c r="C878" s="10">
        <v>3419</v>
      </c>
      <c r="D878" s="10" t="s">
        <v>51</v>
      </c>
      <c r="E878" s="10">
        <v>5166</v>
      </c>
      <c r="F878" s="10" t="s">
        <v>309</v>
      </c>
      <c r="G878" s="158"/>
      <c r="H878" s="334">
        <v>100</v>
      </c>
      <c r="I878" s="335">
        <v>57</v>
      </c>
      <c r="J878" s="336">
        <v>35</v>
      </c>
      <c r="K878" s="538">
        <f t="shared" si="40"/>
        <v>-22</v>
      </c>
      <c r="L878" s="539">
        <f t="shared" si="41"/>
        <v>61.403508771929829</v>
      </c>
    </row>
    <row r="879" spans="1:12">
      <c r="A879" s="315">
        <f t="shared" si="39"/>
        <v>878</v>
      </c>
      <c r="B879" s="381">
        <v>7400</v>
      </c>
      <c r="C879" s="10">
        <v>3419</v>
      </c>
      <c r="D879" s="10" t="s">
        <v>51</v>
      </c>
      <c r="E879" s="10">
        <v>5169</v>
      </c>
      <c r="F879" s="10" t="s">
        <v>313</v>
      </c>
      <c r="G879" s="333" t="s">
        <v>640</v>
      </c>
      <c r="H879" s="334">
        <v>10000</v>
      </c>
      <c r="I879" s="335">
        <v>10000</v>
      </c>
      <c r="J879" s="336">
        <v>10000</v>
      </c>
      <c r="K879" s="538">
        <f t="shared" si="40"/>
        <v>0</v>
      </c>
      <c r="L879" s="539">
        <f t="shared" si="41"/>
        <v>100</v>
      </c>
    </row>
    <row r="880" spans="1:12">
      <c r="A880" s="315">
        <f t="shared" si="39"/>
        <v>879</v>
      </c>
      <c r="B880" s="381">
        <v>7400</v>
      </c>
      <c r="C880" s="10">
        <v>3419</v>
      </c>
      <c r="D880" s="10" t="s">
        <v>51</v>
      </c>
      <c r="E880" s="10">
        <v>5169</v>
      </c>
      <c r="F880" s="10" t="s">
        <v>313</v>
      </c>
      <c r="G880" s="333" t="s">
        <v>641</v>
      </c>
      <c r="H880" s="334">
        <v>10000</v>
      </c>
      <c r="I880" s="335">
        <v>10000</v>
      </c>
      <c r="J880" s="336">
        <v>10000</v>
      </c>
      <c r="K880" s="538">
        <f t="shared" si="40"/>
        <v>0</v>
      </c>
      <c r="L880" s="539">
        <f t="shared" si="41"/>
        <v>100</v>
      </c>
    </row>
    <row r="881" spans="1:12">
      <c r="A881" s="315">
        <f t="shared" si="39"/>
        <v>880</v>
      </c>
      <c r="B881" s="381">
        <v>7400</v>
      </c>
      <c r="C881" s="10">
        <v>3419</v>
      </c>
      <c r="D881" s="10" t="s">
        <v>51</v>
      </c>
      <c r="E881" s="10">
        <v>5169</v>
      </c>
      <c r="F881" s="10" t="s">
        <v>313</v>
      </c>
      <c r="G881" s="333" t="s">
        <v>642</v>
      </c>
      <c r="H881" s="334"/>
      <c r="I881" s="335">
        <v>3</v>
      </c>
      <c r="J881" s="336">
        <v>2</v>
      </c>
      <c r="K881" s="538">
        <f t="shared" si="40"/>
        <v>-1</v>
      </c>
      <c r="L881" s="539">
        <f t="shared" si="41"/>
        <v>66.666666666666657</v>
      </c>
    </row>
    <row r="882" spans="1:12">
      <c r="A882" s="315">
        <f t="shared" si="39"/>
        <v>881</v>
      </c>
      <c r="B882" s="381">
        <v>7400</v>
      </c>
      <c r="C882" s="10">
        <v>3419</v>
      </c>
      <c r="D882" s="10" t="s">
        <v>51</v>
      </c>
      <c r="E882" s="10">
        <v>5171</v>
      </c>
      <c r="F882" s="10" t="s">
        <v>394</v>
      </c>
      <c r="G882" s="333"/>
      <c r="H882" s="334">
        <v>9960</v>
      </c>
      <c r="I882" s="335">
        <v>9200</v>
      </c>
      <c r="J882" s="336">
        <v>9200</v>
      </c>
      <c r="K882" s="538">
        <f t="shared" si="40"/>
        <v>0</v>
      </c>
      <c r="L882" s="539">
        <f t="shared" si="41"/>
        <v>100</v>
      </c>
    </row>
    <row r="883" spans="1:12">
      <c r="A883" s="315">
        <f t="shared" si="39"/>
        <v>882</v>
      </c>
      <c r="B883" s="381">
        <v>7400</v>
      </c>
      <c r="C883" s="10">
        <v>3419</v>
      </c>
      <c r="D883" s="10" t="s">
        <v>51</v>
      </c>
      <c r="E883" s="10">
        <v>5194</v>
      </c>
      <c r="F883" s="10" t="s">
        <v>343</v>
      </c>
      <c r="G883" s="333"/>
      <c r="H883" s="334">
        <v>100</v>
      </c>
      <c r="I883" s="335">
        <v>100</v>
      </c>
      <c r="J883" s="336">
        <v>55</v>
      </c>
      <c r="K883" s="538">
        <f t="shared" si="40"/>
        <v>-45</v>
      </c>
      <c r="L883" s="539">
        <f t="shared" si="41"/>
        <v>55.000000000000007</v>
      </c>
    </row>
    <row r="884" spans="1:12">
      <c r="A884" s="315">
        <f t="shared" si="39"/>
        <v>883</v>
      </c>
      <c r="B884" s="381">
        <v>7400</v>
      </c>
      <c r="C884" s="10">
        <v>3419</v>
      </c>
      <c r="D884" s="10" t="s">
        <v>51</v>
      </c>
      <c r="E884" s="10">
        <v>5213</v>
      </c>
      <c r="F884" s="520" t="s">
        <v>458</v>
      </c>
      <c r="G884" s="333"/>
      <c r="H884" s="334">
        <v>22393</v>
      </c>
      <c r="I884" s="335">
        <v>64662</v>
      </c>
      <c r="J884" s="336">
        <v>64651</v>
      </c>
      <c r="K884" s="538">
        <f t="shared" si="40"/>
        <v>-11</v>
      </c>
      <c r="L884" s="539">
        <f t="shared" si="41"/>
        <v>99.982988463084965</v>
      </c>
    </row>
    <row r="885" spans="1:12">
      <c r="A885" s="315">
        <f t="shared" si="39"/>
        <v>884</v>
      </c>
      <c r="B885" s="381">
        <v>7400</v>
      </c>
      <c r="C885" s="10">
        <v>3419</v>
      </c>
      <c r="D885" s="10" t="s">
        <v>51</v>
      </c>
      <c r="E885" s="10">
        <v>5222</v>
      </c>
      <c r="F885" s="10" t="s">
        <v>355</v>
      </c>
      <c r="G885" s="333"/>
      <c r="H885" s="334">
        <v>85647</v>
      </c>
      <c r="I885" s="335">
        <v>89999</v>
      </c>
      <c r="J885" s="336">
        <v>89951</v>
      </c>
      <c r="K885" s="538">
        <f t="shared" si="40"/>
        <v>-48</v>
      </c>
      <c r="L885" s="539">
        <f t="shared" si="41"/>
        <v>99.946666074067494</v>
      </c>
    </row>
    <row r="886" spans="1:12">
      <c r="A886" s="315">
        <f t="shared" si="39"/>
        <v>885</v>
      </c>
      <c r="B886" s="381">
        <v>7400</v>
      </c>
      <c r="C886" s="10">
        <v>3419</v>
      </c>
      <c r="D886" s="10" t="s">
        <v>51</v>
      </c>
      <c r="E886" s="10">
        <v>5223</v>
      </c>
      <c r="F886" s="10" t="s">
        <v>523</v>
      </c>
      <c r="G886" s="333"/>
      <c r="H886" s="334">
        <v>0</v>
      </c>
      <c r="I886" s="335">
        <v>18</v>
      </c>
      <c r="J886" s="336">
        <v>18</v>
      </c>
      <c r="K886" s="538">
        <f t="shared" si="40"/>
        <v>0</v>
      </c>
      <c r="L886" s="539">
        <f t="shared" si="41"/>
        <v>100</v>
      </c>
    </row>
    <row r="887" spans="1:12">
      <c r="A887" s="315">
        <f t="shared" si="39"/>
        <v>886</v>
      </c>
      <c r="B887" s="381">
        <v>7400</v>
      </c>
      <c r="C887" s="10">
        <v>3419</v>
      </c>
      <c r="D887" s="10" t="s">
        <v>51</v>
      </c>
      <c r="E887" s="10">
        <v>5229</v>
      </c>
      <c r="F887" s="383" t="s">
        <v>336</v>
      </c>
      <c r="G887" s="445"/>
      <c r="H887" s="334">
        <v>0</v>
      </c>
      <c r="I887" s="335">
        <v>10</v>
      </c>
      <c r="J887" s="336">
        <v>10</v>
      </c>
      <c r="K887" s="538">
        <f t="shared" si="40"/>
        <v>0</v>
      </c>
      <c r="L887" s="539">
        <f t="shared" si="41"/>
        <v>100</v>
      </c>
    </row>
    <row r="888" spans="1:12">
      <c r="A888" s="315">
        <f t="shared" si="39"/>
        <v>887</v>
      </c>
      <c r="B888" s="381">
        <v>7400</v>
      </c>
      <c r="C888" s="10">
        <v>3419</v>
      </c>
      <c r="D888" s="10" t="s">
        <v>51</v>
      </c>
      <c r="E888" s="10">
        <v>5331</v>
      </c>
      <c r="F888" s="383" t="s">
        <v>338</v>
      </c>
      <c r="G888" s="445" t="s">
        <v>643</v>
      </c>
      <c r="H888" s="334">
        <v>14909</v>
      </c>
      <c r="I888" s="335">
        <v>17879</v>
      </c>
      <c r="J888" s="336">
        <v>17879</v>
      </c>
      <c r="K888" s="538">
        <f t="shared" si="40"/>
        <v>0</v>
      </c>
      <c r="L888" s="539">
        <f t="shared" si="41"/>
        <v>100</v>
      </c>
    </row>
    <row r="889" spans="1:12" ht="12" customHeight="1">
      <c r="A889" s="315">
        <f t="shared" si="39"/>
        <v>888</v>
      </c>
      <c r="B889" s="381">
        <v>7400</v>
      </c>
      <c r="C889" s="10">
        <v>3419</v>
      </c>
      <c r="D889" s="10" t="s">
        <v>51</v>
      </c>
      <c r="E889" s="10">
        <v>5331</v>
      </c>
      <c r="F889" s="383" t="s">
        <v>338</v>
      </c>
      <c r="G889" s="445" t="s">
        <v>644</v>
      </c>
      <c r="H889" s="334">
        <v>1200</v>
      </c>
      <c r="I889" s="335">
        <v>1200</v>
      </c>
      <c r="J889" s="336">
        <v>1200</v>
      </c>
      <c r="K889" s="538">
        <f t="shared" si="40"/>
        <v>0</v>
      </c>
      <c r="L889" s="539">
        <f t="shared" si="41"/>
        <v>100</v>
      </c>
    </row>
    <row r="890" spans="1:12">
      <c r="A890" s="315">
        <f t="shared" si="39"/>
        <v>889</v>
      </c>
      <c r="B890" s="381">
        <v>7400</v>
      </c>
      <c r="C890" s="10">
        <v>3419</v>
      </c>
      <c r="D890" s="10" t="s">
        <v>51</v>
      </c>
      <c r="E890" s="10">
        <v>5332</v>
      </c>
      <c r="F890" s="12" t="s">
        <v>524</v>
      </c>
      <c r="G890" s="445"/>
      <c r="H890" s="334">
        <v>0</v>
      </c>
      <c r="I890" s="335">
        <v>510</v>
      </c>
      <c r="J890" s="336">
        <v>510</v>
      </c>
      <c r="K890" s="538">
        <f t="shared" si="40"/>
        <v>0</v>
      </c>
      <c r="L890" s="539">
        <f t="shared" si="41"/>
        <v>100</v>
      </c>
    </row>
    <row r="891" spans="1:12">
      <c r="A891" s="315">
        <f t="shared" si="39"/>
        <v>890</v>
      </c>
      <c r="B891" s="381">
        <v>7400</v>
      </c>
      <c r="C891" s="10">
        <v>3419</v>
      </c>
      <c r="D891" s="10" t="s">
        <v>51</v>
      </c>
      <c r="E891" s="10">
        <v>5336</v>
      </c>
      <c r="F891" s="10" t="s">
        <v>340</v>
      </c>
      <c r="G891" s="445"/>
      <c r="H891" s="334"/>
      <c r="I891" s="335">
        <v>65</v>
      </c>
      <c r="J891" s="336">
        <v>65</v>
      </c>
      <c r="K891" s="538">
        <f t="shared" si="40"/>
        <v>0</v>
      </c>
      <c r="L891" s="539">
        <f t="shared" si="41"/>
        <v>100</v>
      </c>
    </row>
    <row r="892" spans="1:12">
      <c r="A892" s="315">
        <f t="shared" si="39"/>
        <v>891</v>
      </c>
      <c r="B892" s="381">
        <v>7400</v>
      </c>
      <c r="C892" s="10">
        <v>3419</v>
      </c>
      <c r="D892" s="10" t="s">
        <v>51</v>
      </c>
      <c r="E892" s="10">
        <v>5339</v>
      </c>
      <c r="F892" s="12" t="s">
        <v>453</v>
      </c>
      <c r="G892" s="158"/>
      <c r="H892" s="334">
        <v>0</v>
      </c>
      <c r="I892" s="335">
        <v>80</v>
      </c>
      <c r="J892" s="336">
        <v>70</v>
      </c>
      <c r="K892" s="538">
        <f t="shared" si="40"/>
        <v>-10</v>
      </c>
      <c r="L892" s="539">
        <f t="shared" si="41"/>
        <v>87.5</v>
      </c>
    </row>
    <row r="893" spans="1:12">
      <c r="A893" s="315">
        <f t="shared" si="39"/>
        <v>892</v>
      </c>
      <c r="B893" s="381">
        <v>7400</v>
      </c>
      <c r="C893" s="10">
        <v>3419</v>
      </c>
      <c r="D893" s="10" t="s">
        <v>51</v>
      </c>
      <c r="E893" s="10">
        <v>5493</v>
      </c>
      <c r="F893" s="383" t="s">
        <v>645</v>
      </c>
      <c r="G893" s="158"/>
      <c r="H893" s="334">
        <v>0</v>
      </c>
      <c r="I893" s="335">
        <v>70</v>
      </c>
      <c r="J893" s="336">
        <v>70</v>
      </c>
      <c r="K893" s="538">
        <f t="shared" si="40"/>
        <v>0</v>
      </c>
      <c r="L893" s="539">
        <f t="shared" si="41"/>
        <v>100</v>
      </c>
    </row>
    <row r="894" spans="1:12">
      <c r="A894" s="315">
        <f t="shared" si="39"/>
        <v>893</v>
      </c>
      <c r="B894" s="424"/>
      <c r="C894" s="425" t="s">
        <v>646</v>
      </c>
      <c r="D894" s="425"/>
      <c r="E894" s="425"/>
      <c r="F894" s="425"/>
      <c r="G894" s="447"/>
      <c r="H894" s="427">
        <f>SUBTOTAL(9,H878:H893)</f>
        <v>154309</v>
      </c>
      <c r="I894" s="428">
        <f>SUBTOTAL(9,I878:I893)</f>
        <v>203853</v>
      </c>
      <c r="J894" s="429">
        <f>SUBTOTAL(9,J878:J893)</f>
        <v>203716</v>
      </c>
      <c r="K894" s="430">
        <f t="shared" si="40"/>
        <v>-137</v>
      </c>
      <c r="L894" s="431">
        <f t="shared" si="41"/>
        <v>99.932794709913523</v>
      </c>
    </row>
    <row r="895" spans="1:12">
      <c r="A895" s="315">
        <f t="shared" si="39"/>
        <v>894</v>
      </c>
      <c r="B895" s="381">
        <v>7400</v>
      </c>
      <c r="C895" s="10">
        <v>3421</v>
      </c>
      <c r="D895" s="10" t="s">
        <v>98</v>
      </c>
      <c r="E895" s="10">
        <v>5213</v>
      </c>
      <c r="F895" s="520" t="s">
        <v>458</v>
      </c>
      <c r="G895" s="356"/>
      <c r="H895" s="334">
        <v>0</v>
      </c>
      <c r="I895" s="335">
        <v>60</v>
      </c>
      <c r="J895" s="336">
        <v>60</v>
      </c>
      <c r="K895" s="432">
        <f t="shared" si="40"/>
        <v>0</v>
      </c>
      <c r="L895" s="433">
        <f t="shared" si="41"/>
        <v>100</v>
      </c>
    </row>
    <row r="896" spans="1:12">
      <c r="A896" s="315">
        <f t="shared" si="39"/>
        <v>895</v>
      </c>
      <c r="B896" s="381">
        <v>7400</v>
      </c>
      <c r="C896" s="10">
        <v>3421</v>
      </c>
      <c r="D896" s="10" t="s">
        <v>98</v>
      </c>
      <c r="E896" s="10">
        <v>5221</v>
      </c>
      <c r="F896" s="10" t="s">
        <v>451</v>
      </c>
      <c r="G896" s="356"/>
      <c r="H896" s="334">
        <v>0</v>
      </c>
      <c r="I896" s="335">
        <v>156</v>
      </c>
      <c r="J896" s="336">
        <v>156</v>
      </c>
      <c r="K896" s="538">
        <f t="shared" si="40"/>
        <v>0</v>
      </c>
      <c r="L896" s="539">
        <f t="shared" si="41"/>
        <v>100</v>
      </c>
    </row>
    <row r="897" spans="1:12">
      <c r="A897" s="315">
        <f t="shared" si="39"/>
        <v>896</v>
      </c>
      <c r="B897" s="381">
        <v>7400</v>
      </c>
      <c r="C897" s="10">
        <v>3421</v>
      </c>
      <c r="D897" s="10" t="s">
        <v>98</v>
      </c>
      <c r="E897" s="10">
        <v>5222</v>
      </c>
      <c r="F897" s="10" t="s">
        <v>355</v>
      </c>
      <c r="G897" s="333" t="s">
        <v>647</v>
      </c>
      <c r="H897" s="334">
        <v>9400</v>
      </c>
      <c r="I897" s="335">
        <v>7790</v>
      </c>
      <c r="J897" s="336">
        <v>7633</v>
      </c>
      <c r="K897" s="538">
        <f t="shared" si="40"/>
        <v>-157</v>
      </c>
      <c r="L897" s="539">
        <f t="shared" si="41"/>
        <v>97.98459563543004</v>
      </c>
    </row>
    <row r="898" spans="1:12">
      <c r="A898" s="315">
        <f t="shared" si="39"/>
        <v>897</v>
      </c>
      <c r="B898" s="381">
        <v>7400</v>
      </c>
      <c r="C898" s="10">
        <v>3421</v>
      </c>
      <c r="D898" s="10" t="s">
        <v>98</v>
      </c>
      <c r="E898" s="10">
        <v>5223</v>
      </c>
      <c r="F898" s="10" t="s">
        <v>523</v>
      </c>
      <c r="G898" s="333"/>
      <c r="H898" s="334">
        <v>0</v>
      </c>
      <c r="I898" s="335">
        <v>255</v>
      </c>
      <c r="J898" s="336">
        <v>255</v>
      </c>
      <c r="K898" s="538">
        <f t="shared" si="40"/>
        <v>0</v>
      </c>
      <c r="L898" s="539">
        <f t="shared" si="41"/>
        <v>100</v>
      </c>
    </row>
    <row r="899" spans="1:12">
      <c r="A899" s="315">
        <f t="shared" si="39"/>
        <v>898</v>
      </c>
      <c r="B899" s="381">
        <v>7400</v>
      </c>
      <c r="C899" s="10">
        <v>3421</v>
      </c>
      <c r="D899" s="10" t="s">
        <v>98</v>
      </c>
      <c r="E899" s="10">
        <v>5229</v>
      </c>
      <c r="F899" s="383" t="s">
        <v>336</v>
      </c>
      <c r="G899" s="445"/>
      <c r="H899" s="334">
        <v>0</v>
      </c>
      <c r="I899" s="335">
        <v>100</v>
      </c>
      <c r="J899" s="336">
        <v>100</v>
      </c>
      <c r="K899" s="538">
        <f t="shared" si="40"/>
        <v>0</v>
      </c>
      <c r="L899" s="539">
        <f t="shared" si="41"/>
        <v>100</v>
      </c>
    </row>
    <row r="900" spans="1:12">
      <c r="A900" s="315">
        <f t="shared" ref="A900:A963" si="42">A899+1</f>
        <v>899</v>
      </c>
      <c r="B900" s="381">
        <v>7400</v>
      </c>
      <c r="C900" s="10">
        <v>3421</v>
      </c>
      <c r="D900" s="10" t="s">
        <v>98</v>
      </c>
      <c r="E900" s="10">
        <v>5339</v>
      </c>
      <c r="F900" s="12" t="s">
        <v>453</v>
      </c>
      <c r="G900" s="158" t="s">
        <v>648</v>
      </c>
      <c r="H900" s="334">
        <v>3500</v>
      </c>
      <c r="I900" s="335">
        <v>2610</v>
      </c>
      <c r="J900" s="336">
        <v>2540</v>
      </c>
      <c r="K900" s="538">
        <f t="shared" si="40"/>
        <v>-70</v>
      </c>
      <c r="L900" s="539">
        <f t="shared" si="41"/>
        <v>97.318007662835242</v>
      </c>
    </row>
    <row r="901" spans="1:12">
      <c r="A901" s="315">
        <f t="shared" si="42"/>
        <v>900</v>
      </c>
      <c r="B901" s="381">
        <v>7400</v>
      </c>
      <c r="C901" s="10">
        <v>3421</v>
      </c>
      <c r="D901" s="10" t="s">
        <v>98</v>
      </c>
      <c r="E901" s="10">
        <v>5493</v>
      </c>
      <c r="F901" s="383" t="s">
        <v>645</v>
      </c>
      <c r="G901" s="445"/>
      <c r="H901" s="334">
        <v>0</v>
      </c>
      <c r="I901" s="335">
        <v>165</v>
      </c>
      <c r="J901" s="336">
        <v>165</v>
      </c>
      <c r="K901" s="538">
        <f t="shared" ref="K901:K964" si="43">J901-I901</f>
        <v>0</v>
      </c>
      <c r="L901" s="539">
        <f t="shared" ref="L901:L964" si="44">IF(I901&lt;=0,0,J901/I901*100)</f>
        <v>100</v>
      </c>
    </row>
    <row r="902" spans="1:12">
      <c r="A902" s="315">
        <f t="shared" si="42"/>
        <v>901</v>
      </c>
      <c r="B902" s="424"/>
      <c r="C902" s="425" t="s">
        <v>423</v>
      </c>
      <c r="D902" s="425"/>
      <c r="E902" s="425"/>
      <c r="F902" s="425"/>
      <c r="G902" s="447"/>
      <c r="H902" s="427">
        <f>SUBTOTAL(9,H895:H901)</f>
        <v>12900</v>
      </c>
      <c r="I902" s="428">
        <f>SUBTOTAL(9,I895:I901)</f>
        <v>11136</v>
      </c>
      <c r="J902" s="429">
        <f>SUBTOTAL(9,J895:J901)</f>
        <v>10909</v>
      </c>
      <c r="K902" s="430">
        <f t="shared" si="43"/>
        <v>-227</v>
      </c>
      <c r="L902" s="431">
        <f t="shared" si="44"/>
        <v>97.961566091954026</v>
      </c>
    </row>
    <row r="903" spans="1:12">
      <c r="A903" s="315">
        <f t="shared" si="42"/>
        <v>902</v>
      </c>
      <c r="B903" s="381">
        <v>7400</v>
      </c>
      <c r="C903" s="10">
        <v>6409</v>
      </c>
      <c r="D903" s="10" t="s">
        <v>329</v>
      </c>
      <c r="E903" s="10">
        <v>5321</v>
      </c>
      <c r="F903" s="12" t="s">
        <v>330</v>
      </c>
      <c r="G903" s="445"/>
      <c r="H903" s="334">
        <v>0</v>
      </c>
      <c r="I903" s="335">
        <f>6965-I904</f>
        <v>3150</v>
      </c>
      <c r="J903" s="336">
        <f>6965-J904</f>
        <v>3150</v>
      </c>
      <c r="K903" s="538">
        <f t="shared" si="43"/>
        <v>0</v>
      </c>
      <c r="L903" s="539">
        <f t="shared" si="44"/>
        <v>100</v>
      </c>
    </row>
    <row r="904" spans="1:12">
      <c r="A904" s="315">
        <f t="shared" si="42"/>
        <v>903</v>
      </c>
      <c r="B904" s="381">
        <v>7400</v>
      </c>
      <c r="C904" s="10">
        <v>6409</v>
      </c>
      <c r="D904" s="10" t="s">
        <v>329</v>
      </c>
      <c r="E904" s="10">
        <v>5321</v>
      </c>
      <c r="F904" s="12" t="s">
        <v>330</v>
      </c>
      <c r="G904" s="445" t="s">
        <v>331</v>
      </c>
      <c r="H904" s="334">
        <v>0</v>
      </c>
      <c r="I904" s="335">
        <v>3815</v>
      </c>
      <c r="J904" s="336">
        <v>3815</v>
      </c>
      <c r="K904" s="538">
        <f t="shared" si="43"/>
        <v>0</v>
      </c>
      <c r="L904" s="539">
        <f t="shared" si="44"/>
        <v>100</v>
      </c>
    </row>
    <row r="905" spans="1:12">
      <c r="A905" s="315">
        <f t="shared" si="42"/>
        <v>904</v>
      </c>
      <c r="B905" s="424"/>
      <c r="C905" s="425" t="s">
        <v>334</v>
      </c>
      <c r="D905" s="425"/>
      <c r="E905" s="425"/>
      <c r="F905" s="425"/>
      <c r="G905" s="447"/>
      <c r="H905" s="427">
        <f>SUBTOTAL(9,H903:H904)</f>
        <v>0</v>
      </c>
      <c r="I905" s="428">
        <f t="shared" ref="I905:J905" si="45">SUBTOTAL(9,I903:I904)</f>
        <v>6965</v>
      </c>
      <c r="J905" s="429">
        <f t="shared" si="45"/>
        <v>6965</v>
      </c>
      <c r="K905" s="430">
        <f t="shared" si="43"/>
        <v>0</v>
      </c>
      <c r="L905" s="431">
        <f t="shared" si="44"/>
        <v>100</v>
      </c>
    </row>
    <row r="906" spans="1:12" ht="13.5" thickBot="1">
      <c r="A906" s="315">
        <f t="shared" si="42"/>
        <v>905</v>
      </c>
      <c r="B906" s="452" t="s">
        <v>36</v>
      </c>
      <c r="C906" s="453"/>
      <c r="D906" s="453"/>
      <c r="E906" s="453"/>
      <c r="F906" s="453"/>
      <c r="G906" s="454"/>
      <c r="H906" s="455">
        <f>SUBTOTAL(9,H840:H905)</f>
        <v>193975</v>
      </c>
      <c r="I906" s="360">
        <f>SUBTOTAL(9,I840:I905)</f>
        <v>333383</v>
      </c>
      <c r="J906" s="361">
        <f>SUBTOTAL(9,J840:J905)</f>
        <v>323753</v>
      </c>
      <c r="K906" s="456">
        <f t="shared" si="43"/>
        <v>-9630</v>
      </c>
      <c r="L906" s="457">
        <f t="shared" si="44"/>
        <v>97.111430396870873</v>
      </c>
    </row>
    <row r="907" spans="1:12" ht="12.75" customHeight="1">
      <c r="A907" s="315">
        <f t="shared" si="42"/>
        <v>906</v>
      </c>
      <c r="B907" s="28"/>
      <c r="C907" s="343"/>
      <c r="D907" s="343"/>
      <c r="E907" s="343"/>
      <c r="F907" s="343"/>
      <c r="G907" s="344"/>
      <c r="H907" s="473"/>
      <c r="I907" s="428"/>
      <c r="J907" s="429"/>
      <c r="K907" s="474">
        <f t="shared" si="43"/>
        <v>0</v>
      </c>
      <c r="L907" s="475">
        <f t="shared" si="44"/>
        <v>0</v>
      </c>
    </row>
    <row r="908" spans="1:12" ht="15.75">
      <c r="A908" s="315">
        <f t="shared" si="42"/>
        <v>907</v>
      </c>
      <c r="B908" s="587" t="s">
        <v>101</v>
      </c>
      <c r="C908" s="588"/>
      <c r="D908" s="588"/>
      <c r="E908" s="434"/>
      <c r="F908" s="383"/>
      <c r="G908" s="445"/>
      <c r="H908" s="650"/>
      <c r="I908" s="651"/>
      <c r="J908" s="652"/>
      <c r="K908" s="653">
        <f t="shared" si="43"/>
        <v>0</v>
      </c>
      <c r="L908" s="654">
        <f t="shared" si="44"/>
        <v>0</v>
      </c>
    </row>
    <row r="909" spans="1:12">
      <c r="A909" s="315">
        <f t="shared" si="42"/>
        <v>908</v>
      </c>
      <c r="B909" s="577">
        <v>7500</v>
      </c>
      <c r="C909" s="434">
        <v>3322</v>
      </c>
      <c r="D909" s="434" t="s">
        <v>28</v>
      </c>
      <c r="E909" s="434">
        <v>5166</v>
      </c>
      <c r="F909" s="10" t="s">
        <v>309</v>
      </c>
      <c r="G909" s="445"/>
      <c r="H909" s="334">
        <v>0</v>
      </c>
      <c r="I909" s="335">
        <v>18</v>
      </c>
      <c r="J909" s="336">
        <v>18</v>
      </c>
      <c r="K909" s="653">
        <f t="shared" si="43"/>
        <v>0</v>
      </c>
      <c r="L909" s="654">
        <f t="shared" si="44"/>
        <v>100</v>
      </c>
    </row>
    <row r="910" spans="1:12">
      <c r="A910" s="315">
        <f t="shared" si="42"/>
        <v>909</v>
      </c>
      <c r="B910" s="577">
        <v>7500</v>
      </c>
      <c r="C910" s="434">
        <v>3322</v>
      </c>
      <c r="D910" s="434" t="s">
        <v>28</v>
      </c>
      <c r="E910" s="434">
        <v>5213</v>
      </c>
      <c r="F910" s="520" t="s">
        <v>458</v>
      </c>
      <c r="G910" s="158"/>
      <c r="H910" s="334">
        <v>0</v>
      </c>
      <c r="I910" s="335">
        <v>1405</v>
      </c>
      <c r="J910" s="336">
        <v>1080</v>
      </c>
      <c r="K910" s="653">
        <f t="shared" si="43"/>
        <v>-325</v>
      </c>
      <c r="L910" s="654">
        <f t="shared" si="44"/>
        <v>76.868327402135222</v>
      </c>
    </row>
    <row r="911" spans="1:12">
      <c r="A911" s="315">
        <f t="shared" si="42"/>
        <v>910</v>
      </c>
      <c r="B911" s="577">
        <v>7500</v>
      </c>
      <c r="C911" s="434">
        <v>3322</v>
      </c>
      <c r="D911" s="434" t="s">
        <v>28</v>
      </c>
      <c r="E911" s="434">
        <v>5223</v>
      </c>
      <c r="F911" s="10" t="s">
        <v>523</v>
      </c>
      <c r="G911" s="333"/>
      <c r="H911" s="334">
        <v>0</v>
      </c>
      <c r="I911" s="335">
        <v>5469</v>
      </c>
      <c r="J911" s="336">
        <v>5399</v>
      </c>
      <c r="K911" s="653">
        <f t="shared" si="43"/>
        <v>-70</v>
      </c>
      <c r="L911" s="654">
        <f t="shared" si="44"/>
        <v>98.720058511610901</v>
      </c>
    </row>
    <row r="912" spans="1:12">
      <c r="A912" s="315">
        <f t="shared" si="42"/>
        <v>911</v>
      </c>
      <c r="B912" s="577">
        <v>7500</v>
      </c>
      <c r="C912" s="434">
        <v>3322</v>
      </c>
      <c r="D912" s="434" t="s">
        <v>28</v>
      </c>
      <c r="E912" s="434">
        <v>5225</v>
      </c>
      <c r="F912" s="10" t="s">
        <v>499</v>
      </c>
      <c r="G912" s="333"/>
      <c r="H912" s="334">
        <v>0</v>
      </c>
      <c r="I912" s="335">
        <v>1702</v>
      </c>
      <c r="J912" s="336">
        <v>1702</v>
      </c>
      <c r="K912" s="653">
        <f t="shared" si="43"/>
        <v>0</v>
      </c>
      <c r="L912" s="654">
        <f t="shared" si="44"/>
        <v>100</v>
      </c>
    </row>
    <row r="913" spans="1:12">
      <c r="A913" s="315">
        <f t="shared" si="42"/>
        <v>912</v>
      </c>
      <c r="B913" s="577">
        <v>7500</v>
      </c>
      <c r="C913" s="434">
        <v>3322</v>
      </c>
      <c r="D913" s="434" t="s">
        <v>28</v>
      </c>
      <c r="E913" s="434">
        <v>5229</v>
      </c>
      <c r="F913" s="383" t="s">
        <v>336</v>
      </c>
      <c r="G913" s="333"/>
      <c r="H913" s="334">
        <v>10850</v>
      </c>
      <c r="I913" s="335">
        <v>0</v>
      </c>
      <c r="J913" s="336"/>
      <c r="K913" s="653">
        <f t="shared" si="43"/>
        <v>0</v>
      </c>
      <c r="L913" s="654">
        <f t="shared" si="44"/>
        <v>0</v>
      </c>
    </row>
    <row r="914" spans="1:12">
      <c r="A914" s="315">
        <f t="shared" si="42"/>
        <v>913</v>
      </c>
      <c r="B914" s="577">
        <v>7500</v>
      </c>
      <c r="C914" s="434">
        <v>3322</v>
      </c>
      <c r="D914" s="434" t="s">
        <v>28</v>
      </c>
      <c r="E914" s="434">
        <v>5331</v>
      </c>
      <c r="F914" s="383" t="s">
        <v>338</v>
      </c>
      <c r="G914" s="333"/>
      <c r="H914" s="334">
        <v>0</v>
      </c>
      <c r="I914" s="335">
        <v>881</v>
      </c>
      <c r="J914" s="336">
        <v>881</v>
      </c>
      <c r="K914" s="653">
        <f t="shared" si="43"/>
        <v>0</v>
      </c>
      <c r="L914" s="654">
        <f t="shared" si="44"/>
        <v>100</v>
      </c>
    </row>
    <row r="915" spans="1:12">
      <c r="A915" s="315">
        <f t="shared" si="42"/>
        <v>914</v>
      </c>
      <c r="B915" s="577">
        <v>7500</v>
      </c>
      <c r="C915" s="434">
        <v>3322</v>
      </c>
      <c r="D915" s="434" t="s">
        <v>28</v>
      </c>
      <c r="E915" s="434">
        <v>5336</v>
      </c>
      <c r="F915" s="10" t="s">
        <v>340</v>
      </c>
      <c r="G915" s="333"/>
      <c r="H915" s="334"/>
      <c r="I915" s="335">
        <v>500</v>
      </c>
      <c r="J915" s="336">
        <v>500</v>
      </c>
      <c r="K915" s="653">
        <f t="shared" si="43"/>
        <v>0</v>
      </c>
      <c r="L915" s="654">
        <f t="shared" si="44"/>
        <v>100</v>
      </c>
    </row>
    <row r="916" spans="1:12">
      <c r="A916" s="315">
        <f t="shared" si="42"/>
        <v>915</v>
      </c>
      <c r="B916" s="577">
        <v>7500</v>
      </c>
      <c r="C916" s="434">
        <v>3322</v>
      </c>
      <c r="D916" s="434" t="s">
        <v>28</v>
      </c>
      <c r="E916" s="434">
        <v>5493</v>
      </c>
      <c r="F916" s="383" t="s">
        <v>645</v>
      </c>
      <c r="G916" s="445"/>
      <c r="H916" s="334">
        <v>0</v>
      </c>
      <c r="I916" s="335">
        <v>2070</v>
      </c>
      <c r="J916" s="336">
        <v>1895</v>
      </c>
      <c r="K916" s="653">
        <f t="shared" si="43"/>
        <v>-175</v>
      </c>
      <c r="L916" s="654">
        <f t="shared" si="44"/>
        <v>91.545893719806756</v>
      </c>
    </row>
    <row r="917" spans="1:12">
      <c r="A917" s="315">
        <f t="shared" si="42"/>
        <v>916</v>
      </c>
      <c r="B917" s="364"/>
      <c r="C917" s="365" t="s">
        <v>418</v>
      </c>
      <c r="D917" s="365"/>
      <c r="E917" s="365"/>
      <c r="F917" s="366"/>
      <c r="G917" s="367"/>
      <c r="H917" s="584">
        <f>SUBTOTAL(9,H909:H916)</f>
        <v>10850</v>
      </c>
      <c r="I917" s="585">
        <f>SUBTOTAL(9,I909:I916)</f>
        <v>12045</v>
      </c>
      <c r="J917" s="586">
        <f>SUBTOTAL(9,J909:J916)</f>
        <v>11475</v>
      </c>
      <c r="K917" s="371">
        <f t="shared" si="43"/>
        <v>-570</v>
      </c>
      <c r="L917" s="372">
        <f t="shared" si="44"/>
        <v>95.267745952677458</v>
      </c>
    </row>
    <row r="918" spans="1:12">
      <c r="A918" s="315">
        <f t="shared" si="42"/>
        <v>917</v>
      </c>
      <c r="B918" s="577">
        <v>7500</v>
      </c>
      <c r="C918" s="434">
        <v>6409</v>
      </c>
      <c r="D918" s="340" t="s">
        <v>329</v>
      </c>
      <c r="E918" s="434">
        <v>5321</v>
      </c>
      <c r="F918" s="12" t="s">
        <v>330</v>
      </c>
      <c r="G918" s="158"/>
      <c r="H918" s="334">
        <v>0</v>
      </c>
      <c r="I918" s="335">
        <v>680</v>
      </c>
      <c r="J918" s="336">
        <v>680</v>
      </c>
      <c r="K918" s="655">
        <f t="shared" si="43"/>
        <v>0</v>
      </c>
      <c r="L918" s="656">
        <f t="shared" si="44"/>
        <v>100</v>
      </c>
    </row>
    <row r="919" spans="1:12">
      <c r="A919" s="315">
        <f t="shared" si="42"/>
        <v>918</v>
      </c>
      <c r="B919" s="577"/>
      <c r="C919" s="365" t="s">
        <v>334</v>
      </c>
      <c r="D919" s="365"/>
      <c r="E919" s="365"/>
      <c r="F919" s="366"/>
      <c r="G919" s="367"/>
      <c r="H919" s="473">
        <f>SUBTOTAL(9,H918)</f>
        <v>0</v>
      </c>
      <c r="I919" s="428">
        <f>SUBTOTAL(9,I918)</f>
        <v>680</v>
      </c>
      <c r="J919" s="429">
        <f>SUBTOTAL(9,J918)</f>
        <v>680</v>
      </c>
      <c r="K919" s="474">
        <f t="shared" si="43"/>
        <v>0</v>
      </c>
      <c r="L919" s="475">
        <f t="shared" si="44"/>
        <v>100</v>
      </c>
    </row>
    <row r="920" spans="1:12" ht="13.5" thickBot="1">
      <c r="A920" s="315">
        <f t="shared" si="42"/>
        <v>919</v>
      </c>
      <c r="B920" s="29" t="s">
        <v>102</v>
      </c>
      <c r="C920" s="357"/>
      <c r="D920" s="357"/>
      <c r="E920" s="357"/>
      <c r="F920" s="357"/>
      <c r="G920" s="358"/>
      <c r="H920" s="359">
        <f>SUBTOTAL(9,H909:H919)</f>
        <v>10850</v>
      </c>
      <c r="I920" s="360">
        <f>SUBTOTAL(9,I909:I919)</f>
        <v>12725</v>
      </c>
      <c r="J920" s="361">
        <f>SUBTOTAL(9,J909:J919)</f>
        <v>12155</v>
      </c>
      <c r="K920" s="362">
        <f t="shared" si="43"/>
        <v>-570</v>
      </c>
      <c r="L920" s="363">
        <f t="shared" si="44"/>
        <v>95.520628683693516</v>
      </c>
    </row>
    <row r="921" spans="1:12" ht="12.75" customHeight="1">
      <c r="A921" s="315">
        <f t="shared" si="42"/>
        <v>920</v>
      </c>
      <c r="B921" s="364"/>
      <c r="C921" s="365"/>
      <c r="D921" s="365"/>
      <c r="E921" s="365"/>
      <c r="F921" s="366"/>
      <c r="G921" s="367"/>
      <c r="H921" s="657"/>
      <c r="I921" s="658"/>
      <c r="J921" s="659"/>
      <c r="K921" s="660">
        <f t="shared" si="43"/>
        <v>0</v>
      </c>
      <c r="L921" s="661">
        <f t="shared" si="44"/>
        <v>0</v>
      </c>
    </row>
    <row r="922" spans="1:12" ht="15.75">
      <c r="A922" s="315">
        <f t="shared" si="42"/>
        <v>921</v>
      </c>
      <c r="B922" s="499" t="s">
        <v>31</v>
      </c>
      <c r="C922" s="662"/>
      <c r="D922" s="662"/>
      <c r="E922" s="10"/>
      <c r="F922" s="580"/>
      <c r="G922" s="581"/>
      <c r="H922" s="650"/>
      <c r="I922" s="651"/>
      <c r="J922" s="652"/>
      <c r="K922" s="653">
        <f t="shared" si="43"/>
        <v>0</v>
      </c>
      <c r="L922" s="654">
        <f t="shared" si="44"/>
        <v>0</v>
      </c>
    </row>
    <row r="923" spans="1:12">
      <c r="A923" s="315">
        <f t="shared" si="42"/>
        <v>922</v>
      </c>
      <c r="B923" s="381">
        <v>8200</v>
      </c>
      <c r="C923" s="10">
        <v>1014</v>
      </c>
      <c r="D923" s="12" t="s">
        <v>433</v>
      </c>
      <c r="E923" s="10">
        <v>5011</v>
      </c>
      <c r="F923" s="10" t="s">
        <v>360</v>
      </c>
      <c r="G923" s="445"/>
      <c r="H923" s="334">
        <v>6651</v>
      </c>
      <c r="I923" s="335">
        <v>6651</v>
      </c>
      <c r="J923" s="336">
        <v>6606</v>
      </c>
      <c r="K923" s="653">
        <f t="shared" si="43"/>
        <v>-45</v>
      </c>
      <c r="L923" s="654">
        <f t="shared" si="44"/>
        <v>99.323410013531799</v>
      </c>
    </row>
    <row r="924" spans="1:12">
      <c r="A924" s="315">
        <f t="shared" si="42"/>
        <v>923</v>
      </c>
      <c r="B924" s="381">
        <v>8200</v>
      </c>
      <c r="C924" s="10">
        <v>1014</v>
      </c>
      <c r="D924" s="12" t="s">
        <v>433</v>
      </c>
      <c r="E924" s="10">
        <v>5021</v>
      </c>
      <c r="F924" s="383" t="s">
        <v>364</v>
      </c>
      <c r="G924" s="445"/>
      <c r="H924" s="334">
        <v>20</v>
      </c>
      <c r="I924" s="335">
        <v>20</v>
      </c>
      <c r="J924" s="336">
        <v>0</v>
      </c>
      <c r="K924" s="653">
        <f t="shared" si="43"/>
        <v>-20</v>
      </c>
      <c r="L924" s="654">
        <f t="shared" si="44"/>
        <v>0</v>
      </c>
    </row>
    <row r="925" spans="1:12">
      <c r="A925" s="315">
        <f t="shared" si="42"/>
        <v>924</v>
      </c>
      <c r="B925" s="381">
        <v>8200</v>
      </c>
      <c r="C925" s="10">
        <v>1014</v>
      </c>
      <c r="D925" s="12" t="s">
        <v>433</v>
      </c>
      <c r="E925" s="10">
        <v>5029</v>
      </c>
      <c r="F925" s="383" t="s">
        <v>649</v>
      </c>
      <c r="G925" s="445"/>
      <c r="H925" s="334">
        <v>5</v>
      </c>
      <c r="I925" s="335">
        <v>5</v>
      </c>
      <c r="J925" s="336">
        <v>0</v>
      </c>
      <c r="K925" s="653">
        <f t="shared" si="43"/>
        <v>-5</v>
      </c>
      <c r="L925" s="654">
        <f t="shared" si="44"/>
        <v>0</v>
      </c>
    </row>
    <row r="926" spans="1:12">
      <c r="A926" s="315">
        <f t="shared" si="42"/>
        <v>925</v>
      </c>
      <c r="B926" s="381">
        <v>8200</v>
      </c>
      <c r="C926" s="10">
        <v>1014</v>
      </c>
      <c r="D926" s="12" t="s">
        <v>433</v>
      </c>
      <c r="E926" s="10">
        <v>5031</v>
      </c>
      <c r="F926" s="10" t="s">
        <v>361</v>
      </c>
      <c r="G926" s="333"/>
      <c r="H926" s="334">
        <v>1664</v>
      </c>
      <c r="I926" s="335">
        <v>1664</v>
      </c>
      <c r="J926" s="336">
        <v>1653</v>
      </c>
      <c r="K926" s="653">
        <f t="shared" si="43"/>
        <v>-11</v>
      </c>
      <c r="L926" s="654">
        <f t="shared" si="44"/>
        <v>99.338942307692307</v>
      </c>
    </row>
    <row r="927" spans="1:12">
      <c r="A927" s="315">
        <f t="shared" si="42"/>
        <v>926</v>
      </c>
      <c r="B927" s="381">
        <v>8200</v>
      </c>
      <c r="C927" s="10">
        <v>1014</v>
      </c>
      <c r="D927" s="12" t="s">
        <v>433</v>
      </c>
      <c r="E927" s="434">
        <v>5032</v>
      </c>
      <c r="F927" s="10" t="s">
        <v>362</v>
      </c>
      <c r="G927" s="333"/>
      <c r="H927" s="334">
        <v>600</v>
      </c>
      <c r="I927" s="335">
        <v>600</v>
      </c>
      <c r="J927" s="336">
        <v>595</v>
      </c>
      <c r="K927" s="653">
        <f t="shared" si="43"/>
        <v>-5</v>
      </c>
      <c r="L927" s="654">
        <f t="shared" si="44"/>
        <v>99.166666666666671</v>
      </c>
    </row>
    <row r="928" spans="1:12">
      <c r="A928" s="315">
        <f t="shared" si="42"/>
        <v>927</v>
      </c>
      <c r="B928" s="381">
        <v>8200</v>
      </c>
      <c r="C928" s="10">
        <v>1014</v>
      </c>
      <c r="D928" s="12" t="s">
        <v>433</v>
      </c>
      <c r="E928" s="434">
        <v>5131</v>
      </c>
      <c r="F928" s="10" t="s">
        <v>650</v>
      </c>
      <c r="G928" s="333"/>
      <c r="H928" s="334">
        <v>20</v>
      </c>
      <c r="I928" s="335">
        <v>20</v>
      </c>
      <c r="J928" s="336">
        <v>11</v>
      </c>
      <c r="K928" s="653">
        <f t="shared" si="43"/>
        <v>-9</v>
      </c>
      <c r="L928" s="654">
        <f t="shared" si="44"/>
        <v>55.000000000000007</v>
      </c>
    </row>
    <row r="929" spans="1:12">
      <c r="A929" s="315">
        <f t="shared" si="42"/>
        <v>928</v>
      </c>
      <c r="B929" s="381">
        <v>8200</v>
      </c>
      <c r="C929" s="10">
        <v>1014</v>
      </c>
      <c r="D929" s="12" t="s">
        <v>433</v>
      </c>
      <c r="E929" s="434">
        <v>5133</v>
      </c>
      <c r="F929" s="10" t="s">
        <v>388</v>
      </c>
      <c r="G929" s="333"/>
      <c r="H929" s="334">
        <v>1443</v>
      </c>
      <c r="I929" s="335">
        <v>774</v>
      </c>
      <c r="J929" s="336">
        <v>633</v>
      </c>
      <c r="K929" s="653">
        <f t="shared" si="43"/>
        <v>-141</v>
      </c>
      <c r="L929" s="654">
        <f t="shared" si="44"/>
        <v>81.782945736434115</v>
      </c>
    </row>
    <row r="930" spans="1:12">
      <c r="A930" s="315">
        <f t="shared" si="42"/>
        <v>929</v>
      </c>
      <c r="B930" s="381">
        <v>8200</v>
      </c>
      <c r="C930" s="10">
        <v>1014</v>
      </c>
      <c r="D930" s="12" t="s">
        <v>433</v>
      </c>
      <c r="E930" s="434">
        <v>5133</v>
      </c>
      <c r="F930" s="10" t="s">
        <v>388</v>
      </c>
      <c r="G930" s="333" t="s">
        <v>651</v>
      </c>
      <c r="H930" s="334">
        <v>50</v>
      </c>
      <c r="I930" s="335">
        <v>50</v>
      </c>
      <c r="J930" s="336">
        <v>50</v>
      </c>
      <c r="K930" s="653">
        <f t="shared" si="43"/>
        <v>0</v>
      </c>
      <c r="L930" s="654">
        <f t="shared" si="44"/>
        <v>100</v>
      </c>
    </row>
    <row r="931" spans="1:12">
      <c r="A931" s="315">
        <f t="shared" si="42"/>
        <v>930</v>
      </c>
      <c r="B931" s="381">
        <v>8200</v>
      </c>
      <c r="C931" s="10">
        <v>1014</v>
      </c>
      <c r="D931" s="12" t="s">
        <v>433</v>
      </c>
      <c r="E931" s="434">
        <v>5134</v>
      </c>
      <c r="F931" s="383" t="s">
        <v>537</v>
      </c>
      <c r="G931" s="445"/>
      <c r="H931" s="334">
        <v>130</v>
      </c>
      <c r="I931" s="335">
        <v>50</v>
      </c>
      <c r="J931" s="336">
        <v>46</v>
      </c>
      <c r="K931" s="653">
        <f t="shared" si="43"/>
        <v>-4</v>
      </c>
      <c r="L931" s="654">
        <f t="shared" si="44"/>
        <v>92</v>
      </c>
    </row>
    <row r="932" spans="1:12">
      <c r="A932" s="315">
        <f t="shared" si="42"/>
        <v>931</v>
      </c>
      <c r="B932" s="381">
        <v>8200</v>
      </c>
      <c r="C932" s="10">
        <v>1014</v>
      </c>
      <c r="D932" s="12" t="s">
        <v>433</v>
      </c>
      <c r="E932" s="434">
        <v>5136</v>
      </c>
      <c r="F932" s="383" t="s">
        <v>389</v>
      </c>
      <c r="G932" s="445"/>
      <c r="H932" s="334">
        <v>20</v>
      </c>
      <c r="I932" s="335">
        <v>20</v>
      </c>
      <c r="J932" s="336">
        <v>1</v>
      </c>
      <c r="K932" s="337">
        <f t="shared" si="43"/>
        <v>-19</v>
      </c>
      <c r="L932" s="338">
        <f t="shared" si="44"/>
        <v>5</v>
      </c>
    </row>
    <row r="933" spans="1:12">
      <c r="A933" s="315">
        <f t="shared" si="42"/>
        <v>932</v>
      </c>
      <c r="B933" s="381">
        <v>8200</v>
      </c>
      <c r="C933" s="10">
        <v>1014</v>
      </c>
      <c r="D933" s="12" t="s">
        <v>433</v>
      </c>
      <c r="E933" s="434">
        <v>5137</v>
      </c>
      <c r="F933" s="12" t="s">
        <v>346</v>
      </c>
      <c r="G933" s="158"/>
      <c r="H933" s="334">
        <v>90</v>
      </c>
      <c r="I933" s="335">
        <v>170</v>
      </c>
      <c r="J933" s="336">
        <v>144</v>
      </c>
      <c r="K933" s="337">
        <f t="shared" si="43"/>
        <v>-26</v>
      </c>
      <c r="L933" s="338">
        <f t="shared" si="44"/>
        <v>84.705882352941174</v>
      </c>
    </row>
    <row r="934" spans="1:12">
      <c r="A934" s="315">
        <f t="shared" si="42"/>
        <v>933</v>
      </c>
      <c r="B934" s="381">
        <v>8200</v>
      </c>
      <c r="C934" s="10">
        <v>1014</v>
      </c>
      <c r="D934" s="12" t="s">
        <v>433</v>
      </c>
      <c r="E934" s="434">
        <v>5137</v>
      </c>
      <c r="F934" s="12" t="s">
        <v>346</v>
      </c>
      <c r="G934" s="333" t="s">
        <v>651</v>
      </c>
      <c r="H934" s="334"/>
      <c r="I934" s="335">
        <v>215</v>
      </c>
      <c r="J934" s="336">
        <v>215</v>
      </c>
      <c r="K934" s="337">
        <f t="shared" si="43"/>
        <v>0</v>
      </c>
      <c r="L934" s="338">
        <f t="shared" si="44"/>
        <v>100</v>
      </c>
    </row>
    <row r="935" spans="1:12">
      <c r="A935" s="315">
        <f t="shared" si="42"/>
        <v>934</v>
      </c>
      <c r="B935" s="381">
        <v>8200</v>
      </c>
      <c r="C935" s="10">
        <v>1014</v>
      </c>
      <c r="D935" s="12" t="s">
        <v>433</v>
      </c>
      <c r="E935" s="434">
        <v>5139</v>
      </c>
      <c r="F935" s="10" t="s">
        <v>342</v>
      </c>
      <c r="G935" s="333"/>
      <c r="H935" s="334">
        <v>1181</v>
      </c>
      <c r="I935" s="335">
        <v>1147</v>
      </c>
      <c r="J935" s="336">
        <v>1079</v>
      </c>
      <c r="K935" s="337">
        <f t="shared" si="43"/>
        <v>-68</v>
      </c>
      <c r="L935" s="338">
        <f t="shared" si="44"/>
        <v>94.071490845684394</v>
      </c>
    </row>
    <row r="936" spans="1:12">
      <c r="A936" s="315">
        <f t="shared" si="42"/>
        <v>935</v>
      </c>
      <c r="B936" s="381">
        <v>8200</v>
      </c>
      <c r="C936" s="10">
        <v>1014</v>
      </c>
      <c r="D936" s="12" t="s">
        <v>433</v>
      </c>
      <c r="E936" s="434">
        <v>5139</v>
      </c>
      <c r="F936" s="10" t="s">
        <v>342</v>
      </c>
      <c r="G936" s="333" t="s">
        <v>651</v>
      </c>
      <c r="H936" s="334">
        <v>50</v>
      </c>
      <c r="I936" s="335">
        <v>145</v>
      </c>
      <c r="J936" s="336">
        <v>145</v>
      </c>
      <c r="K936" s="337">
        <f t="shared" si="43"/>
        <v>0</v>
      </c>
      <c r="L936" s="338">
        <f t="shared" si="44"/>
        <v>100</v>
      </c>
    </row>
    <row r="937" spans="1:12">
      <c r="A937" s="315">
        <f t="shared" si="42"/>
        <v>936</v>
      </c>
      <c r="B937" s="381">
        <v>8200</v>
      </c>
      <c r="C937" s="10">
        <v>1014</v>
      </c>
      <c r="D937" s="12" t="s">
        <v>433</v>
      </c>
      <c r="E937" s="434">
        <v>5151</v>
      </c>
      <c r="F937" s="10" t="s">
        <v>347</v>
      </c>
      <c r="G937" s="445"/>
      <c r="H937" s="334">
        <v>160</v>
      </c>
      <c r="I937" s="335">
        <v>160</v>
      </c>
      <c r="J937" s="336">
        <v>147</v>
      </c>
      <c r="K937" s="471">
        <f t="shared" si="43"/>
        <v>-13</v>
      </c>
      <c r="L937" s="472">
        <f t="shared" si="44"/>
        <v>91.875</v>
      </c>
    </row>
    <row r="938" spans="1:12">
      <c r="A938" s="315">
        <f t="shared" si="42"/>
        <v>937</v>
      </c>
      <c r="B938" s="381">
        <v>8200</v>
      </c>
      <c r="C938" s="10">
        <v>1014</v>
      </c>
      <c r="D938" s="12" t="s">
        <v>433</v>
      </c>
      <c r="E938" s="434">
        <v>5153</v>
      </c>
      <c r="F938" s="383" t="s">
        <v>391</v>
      </c>
      <c r="G938" s="445"/>
      <c r="H938" s="334">
        <v>685</v>
      </c>
      <c r="I938" s="335">
        <v>685</v>
      </c>
      <c r="J938" s="336">
        <v>480</v>
      </c>
      <c r="K938" s="471">
        <f t="shared" si="43"/>
        <v>-205</v>
      </c>
      <c r="L938" s="472">
        <f t="shared" si="44"/>
        <v>70.072992700729927</v>
      </c>
    </row>
    <row r="939" spans="1:12">
      <c r="A939" s="315">
        <f t="shared" si="42"/>
        <v>938</v>
      </c>
      <c r="B939" s="381">
        <v>8200</v>
      </c>
      <c r="C939" s="10">
        <v>1014</v>
      </c>
      <c r="D939" s="12" t="s">
        <v>433</v>
      </c>
      <c r="E939" s="434">
        <v>5154</v>
      </c>
      <c r="F939" s="383" t="s">
        <v>349</v>
      </c>
      <c r="G939" s="445"/>
      <c r="H939" s="334">
        <v>485</v>
      </c>
      <c r="I939" s="335">
        <v>485</v>
      </c>
      <c r="J939" s="336">
        <v>343</v>
      </c>
      <c r="K939" s="471">
        <f t="shared" si="43"/>
        <v>-142</v>
      </c>
      <c r="L939" s="472">
        <f t="shared" si="44"/>
        <v>70.721649484536087</v>
      </c>
    </row>
    <row r="940" spans="1:12">
      <c r="A940" s="315">
        <f t="shared" si="42"/>
        <v>939</v>
      </c>
      <c r="B940" s="381">
        <v>8200</v>
      </c>
      <c r="C940" s="10">
        <v>1014</v>
      </c>
      <c r="D940" s="12" t="s">
        <v>433</v>
      </c>
      <c r="E940" s="434">
        <v>5156</v>
      </c>
      <c r="F940" s="383" t="s">
        <v>381</v>
      </c>
      <c r="G940" s="445"/>
      <c r="H940" s="334">
        <v>160</v>
      </c>
      <c r="I940" s="335">
        <v>200</v>
      </c>
      <c r="J940" s="336">
        <v>178</v>
      </c>
      <c r="K940" s="471">
        <f t="shared" si="43"/>
        <v>-22</v>
      </c>
      <c r="L940" s="472">
        <f t="shared" si="44"/>
        <v>89</v>
      </c>
    </row>
    <row r="941" spans="1:12">
      <c r="A941" s="315">
        <f t="shared" si="42"/>
        <v>940</v>
      </c>
      <c r="B941" s="381">
        <v>8200</v>
      </c>
      <c r="C941" s="10">
        <v>1014</v>
      </c>
      <c r="D941" s="12" t="s">
        <v>433</v>
      </c>
      <c r="E941" s="434">
        <v>5161</v>
      </c>
      <c r="F941" s="383" t="s">
        <v>382</v>
      </c>
      <c r="G941" s="445"/>
      <c r="H941" s="334">
        <v>2</v>
      </c>
      <c r="I941" s="335">
        <v>2</v>
      </c>
      <c r="J941" s="336">
        <v>0</v>
      </c>
      <c r="K941" s="471">
        <f t="shared" si="43"/>
        <v>-2</v>
      </c>
      <c r="L941" s="472">
        <f t="shared" si="44"/>
        <v>0</v>
      </c>
    </row>
    <row r="942" spans="1:12">
      <c r="A942" s="315">
        <f t="shared" si="42"/>
        <v>941</v>
      </c>
      <c r="B942" s="381">
        <v>8200</v>
      </c>
      <c r="C942" s="10">
        <v>1014</v>
      </c>
      <c r="D942" s="12" t="s">
        <v>433</v>
      </c>
      <c r="E942" s="434">
        <v>5162</v>
      </c>
      <c r="F942" s="10" t="s">
        <v>392</v>
      </c>
      <c r="G942" s="445"/>
      <c r="H942" s="334">
        <v>124</v>
      </c>
      <c r="I942" s="335">
        <v>124</v>
      </c>
      <c r="J942" s="336">
        <v>51</v>
      </c>
      <c r="K942" s="471">
        <f t="shared" si="43"/>
        <v>-73</v>
      </c>
      <c r="L942" s="472">
        <f t="shared" si="44"/>
        <v>41.12903225806452</v>
      </c>
    </row>
    <row r="943" spans="1:12">
      <c r="A943" s="315">
        <f t="shared" si="42"/>
        <v>942</v>
      </c>
      <c r="B943" s="381">
        <v>8200</v>
      </c>
      <c r="C943" s="10">
        <v>1014</v>
      </c>
      <c r="D943" s="12" t="s">
        <v>433</v>
      </c>
      <c r="E943" s="434">
        <v>5163</v>
      </c>
      <c r="F943" s="383" t="s">
        <v>318</v>
      </c>
      <c r="G943" s="445"/>
      <c r="H943" s="334">
        <v>50</v>
      </c>
      <c r="I943" s="335">
        <v>50</v>
      </c>
      <c r="J943" s="336">
        <v>41</v>
      </c>
      <c r="K943" s="471">
        <f t="shared" si="43"/>
        <v>-9</v>
      </c>
      <c r="L943" s="472">
        <f t="shared" si="44"/>
        <v>82</v>
      </c>
    </row>
    <row r="944" spans="1:12">
      <c r="A944" s="315">
        <f t="shared" si="42"/>
        <v>943</v>
      </c>
      <c r="B944" s="381">
        <v>8200</v>
      </c>
      <c r="C944" s="10">
        <v>1014</v>
      </c>
      <c r="D944" s="12" t="s">
        <v>433</v>
      </c>
      <c r="E944" s="434">
        <v>5164</v>
      </c>
      <c r="F944" s="383" t="s">
        <v>350</v>
      </c>
      <c r="G944" s="445"/>
      <c r="H944" s="334">
        <v>32</v>
      </c>
      <c r="I944" s="335">
        <v>32</v>
      </c>
      <c r="J944" s="336">
        <v>21</v>
      </c>
      <c r="K944" s="471">
        <f t="shared" si="43"/>
        <v>-11</v>
      </c>
      <c r="L944" s="472">
        <f t="shared" si="44"/>
        <v>65.625</v>
      </c>
    </row>
    <row r="945" spans="1:12">
      <c r="A945" s="315">
        <f t="shared" si="42"/>
        <v>944</v>
      </c>
      <c r="B945" s="381">
        <v>8200</v>
      </c>
      <c r="C945" s="10">
        <v>1014</v>
      </c>
      <c r="D945" s="12" t="s">
        <v>433</v>
      </c>
      <c r="E945" s="434">
        <v>5167</v>
      </c>
      <c r="F945" s="383" t="s">
        <v>393</v>
      </c>
      <c r="G945" s="445"/>
      <c r="H945" s="334">
        <v>8</v>
      </c>
      <c r="I945" s="335">
        <v>16</v>
      </c>
      <c r="J945" s="336">
        <v>15</v>
      </c>
      <c r="K945" s="471">
        <f t="shared" si="43"/>
        <v>-1</v>
      </c>
      <c r="L945" s="472">
        <f t="shared" si="44"/>
        <v>93.75</v>
      </c>
    </row>
    <row r="946" spans="1:12">
      <c r="A946" s="315">
        <f t="shared" si="42"/>
        <v>945</v>
      </c>
      <c r="B946" s="381">
        <v>8200</v>
      </c>
      <c r="C946" s="10">
        <v>1014</v>
      </c>
      <c r="D946" s="12" t="s">
        <v>433</v>
      </c>
      <c r="E946" s="434">
        <v>5169</v>
      </c>
      <c r="F946" s="10" t="s">
        <v>313</v>
      </c>
      <c r="G946" s="333"/>
      <c r="H946" s="334">
        <v>1671</v>
      </c>
      <c r="I946" s="335">
        <v>1671</v>
      </c>
      <c r="J946" s="336">
        <v>1253</v>
      </c>
      <c r="K946" s="471">
        <f t="shared" si="43"/>
        <v>-418</v>
      </c>
      <c r="L946" s="472">
        <f t="shared" si="44"/>
        <v>74.985038898862953</v>
      </c>
    </row>
    <row r="947" spans="1:12">
      <c r="A947" s="315">
        <f t="shared" si="42"/>
        <v>946</v>
      </c>
      <c r="B947" s="381">
        <v>8200</v>
      </c>
      <c r="C947" s="10">
        <v>1014</v>
      </c>
      <c r="D947" s="12" t="s">
        <v>433</v>
      </c>
      <c r="E947" s="434">
        <v>5169</v>
      </c>
      <c r="F947" s="10" t="s">
        <v>313</v>
      </c>
      <c r="G947" s="445" t="s">
        <v>367</v>
      </c>
      <c r="H947" s="334">
        <v>69</v>
      </c>
      <c r="I947" s="335">
        <v>69</v>
      </c>
      <c r="J947" s="336">
        <v>65</v>
      </c>
      <c r="K947" s="471">
        <f t="shared" si="43"/>
        <v>-4</v>
      </c>
      <c r="L947" s="472">
        <f t="shared" si="44"/>
        <v>94.20289855072464</v>
      </c>
    </row>
    <row r="948" spans="1:12">
      <c r="A948" s="315">
        <f t="shared" si="42"/>
        <v>947</v>
      </c>
      <c r="B948" s="381">
        <v>8200</v>
      </c>
      <c r="C948" s="10">
        <v>1014</v>
      </c>
      <c r="D948" s="12" t="s">
        <v>433</v>
      </c>
      <c r="E948" s="434">
        <v>5171</v>
      </c>
      <c r="F948" s="383" t="s">
        <v>394</v>
      </c>
      <c r="G948" s="445"/>
      <c r="H948" s="334">
        <v>252</v>
      </c>
      <c r="I948" s="335">
        <v>692</v>
      </c>
      <c r="J948" s="336">
        <v>547</v>
      </c>
      <c r="K948" s="471">
        <f t="shared" si="43"/>
        <v>-145</v>
      </c>
      <c r="L948" s="472">
        <f t="shared" si="44"/>
        <v>79.04624277456648</v>
      </c>
    </row>
    <row r="949" spans="1:12">
      <c r="A949" s="315">
        <f t="shared" si="42"/>
        <v>948</v>
      </c>
      <c r="B949" s="381">
        <v>8200</v>
      </c>
      <c r="C949" s="10">
        <v>1014</v>
      </c>
      <c r="D949" s="12" t="s">
        <v>433</v>
      </c>
      <c r="E949" s="434">
        <v>5175</v>
      </c>
      <c r="F949" s="383" t="s">
        <v>335</v>
      </c>
      <c r="G949" s="445"/>
      <c r="H949" s="334">
        <v>1</v>
      </c>
      <c r="I949" s="335">
        <v>1</v>
      </c>
      <c r="J949" s="336">
        <v>0</v>
      </c>
      <c r="K949" s="471">
        <f t="shared" si="43"/>
        <v>-1</v>
      </c>
      <c r="L949" s="472">
        <f t="shared" si="44"/>
        <v>0</v>
      </c>
    </row>
    <row r="950" spans="1:12">
      <c r="A950" s="315">
        <f t="shared" si="42"/>
        <v>949</v>
      </c>
      <c r="B950" s="381">
        <v>8200</v>
      </c>
      <c r="C950" s="10">
        <v>1014</v>
      </c>
      <c r="D950" s="12" t="s">
        <v>433</v>
      </c>
      <c r="E950" s="434">
        <v>5179</v>
      </c>
      <c r="F950" s="383" t="s">
        <v>396</v>
      </c>
      <c r="G950" s="445"/>
      <c r="H950" s="334">
        <v>16</v>
      </c>
      <c r="I950" s="335">
        <v>16</v>
      </c>
      <c r="J950" s="336">
        <v>0</v>
      </c>
      <c r="K950" s="471">
        <f t="shared" si="43"/>
        <v>-16</v>
      </c>
      <c r="L950" s="472">
        <f t="shared" si="44"/>
        <v>0</v>
      </c>
    </row>
    <row r="951" spans="1:12">
      <c r="A951" s="315">
        <f t="shared" si="42"/>
        <v>950</v>
      </c>
      <c r="B951" s="381">
        <v>8200</v>
      </c>
      <c r="C951" s="10">
        <v>1014</v>
      </c>
      <c r="D951" s="12" t="s">
        <v>433</v>
      </c>
      <c r="E951" s="434">
        <v>5179</v>
      </c>
      <c r="F951" s="383" t="s">
        <v>396</v>
      </c>
      <c r="G951" s="445" t="s">
        <v>367</v>
      </c>
      <c r="H951" s="334">
        <v>14</v>
      </c>
      <c r="I951" s="335">
        <v>14</v>
      </c>
      <c r="J951" s="336">
        <v>12</v>
      </c>
      <c r="K951" s="471">
        <f t="shared" si="43"/>
        <v>-2</v>
      </c>
      <c r="L951" s="472">
        <f t="shared" si="44"/>
        <v>85.714285714285708</v>
      </c>
    </row>
    <row r="952" spans="1:12">
      <c r="A952" s="315">
        <f t="shared" si="42"/>
        <v>951</v>
      </c>
      <c r="B952" s="381">
        <v>8200</v>
      </c>
      <c r="C952" s="10">
        <v>1014</v>
      </c>
      <c r="D952" s="12" t="s">
        <v>433</v>
      </c>
      <c r="E952" s="434">
        <v>5192</v>
      </c>
      <c r="F952" s="383" t="s">
        <v>351</v>
      </c>
      <c r="G952" s="445"/>
      <c r="H952" s="334">
        <v>30</v>
      </c>
      <c r="I952" s="335">
        <v>42</v>
      </c>
      <c r="J952" s="336">
        <v>41</v>
      </c>
      <c r="K952" s="471">
        <f t="shared" si="43"/>
        <v>-1</v>
      </c>
      <c r="L952" s="472">
        <f t="shared" si="44"/>
        <v>97.61904761904762</v>
      </c>
    </row>
    <row r="953" spans="1:12">
      <c r="A953" s="315">
        <f t="shared" si="42"/>
        <v>952</v>
      </c>
      <c r="B953" s="381">
        <v>8200</v>
      </c>
      <c r="C953" s="10">
        <v>1014</v>
      </c>
      <c r="D953" s="12" t="s">
        <v>433</v>
      </c>
      <c r="E953" s="10">
        <v>5424</v>
      </c>
      <c r="F953" s="10" t="s">
        <v>401</v>
      </c>
      <c r="G953" s="445"/>
      <c r="H953" s="334">
        <v>96</v>
      </c>
      <c r="I953" s="335">
        <v>89</v>
      </c>
      <c r="J953" s="336">
        <v>18</v>
      </c>
      <c r="K953" s="471">
        <f t="shared" si="43"/>
        <v>-71</v>
      </c>
      <c r="L953" s="472">
        <f t="shared" si="44"/>
        <v>20.224719101123593</v>
      </c>
    </row>
    <row r="954" spans="1:12">
      <c r="A954" s="315">
        <f t="shared" si="42"/>
        <v>953</v>
      </c>
      <c r="B954" s="381">
        <v>8200</v>
      </c>
      <c r="C954" s="10">
        <v>1014</v>
      </c>
      <c r="D954" s="12" t="s">
        <v>433</v>
      </c>
      <c r="E954" s="434">
        <v>5499</v>
      </c>
      <c r="F954" s="10" t="s">
        <v>403</v>
      </c>
      <c r="G954" s="445" t="s">
        <v>367</v>
      </c>
      <c r="H954" s="334">
        <v>184</v>
      </c>
      <c r="I954" s="335">
        <v>265</v>
      </c>
      <c r="J954" s="336">
        <v>219</v>
      </c>
      <c r="K954" s="471">
        <f t="shared" si="43"/>
        <v>-46</v>
      </c>
      <c r="L954" s="472">
        <f t="shared" si="44"/>
        <v>82.64150943396227</v>
      </c>
    </row>
    <row r="955" spans="1:12">
      <c r="A955" s="315">
        <f t="shared" si="42"/>
        <v>954</v>
      </c>
      <c r="B955" s="381">
        <v>8200</v>
      </c>
      <c r="C955" s="10">
        <v>1014</v>
      </c>
      <c r="D955" s="12" t="s">
        <v>433</v>
      </c>
      <c r="E955" s="434">
        <v>5909</v>
      </c>
      <c r="F955" s="10" t="s">
        <v>323</v>
      </c>
      <c r="G955" s="445"/>
      <c r="H955" s="334"/>
      <c r="I955" s="335"/>
      <c r="J955" s="336">
        <v>155</v>
      </c>
      <c r="K955" s="471"/>
      <c r="L955" s="472"/>
    </row>
    <row r="956" spans="1:12">
      <c r="A956" s="315">
        <f t="shared" si="42"/>
        <v>955</v>
      </c>
      <c r="B956" s="28"/>
      <c r="C956" s="343" t="s">
        <v>435</v>
      </c>
      <c r="D956" s="663"/>
      <c r="E956" s="365"/>
      <c r="F956" s="366"/>
      <c r="G956" s="367"/>
      <c r="H956" s="473">
        <f>SUBTOTAL(9,H923:H954)</f>
        <v>15963</v>
      </c>
      <c r="I956" s="428">
        <f>SUBTOTAL(9,I923:I954)</f>
        <v>16144</v>
      </c>
      <c r="J956" s="429">
        <f>SUBTOTAL(9,J923:J955)</f>
        <v>14764</v>
      </c>
      <c r="K956" s="474">
        <f t="shared" si="43"/>
        <v>-1380</v>
      </c>
      <c r="L956" s="475">
        <f t="shared" si="44"/>
        <v>91.451932606541135</v>
      </c>
    </row>
    <row r="957" spans="1:12">
      <c r="A957" s="315">
        <f t="shared" si="42"/>
        <v>956</v>
      </c>
      <c r="B957" s="577">
        <v>8200</v>
      </c>
      <c r="C957" s="434">
        <v>5311</v>
      </c>
      <c r="D957" s="434" t="s">
        <v>92</v>
      </c>
      <c r="E957" s="434">
        <v>5011</v>
      </c>
      <c r="F957" s="10" t="s">
        <v>360</v>
      </c>
      <c r="G957" s="445"/>
      <c r="H957" s="334">
        <v>198269</v>
      </c>
      <c r="I957" s="335">
        <v>198269</v>
      </c>
      <c r="J957" s="336">
        <v>198233</v>
      </c>
      <c r="K957" s="471">
        <f t="shared" si="43"/>
        <v>-36</v>
      </c>
      <c r="L957" s="472">
        <f t="shared" si="44"/>
        <v>99.981842849865586</v>
      </c>
    </row>
    <row r="958" spans="1:12">
      <c r="A958" s="315">
        <f t="shared" si="42"/>
        <v>957</v>
      </c>
      <c r="B958" s="577">
        <v>8200</v>
      </c>
      <c r="C958" s="434">
        <v>5311</v>
      </c>
      <c r="D958" s="434" t="s">
        <v>92</v>
      </c>
      <c r="E958" s="434">
        <v>5011</v>
      </c>
      <c r="F958" s="10" t="s">
        <v>360</v>
      </c>
      <c r="G958" s="445" t="s">
        <v>367</v>
      </c>
      <c r="H958" s="334">
        <v>200</v>
      </c>
      <c r="I958" s="335">
        <v>200</v>
      </c>
      <c r="J958" s="336">
        <v>200</v>
      </c>
      <c r="K958" s="471">
        <f t="shared" si="43"/>
        <v>0</v>
      </c>
      <c r="L958" s="472">
        <f t="shared" si="44"/>
        <v>100</v>
      </c>
    </row>
    <row r="959" spans="1:12">
      <c r="A959" s="315">
        <f t="shared" si="42"/>
        <v>958</v>
      </c>
      <c r="B959" s="577">
        <v>8200</v>
      </c>
      <c r="C959" s="434">
        <v>5311</v>
      </c>
      <c r="D959" s="434" t="s">
        <v>92</v>
      </c>
      <c r="E959" s="434">
        <v>5021</v>
      </c>
      <c r="F959" s="383" t="s">
        <v>364</v>
      </c>
      <c r="G959" s="445"/>
      <c r="H959" s="334">
        <v>500</v>
      </c>
      <c r="I959" s="335">
        <v>500</v>
      </c>
      <c r="J959" s="336">
        <v>449</v>
      </c>
      <c r="K959" s="471">
        <f t="shared" si="43"/>
        <v>-51</v>
      </c>
      <c r="L959" s="472">
        <f t="shared" si="44"/>
        <v>89.8</v>
      </c>
    </row>
    <row r="960" spans="1:12">
      <c r="A960" s="315">
        <f t="shared" si="42"/>
        <v>959</v>
      </c>
      <c r="B960" s="577">
        <v>8200</v>
      </c>
      <c r="C960" s="434">
        <v>5311</v>
      </c>
      <c r="D960" s="434" t="s">
        <v>92</v>
      </c>
      <c r="E960" s="434">
        <v>5024</v>
      </c>
      <c r="F960" s="383" t="s">
        <v>385</v>
      </c>
      <c r="G960" s="445"/>
      <c r="H960" s="334">
        <v>60</v>
      </c>
      <c r="I960" s="335">
        <v>60</v>
      </c>
      <c r="J960" s="336">
        <v>0</v>
      </c>
      <c r="K960" s="471">
        <f t="shared" si="43"/>
        <v>-60</v>
      </c>
      <c r="L960" s="472">
        <f t="shared" si="44"/>
        <v>0</v>
      </c>
    </row>
    <row r="961" spans="1:12">
      <c r="A961" s="315">
        <f t="shared" si="42"/>
        <v>960</v>
      </c>
      <c r="B961" s="577">
        <v>8200</v>
      </c>
      <c r="C961" s="434">
        <v>5311</v>
      </c>
      <c r="D961" s="434" t="s">
        <v>92</v>
      </c>
      <c r="E961" s="434">
        <v>5031</v>
      </c>
      <c r="F961" s="10" t="s">
        <v>361</v>
      </c>
      <c r="G961" s="333"/>
      <c r="H961" s="334">
        <v>49667</v>
      </c>
      <c r="I961" s="335">
        <v>49687</v>
      </c>
      <c r="J961" s="336">
        <v>49663</v>
      </c>
      <c r="K961" s="471">
        <f t="shared" si="43"/>
        <v>-24</v>
      </c>
      <c r="L961" s="472">
        <f t="shared" si="44"/>
        <v>99.951697627145933</v>
      </c>
    </row>
    <row r="962" spans="1:12">
      <c r="A962" s="315">
        <f t="shared" si="42"/>
        <v>961</v>
      </c>
      <c r="B962" s="577">
        <v>8200</v>
      </c>
      <c r="C962" s="434">
        <v>5311</v>
      </c>
      <c r="D962" s="434" t="s">
        <v>92</v>
      </c>
      <c r="E962" s="434">
        <v>5031</v>
      </c>
      <c r="F962" s="10" t="s">
        <v>361</v>
      </c>
      <c r="G962" s="333" t="s">
        <v>367</v>
      </c>
      <c r="H962" s="334">
        <v>52</v>
      </c>
      <c r="I962" s="335">
        <v>52</v>
      </c>
      <c r="J962" s="336">
        <v>52</v>
      </c>
      <c r="K962" s="471">
        <f t="shared" si="43"/>
        <v>0</v>
      </c>
      <c r="L962" s="472">
        <f t="shared" si="44"/>
        <v>100</v>
      </c>
    </row>
    <row r="963" spans="1:12">
      <c r="A963" s="315">
        <f t="shared" si="42"/>
        <v>962</v>
      </c>
      <c r="B963" s="577">
        <v>8200</v>
      </c>
      <c r="C963" s="434">
        <v>5311</v>
      </c>
      <c r="D963" s="434" t="s">
        <v>92</v>
      </c>
      <c r="E963" s="434">
        <v>5032</v>
      </c>
      <c r="F963" s="10" t="s">
        <v>362</v>
      </c>
      <c r="G963" s="333"/>
      <c r="H963" s="334">
        <v>17945</v>
      </c>
      <c r="I963" s="335">
        <v>17945</v>
      </c>
      <c r="J963" s="336">
        <v>17880</v>
      </c>
      <c r="K963" s="471">
        <f t="shared" si="43"/>
        <v>-65</v>
      </c>
      <c r="L963" s="472">
        <f t="shared" si="44"/>
        <v>99.637782112008921</v>
      </c>
    </row>
    <row r="964" spans="1:12">
      <c r="A964" s="315">
        <f t="shared" ref="A964:A1027" si="46">A963+1</f>
        <v>963</v>
      </c>
      <c r="B964" s="577">
        <v>8200</v>
      </c>
      <c r="C964" s="434">
        <v>5311</v>
      </c>
      <c r="D964" s="434" t="s">
        <v>92</v>
      </c>
      <c r="E964" s="434">
        <v>5032</v>
      </c>
      <c r="F964" s="10" t="s">
        <v>362</v>
      </c>
      <c r="G964" s="333" t="s">
        <v>367</v>
      </c>
      <c r="H964" s="334">
        <v>18</v>
      </c>
      <c r="I964" s="335">
        <v>18</v>
      </c>
      <c r="J964" s="336">
        <v>18</v>
      </c>
      <c r="K964" s="471">
        <f t="shared" si="43"/>
        <v>0</v>
      </c>
      <c r="L964" s="472">
        <f t="shared" si="44"/>
        <v>100</v>
      </c>
    </row>
    <row r="965" spans="1:12">
      <c r="A965" s="315">
        <f t="shared" si="46"/>
        <v>964</v>
      </c>
      <c r="B965" s="577">
        <v>8200</v>
      </c>
      <c r="C965" s="434">
        <v>5311</v>
      </c>
      <c r="D965" s="434" t="s">
        <v>92</v>
      </c>
      <c r="E965" s="434">
        <v>5131</v>
      </c>
      <c r="F965" s="10" t="s">
        <v>650</v>
      </c>
      <c r="G965" s="333"/>
      <c r="H965" s="334">
        <v>270</v>
      </c>
      <c r="I965" s="335">
        <v>320</v>
      </c>
      <c r="J965" s="336">
        <v>300</v>
      </c>
      <c r="K965" s="471">
        <f t="shared" ref="K965:K1028" si="47">J965-I965</f>
        <v>-20</v>
      </c>
      <c r="L965" s="472">
        <f t="shared" ref="L965:L1028" si="48">IF(I965&lt;=0,0,J965/I965*100)</f>
        <v>93.75</v>
      </c>
    </row>
    <row r="966" spans="1:12">
      <c r="A966" s="315">
        <f t="shared" si="46"/>
        <v>965</v>
      </c>
      <c r="B966" s="577">
        <v>8200</v>
      </c>
      <c r="C966" s="434">
        <v>5311</v>
      </c>
      <c r="D966" s="434" t="s">
        <v>92</v>
      </c>
      <c r="E966" s="434">
        <v>5133</v>
      </c>
      <c r="F966" s="10" t="s">
        <v>388</v>
      </c>
      <c r="G966" s="333"/>
      <c r="H966" s="334">
        <v>100</v>
      </c>
      <c r="I966" s="335">
        <v>50</v>
      </c>
      <c r="J966" s="336">
        <v>47</v>
      </c>
      <c r="K966" s="471">
        <f t="shared" si="47"/>
        <v>-3</v>
      </c>
      <c r="L966" s="472">
        <f t="shared" si="48"/>
        <v>94</v>
      </c>
    </row>
    <row r="967" spans="1:12">
      <c r="A967" s="315">
        <f t="shared" si="46"/>
        <v>966</v>
      </c>
      <c r="B967" s="577">
        <v>8200</v>
      </c>
      <c r="C967" s="434">
        <v>5311</v>
      </c>
      <c r="D967" s="434" t="s">
        <v>92</v>
      </c>
      <c r="E967" s="434">
        <v>5134</v>
      </c>
      <c r="F967" s="383" t="s">
        <v>537</v>
      </c>
      <c r="G967" s="445"/>
      <c r="H967" s="334">
        <v>4406</v>
      </c>
      <c r="I967" s="335">
        <v>3158</v>
      </c>
      <c r="J967" s="336">
        <v>3151</v>
      </c>
      <c r="K967" s="471">
        <f t="shared" si="47"/>
        <v>-7</v>
      </c>
      <c r="L967" s="472">
        <f t="shared" si="48"/>
        <v>99.778340721975937</v>
      </c>
    </row>
    <row r="968" spans="1:12">
      <c r="A968" s="315">
        <f t="shared" si="46"/>
        <v>967</v>
      </c>
      <c r="B968" s="577">
        <v>8200</v>
      </c>
      <c r="C968" s="434">
        <v>5311</v>
      </c>
      <c r="D968" s="434" t="s">
        <v>92</v>
      </c>
      <c r="E968" s="434">
        <v>5136</v>
      </c>
      <c r="F968" s="383" t="s">
        <v>389</v>
      </c>
      <c r="G968" s="445"/>
      <c r="H968" s="334">
        <v>146</v>
      </c>
      <c r="I968" s="335">
        <v>146</v>
      </c>
      <c r="J968" s="336">
        <v>101</v>
      </c>
      <c r="K968" s="471">
        <f t="shared" si="47"/>
        <v>-45</v>
      </c>
      <c r="L968" s="472">
        <f t="shared" si="48"/>
        <v>69.178082191780817</v>
      </c>
    </row>
    <row r="969" spans="1:12">
      <c r="A969" s="315">
        <f t="shared" si="46"/>
        <v>968</v>
      </c>
      <c r="B969" s="577">
        <v>8200</v>
      </c>
      <c r="C969" s="434">
        <v>5311</v>
      </c>
      <c r="D969" s="434" t="s">
        <v>92</v>
      </c>
      <c r="E969" s="434">
        <v>5137</v>
      </c>
      <c r="F969" s="12" t="s">
        <v>346</v>
      </c>
      <c r="G969" s="158"/>
      <c r="H969" s="334">
        <v>3164</v>
      </c>
      <c r="I969" s="335">
        <v>3064</v>
      </c>
      <c r="J969" s="336">
        <v>2963</v>
      </c>
      <c r="K969" s="471">
        <f t="shared" si="47"/>
        <v>-101</v>
      </c>
      <c r="L969" s="472">
        <f t="shared" si="48"/>
        <v>96.703655352480425</v>
      </c>
    </row>
    <row r="970" spans="1:12">
      <c r="A970" s="315">
        <f t="shared" si="46"/>
        <v>969</v>
      </c>
      <c r="B970" s="577">
        <v>8200</v>
      </c>
      <c r="C970" s="434">
        <v>5311</v>
      </c>
      <c r="D970" s="434" t="s">
        <v>92</v>
      </c>
      <c r="E970" s="434">
        <v>5137</v>
      </c>
      <c r="F970" s="12" t="s">
        <v>346</v>
      </c>
      <c r="G970" s="158" t="s">
        <v>367</v>
      </c>
      <c r="H970" s="334">
        <v>20</v>
      </c>
      <c r="I970" s="335">
        <v>40</v>
      </c>
      <c r="J970" s="336">
        <v>10</v>
      </c>
      <c r="K970" s="471">
        <f t="shared" si="47"/>
        <v>-30</v>
      </c>
      <c r="L970" s="472">
        <f t="shared" si="48"/>
        <v>25</v>
      </c>
    </row>
    <row r="971" spans="1:12">
      <c r="A971" s="315">
        <f t="shared" si="46"/>
        <v>970</v>
      </c>
      <c r="B971" s="577">
        <v>8200</v>
      </c>
      <c r="C971" s="434">
        <v>5311</v>
      </c>
      <c r="D971" s="434" t="s">
        <v>92</v>
      </c>
      <c r="E971" s="434">
        <v>5139</v>
      </c>
      <c r="F971" s="10" t="s">
        <v>342</v>
      </c>
      <c r="G971" s="333"/>
      <c r="H971" s="334">
        <v>5379</v>
      </c>
      <c r="I971" s="335">
        <v>3954</v>
      </c>
      <c r="J971" s="336">
        <v>3917</v>
      </c>
      <c r="K971" s="471">
        <f t="shared" si="47"/>
        <v>-37</v>
      </c>
      <c r="L971" s="472">
        <f t="shared" si="48"/>
        <v>99.064238745574102</v>
      </c>
    </row>
    <row r="972" spans="1:12">
      <c r="A972" s="315">
        <f t="shared" si="46"/>
        <v>971</v>
      </c>
      <c r="B972" s="577">
        <v>8200</v>
      </c>
      <c r="C972" s="434">
        <v>5311</v>
      </c>
      <c r="D972" s="434" t="s">
        <v>92</v>
      </c>
      <c r="E972" s="434">
        <v>5139</v>
      </c>
      <c r="F972" s="10" t="s">
        <v>342</v>
      </c>
      <c r="G972" s="333" t="s">
        <v>367</v>
      </c>
      <c r="H972" s="334">
        <v>72</v>
      </c>
      <c r="I972" s="335">
        <v>75</v>
      </c>
      <c r="J972" s="336">
        <v>40</v>
      </c>
      <c r="K972" s="471">
        <f t="shared" si="47"/>
        <v>-35</v>
      </c>
      <c r="L972" s="472">
        <f t="shared" si="48"/>
        <v>53.333333333333336</v>
      </c>
    </row>
    <row r="973" spans="1:12">
      <c r="A973" s="315">
        <f t="shared" si="46"/>
        <v>972</v>
      </c>
      <c r="B973" s="577">
        <v>8200</v>
      </c>
      <c r="C973" s="434">
        <v>5311</v>
      </c>
      <c r="D973" s="434" t="s">
        <v>92</v>
      </c>
      <c r="E973" s="434">
        <v>5151</v>
      </c>
      <c r="F973" s="10" t="s">
        <v>347</v>
      </c>
      <c r="G973" s="445"/>
      <c r="H973" s="334">
        <v>760</v>
      </c>
      <c r="I973" s="335">
        <v>660</v>
      </c>
      <c r="J973" s="336">
        <v>506</v>
      </c>
      <c r="K973" s="471">
        <f t="shared" si="47"/>
        <v>-154</v>
      </c>
      <c r="L973" s="472">
        <f t="shared" si="48"/>
        <v>76.666666666666671</v>
      </c>
    </row>
    <row r="974" spans="1:12">
      <c r="A974" s="315">
        <f t="shared" si="46"/>
        <v>973</v>
      </c>
      <c r="B974" s="577">
        <v>8200</v>
      </c>
      <c r="C974" s="434">
        <v>5311</v>
      </c>
      <c r="D974" s="434" t="s">
        <v>92</v>
      </c>
      <c r="E974" s="434">
        <v>5152</v>
      </c>
      <c r="F974" s="383" t="s">
        <v>348</v>
      </c>
      <c r="G974" s="445"/>
      <c r="H974" s="334">
        <v>1004</v>
      </c>
      <c r="I974" s="335">
        <v>784</v>
      </c>
      <c r="J974" s="336">
        <v>676</v>
      </c>
      <c r="K974" s="471">
        <f t="shared" si="47"/>
        <v>-108</v>
      </c>
      <c r="L974" s="472">
        <f t="shared" si="48"/>
        <v>86.224489795918373</v>
      </c>
    </row>
    <row r="975" spans="1:12">
      <c r="A975" s="315">
        <f t="shared" si="46"/>
        <v>974</v>
      </c>
      <c r="B975" s="577">
        <v>8200</v>
      </c>
      <c r="C975" s="434">
        <v>5311</v>
      </c>
      <c r="D975" s="434" t="s">
        <v>92</v>
      </c>
      <c r="E975" s="434">
        <v>5153</v>
      </c>
      <c r="F975" s="383" t="s">
        <v>391</v>
      </c>
      <c r="G975" s="445"/>
      <c r="H975" s="334">
        <v>3158</v>
      </c>
      <c r="I975" s="335">
        <v>2906</v>
      </c>
      <c r="J975" s="336">
        <v>2314</v>
      </c>
      <c r="K975" s="471">
        <f t="shared" si="47"/>
        <v>-592</v>
      </c>
      <c r="L975" s="472">
        <f t="shared" si="48"/>
        <v>79.628355127322777</v>
      </c>
    </row>
    <row r="976" spans="1:12">
      <c r="A976" s="315">
        <f t="shared" si="46"/>
        <v>975</v>
      </c>
      <c r="B976" s="577">
        <v>8200</v>
      </c>
      <c r="C976" s="434">
        <v>5311</v>
      </c>
      <c r="D976" s="434" t="s">
        <v>92</v>
      </c>
      <c r="E976" s="434">
        <v>5153</v>
      </c>
      <c r="F976" s="383" t="s">
        <v>391</v>
      </c>
      <c r="G976" s="445" t="s">
        <v>367</v>
      </c>
      <c r="H976" s="334">
        <v>310</v>
      </c>
      <c r="I976" s="335">
        <v>310</v>
      </c>
      <c r="J976" s="336">
        <v>274</v>
      </c>
      <c r="K976" s="471">
        <f t="shared" si="47"/>
        <v>-36</v>
      </c>
      <c r="L976" s="472">
        <f t="shared" si="48"/>
        <v>88.387096774193552</v>
      </c>
    </row>
    <row r="977" spans="1:12">
      <c r="A977" s="315">
        <f t="shared" si="46"/>
        <v>976</v>
      </c>
      <c r="B977" s="577">
        <v>8200</v>
      </c>
      <c r="C977" s="434">
        <v>5311</v>
      </c>
      <c r="D977" s="434" t="s">
        <v>92</v>
      </c>
      <c r="E977" s="434">
        <v>5154</v>
      </c>
      <c r="F977" s="383" t="s">
        <v>349</v>
      </c>
      <c r="G977" s="445"/>
      <c r="H977" s="334">
        <v>3860</v>
      </c>
      <c r="I977" s="335">
        <v>3760</v>
      </c>
      <c r="J977" s="336">
        <v>3177</v>
      </c>
      <c r="K977" s="471">
        <f t="shared" si="47"/>
        <v>-583</v>
      </c>
      <c r="L977" s="472">
        <f t="shared" si="48"/>
        <v>84.494680851063833</v>
      </c>
    </row>
    <row r="978" spans="1:12">
      <c r="A978" s="315">
        <f t="shared" si="46"/>
        <v>977</v>
      </c>
      <c r="B978" s="577">
        <v>8200</v>
      </c>
      <c r="C978" s="434">
        <v>5311</v>
      </c>
      <c r="D978" s="434" t="s">
        <v>92</v>
      </c>
      <c r="E978" s="434">
        <v>5154</v>
      </c>
      <c r="F978" s="383" t="s">
        <v>349</v>
      </c>
      <c r="G978" s="445" t="s">
        <v>367</v>
      </c>
      <c r="H978" s="334">
        <v>135</v>
      </c>
      <c r="I978" s="335">
        <v>135</v>
      </c>
      <c r="J978" s="336">
        <v>97</v>
      </c>
      <c r="K978" s="471">
        <f t="shared" si="47"/>
        <v>-38</v>
      </c>
      <c r="L978" s="472">
        <f t="shared" si="48"/>
        <v>71.851851851851862</v>
      </c>
    </row>
    <row r="979" spans="1:12">
      <c r="A979" s="315">
        <f t="shared" si="46"/>
        <v>978</v>
      </c>
      <c r="B979" s="577">
        <v>8200</v>
      </c>
      <c r="C979" s="434">
        <v>5311</v>
      </c>
      <c r="D979" s="434" t="s">
        <v>92</v>
      </c>
      <c r="E979" s="434">
        <v>5156</v>
      </c>
      <c r="F979" s="383" t="s">
        <v>381</v>
      </c>
      <c r="G979" s="445"/>
      <c r="H979" s="334">
        <v>5918</v>
      </c>
      <c r="I979" s="335">
        <v>5268</v>
      </c>
      <c r="J979" s="336">
        <v>5108</v>
      </c>
      <c r="K979" s="471">
        <f t="shared" si="47"/>
        <v>-160</v>
      </c>
      <c r="L979" s="472">
        <f t="shared" si="48"/>
        <v>96.96279422930904</v>
      </c>
    </row>
    <row r="980" spans="1:12">
      <c r="A980" s="315">
        <f t="shared" si="46"/>
        <v>979</v>
      </c>
      <c r="B980" s="577">
        <v>8200</v>
      </c>
      <c r="C980" s="434">
        <v>5311</v>
      </c>
      <c r="D980" s="434" t="s">
        <v>92</v>
      </c>
      <c r="E980" s="434">
        <v>5161</v>
      </c>
      <c r="F980" s="383" t="s">
        <v>382</v>
      </c>
      <c r="G980" s="445"/>
      <c r="H980" s="334">
        <v>10</v>
      </c>
      <c r="I980" s="335">
        <v>10</v>
      </c>
      <c r="J980" s="336">
        <v>3</v>
      </c>
      <c r="K980" s="471">
        <f t="shared" si="47"/>
        <v>-7</v>
      </c>
      <c r="L980" s="472">
        <f t="shared" si="48"/>
        <v>30</v>
      </c>
    </row>
    <row r="981" spans="1:12">
      <c r="A981" s="315">
        <f t="shared" si="46"/>
        <v>980</v>
      </c>
      <c r="B981" s="577">
        <v>8200</v>
      </c>
      <c r="C981" s="434">
        <v>5311</v>
      </c>
      <c r="D981" s="434" t="s">
        <v>92</v>
      </c>
      <c r="E981" s="434">
        <v>5162</v>
      </c>
      <c r="F981" s="10" t="s">
        <v>392</v>
      </c>
      <c r="G981" s="445"/>
      <c r="H981" s="334">
        <v>5610</v>
      </c>
      <c r="I981" s="335">
        <v>4284</v>
      </c>
      <c r="J981" s="336">
        <v>3938</v>
      </c>
      <c r="K981" s="471">
        <f t="shared" si="47"/>
        <v>-346</v>
      </c>
      <c r="L981" s="472">
        <f t="shared" si="48"/>
        <v>91.923436041083093</v>
      </c>
    </row>
    <row r="982" spans="1:12">
      <c r="A982" s="315">
        <f t="shared" si="46"/>
        <v>981</v>
      </c>
      <c r="B982" s="577">
        <v>8200</v>
      </c>
      <c r="C982" s="434">
        <v>5311</v>
      </c>
      <c r="D982" s="434" t="s">
        <v>92</v>
      </c>
      <c r="E982" s="434">
        <v>5163</v>
      </c>
      <c r="F982" s="383" t="s">
        <v>318</v>
      </c>
      <c r="G982" s="445"/>
      <c r="H982" s="334">
        <v>1932</v>
      </c>
      <c r="I982" s="335">
        <v>1132</v>
      </c>
      <c r="J982" s="336">
        <v>1105</v>
      </c>
      <c r="K982" s="471">
        <f t="shared" si="47"/>
        <v>-27</v>
      </c>
      <c r="L982" s="472">
        <f t="shared" si="48"/>
        <v>97.614840989399298</v>
      </c>
    </row>
    <row r="983" spans="1:12">
      <c r="A983" s="315">
        <f t="shared" si="46"/>
        <v>982</v>
      </c>
      <c r="B983" s="577">
        <v>8200</v>
      </c>
      <c r="C983" s="434">
        <v>5311</v>
      </c>
      <c r="D983" s="434" t="s">
        <v>92</v>
      </c>
      <c r="E983" s="434">
        <v>5163</v>
      </c>
      <c r="F983" s="383" t="s">
        <v>318</v>
      </c>
      <c r="G983" s="445" t="s">
        <v>367</v>
      </c>
      <c r="H983" s="334">
        <v>21</v>
      </c>
      <c r="I983" s="335">
        <v>21</v>
      </c>
      <c r="J983" s="336">
        <v>21</v>
      </c>
      <c r="K983" s="471">
        <f t="shared" si="47"/>
        <v>0</v>
      </c>
      <c r="L983" s="472">
        <f t="shared" si="48"/>
        <v>100</v>
      </c>
    </row>
    <row r="984" spans="1:12">
      <c r="A984" s="315">
        <f t="shared" si="46"/>
        <v>983</v>
      </c>
      <c r="B984" s="577">
        <v>8200</v>
      </c>
      <c r="C984" s="434">
        <v>5311</v>
      </c>
      <c r="D984" s="434" t="s">
        <v>92</v>
      </c>
      <c r="E984" s="434">
        <v>5164</v>
      </c>
      <c r="F984" s="383" t="s">
        <v>350</v>
      </c>
      <c r="G984" s="445"/>
      <c r="H984" s="334">
        <v>482</v>
      </c>
      <c r="I984" s="335">
        <v>482</v>
      </c>
      <c r="J984" s="336">
        <v>212</v>
      </c>
      <c r="K984" s="471">
        <f t="shared" si="47"/>
        <v>-270</v>
      </c>
      <c r="L984" s="472">
        <f t="shared" si="48"/>
        <v>43.983402489626556</v>
      </c>
    </row>
    <row r="985" spans="1:12">
      <c r="A985" s="315">
        <f t="shared" si="46"/>
        <v>984</v>
      </c>
      <c r="B985" s="577">
        <v>8200</v>
      </c>
      <c r="C985" s="434">
        <v>5311</v>
      </c>
      <c r="D985" s="434" t="s">
        <v>92</v>
      </c>
      <c r="E985" s="434">
        <v>5164</v>
      </c>
      <c r="F985" s="383" t="s">
        <v>350</v>
      </c>
      <c r="G985" s="445" t="s">
        <v>367</v>
      </c>
      <c r="H985" s="334">
        <v>74</v>
      </c>
      <c r="I985" s="335">
        <v>74</v>
      </c>
      <c r="J985" s="336">
        <v>70</v>
      </c>
      <c r="K985" s="471">
        <f t="shared" si="47"/>
        <v>-4</v>
      </c>
      <c r="L985" s="472">
        <f t="shared" si="48"/>
        <v>94.594594594594597</v>
      </c>
    </row>
    <row r="986" spans="1:12">
      <c r="A986" s="315">
        <f t="shared" si="46"/>
        <v>985</v>
      </c>
      <c r="B986" s="577">
        <v>8200</v>
      </c>
      <c r="C986" s="434">
        <v>5311</v>
      </c>
      <c r="D986" s="434" t="s">
        <v>92</v>
      </c>
      <c r="E986" s="434">
        <v>5166</v>
      </c>
      <c r="F986" s="10" t="s">
        <v>309</v>
      </c>
      <c r="G986" s="333"/>
      <c r="H986" s="334">
        <v>125</v>
      </c>
      <c r="I986" s="335">
        <v>431</v>
      </c>
      <c r="J986" s="336">
        <v>424</v>
      </c>
      <c r="K986" s="471">
        <f t="shared" si="47"/>
        <v>-7</v>
      </c>
      <c r="L986" s="472">
        <f t="shared" si="48"/>
        <v>98.375870069605568</v>
      </c>
    </row>
    <row r="987" spans="1:12">
      <c r="A987" s="315">
        <f t="shared" si="46"/>
        <v>986</v>
      </c>
      <c r="B987" s="577">
        <v>8200</v>
      </c>
      <c r="C987" s="434">
        <v>5311</v>
      </c>
      <c r="D987" s="434" t="s">
        <v>92</v>
      </c>
      <c r="E987" s="434">
        <v>5166</v>
      </c>
      <c r="F987" s="10" t="s">
        <v>309</v>
      </c>
      <c r="G987" s="333" t="s">
        <v>367</v>
      </c>
      <c r="H987" s="334">
        <v>5</v>
      </c>
      <c r="I987" s="335">
        <v>5</v>
      </c>
      <c r="J987" s="336">
        <v>0</v>
      </c>
      <c r="K987" s="471">
        <f t="shared" si="47"/>
        <v>-5</v>
      </c>
      <c r="L987" s="472">
        <f t="shared" si="48"/>
        <v>0</v>
      </c>
    </row>
    <row r="988" spans="1:12">
      <c r="A988" s="315">
        <f t="shared" si="46"/>
        <v>987</v>
      </c>
      <c r="B988" s="577">
        <v>8200</v>
      </c>
      <c r="C988" s="434">
        <v>5311</v>
      </c>
      <c r="D988" s="434" t="s">
        <v>92</v>
      </c>
      <c r="E988" s="434">
        <v>5167</v>
      </c>
      <c r="F988" s="383" t="s">
        <v>393</v>
      </c>
      <c r="G988" s="445"/>
      <c r="H988" s="334">
        <v>533</v>
      </c>
      <c r="I988" s="335">
        <v>233</v>
      </c>
      <c r="J988" s="336">
        <v>232</v>
      </c>
      <c r="K988" s="471">
        <f t="shared" si="47"/>
        <v>-1</v>
      </c>
      <c r="L988" s="472">
        <f t="shared" si="48"/>
        <v>99.570815450643778</v>
      </c>
    </row>
    <row r="989" spans="1:12">
      <c r="A989" s="315">
        <f t="shared" si="46"/>
        <v>988</v>
      </c>
      <c r="B989" s="577">
        <v>8200</v>
      </c>
      <c r="C989" s="434">
        <v>5311</v>
      </c>
      <c r="D989" s="434" t="s">
        <v>92</v>
      </c>
      <c r="E989" s="434">
        <v>5169</v>
      </c>
      <c r="F989" s="10" t="s">
        <v>313</v>
      </c>
      <c r="G989" s="333"/>
      <c r="H989" s="334">
        <v>19343</v>
      </c>
      <c r="I989" s="335">
        <v>17098</v>
      </c>
      <c r="J989" s="336">
        <v>14842</v>
      </c>
      <c r="K989" s="471">
        <f t="shared" si="47"/>
        <v>-2256</v>
      </c>
      <c r="L989" s="472">
        <f t="shared" si="48"/>
        <v>86.80547432448239</v>
      </c>
    </row>
    <row r="990" spans="1:12">
      <c r="A990" s="315">
        <f t="shared" si="46"/>
        <v>989</v>
      </c>
      <c r="B990" s="577">
        <v>8200</v>
      </c>
      <c r="C990" s="434">
        <v>5311</v>
      </c>
      <c r="D990" s="434" t="s">
        <v>92</v>
      </c>
      <c r="E990" s="434">
        <v>5169</v>
      </c>
      <c r="F990" s="10" t="s">
        <v>313</v>
      </c>
      <c r="G990" s="333" t="s">
        <v>367</v>
      </c>
      <c r="H990" s="334">
        <v>1997</v>
      </c>
      <c r="I990" s="335">
        <v>2017</v>
      </c>
      <c r="J990" s="336">
        <v>1826</v>
      </c>
      <c r="K990" s="471">
        <f t="shared" si="47"/>
        <v>-191</v>
      </c>
      <c r="L990" s="472">
        <f t="shared" si="48"/>
        <v>90.530490827962325</v>
      </c>
    </row>
    <row r="991" spans="1:12">
      <c r="A991" s="315">
        <f t="shared" si="46"/>
        <v>990</v>
      </c>
      <c r="B991" s="577">
        <v>8200</v>
      </c>
      <c r="C991" s="434">
        <v>5311</v>
      </c>
      <c r="D991" s="434" t="s">
        <v>92</v>
      </c>
      <c r="E991" s="434">
        <v>5171</v>
      </c>
      <c r="F991" s="383" t="s">
        <v>394</v>
      </c>
      <c r="G991" s="445"/>
      <c r="H991" s="334">
        <v>3393</v>
      </c>
      <c r="I991" s="335">
        <v>5502</v>
      </c>
      <c r="J991" s="336">
        <v>5390</v>
      </c>
      <c r="K991" s="471">
        <f t="shared" si="47"/>
        <v>-112</v>
      </c>
      <c r="L991" s="472">
        <f t="shared" si="48"/>
        <v>97.964376590330787</v>
      </c>
    </row>
    <row r="992" spans="1:12">
      <c r="A992" s="315">
        <f t="shared" si="46"/>
        <v>991</v>
      </c>
      <c r="B992" s="577">
        <v>8200</v>
      </c>
      <c r="C992" s="434">
        <v>5311</v>
      </c>
      <c r="D992" s="434" t="s">
        <v>92</v>
      </c>
      <c r="E992" s="434">
        <v>5171</v>
      </c>
      <c r="F992" s="383" t="s">
        <v>394</v>
      </c>
      <c r="G992" s="445" t="s">
        <v>367</v>
      </c>
      <c r="H992" s="334">
        <v>142</v>
      </c>
      <c r="I992" s="335">
        <v>239</v>
      </c>
      <c r="J992" s="336">
        <v>96</v>
      </c>
      <c r="K992" s="471">
        <f t="shared" si="47"/>
        <v>-143</v>
      </c>
      <c r="L992" s="472">
        <f t="shared" si="48"/>
        <v>40.1673640167364</v>
      </c>
    </row>
    <row r="993" spans="1:12">
      <c r="A993" s="315">
        <f t="shared" si="46"/>
        <v>992</v>
      </c>
      <c r="B993" s="577">
        <v>8200</v>
      </c>
      <c r="C993" s="434">
        <v>5311</v>
      </c>
      <c r="D993" s="434" t="s">
        <v>92</v>
      </c>
      <c r="E993" s="434">
        <v>5172</v>
      </c>
      <c r="F993" s="383" t="s">
        <v>409</v>
      </c>
      <c r="G993" s="445"/>
      <c r="H993" s="334">
        <v>300</v>
      </c>
      <c r="I993" s="335">
        <v>300</v>
      </c>
      <c r="J993" s="336">
        <v>78</v>
      </c>
      <c r="K993" s="471">
        <f t="shared" si="47"/>
        <v>-222</v>
      </c>
      <c r="L993" s="472">
        <f t="shared" si="48"/>
        <v>26</v>
      </c>
    </row>
    <row r="994" spans="1:12">
      <c r="A994" s="315">
        <f t="shared" si="46"/>
        <v>993</v>
      </c>
      <c r="B994" s="577">
        <v>8200</v>
      </c>
      <c r="C994" s="434">
        <v>5311</v>
      </c>
      <c r="D994" s="434" t="s">
        <v>92</v>
      </c>
      <c r="E994" s="434">
        <v>5173</v>
      </c>
      <c r="F994" s="383" t="s">
        <v>363</v>
      </c>
      <c r="G994" s="445"/>
      <c r="H994" s="334">
        <v>155</v>
      </c>
      <c r="I994" s="335">
        <v>155</v>
      </c>
      <c r="J994" s="336">
        <v>70</v>
      </c>
      <c r="K994" s="471">
        <f t="shared" si="47"/>
        <v>-85</v>
      </c>
      <c r="L994" s="472">
        <f t="shared" si="48"/>
        <v>45.161290322580641</v>
      </c>
    </row>
    <row r="995" spans="1:12">
      <c r="A995" s="315">
        <f t="shared" si="46"/>
        <v>994</v>
      </c>
      <c r="B995" s="577">
        <v>8200</v>
      </c>
      <c r="C995" s="434">
        <v>5311</v>
      </c>
      <c r="D995" s="434" t="s">
        <v>92</v>
      </c>
      <c r="E995" s="434">
        <v>5175</v>
      </c>
      <c r="F995" s="383" t="s">
        <v>335</v>
      </c>
      <c r="G995" s="445"/>
      <c r="H995" s="334">
        <v>262</v>
      </c>
      <c r="I995" s="335">
        <v>262</v>
      </c>
      <c r="J995" s="336">
        <v>249</v>
      </c>
      <c r="K995" s="471">
        <f t="shared" si="47"/>
        <v>-13</v>
      </c>
      <c r="L995" s="472">
        <f t="shared" si="48"/>
        <v>95.038167938931295</v>
      </c>
    </row>
    <row r="996" spans="1:12">
      <c r="A996" s="315">
        <f t="shared" si="46"/>
        <v>995</v>
      </c>
      <c r="B996" s="577">
        <v>8200</v>
      </c>
      <c r="C996" s="434">
        <v>5311</v>
      </c>
      <c r="D996" s="434" t="s">
        <v>92</v>
      </c>
      <c r="E996" s="434">
        <v>5175</v>
      </c>
      <c r="F996" s="383" t="s">
        <v>335</v>
      </c>
      <c r="G996" s="445" t="s">
        <v>367</v>
      </c>
      <c r="H996" s="334">
        <v>20</v>
      </c>
      <c r="I996" s="335">
        <v>10</v>
      </c>
      <c r="J996" s="336">
        <v>10</v>
      </c>
      <c r="K996" s="471">
        <f t="shared" si="47"/>
        <v>0</v>
      </c>
      <c r="L996" s="472">
        <f t="shared" si="48"/>
        <v>100</v>
      </c>
    </row>
    <row r="997" spans="1:12">
      <c r="A997" s="315">
        <f t="shared" si="46"/>
        <v>996</v>
      </c>
      <c r="B997" s="577">
        <v>8200</v>
      </c>
      <c r="C997" s="434">
        <v>5311</v>
      </c>
      <c r="D997" s="434" t="s">
        <v>92</v>
      </c>
      <c r="E997" s="434">
        <v>5176</v>
      </c>
      <c r="F997" s="383" t="s">
        <v>395</v>
      </c>
      <c r="G997" s="445"/>
      <c r="H997" s="334">
        <v>15</v>
      </c>
      <c r="I997" s="335">
        <v>15</v>
      </c>
      <c r="J997" s="336">
        <v>6</v>
      </c>
      <c r="K997" s="471">
        <f t="shared" si="47"/>
        <v>-9</v>
      </c>
      <c r="L997" s="472">
        <f t="shared" si="48"/>
        <v>40</v>
      </c>
    </row>
    <row r="998" spans="1:12">
      <c r="A998" s="315">
        <f t="shared" si="46"/>
        <v>997</v>
      </c>
      <c r="B998" s="577">
        <v>8200</v>
      </c>
      <c r="C998" s="434">
        <v>5311</v>
      </c>
      <c r="D998" s="434" t="s">
        <v>92</v>
      </c>
      <c r="E998" s="434">
        <v>5176</v>
      </c>
      <c r="F998" s="383" t="s">
        <v>395</v>
      </c>
      <c r="G998" s="445" t="s">
        <v>367</v>
      </c>
      <c r="H998" s="334">
        <v>0</v>
      </c>
      <c r="I998" s="335">
        <v>0</v>
      </c>
      <c r="J998" s="336"/>
      <c r="K998" s="471">
        <f t="shared" si="47"/>
        <v>0</v>
      </c>
      <c r="L998" s="472">
        <f t="shared" si="48"/>
        <v>0</v>
      </c>
    </row>
    <row r="999" spans="1:12">
      <c r="A999" s="315">
        <f t="shared" si="46"/>
        <v>998</v>
      </c>
      <c r="B999" s="577">
        <v>8200</v>
      </c>
      <c r="C999" s="434">
        <v>5311</v>
      </c>
      <c r="D999" s="434" t="s">
        <v>92</v>
      </c>
      <c r="E999" s="434">
        <v>5179</v>
      </c>
      <c r="F999" s="383" t="s">
        <v>396</v>
      </c>
      <c r="G999" s="445"/>
      <c r="H999" s="334">
        <v>331</v>
      </c>
      <c r="I999" s="335">
        <v>81</v>
      </c>
      <c r="J999" s="336">
        <v>29</v>
      </c>
      <c r="K999" s="471">
        <f t="shared" si="47"/>
        <v>-52</v>
      </c>
      <c r="L999" s="472">
        <f t="shared" si="48"/>
        <v>35.802469135802468</v>
      </c>
    </row>
    <row r="1000" spans="1:12">
      <c r="A1000" s="315">
        <f t="shared" si="46"/>
        <v>999</v>
      </c>
      <c r="B1000" s="577">
        <v>8200</v>
      </c>
      <c r="C1000" s="434">
        <v>5311</v>
      </c>
      <c r="D1000" s="434" t="s">
        <v>92</v>
      </c>
      <c r="E1000" s="434">
        <v>5179</v>
      </c>
      <c r="F1000" s="383" t="s">
        <v>396</v>
      </c>
      <c r="G1000" s="445" t="s">
        <v>367</v>
      </c>
      <c r="H1000" s="334">
        <v>415</v>
      </c>
      <c r="I1000" s="335">
        <v>458</v>
      </c>
      <c r="J1000" s="336">
        <v>438</v>
      </c>
      <c r="K1000" s="471">
        <f t="shared" si="47"/>
        <v>-20</v>
      </c>
      <c r="L1000" s="472">
        <f t="shared" si="48"/>
        <v>95.633187772925766</v>
      </c>
    </row>
    <row r="1001" spans="1:12">
      <c r="A1001" s="315">
        <f t="shared" si="46"/>
        <v>1000</v>
      </c>
      <c r="B1001" s="577">
        <v>8200</v>
      </c>
      <c r="C1001" s="434">
        <v>5311</v>
      </c>
      <c r="D1001" s="434" t="s">
        <v>92</v>
      </c>
      <c r="E1001" s="434">
        <v>5191</v>
      </c>
      <c r="F1001" s="383" t="s">
        <v>652</v>
      </c>
      <c r="G1001" s="445"/>
      <c r="H1001" s="334"/>
      <c r="I1001" s="335">
        <v>5</v>
      </c>
      <c r="J1001" s="336">
        <v>0</v>
      </c>
      <c r="K1001" s="471">
        <f t="shared" si="47"/>
        <v>-5</v>
      </c>
      <c r="L1001" s="472">
        <f t="shared" si="48"/>
        <v>0</v>
      </c>
    </row>
    <row r="1002" spans="1:12">
      <c r="A1002" s="315">
        <f t="shared" si="46"/>
        <v>1001</v>
      </c>
      <c r="B1002" s="577">
        <v>8200</v>
      </c>
      <c r="C1002" s="434">
        <v>5311</v>
      </c>
      <c r="D1002" s="434" t="s">
        <v>92</v>
      </c>
      <c r="E1002" s="434">
        <v>5192</v>
      </c>
      <c r="F1002" s="383" t="s">
        <v>351</v>
      </c>
      <c r="G1002" s="445"/>
      <c r="H1002" s="334">
        <v>1154</v>
      </c>
      <c r="I1002" s="335">
        <v>1194</v>
      </c>
      <c r="J1002" s="336">
        <v>1069</v>
      </c>
      <c r="K1002" s="471">
        <f t="shared" si="47"/>
        <v>-125</v>
      </c>
      <c r="L1002" s="472">
        <f t="shared" si="48"/>
        <v>89.530988274706871</v>
      </c>
    </row>
    <row r="1003" spans="1:12">
      <c r="A1003" s="315">
        <f t="shared" si="46"/>
        <v>1002</v>
      </c>
      <c r="B1003" s="577">
        <v>8200</v>
      </c>
      <c r="C1003" s="434">
        <v>5311</v>
      </c>
      <c r="D1003" s="434" t="s">
        <v>92</v>
      </c>
      <c r="E1003" s="434">
        <v>5194</v>
      </c>
      <c r="F1003" s="383" t="s">
        <v>343</v>
      </c>
      <c r="G1003" s="445"/>
      <c r="H1003" s="334">
        <v>200</v>
      </c>
      <c r="I1003" s="335">
        <v>200</v>
      </c>
      <c r="J1003" s="336">
        <v>192</v>
      </c>
      <c r="K1003" s="471">
        <f t="shared" si="47"/>
        <v>-8</v>
      </c>
      <c r="L1003" s="472">
        <f t="shared" si="48"/>
        <v>96</v>
      </c>
    </row>
    <row r="1004" spans="1:12">
      <c r="A1004" s="315">
        <f t="shared" si="46"/>
        <v>1003</v>
      </c>
      <c r="B1004" s="577">
        <v>8200</v>
      </c>
      <c r="C1004" s="434">
        <v>5311</v>
      </c>
      <c r="D1004" s="434" t="s">
        <v>92</v>
      </c>
      <c r="E1004" s="434">
        <v>5222</v>
      </c>
      <c r="F1004" s="383" t="s">
        <v>355</v>
      </c>
      <c r="G1004" s="445"/>
      <c r="H1004" s="334">
        <v>5</v>
      </c>
      <c r="I1004" s="335">
        <v>5</v>
      </c>
      <c r="J1004" s="336">
        <v>3</v>
      </c>
      <c r="K1004" s="471">
        <f t="shared" si="47"/>
        <v>-2</v>
      </c>
      <c r="L1004" s="472">
        <f t="shared" si="48"/>
        <v>60</v>
      </c>
    </row>
    <row r="1005" spans="1:12">
      <c r="A1005" s="315">
        <f t="shared" si="46"/>
        <v>1004</v>
      </c>
      <c r="B1005" s="577">
        <v>8200</v>
      </c>
      <c r="C1005" s="434">
        <v>5311</v>
      </c>
      <c r="D1005" s="434" t="s">
        <v>92</v>
      </c>
      <c r="E1005" s="434">
        <v>5361</v>
      </c>
      <c r="F1005" s="383" t="s">
        <v>399</v>
      </c>
      <c r="G1005" s="445"/>
      <c r="H1005" s="334">
        <v>405</v>
      </c>
      <c r="I1005" s="335">
        <v>105</v>
      </c>
      <c r="J1005" s="336">
        <v>93</v>
      </c>
      <c r="K1005" s="471">
        <f t="shared" si="47"/>
        <v>-12</v>
      </c>
      <c r="L1005" s="472">
        <f t="shared" si="48"/>
        <v>88.571428571428569</v>
      </c>
    </row>
    <row r="1006" spans="1:12">
      <c r="A1006" s="315">
        <f t="shared" si="46"/>
        <v>1005</v>
      </c>
      <c r="B1006" s="577">
        <v>8200</v>
      </c>
      <c r="C1006" s="434">
        <v>5311</v>
      </c>
      <c r="D1006" s="434" t="s">
        <v>92</v>
      </c>
      <c r="E1006" s="434">
        <v>5362</v>
      </c>
      <c r="F1006" s="10" t="s">
        <v>321</v>
      </c>
      <c r="G1006" s="445"/>
      <c r="H1006" s="334">
        <v>50</v>
      </c>
      <c r="I1006" s="335">
        <v>50</v>
      </c>
      <c r="J1006" s="336">
        <v>41</v>
      </c>
      <c r="K1006" s="471">
        <f t="shared" si="47"/>
        <v>-9</v>
      </c>
      <c r="L1006" s="472">
        <f t="shared" si="48"/>
        <v>82</v>
      </c>
    </row>
    <row r="1007" spans="1:12">
      <c r="A1007" s="315">
        <f t="shared" si="46"/>
        <v>1006</v>
      </c>
      <c r="B1007" s="577">
        <v>8200</v>
      </c>
      <c r="C1007" s="434">
        <v>5311</v>
      </c>
      <c r="D1007" s="434" t="s">
        <v>92</v>
      </c>
      <c r="E1007" s="10">
        <v>5424</v>
      </c>
      <c r="F1007" s="10" t="s">
        <v>401</v>
      </c>
      <c r="G1007" s="445"/>
      <c r="H1007" s="334">
        <v>1263</v>
      </c>
      <c r="I1007" s="335">
        <v>1203</v>
      </c>
      <c r="J1007" s="336">
        <v>1064</v>
      </c>
      <c r="K1007" s="471">
        <f t="shared" si="47"/>
        <v>-139</v>
      </c>
      <c r="L1007" s="472">
        <f t="shared" si="48"/>
        <v>88.445552784704901</v>
      </c>
    </row>
    <row r="1008" spans="1:12">
      <c r="A1008" s="315">
        <f t="shared" si="46"/>
        <v>1007</v>
      </c>
      <c r="B1008" s="577">
        <v>8200</v>
      </c>
      <c r="C1008" s="434">
        <v>5311</v>
      </c>
      <c r="D1008" s="434" t="s">
        <v>92</v>
      </c>
      <c r="E1008" s="434">
        <v>5429</v>
      </c>
      <c r="F1008" s="10" t="s">
        <v>311</v>
      </c>
      <c r="G1008" s="445"/>
      <c r="H1008" s="334">
        <v>15</v>
      </c>
      <c r="I1008" s="335">
        <v>15</v>
      </c>
      <c r="J1008" s="336">
        <v>0</v>
      </c>
      <c r="K1008" s="471">
        <f t="shared" si="47"/>
        <v>-15</v>
      </c>
      <c r="L1008" s="472">
        <f t="shared" si="48"/>
        <v>0</v>
      </c>
    </row>
    <row r="1009" spans="1:12">
      <c r="A1009" s="315">
        <f t="shared" si="46"/>
        <v>1008</v>
      </c>
      <c r="B1009" s="577">
        <v>8200</v>
      </c>
      <c r="C1009" s="434">
        <v>5311</v>
      </c>
      <c r="D1009" s="434" t="s">
        <v>92</v>
      </c>
      <c r="E1009" s="434">
        <v>5499</v>
      </c>
      <c r="F1009" s="10" t="s">
        <v>403</v>
      </c>
      <c r="G1009" s="333" t="s">
        <v>367</v>
      </c>
      <c r="H1009" s="334">
        <v>6807</v>
      </c>
      <c r="I1009" s="335">
        <v>7197</v>
      </c>
      <c r="J1009" s="336">
        <v>6783</v>
      </c>
      <c r="K1009" s="471">
        <f t="shared" si="47"/>
        <v>-414</v>
      </c>
      <c r="L1009" s="472">
        <f t="shared" si="48"/>
        <v>94.247603167986654</v>
      </c>
    </row>
    <row r="1010" spans="1:12">
      <c r="A1010" s="315">
        <f t="shared" si="46"/>
        <v>1009</v>
      </c>
      <c r="B1010" s="577">
        <v>8200</v>
      </c>
      <c r="C1010" s="434">
        <v>5311</v>
      </c>
      <c r="D1010" s="434" t="s">
        <v>92</v>
      </c>
      <c r="E1010" s="434">
        <v>5909</v>
      </c>
      <c r="F1010" s="10" t="s">
        <v>323</v>
      </c>
      <c r="G1010" s="333"/>
      <c r="H1010" s="334"/>
      <c r="I1010" s="335"/>
      <c r="J1010" s="336">
        <v>409</v>
      </c>
      <c r="K1010" s="471"/>
      <c r="L1010" s="472"/>
    </row>
    <row r="1011" spans="1:12">
      <c r="A1011" s="315">
        <f t="shared" si="46"/>
        <v>1010</v>
      </c>
      <c r="B1011" s="577"/>
      <c r="C1011" s="365" t="s">
        <v>653</v>
      </c>
      <c r="D1011" s="434"/>
      <c r="E1011" s="434"/>
      <c r="F1011" s="383"/>
      <c r="G1011" s="445"/>
      <c r="H1011" s="584">
        <f>SUBTOTAL(9,H957:H1009)</f>
        <v>340477</v>
      </c>
      <c r="I1011" s="585">
        <f>SUBTOTAL(9,I957:I1009)</f>
        <v>334144</v>
      </c>
      <c r="J1011" s="586">
        <f>SUBTOTAL(9,J957:J1010)</f>
        <v>327869</v>
      </c>
      <c r="K1011" s="371">
        <f t="shared" si="47"/>
        <v>-6275</v>
      </c>
      <c r="L1011" s="372">
        <f t="shared" si="48"/>
        <v>98.122067132733193</v>
      </c>
    </row>
    <row r="1012" spans="1:12">
      <c r="A1012" s="315">
        <f t="shared" si="46"/>
        <v>1011</v>
      </c>
      <c r="B1012" s="577">
        <v>8200</v>
      </c>
      <c r="C1012" s="434">
        <v>5319</v>
      </c>
      <c r="D1012" s="434" t="s">
        <v>372</v>
      </c>
      <c r="E1012" s="434">
        <v>5021</v>
      </c>
      <c r="F1012" s="383" t="s">
        <v>364</v>
      </c>
      <c r="G1012" s="445"/>
      <c r="H1012" s="334">
        <v>0</v>
      </c>
      <c r="I1012" s="335">
        <v>355</v>
      </c>
      <c r="J1012" s="336">
        <v>314</v>
      </c>
      <c r="K1012" s="471">
        <f t="shared" si="47"/>
        <v>-41</v>
      </c>
      <c r="L1012" s="472">
        <f t="shared" si="48"/>
        <v>88.450704225352112</v>
      </c>
    </row>
    <row r="1013" spans="1:12">
      <c r="A1013" s="315">
        <f t="shared" si="46"/>
        <v>1012</v>
      </c>
      <c r="B1013" s="577">
        <v>8200</v>
      </c>
      <c r="C1013" s="434">
        <v>5319</v>
      </c>
      <c r="D1013" s="434" t="s">
        <v>372</v>
      </c>
      <c r="E1013" s="434">
        <v>5133</v>
      </c>
      <c r="F1013" s="10" t="s">
        <v>388</v>
      </c>
      <c r="G1013" s="445"/>
      <c r="H1013" s="334">
        <v>4</v>
      </c>
      <c r="I1013" s="335">
        <v>5</v>
      </c>
      <c r="J1013" s="336">
        <v>2</v>
      </c>
      <c r="K1013" s="471">
        <f t="shared" si="47"/>
        <v>-3</v>
      </c>
      <c r="L1013" s="472">
        <f t="shared" si="48"/>
        <v>40</v>
      </c>
    </row>
    <row r="1014" spans="1:12">
      <c r="A1014" s="315">
        <f t="shared" si="46"/>
        <v>1013</v>
      </c>
      <c r="B1014" s="577">
        <v>8200</v>
      </c>
      <c r="C1014" s="434">
        <v>5319</v>
      </c>
      <c r="D1014" s="434" t="s">
        <v>372</v>
      </c>
      <c r="E1014" s="434">
        <v>5137</v>
      </c>
      <c r="F1014" s="12" t="s">
        <v>346</v>
      </c>
      <c r="G1014" s="445"/>
      <c r="H1014" s="334">
        <v>22</v>
      </c>
      <c r="I1014" s="335">
        <v>45</v>
      </c>
      <c r="J1014" s="336">
        <v>40</v>
      </c>
      <c r="K1014" s="471">
        <f t="shared" si="47"/>
        <v>-5</v>
      </c>
      <c r="L1014" s="472">
        <f t="shared" si="48"/>
        <v>88.888888888888886</v>
      </c>
    </row>
    <row r="1015" spans="1:12">
      <c r="A1015" s="315">
        <f t="shared" si="46"/>
        <v>1014</v>
      </c>
      <c r="B1015" s="577">
        <v>8200</v>
      </c>
      <c r="C1015" s="434">
        <v>5319</v>
      </c>
      <c r="D1015" s="434" t="s">
        <v>372</v>
      </c>
      <c r="E1015" s="434">
        <v>5139</v>
      </c>
      <c r="F1015" s="383" t="s">
        <v>342</v>
      </c>
      <c r="G1015" s="445"/>
      <c r="H1015" s="334">
        <v>273</v>
      </c>
      <c r="I1015" s="335">
        <v>404</v>
      </c>
      <c r="J1015" s="336">
        <v>345</v>
      </c>
      <c r="K1015" s="471">
        <f t="shared" si="47"/>
        <v>-59</v>
      </c>
      <c r="L1015" s="472">
        <f t="shared" si="48"/>
        <v>85.396039603960389</v>
      </c>
    </row>
    <row r="1016" spans="1:12">
      <c r="A1016" s="315">
        <f t="shared" si="46"/>
        <v>1015</v>
      </c>
      <c r="B1016" s="577">
        <v>8200</v>
      </c>
      <c r="C1016" s="434">
        <v>5319</v>
      </c>
      <c r="D1016" s="434" t="s">
        <v>372</v>
      </c>
      <c r="E1016" s="434">
        <v>5156</v>
      </c>
      <c r="F1016" s="383" t="s">
        <v>381</v>
      </c>
      <c r="G1016" s="445"/>
      <c r="H1016" s="334"/>
      <c r="I1016" s="335">
        <v>24</v>
      </c>
      <c r="J1016" s="336">
        <v>24</v>
      </c>
      <c r="K1016" s="471">
        <f t="shared" si="47"/>
        <v>0</v>
      </c>
      <c r="L1016" s="472">
        <f t="shared" si="48"/>
        <v>100</v>
      </c>
    </row>
    <row r="1017" spans="1:12">
      <c r="A1017" s="315">
        <f t="shared" si="46"/>
        <v>1016</v>
      </c>
      <c r="B1017" s="577">
        <v>8200</v>
      </c>
      <c r="C1017" s="434">
        <v>5319</v>
      </c>
      <c r="D1017" s="434" t="s">
        <v>372</v>
      </c>
      <c r="E1017" s="434">
        <v>5163</v>
      </c>
      <c r="F1017" s="383" t="s">
        <v>318</v>
      </c>
      <c r="G1017" s="445"/>
      <c r="H1017" s="334">
        <v>6</v>
      </c>
      <c r="I1017" s="335">
        <v>6</v>
      </c>
      <c r="J1017" s="336">
        <v>3</v>
      </c>
      <c r="K1017" s="471">
        <f t="shared" si="47"/>
        <v>-3</v>
      </c>
      <c r="L1017" s="472">
        <f t="shared" si="48"/>
        <v>50</v>
      </c>
    </row>
    <row r="1018" spans="1:12">
      <c r="A1018" s="315">
        <f t="shared" si="46"/>
        <v>1017</v>
      </c>
      <c r="B1018" s="577">
        <v>8200</v>
      </c>
      <c r="C1018" s="434">
        <v>5319</v>
      </c>
      <c r="D1018" s="434" t="s">
        <v>372</v>
      </c>
      <c r="E1018" s="434">
        <v>5164</v>
      </c>
      <c r="F1018" s="383" t="s">
        <v>350</v>
      </c>
      <c r="G1018" s="445"/>
      <c r="H1018" s="334">
        <v>33</v>
      </c>
      <c r="I1018" s="335">
        <v>121</v>
      </c>
      <c r="J1018" s="336">
        <v>99</v>
      </c>
      <c r="K1018" s="471">
        <f t="shared" si="47"/>
        <v>-22</v>
      </c>
      <c r="L1018" s="472">
        <f t="shared" si="48"/>
        <v>81.818181818181827</v>
      </c>
    </row>
    <row r="1019" spans="1:12">
      <c r="A1019" s="315">
        <f t="shared" si="46"/>
        <v>1018</v>
      </c>
      <c r="B1019" s="577">
        <v>8200</v>
      </c>
      <c r="C1019" s="434">
        <v>5319</v>
      </c>
      <c r="D1019" s="434" t="s">
        <v>372</v>
      </c>
      <c r="E1019" s="434">
        <v>5167</v>
      </c>
      <c r="F1019" s="383" t="s">
        <v>393</v>
      </c>
      <c r="G1019" s="445"/>
      <c r="H1019" s="334"/>
      <c r="I1019" s="335"/>
      <c r="J1019" s="336"/>
      <c r="K1019" s="471">
        <f t="shared" si="47"/>
        <v>0</v>
      </c>
      <c r="L1019" s="472">
        <f t="shared" si="48"/>
        <v>0</v>
      </c>
    </row>
    <row r="1020" spans="1:12">
      <c r="A1020" s="315">
        <f t="shared" si="46"/>
        <v>1019</v>
      </c>
      <c r="B1020" s="577">
        <v>8200</v>
      </c>
      <c r="C1020" s="434">
        <v>5319</v>
      </c>
      <c r="D1020" s="434" t="s">
        <v>372</v>
      </c>
      <c r="E1020" s="434">
        <v>5169</v>
      </c>
      <c r="F1020" s="10" t="s">
        <v>313</v>
      </c>
      <c r="G1020" s="333"/>
      <c r="H1020" s="334">
        <v>272</v>
      </c>
      <c r="I1020" s="335">
        <v>583</v>
      </c>
      <c r="J1020" s="336">
        <v>552</v>
      </c>
      <c r="K1020" s="471">
        <f t="shared" si="47"/>
        <v>-31</v>
      </c>
      <c r="L1020" s="472">
        <f t="shared" si="48"/>
        <v>94.682675814751278</v>
      </c>
    </row>
    <row r="1021" spans="1:12">
      <c r="A1021" s="315">
        <f t="shared" si="46"/>
        <v>1020</v>
      </c>
      <c r="B1021" s="577">
        <v>8200</v>
      </c>
      <c r="C1021" s="434">
        <v>5319</v>
      </c>
      <c r="D1021" s="434" t="s">
        <v>372</v>
      </c>
      <c r="E1021" s="664">
        <v>5171</v>
      </c>
      <c r="F1021" s="10" t="s">
        <v>394</v>
      </c>
      <c r="G1021" s="665"/>
      <c r="H1021" s="334"/>
      <c r="I1021" s="335">
        <v>48</v>
      </c>
      <c r="J1021" s="336">
        <v>48</v>
      </c>
      <c r="K1021" s="471">
        <f t="shared" si="47"/>
        <v>0</v>
      </c>
      <c r="L1021" s="472">
        <f t="shared" si="48"/>
        <v>100</v>
      </c>
    </row>
    <row r="1022" spans="1:12">
      <c r="A1022" s="315">
        <f t="shared" si="46"/>
        <v>1021</v>
      </c>
      <c r="B1022" s="577">
        <v>8200</v>
      </c>
      <c r="C1022" s="434">
        <v>5319</v>
      </c>
      <c r="D1022" s="434" t="s">
        <v>372</v>
      </c>
      <c r="E1022" s="664">
        <v>5173</v>
      </c>
      <c r="F1022" s="10" t="s">
        <v>363</v>
      </c>
      <c r="G1022" s="665"/>
      <c r="H1022" s="334"/>
      <c r="I1022" s="335">
        <v>5</v>
      </c>
      <c r="J1022" s="336"/>
      <c r="K1022" s="471">
        <f t="shared" si="47"/>
        <v>-5</v>
      </c>
      <c r="L1022" s="472">
        <f t="shared" si="48"/>
        <v>0</v>
      </c>
    </row>
    <row r="1023" spans="1:12">
      <c r="A1023" s="315">
        <f t="shared" si="46"/>
        <v>1022</v>
      </c>
      <c r="B1023" s="577">
        <v>8200</v>
      </c>
      <c r="C1023" s="434">
        <v>5319</v>
      </c>
      <c r="D1023" s="434" t="s">
        <v>372</v>
      </c>
      <c r="E1023" s="664">
        <v>5175</v>
      </c>
      <c r="F1023" s="383" t="s">
        <v>335</v>
      </c>
      <c r="G1023" s="666"/>
      <c r="H1023" s="334">
        <v>39</v>
      </c>
      <c r="I1023" s="335">
        <v>107</v>
      </c>
      <c r="J1023" s="336">
        <v>87</v>
      </c>
      <c r="K1023" s="471">
        <f t="shared" si="47"/>
        <v>-20</v>
      </c>
      <c r="L1023" s="472">
        <f t="shared" si="48"/>
        <v>81.308411214953267</v>
      </c>
    </row>
    <row r="1024" spans="1:12">
      <c r="A1024" s="315">
        <f t="shared" si="46"/>
        <v>1023</v>
      </c>
      <c r="B1024" s="577">
        <v>8200</v>
      </c>
      <c r="C1024" s="434">
        <v>5319</v>
      </c>
      <c r="D1024" s="434" t="s">
        <v>372</v>
      </c>
      <c r="E1024" s="664">
        <v>5179</v>
      </c>
      <c r="F1024" s="383" t="s">
        <v>396</v>
      </c>
      <c r="G1024" s="666"/>
      <c r="H1024" s="334">
        <v>5</v>
      </c>
      <c r="I1024" s="335">
        <v>8</v>
      </c>
      <c r="J1024" s="336">
        <v>8</v>
      </c>
      <c r="K1024" s="471">
        <f t="shared" si="47"/>
        <v>0</v>
      </c>
      <c r="L1024" s="472">
        <f t="shared" si="48"/>
        <v>100</v>
      </c>
    </row>
    <row r="1025" spans="1:12">
      <c r="A1025" s="315">
        <f t="shared" si="46"/>
        <v>1024</v>
      </c>
      <c r="B1025" s="577"/>
      <c r="C1025" s="365" t="s">
        <v>373</v>
      </c>
      <c r="D1025" s="434"/>
      <c r="E1025" s="434"/>
      <c r="F1025" s="383"/>
      <c r="G1025" s="445"/>
      <c r="H1025" s="584">
        <f>SUBTOTAL(9,H1012:H1024)</f>
        <v>654</v>
      </c>
      <c r="I1025" s="585">
        <f>SUBTOTAL(9,I1012:I1024)</f>
        <v>1711</v>
      </c>
      <c r="J1025" s="586">
        <f>SUBTOTAL(9,J1012:J1024)</f>
        <v>1522</v>
      </c>
      <c r="K1025" s="371">
        <f t="shared" si="47"/>
        <v>-189</v>
      </c>
      <c r="L1025" s="372">
        <f t="shared" si="48"/>
        <v>88.953828170660429</v>
      </c>
    </row>
    <row r="1026" spans="1:12" ht="13.5" thickBot="1">
      <c r="A1026" s="315">
        <f t="shared" si="46"/>
        <v>1025</v>
      </c>
      <c r="B1026" s="29" t="s">
        <v>29</v>
      </c>
      <c r="C1026" s="357"/>
      <c r="D1026" s="357"/>
      <c r="E1026" s="357"/>
      <c r="F1026" s="357"/>
      <c r="G1026" s="358"/>
      <c r="H1026" s="359">
        <f>SUBTOTAL(9,H923:H1025)</f>
        <v>357094</v>
      </c>
      <c r="I1026" s="360">
        <f>SUBTOTAL(9,I923:I1025)</f>
        <v>351999</v>
      </c>
      <c r="J1026" s="361">
        <f>SUBTOTAL(9,J923:J1025)</f>
        <v>344155</v>
      </c>
      <c r="K1026" s="362">
        <f t="shared" si="47"/>
        <v>-7844</v>
      </c>
      <c r="L1026" s="363">
        <f t="shared" si="48"/>
        <v>97.771584578365278</v>
      </c>
    </row>
    <row r="1027" spans="1:12" ht="9" customHeight="1">
      <c r="A1027" s="315">
        <f t="shared" si="46"/>
        <v>1026</v>
      </c>
      <c r="B1027" s="91"/>
      <c r="C1027" s="409"/>
      <c r="D1027" s="409"/>
      <c r="E1027" s="409"/>
      <c r="F1027" s="409"/>
      <c r="G1027" s="410"/>
      <c r="H1027" s="411"/>
      <c r="I1027" s="412"/>
      <c r="J1027" s="413"/>
      <c r="K1027" s="414">
        <f t="shared" si="47"/>
        <v>0</v>
      </c>
      <c r="L1027" s="415">
        <f t="shared" si="48"/>
        <v>0</v>
      </c>
    </row>
    <row r="1028" spans="1:12">
      <c r="A1028" s="315">
        <f t="shared" ref="A1028:A1031" si="49">A1027+1</f>
        <v>1027</v>
      </c>
      <c r="B1028" s="577">
        <v>8887</v>
      </c>
      <c r="C1028" s="434">
        <v>6399</v>
      </c>
      <c r="D1028" s="434" t="s">
        <v>84</v>
      </c>
      <c r="E1028" s="664">
        <v>5909</v>
      </c>
      <c r="F1028" s="383" t="s">
        <v>323</v>
      </c>
      <c r="G1028" s="666" t="s">
        <v>654</v>
      </c>
      <c r="H1028" s="334"/>
      <c r="I1028" s="335"/>
      <c r="J1028" s="336">
        <v>-2238</v>
      </c>
      <c r="K1028" s="471">
        <f t="shared" si="47"/>
        <v>-2238</v>
      </c>
      <c r="L1028" s="472">
        <f t="shared" si="48"/>
        <v>0</v>
      </c>
    </row>
    <row r="1029" spans="1:12">
      <c r="A1029" s="315">
        <f t="shared" si="49"/>
        <v>1028</v>
      </c>
      <c r="B1029" s="577"/>
      <c r="C1029" s="365" t="s">
        <v>324</v>
      </c>
      <c r="D1029" s="434"/>
      <c r="E1029" s="434"/>
      <c r="F1029" s="383"/>
      <c r="G1029" s="445"/>
      <c r="H1029" s="584">
        <f>SUBTOTAL(9,H1028:H1028)</f>
        <v>0</v>
      </c>
      <c r="I1029" s="585">
        <f>SUBTOTAL(9,I1028:I1028)</f>
        <v>0</v>
      </c>
      <c r="J1029" s="586">
        <f>SUBTOTAL(9,J1028:J1028)</f>
        <v>-2238</v>
      </c>
      <c r="K1029" s="371">
        <f t="shared" ref="K1029:K1092" si="50">J1029-I1029</f>
        <v>-2238</v>
      </c>
      <c r="L1029" s="372">
        <f t="shared" ref="L1029:L1092" si="51">IF(I1029&lt;=0,0,J1029/I1029*100)</f>
        <v>0</v>
      </c>
    </row>
    <row r="1030" spans="1:12" ht="13.5" thickBot="1">
      <c r="A1030" s="315">
        <f t="shared" si="49"/>
        <v>1029</v>
      </c>
      <c r="B1030" s="29" t="s">
        <v>263</v>
      </c>
      <c r="C1030" s="357"/>
      <c r="D1030" s="357"/>
      <c r="E1030" s="357"/>
      <c r="F1030" s="357"/>
      <c r="G1030" s="358"/>
      <c r="H1030" s="359">
        <f>SUBTOTAL(9,H1028:H1029)</f>
        <v>0</v>
      </c>
      <c r="I1030" s="360">
        <f>SUBTOTAL(9,I1028:I1029)</f>
        <v>0</v>
      </c>
      <c r="J1030" s="361">
        <f>SUBTOTAL(9,J1028:J1029)</f>
        <v>-2238</v>
      </c>
      <c r="K1030" s="362">
        <f t="shared" si="50"/>
        <v>-2238</v>
      </c>
      <c r="L1030" s="363">
        <f t="shared" si="51"/>
        <v>0</v>
      </c>
    </row>
    <row r="1031" spans="1:12" ht="13.5" thickBot="1">
      <c r="A1031" s="315">
        <f t="shared" si="49"/>
        <v>1030</v>
      </c>
      <c r="B1031" s="667" t="s">
        <v>655</v>
      </c>
      <c r="C1031" s="668"/>
      <c r="D1031" s="668"/>
      <c r="E1031" s="668"/>
      <c r="F1031" s="668"/>
      <c r="G1031" s="668"/>
      <c r="H1031" s="669">
        <f>SUBTOTAL(9,H2:H1030)</f>
        <v>8165040</v>
      </c>
      <c r="I1031" s="670">
        <f>SUBTOTAL(9,I2:I1030)</f>
        <v>8308430.4000000004</v>
      </c>
      <c r="J1031" s="671">
        <f>SUBTOTAL(9,J2:J1030)</f>
        <v>7627207</v>
      </c>
      <c r="K1031" s="672">
        <f t="shared" si="50"/>
        <v>-681223.40000000037</v>
      </c>
      <c r="L1031" s="673">
        <f t="shared" si="51"/>
        <v>91.800817155548415</v>
      </c>
    </row>
    <row r="1032" spans="1:12" s="676" customFormat="1">
      <c r="A1032" s="674"/>
      <c r="B1032" s="675"/>
      <c r="C1032" s="675"/>
      <c r="E1032" s="675"/>
      <c r="H1032" s="677"/>
      <c r="I1032" s="677"/>
      <c r="J1032" s="678"/>
      <c r="K1032" s="677"/>
      <c r="L1032" s="677"/>
    </row>
    <row r="1033" spans="1:12" s="676" customFormat="1">
      <c r="A1033" s="674"/>
      <c r="B1033" s="675"/>
      <c r="C1033" s="675"/>
      <c r="E1033" s="675"/>
      <c r="H1033" s="679">
        <v>8165040</v>
      </c>
      <c r="I1033" s="679">
        <v>8308430</v>
      </c>
      <c r="J1033" s="680">
        <v>7627207</v>
      </c>
    </row>
    <row r="1034" spans="1:12" s="676" customFormat="1">
      <c r="A1034" s="674"/>
      <c r="B1034" s="675"/>
      <c r="C1034" s="675"/>
      <c r="E1034" s="675"/>
      <c r="H1034" s="679"/>
      <c r="I1034" s="679"/>
      <c r="J1034" s="680"/>
    </row>
    <row r="1035" spans="1:12" s="676" customFormat="1">
      <c r="B1035" s="675"/>
      <c r="C1035" s="675"/>
      <c r="E1035" s="675"/>
      <c r="J1035" s="681"/>
    </row>
    <row r="1036" spans="1:12" s="676" customFormat="1">
      <c r="B1036" s="675"/>
      <c r="C1036" s="675"/>
      <c r="E1036" s="675"/>
      <c r="J1036" s="681"/>
    </row>
    <row r="1037" spans="1:12" s="676" customFormat="1">
      <c r="B1037" s="675"/>
      <c r="C1037" s="675"/>
      <c r="E1037" s="675"/>
      <c r="J1037" s="681"/>
    </row>
    <row r="1038" spans="1:12" s="676" customFormat="1">
      <c r="B1038" s="675"/>
      <c r="C1038" s="675"/>
      <c r="E1038" s="675"/>
      <c r="J1038" s="681"/>
    </row>
    <row r="1039" spans="1:12" s="676" customFormat="1">
      <c r="B1039" s="675"/>
      <c r="C1039" s="675"/>
      <c r="E1039" s="675"/>
      <c r="J1039" s="681"/>
    </row>
    <row r="1040" spans="1:12" s="676" customFormat="1">
      <c r="B1040" s="675"/>
      <c r="C1040" s="675"/>
      <c r="E1040" s="675"/>
      <c r="J1040" s="681"/>
    </row>
    <row r="1041" spans="2:10" s="676" customFormat="1">
      <c r="B1041" s="675"/>
      <c r="C1041" s="675"/>
      <c r="E1041" s="675"/>
      <c r="J1041" s="681"/>
    </row>
    <row r="1042" spans="2:10" s="676" customFormat="1">
      <c r="B1042" s="675"/>
      <c r="C1042" s="675"/>
      <c r="E1042" s="675"/>
      <c r="J1042" s="681"/>
    </row>
    <row r="1043" spans="2:10" s="676" customFormat="1">
      <c r="B1043" s="675"/>
      <c r="C1043" s="675"/>
      <c r="E1043" s="675"/>
      <c r="J1043" s="681"/>
    </row>
    <row r="1044" spans="2:10" s="676" customFormat="1">
      <c r="B1044" s="675"/>
      <c r="C1044" s="675"/>
      <c r="E1044" s="675"/>
      <c r="J1044" s="681"/>
    </row>
    <row r="1045" spans="2:10" s="676" customFormat="1">
      <c r="B1045" s="675"/>
      <c r="C1045" s="675"/>
      <c r="E1045" s="675"/>
      <c r="J1045" s="681"/>
    </row>
    <row r="1046" spans="2:10" s="676" customFormat="1">
      <c r="B1046" s="675"/>
      <c r="C1046" s="675"/>
      <c r="E1046" s="675"/>
      <c r="J1046" s="681"/>
    </row>
    <row r="1047" spans="2:10" s="676" customFormat="1">
      <c r="B1047" s="675"/>
      <c r="C1047" s="675"/>
      <c r="E1047" s="675"/>
      <c r="J1047" s="681"/>
    </row>
    <row r="1048" spans="2:10" s="676" customFormat="1">
      <c r="B1048" s="675"/>
      <c r="C1048" s="675"/>
      <c r="E1048" s="675"/>
      <c r="J1048" s="681"/>
    </row>
    <row r="1049" spans="2:10" s="676" customFormat="1">
      <c r="B1049" s="675"/>
      <c r="C1049" s="675"/>
      <c r="E1049" s="675"/>
      <c r="J1049" s="681"/>
    </row>
    <row r="1050" spans="2:10" s="676" customFormat="1">
      <c r="B1050" s="675"/>
      <c r="C1050" s="675"/>
      <c r="E1050" s="675"/>
      <c r="J1050" s="681"/>
    </row>
    <row r="1051" spans="2:10" s="676" customFormat="1">
      <c r="B1051" s="675"/>
      <c r="C1051" s="675"/>
      <c r="E1051" s="675"/>
      <c r="J1051" s="681"/>
    </row>
    <row r="1052" spans="2:10" s="676" customFormat="1">
      <c r="B1052" s="675"/>
      <c r="C1052" s="675"/>
      <c r="E1052" s="675"/>
      <c r="J1052" s="681"/>
    </row>
    <row r="1053" spans="2:10" s="676" customFormat="1">
      <c r="B1053" s="675"/>
      <c r="C1053" s="675"/>
      <c r="E1053" s="675"/>
      <c r="J1053" s="681"/>
    </row>
    <row r="1054" spans="2:10" s="676" customFormat="1">
      <c r="B1054" s="675"/>
      <c r="C1054" s="675"/>
      <c r="E1054" s="675"/>
      <c r="J1054" s="681"/>
    </row>
    <row r="1055" spans="2:10" s="676" customFormat="1">
      <c r="B1055" s="675"/>
      <c r="C1055" s="675"/>
      <c r="E1055" s="675"/>
      <c r="J1055" s="681"/>
    </row>
    <row r="1056" spans="2:10" s="676" customFormat="1">
      <c r="B1056" s="675"/>
      <c r="C1056" s="675"/>
      <c r="E1056" s="675"/>
      <c r="J1056" s="681"/>
    </row>
    <row r="1057" spans="2:10" s="676" customFormat="1">
      <c r="B1057" s="675"/>
      <c r="C1057" s="675"/>
      <c r="E1057" s="675"/>
      <c r="J1057" s="681"/>
    </row>
    <row r="1058" spans="2:10" s="676" customFormat="1">
      <c r="B1058" s="675"/>
      <c r="C1058" s="675"/>
      <c r="E1058" s="675"/>
      <c r="J1058" s="681"/>
    </row>
    <row r="1059" spans="2:10" s="676" customFormat="1">
      <c r="B1059" s="675"/>
      <c r="C1059" s="675"/>
      <c r="E1059" s="675"/>
      <c r="J1059" s="681"/>
    </row>
    <row r="1060" spans="2:10" s="676" customFormat="1">
      <c r="B1060" s="675"/>
      <c r="C1060" s="675"/>
      <c r="E1060" s="675"/>
      <c r="J1060" s="681"/>
    </row>
    <row r="1061" spans="2:10" s="676" customFormat="1">
      <c r="B1061" s="675"/>
      <c r="C1061" s="675"/>
      <c r="E1061" s="675"/>
      <c r="J1061" s="681"/>
    </row>
    <row r="1062" spans="2:10" s="676" customFormat="1">
      <c r="B1062" s="675"/>
      <c r="C1062" s="675"/>
      <c r="E1062" s="675"/>
      <c r="J1062" s="681"/>
    </row>
    <row r="1063" spans="2:10" s="676" customFormat="1">
      <c r="B1063" s="675"/>
      <c r="C1063" s="675"/>
      <c r="E1063" s="675"/>
      <c r="J1063" s="681"/>
    </row>
    <row r="1064" spans="2:10" s="676" customFormat="1">
      <c r="B1064" s="675"/>
      <c r="C1064" s="675"/>
      <c r="E1064" s="675"/>
      <c r="J1064" s="681"/>
    </row>
    <row r="1065" spans="2:10" s="676" customFormat="1">
      <c r="B1065" s="675"/>
      <c r="C1065" s="675"/>
      <c r="E1065" s="675"/>
      <c r="J1065" s="681"/>
    </row>
    <row r="1066" spans="2:10" s="676" customFormat="1">
      <c r="B1066" s="675"/>
      <c r="C1066" s="675"/>
      <c r="E1066" s="675"/>
      <c r="J1066" s="681"/>
    </row>
    <row r="1067" spans="2:10" s="676" customFormat="1">
      <c r="B1067" s="675"/>
      <c r="C1067" s="675"/>
      <c r="E1067" s="675"/>
      <c r="J1067" s="681"/>
    </row>
    <row r="1068" spans="2:10" s="676" customFormat="1">
      <c r="B1068" s="675"/>
      <c r="C1068" s="675"/>
      <c r="E1068" s="675"/>
      <c r="J1068" s="681"/>
    </row>
    <row r="1069" spans="2:10" s="676" customFormat="1">
      <c r="B1069" s="675"/>
      <c r="C1069" s="675"/>
      <c r="E1069" s="675"/>
      <c r="J1069" s="681"/>
    </row>
    <row r="1070" spans="2:10" s="676" customFormat="1">
      <c r="B1070" s="675"/>
      <c r="C1070" s="675"/>
      <c r="E1070" s="675"/>
      <c r="J1070" s="681"/>
    </row>
    <row r="1071" spans="2:10" s="676" customFormat="1">
      <c r="B1071" s="675"/>
      <c r="C1071" s="675"/>
      <c r="E1071" s="675"/>
      <c r="J1071" s="681"/>
    </row>
    <row r="1072" spans="2:10" s="676" customFormat="1">
      <c r="B1072" s="675"/>
      <c r="C1072" s="675"/>
      <c r="E1072" s="675"/>
      <c r="J1072" s="681"/>
    </row>
    <row r="1073" spans="2:10" s="676" customFormat="1">
      <c r="B1073" s="675"/>
      <c r="C1073" s="675"/>
      <c r="E1073" s="675"/>
      <c r="J1073" s="681"/>
    </row>
    <row r="1074" spans="2:10" s="676" customFormat="1">
      <c r="B1074" s="675"/>
      <c r="C1074" s="675"/>
      <c r="E1074" s="675"/>
      <c r="J1074" s="681"/>
    </row>
    <row r="1075" spans="2:10" s="676" customFormat="1">
      <c r="B1075" s="675"/>
      <c r="C1075" s="675"/>
      <c r="E1075" s="675"/>
      <c r="J1075" s="681"/>
    </row>
    <row r="1076" spans="2:10" s="676" customFormat="1">
      <c r="B1076" s="675"/>
      <c r="C1076" s="675"/>
      <c r="E1076" s="675"/>
      <c r="J1076" s="681"/>
    </row>
    <row r="1077" spans="2:10" s="676" customFormat="1">
      <c r="B1077" s="675"/>
      <c r="C1077" s="675"/>
      <c r="E1077" s="675"/>
      <c r="J1077" s="681"/>
    </row>
    <row r="1078" spans="2:10" s="676" customFormat="1">
      <c r="B1078" s="675"/>
      <c r="C1078" s="675"/>
      <c r="E1078" s="675"/>
      <c r="J1078" s="681"/>
    </row>
    <row r="1079" spans="2:10" s="676" customFormat="1">
      <c r="B1079" s="675"/>
      <c r="C1079" s="675"/>
      <c r="E1079" s="675"/>
      <c r="J1079" s="681"/>
    </row>
    <row r="1080" spans="2:10" s="676" customFormat="1">
      <c r="B1080" s="675"/>
      <c r="C1080" s="675"/>
      <c r="E1080" s="675"/>
      <c r="J1080" s="681"/>
    </row>
    <row r="1081" spans="2:10" s="676" customFormat="1">
      <c r="B1081" s="675"/>
      <c r="C1081" s="675"/>
      <c r="E1081" s="675"/>
      <c r="J1081" s="681"/>
    </row>
    <row r="1082" spans="2:10" s="676" customFormat="1">
      <c r="B1082" s="675"/>
      <c r="C1082" s="675"/>
      <c r="E1082" s="675"/>
      <c r="J1082" s="681"/>
    </row>
    <row r="1083" spans="2:10" s="676" customFormat="1">
      <c r="B1083" s="675"/>
      <c r="C1083" s="675"/>
      <c r="E1083" s="675"/>
      <c r="J1083" s="681"/>
    </row>
    <row r="1084" spans="2:10" s="676" customFormat="1">
      <c r="B1084" s="675"/>
      <c r="C1084" s="675"/>
      <c r="E1084" s="675"/>
      <c r="J1084" s="681"/>
    </row>
    <row r="1085" spans="2:10" s="676" customFormat="1">
      <c r="B1085" s="675"/>
      <c r="C1085" s="675"/>
      <c r="E1085" s="675"/>
      <c r="J1085" s="681"/>
    </row>
    <row r="1086" spans="2:10" s="676" customFormat="1">
      <c r="B1086" s="675"/>
      <c r="C1086" s="675"/>
      <c r="E1086" s="675"/>
      <c r="J1086" s="681"/>
    </row>
    <row r="1087" spans="2:10" s="676" customFormat="1">
      <c r="B1087" s="675"/>
      <c r="C1087" s="675"/>
      <c r="E1087" s="675"/>
      <c r="J1087" s="681"/>
    </row>
    <row r="1088" spans="2:10" s="676" customFormat="1">
      <c r="B1088" s="675"/>
      <c r="C1088" s="675"/>
      <c r="E1088" s="675"/>
      <c r="J1088" s="681"/>
    </row>
    <row r="1089" spans="2:10" s="676" customFormat="1">
      <c r="B1089" s="675"/>
      <c r="C1089" s="675"/>
      <c r="E1089" s="675"/>
      <c r="J1089" s="681"/>
    </row>
    <row r="1090" spans="2:10" s="676" customFormat="1">
      <c r="B1090" s="675"/>
      <c r="C1090" s="675"/>
      <c r="E1090" s="675"/>
      <c r="J1090" s="681"/>
    </row>
    <row r="1091" spans="2:10" s="676" customFormat="1">
      <c r="B1091" s="675"/>
      <c r="C1091" s="675"/>
      <c r="E1091" s="675"/>
      <c r="J1091" s="681"/>
    </row>
    <row r="1092" spans="2:10" s="676" customFormat="1">
      <c r="B1092" s="675"/>
      <c r="C1092" s="675"/>
      <c r="E1092" s="675"/>
      <c r="J1092" s="681"/>
    </row>
    <row r="1093" spans="2:10" s="676" customFormat="1">
      <c r="B1093" s="675"/>
      <c r="C1093" s="675"/>
      <c r="E1093" s="675"/>
      <c r="J1093" s="681"/>
    </row>
    <row r="1094" spans="2:10" s="676" customFormat="1">
      <c r="B1094" s="675"/>
      <c r="C1094" s="675"/>
      <c r="E1094" s="675"/>
      <c r="J1094" s="681"/>
    </row>
    <row r="1095" spans="2:10" s="676" customFormat="1">
      <c r="B1095" s="675"/>
      <c r="C1095" s="675"/>
      <c r="E1095" s="675"/>
      <c r="J1095" s="681"/>
    </row>
    <row r="1096" spans="2:10" s="676" customFormat="1">
      <c r="B1096" s="675"/>
      <c r="C1096" s="675"/>
      <c r="E1096" s="675"/>
      <c r="J1096" s="681"/>
    </row>
    <row r="1097" spans="2:10" s="676" customFormat="1">
      <c r="B1097" s="675"/>
      <c r="C1097" s="675"/>
      <c r="E1097" s="675"/>
      <c r="J1097" s="681"/>
    </row>
    <row r="1098" spans="2:10" s="676" customFormat="1">
      <c r="B1098" s="675"/>
      <c r="C1098" s="675"/>
      <c r="E1098" s="675"/>
      <c r="J1098" s="681"/>
    </row>
    <row r="1099" spans="2:10" s="676" customFormat="1">
      <c r="B1099" s="675"/>
      <c r="C1099" s="675"/>
      <c r="E1099" s="675"/>
      <c r="J1099" s="681"/>
    </row>
    <row r="1100" spans="2:10" s="676" customFormat="1">
      <c r="B1100" s="675"/>
      <c r="C1100" s="675"/>
      <c r="E1100" s="675"/>
      <c r="J1100" s="681"/>
    </row>
    <row r="1101" spans="2:10" s="676" customFormat="1">
      <c r="B1101" s="675"/>
      <c r="C1101" s="675"/>
      <c r="E1101" s="675"/>
      <c r="J1101" s="681"/>
    </row>
    <row r="1102" spans="2:10" s="676" customFormat="1">
      <c r="B1102" s="675"/>
      <c r="C1102" s="675"/>
      <c r="E1102" s="675"/>
      <c r="J1102" s="681"/>
    </row>
    <row r="1103" spans="2:10" s="676" customFormat="1">
      <c r="B1103" s="675"/>
      <c r="C1103" s="675"/>
      <c r="E1103" s="675"/>
      <c r="J1103" s="681"/>
    </row>
    <row r="1104" spans="2:10" s="676" customFormat="1">
      <c r="B1104" s="675"/>
      <c r="C1104" s="675"/>
      <c r="E1104" s="675"/>
      <c r="J1104" s="681"/>
    </row>
    <row r="1105" spans="2:10" s="676" customFormat="1">
      <c r="B1105" s="675"/>
      <c r="C1105" s="675"/>
      <c r="E1105" s="675"/>
      <c r="J1105" s="681"/>
    </row>
    <row r="1106" spans="2:10" s="676" customFormat="1">
      <c r="B1106" s="675"/>
      <c r="C1106" s="675"/>
      <c r="E1106" s="675"/>
      <c r="J1106" s="681"/>
    </row>
    <row r="1107" spans="2:10" s="676" customFormat="1">
      <c r="B1107" s="675"/>
      <c r="C1107" s="675"/>
      <c r="E1107" s="675"/>
      <c r="J1107" s="681"/>
    </row>
    <row r="1108" spans="2:10" s="676" customFormat="1">
      <c r="B1108" s="675"/>
      <c r="C1108" s="675"/>
      <c r="E1108" s="675"/>
      <c r="J1108" s="681"/>
    </row>
    <row r="1109" spans="2:10" s="676" customFormat="1">
      <c r="B1109" s="675"/>
      <c r="C1109" s="675"/>
      <c r="E1109" s="675"/>
      <c r="J1109" s="681"/>
    </row>
    <row r="1110" spans="2:10" s="676" customFormat="1">
      <c r="B1110" s="675"/>
      <c r="C1110" s="675"/>
      <c r="E1110" s="675"/>
      <c r="J1110" s="681"/>
    </row>
    <row r="1111" spans="2:10" s="676" customFormat="1">
      <c r="B1111" s="675"/>
      <c r="C1111" s="675"/>
      <c r="E1111" s="675"/>
      <c r="J1111" s="681"/>
    </row>
    <row r="1112" spans="2:10" s="676" customFormat="1">
      <c r="B1112" s="675"/>
      <c r="C1112" s="675"/>
      <c r="E1112" s="675"/>
      <c r="J1112" s="681"/>
    </row>
    <row r="1113" spans="2:10" s="676" customFormat="1">
      <c r="B1113" s="675"/>
      <c r="C1113" s="675"/>
      <c r="E1113" s="675"/>
      <c r="J1113" s="681"/>
    </row>
    <row r="1114" spans="2:10" s="676" customFormat="1">
      <c r="B1114" s="675"/>
      <c r="C1114" s="675"/>
      <c r="E1114" s="675"/>
      <c r="J1114" s="681"/>
    </row>
    <row r="1115" spans="2:10" s="676" customFormat="1">
      <c r="B1115" s="675"/>
      <c r="C1115" s="675"/>
      <c r="E1115" s="675"/>
      <c r="J1115" s="681"/>
    </row>
    <row r="1116" spans="2:10" s="676" customFormat="1">
      <c r="B1116" s="675"/>
      <c r="C1116" s="675"/>
      <c r="E1116" s="675"/>
      <c r="J1116" s="681"/>
    </row>
    <row r="1117" spans="2:10" s="676" customFormat="1">
      <c r="B1117" s="675"/>
      <c r="C1117" s="675"/>
      <c r="E1117" s="675"/>
      <c r="J1117" s="681"/>
    </row>
    <row r="1118" spans="2:10" s="676" customFormat="1">
      <c r="B1118" s="675"/>
      <c r="C1118" s="675"/>
      <c r="E1118" s="675"/>
      <c r="J1118" s="681"/>
    </row>
    <row r="1119" spans="2:10" s="676" customFormat="1">
      <c r="B1119" s="675"/>
      <c r="C1119" s="675"/>
      <c r="E1119" s="675"/>
      <c r="J1119" s="681"/>
    </row>
    <row r="1120" spans="2:10" s="676" customFormat="1">
      <c r="B1120" s="675"/>
      <c r="C1120" s="675"/>
      <c r="E1120" s="675"/>
      <c r="J1120" s="681"/>
    </row>
    <row r="1121" spans="2:10" s="676" customFormat="1">
      <c r="B1121" s="675"/>
      <c r="C1121" s="675"/>
      <c r="E1121" s="675"/>
      <c r="J1121" s="681"/>
    </row>
    <row r="1122" spans="2:10" s="676" customFormat="1">
      <c r="B1122" s="675"/>
      <c r="C1122" s="675"/>
      <c r="E1122" s="675"/>
      <c r="J1122" s="681"/>
    </row>
    <row r="1123" spans="2:10" s="676" customFormat="1">
      <c r="B1123" s="675"/>
      <c r="C1123" s="675"/>
      <c r="E1123" s="675"/>
      <c r="J1123" s="681"/>
    </row>
    <row r="1124" spans="2:10" s="676" customFormat="1">
      <c r="B1124" s="675"/>
      <c r="C1124" s="675"/>
      <c r="E1124" s="675"/>
      <c r="J1124" s="681"/>
    </row>
    <row r="1125" spans="2:10" s="676" customFormat="1">
      <c r="B1125" s="675"/>
      <c r="C1125" s="675"/>
      <c r="E1125" s="675"/>
      <c r="J1125" s="681"/>
    </row>
    <row r="1126" spans="2:10" s="676" customFormat="1">
      <c r="B1126" s="675"/>
      <c r="C1126" s="675"/>
      <c r="E1126" s="675"/>
      <c r="J1126" s="681"/>
    </row>
    <row r="1127" spans="2:10" s="676" customFormat="1">
      <c r="B1127" s="675"/>
      <c r="C1127" s="675"/>
      <c r="E1127" s="675"/>
      <c r="J1127" s="681"/>
    </row>
    <row r="1128" spans="2:10" s="676" customFormat="1">
      <c r="B1128" s="675"/>
      <c r="C1128" s="675"/>
      <c r="E1128" s="675"/>
      <c r="J1128" s="681"/>
    </row>
    <row r="1129" spans="2:10" s="676" customFormat="1">
      <c r="B1129" s="675"/>
      <c r="C1129" s="675"/>
      <c r="E1129" s="675"/>
      <c r="J1129" s="681"/>
    </row>
    <row r="1130" spans="2:10" s="676" customFormat="1">
      <c r="B1130" s="675"/>
      <c r="C1130" s="675"/>
      <c r="E1130" s="675"/>
      <c r="J1130" s="681"/>
    </row>
    <row r="1131" spans="2:10" s="676" customFormat="1">
      <c r="B1131" s="675"/>
      <c r="C1131" s="675"/>
      <c r="E1131" s="675"/>
      <c r="J1131" s="681"/>
    </row>
    <row r="1132" spans="2:10" s="676" customFormat="1">
      <c r="B1132" s="675"/>
      <c r="C1132" s="675"/>
      <c r="E1132" s="675"/>
      <c r="J1132" s="681"/>
    </row>
    <row r="1133" spans="2:10" s="676" customFormat="1">
      <c r="B1133" s="675"/>
      <c r="C1133" s="675"/>
      <c r="E1133" s="675"/>
      <c r="J1133" s="681"/>
    </row>
    <row r="1134" spans="2:10" s="676" customFormat="1">
      <c r="B1134" s="675"/>
      <c r="C1134" s="675"/>
      <c r="E1134" s="675"/>
      <c r="J1134" s="681"/>
    </row>
    <row r="1135" spans="2:10" s="676" customFormat="1">
      <c r="B1135" s="675"/>
      <c r="C1135" s="675"/>
      <c r="E1135" s="675"/>
      <c r="J1135" s="681"/>
    </row>
    <row r="1136" spans="2:10" s="676" customFormat="1">
      <c r="B1136" s="675"/>
      <c r="C1136" s="675"/>
      <c r="E1136" s="675"/>
      <c r="J1136" s="681"/>
    </row>
    <row r="1137" spans="2:10" s="676" customFormat="1">
      <c r="B1137" s="675"/>
      <c r="C1137" s="675"/>
      <c r="E1137" s="675"/>
      <c r="J1137" s="681"/>
    </row>
    <row r="1138" spans="2:10" s="676" customFormat="1">
      <c r="B1138" s="675"/>
      <c r="C1138" s="675"/>
      <c r="E1138" s="675"/>
      <c r="J1138" s="681"/>
    </row>
    <row r="1139" spans="2:10" s="676" customFormat="1">
      <c r="B1139" s="675"/>
      <c r="C1139" s="675"/>
      <c r="E1139" s="675"/>
      <c r="J1139" s="681"/>
    </row>
    <row r="1140" spans="2:10" s="676" customFormat="1">
      <c r="B1140" s="675"/>
      <c r="C1140" s="675"/>
      <c r="E1140" s="675"/>
      <c r="J1140" s="681"/>
    </row>
    <row r="1141" spans="2:10" s="676" customFormat="1">
      <c r="B1141" s="675"/>
      <c r="C1141" s="675"/>
      <c r="E1141" s="675"/>
      <c r="J1141" s="681"/>
    </row>
    <row r="1142" spans="2:10" s="676" customFormat="1">
      <c r="B1142" s="675"/>
      <c r="C1142" s="675"/>
      <c r="E1142" s="675"/>
      <c r="J1142" s="681"/>
    </row>
    <row r="1143" spans="2:10" s="676" customFormat="1">
      <c r="B1143" s="675"/>
      <c r="C1143" s="675"/>
      <c r="E1143" s="675"/>
      <c r="J1143" s="681"/>
    </row>
    <row r="1144" spans="2:10" s="676" customFormat="1">
      <c r="B1144" s="675"/>
      <c r="C1144" s="675"/>
      <c r="E1144" s="675"/>
      <c r="J1144" s="681"/>
    </row>
    <row r="1145" spans="2:10" s="676" customFormat="1">
      <c r="B1145" s="675"/>
      <c r="C1145" s="675"/>
      <c r="E1145" s="675"/>
      <c r="J1145" s="681"/>
    </row>
    <row r="1146" spans="2:10" s="676" customFormat="1">
      <c r="B1146" s="675"/>
      <c r="C1146" s="675"/>
      <c r="E1146" s="675"/>
      <c r="J1146" s="681"/>
    </row>
    <row r="1147" spans="2:10" s="676" customFormat="1">
      <c r="B1147" s="675"/>
      <c r="C1147" s="675"/>
      <c r="E1147" s="675"/>
      <c r="J1147" s="681"/>
    </row>
    <row r="1148" spans="2:10" s="676" customFormat="1">
      <c r="B1148" s="675"/>
      <c r="C1148" s="675"/>
      <c r="E1148" s="675"/>
      <c r="J1148" s="681"/>
    </row>
    <row r="1149" spans="2:10" s="676" customFormat="1">
      <c r="B1149" s="675"/>
      <c r="C1149" s="675"/>
      <c r="E1149" s="675"/>
      <c r="J1149" s="681"/>
    </row>
    <row r="1150" spans="2:10" s="676" customFormat="1">
      <c r="B1150" s="675"/>
      <c r="C1150" s="675"/>
      <c r="E1150" s="675"/>
      <c r="J1150" s="681"/>
    </row>
    <row r="1151" spans="2:10" s="676" customFormat="1">
      <c r="B1151" s="675"/>
      <c r="C1151" s="675"/>
      <c r="E1151" s="675"/>
      <c r="J1151" s="681"/>
    </row>
    <row r="1152" spans="2:10" s="676" customFormat="1">
      <c r="B1152" s="675"/>
      <c r="C1152" s="675"/>
      <c r="E1152" s="675"/>
      <c r="J1152" s="681"/>
    </row>
    <row r="1153" spans="2:10" s="676" customFormat="1">
      <c r="B1153" s="675"/>
      <c r="C1153" s="675"/>
      <c r="E1153" s="675"/>
      <c r="J1153" s="681"/>
    </row>
    <row r="1154" spans="2:10" s="676" customFormat="1">
      <c r="B1154" s="675"/>
      <c r="C1154" s="675"/>
      <c r="E1154" s="675"/>
      <c r="J1154" s="681"/>
    </row>
    <row r="1155" spans="2:10" s="676" customFormat="1">
      <c r="B1155" s="675"/>
      <c r="C1155" s="675"/>
      <c r="E1155" s="675"/>
      <c r="J1155" s="681"/>
    </row>
    <row r="1156" spans="2:10" s="676" customFormat="1">
      <c r="B1156" s="675"/>
      <c r="C1156" s="675"/>
      <c r="E1156" s="675"/>
      <c r="J1156" s="681"/>
    </row>
    <row r="1157" spans="2:10" s="676" customFormat="1">
      <c r="B1157" s="675"/>
      <c r="C1157" s="675"/>
      <c r="E1157" s="675"/>
      <c r="J1157" s="681"/>
    </row>
    <row r="1158" spans="2:10" s="676" customFormat="1">
      <c r="B1158" s="675"/>
      <c r="C1158" s="675"/>
      <c r="E1158" s="675"/>
      <c r="J1158" s="681"/>
    </row>
    <row r="1159" spans="2:10" s="676" customFormat="1">
      <c r="B1159" s="675"/>
      <c r="C1159" s="675"/>
      <c r="E1159" s="675"/>
      <c r="J1159" s="681"/>
    </row>
    <row r="1160" spans="2:10" s="676" customFormat="1">
      <c r="B1160" s="675"/>
      <c r="C1160" s="675"/>
      <c r="E1160" s="675"/>
      <c r="J1160" s="681"/>
    </row>
    <row r="1161" spans="2:10" s="676" customFormat="1">
      <c r="B1161" s="675"/>
      <c r="C1161" s="675"/>
      <c r="E1161" s="675"/>
      <c r="J1161" s="681"/>
    </row>
    <row r="1162" spans="2:10" s="676" customFormat="1">
      <c r="B1162" s="675"/>
      <c r="C1162" s="675"/>
      <c r="E1162" s="675"/>
      <c r="J1162" s="681"/>
    </row>
    <row r="1163" spans="2:10" s="676" customFormat="1">
      <c r="B1163" s="675"/>
      <c r="C1163" s="675"/>
      <c r="E1163" s="675"/>
      <c r="J1163" s="681"/>
    </row>
    <row r="1164" spans="2:10" s="676" customFormat="1">
      <c r="B1164" s="675"/>
      <c r="C1164" s="675"/>
      <c r="E1164" s="675"/>
      <c r="J1164" s="681"/>
    </row>
    <row r="1165" spans="2:10" s="676" customFormat="1">
      <c r="B1165" s="675"/>
      <c r="C1165" s="675"/>
      <c r="E1165" s="675"/>
      <c r="J1165" s="681"/>
    </row>
    <row r="1166" spans="2:10" s="676" customFormat="1">
      <c r="B1166" s="675"/>
      <c r="C1166" s="675"/>
      <c r="E1166" s="675"/>
      <c r="J1166" s="681"/>
    </row>
    <row r="1167" spans="2:10" s="676" customFormat="1">
      <c r="B1167" s="675"/>
      <c r="C1167" s="675"/>
      <c r="E1167" s="675"/>
      <c r="J1167" s="681"/>
    </row>
    <row r="1168" spans="2:10" s="676" customFormat="1">
      <c r="B1168" s="675"/>
      <c r="C1168" s="675"/>
      <c r="E1168" s="675"/>
      <c r="J1168" s="681"/>
    </row>
    <row r="1169" spans="2:10" s="676" customFormat="1">
      <c r="B1169" s="675"/>
      <c r="C1169" s="675"/>
      <c r="E1169" s="675"/>
      <c r="J1169" s="681"/>
    </row>
    <row r="1170" spans="2:10" s="676" customFormat="1">
      <c r="B1170" s="675"/>
      <c r="C1170" s="675"/>
      <c r="E1170" s="675"/>
      <c r="J1170" s="681"/>
    </row>
    <row r="1171" spans="2:10" s="676" customFormat="1">
      <c r="B1171" s="675"/>
      <c r="C1171" s="675"/>
      <c r="E1171" s="675"/>
      <c r="J1171" s="681"/>
    </row>
    <row r="1172" spans="2:10" s="676" customFormat="1">
      <c r="B1172" s="675"/>
      <c r="C1172" s="675"/>
      <c r="E1172" s="675"/>
      <c r="J1172" s="681"/>
    </row>
    <row r="1173" spans="2:10" s="676" customFormat="1">
      <c r="B1173" s="675"/>
      <c r="C1173" s="675"/>
      <c r="E1173" s="675"/>
      <c r="J1173" s="681"/>
    </row>
    <row r="1174" spans="2:10" s="676" customFormat="1">
      <c r="B1174" s="675"/>
      <c r="C1174" s="675"/>
      <c r="E1174" s="675"/>
      <c r="J1174" s="681"/>
    </row>
    <row r="1175" spans="2:10" s="676" customFormat="1">
      <c r="B1175" s="675"/>
      <c r="C1175" s="675"/>
      <c r="E1175" s="675"/>
      <c r="J1175" s="681"/>
    </row>
    <row r="1176" spans="2:10" s="676" customFormat="1">
      <c r="B1176" s="675"/>
      <c r="C1176" s="675"/>
      <c r="E1176" s="675"/>
      <c r="J1176" s="681"/>
    </row>
    <row r="1177" spans="2:10" s="676" customFormat="1">
      <c r="B1177" s="675"/>
      <c r="C1177" s="675"/>
      <c r="E1177" s="675"/>
      <c r="J1177" s="681"/>
    </row>
    <row r="1178" spans="2:10" s="676" customFormat="1">
      <c r="B1178" s="675"/>
      <c r="C1178" s="675"/>
      <c r="E1178" s="675"/>
      <c r="J1178" s="681"/>
    </row>
    <row r="1179" spans="2:10" s="676" customFormat="1">
      <c r="B1179" s="675"/>
      <c r="C1179" s="675"/>
      <c r="E1179" s="675"/>
      <c r="J1179" s="681"/>
    </row>
    <row r="1180" spans="2:10" s="676" customFormat="1">
      <c r="B1180" s="675"/>
      <c r="C1180" s="675"/>
      <c r="E1180" s="675"/>
      <c r="J1180" s="681"/>
    </row>
    <row r="1181" spans="2:10" s="676" customFormat="1">
      <c r="B1181" s="675"/>
      <c r="C1181" s="675"/>
      <c r="E1181" s="675"/>
      <c r="J1181" s="681"/>
    </row>
    <row r="1182" spans="2:10" s="676" customFormat="1">
      <c r="B1182" s="675"/>
      <c r="C1182" s="675"/>
      <c r="E1182" s="675"/>
      <c r="J1182" s="681"/>
    </row>
    <row r="1183" spans="2:10" s="676" customFormat="1">
      <c r="B1183" s="675"/>
      <c r="C1183" s="675"/>
      <c r="E1183" s="675"/>
      <c r="J1183" s="681"/>
    </row>
    <row r="1184" spans="2:10" s="676" customFormat="1">
      <c r="B1184" s="675"/>
      <c r="C1184" s="675"/>
      <c r="E1184" s="675"/>
      <c r="J1184" s="681"/>
    </row>
    <row r="1185" spans="2:10" s="676" customFormat="1">
      <c r="B1185" s="675"/>
      <c r="C1185" s="675"/>
      <c r="E1185" s="675"/>
      <c r="J1185" s="681"/>
    </row>
    <row r="1186" spans="2:10" s="676" customFormat="1">
      <c r="B1186" s="675"/>
      <c r="C1186" s="675"/>
      <c r="E1186" s="675"/>
      <c r="J1186" s="681"/>
    </row>
    <row r="1187" spans="2:10" s="676" customFormat="1">
      <c r="B1187" s="675"/>
      <c r="C1187" s="675"/>
      <c r="E1187" s="675"/>
      <c r="J1187" s="681"/>
    </row>
    <row r="1188" spans="2:10" s="676" customFormat="1">
      <c r="B1188" s="675"/>
      <c r="C1188" s="675"/>
      <c r="E1188" s="675"/>
      <c r="J1188" s="681"/>
    </row>
    <row r="1189" spans="2:10" s="676" customFormat="1">
      <c r="B1189" s="675"/>
      <c r="C1189" s="675"/>
      <c r="E1189" s="675"/>
      <c r="J1189" s="681"/>
    </row>
    <row r="1190" spans="2:10" s="676" customFormat="1">
      <c r="B1190" s="675"/>
      <c r="C1190" s="675"/>
      <c r="E1190" s="675"/>
      <c r="J1190" s="681"/>
    </row>
    <row r="1191" spans="2:10" s="676" customFormat="1">
      <c r="B1191" s="675"/>
      <c r="C1191" s="675"/>
      <c r="E1191" s="675"/>
      <c r="J1191" s="681"/>
    </row>
    <row r="1192" spans="2:10" s="676" customFormat="1">
      <c r="B1192" s="675"/>
      <c r="C1192" s="675"/>
      <c r="E1192" s="675"/>
      <c r="J1192" s="681"/>
    </row>
    <row r="1193" spans="2:10" s="676" customFormat="1">
      <c r="B1193" s="675"/>
      <c r="C1193" s="675"/>
      <c r="E1193" s="675"/>
      <c r="J1193" s="681"/>
    </row>
    <row r="1194" spans="2:10" s="676" customFormat="1">
      <c r="B1194" s="675"/>
      <c r="C1194" s="675"/>
      <c r="E1194" s="675"/>
      <c r="J1194" s="681"/>
    </row>
    <row r="1195" spans="2:10" s="676" customFormat="1">
      <c r="B1195" s="675"/>
      <c r="C1195" s="675"/>
      <c r="E1195" s="675"/>
      <c r="J1195" s="681"/>
    </row>
    <row r="1196" spans="2:10" s="676" customFormat="1">
      <c r="B1196" s="675"/>
      <c r="C1196" s="675"/>
      <c r="E1196" s="675"/>
      <c r="J1196" s="681"/>
    </row>
    <row r="1197" spans="2:10" s="676" customFormat="1">
      <c r="B1197" s="675"/>
      <c r="C1197" s="675"/>
      <c r="E1197" s="675"/>
      <c r="J1197" s="681"/>
    </row>
    <row r="1198" spans="2:10" s="676" customFormat="1">
      <c r="B1198" s="675"/>
      <c r="C1198" s="675"/>
      <c r="E1198" s="675"/>
      <c r="J1198" s="681"/>
    </row>
    <row r="1199" spans="2:10" s="676" customFormat="1">
      <c r="B1199" s="675"/>
      <c r="C1199" s="675"/>
      <c r="E1199" s="675"/>
      <c r="J1199" s="681"/>
    </row>
    <row r="1200" spans="2:10" s="676" customFormat="1">
      <c r="B1200" s="675"/>
      <c r="C1200" s="675"/>
      <c r="E1200" s="675"/>
      <c r="J1200" s="681"/>
    </row>
    <row r="1201" spans="2:10" s="676" customFormat="1">
      <c r="B1201" s="675"/>
      <c r="C1201" s="675"/>
      <c r="E1201" s="675"/>
      <c r="J1201" s="681"/>
    </row>
    <row r="1202" spans="2:10" s="676" customFormat="1">
      <c r="B1202" s="675"/>
      <c r="C1202" s="675"/>
      <c r="E1202" s="675"/>
      <c r="J1202" s="681"/>
    </row>
    <row r="1203" spans="2:10" s="676" customFormat="1">
      <c r="B1203" s="675"/>
      <c r="C1203" s="675"/>
      <c r="E1203" s="675"/>
      <c r="J1203" s="681"/>
    </row>
    <row r="1204" spans="2:10" s="676" customFormat="1">
      <c r="B1204" s="675"/>
      <c r="C1204" s="675"/>
      <c r="E1204" s="675"/>
      <c r="J1204" s="681"/>
    </row>
    <row r="1205" spans="2:10" s="676" customFormat="1">
      <c r="B1205" s="675"/>
      <c r="C1205" s="675"/>
      <c r="E1205" s="675"/>
      <c r="J1205" s="681"/>
    </row>
    <row r="1206" spans="2:10" s="676" customFormat="1">
      <c r="B1206" s="675"/>
      <c r="C1206" s="675"/>
      <c r="E1206" s="675"/>
      <c r="J1206" s="681"/>
    </row>
    <row r="1207" spans="2:10" s="676" customFormat="1">
      <c r="B1207" s="675"/>
      <c r="C1207" s="675"/>
      <c r="E1207" s="675"/>
      <c r="J1207" s="681"/>
    </row>
    <row r="1208" spans="2:10" s="676" customFormat="1">
      <c r="B1208" s="675"/>
      <c r="C1208" s="675"/>
      <c r="E1208" s="675"/>
      <c r="J1208" s="681"/>
    </row>
    <row r="1209" spans="2:10" s="676" customFormat="1">
      <c r="B1209" s="675"/>
      <c r="C1209" s="675"/>
      <c r="E1209" s="675"/>
      <c r="J1209" s="681"/>
    </row>
    <row r="1210" spans="2:10" s="676" customFormat="1">
      <c r="B1210" s="675"/>
      <c r="C1210" s="675"/>
      <c r="E1210" s="675"/>
      <c r="J1210" s="681"/>
    </row>
    <row r="1211" spans="2:10" s="676" customFormat="1">
      <c r="B1211" s="675"/>
      <c r="C1211" s="675"/>
      <c r="E1211" s="675"/>
      <c r="J1211" s="681"/>
    </row>
    <row r="1212" spans="2:10" s="676" customFormat="1">
      <c r="B1212" s="675"/>
      <c r="C1212" s="675"/>
      <c r="E1212" s="675"/>
      <c r="J1212" s="681"/>
    </row>
    <row r="1213" spans="2:10" s="676" customFormat="1">
      <c r="B1213" s="675"/>
      <c r="C1213" s="675"/>
      <c r="E1213" s="675"/>
      <c r="J1213" s="681"/>
    </row>
    <row r="1214" spans="2:10" s="676" customFormat="1">
      <c r="B1214" s="675"/>
      <c r="C1214" s="675"/>
      <c r="E1214" s="675"/>
      <c r="J1214" s="681"/>
    </row>
    <row r="1215" spans="2:10" s="676" customFormat="1">
      <c r="B1215" s="675"/>
      <c r="C1215" s="675"/>
      <c r="E1215" s="675"/>
      <c r="J1215" s="681"/>
    </row>
    <row r="1216" spans="2:10" s="676" customFormat="1">
      <c r="B1216" s="675"/>
      <c r="C1216" s="675"/>
      <c r="E1216" s="675"/>
      <c r="J1216" s="681"/>
    </row>
    <row r="1217" spans="2:10" s="676" customFormat="1">
      <c r="B1217" s="675"/>
      <c r="C1217" s="675"/>
      <c r="E1217" s="675"/>
      <c r="J1217" s="681"/>
    </row>
    <row r="1218" spans="2:10" s="676" customFormat="1">
      <c r="B1218" s="675"/>
      <c r="C1218" s="675"/>
      <c r="E1218" s="675"/>
      <c r="J1218" s="681"/>
    </row>
    <row r="1219" spans="2:10" s="676" customFormat="1">
      <c r="B1219" s="675"/>
      <c r="C1219" s="675"/>
      <c r="E1219" s="675"/>
      <c r="J1219" s="681"/>
    </row>
    <row r="1220" spans="2:10" s="676" customFormat="1">
      <c r="B1220" s="675"/>
      <c r="C1220" s="675"/>
      <c r="E1220" s="675"/>
      <c r="J1220" s="681"/>
    </row>
    <row r="1221" spans="2:10" s="676" customFormat="1">
      <c r="B1221" s="675"/>
      <c r="C1221" s="675"/>
      <c r="E1221" s="675"/>
      <c r="J1221" s="681"/>
    </row>
    <row r="1222" spans="2:10" s="676" customFormat="1">
      <c r="B1222" s="675"/>
      <c r="C1222" s="675"/>
      <c r="E1222" s="675"/>
      <c r="J1222" s="681"/>
    </row>
    <row r="1223" spans="2:10" s="676" customFormat="1">
      <c r="B1223" s="675"/>
      <c r="C1223" s="675"/>
      <c r="E1223" s="675"/>
      <c r="J1223" s="681"/>
    </row>
    <row r="1224" spans="2:10" s="676" customFormat="1">
      <c r="B1224" s="675"/>
      <c r="C1224" s="675"/>
      <c r="E1224" s="675"/>
      <c r="J1224" s="681"/>
    </row>
    <row r="1225" spans="2:10" s="676" customFormat="1">
      <c r="B1225" s="675"/>
      <c r="C1225" s="675"/>
      <c r="E1225" s="675"/>
      <c r="J1225" s="681"/>
    </row>
    <row r="1226" spans="2:10" s="676" customFormat="1">
      <c r="B1226" s="675"/>
      <c r="C1226" s="675"/>
      <c r="E1226" s="675"/>
      <c r="J1226" s="681"/>
    </row>
    <row r="1227" spans="2:10" s="676" customFormat="1">
      <c r="B1227" s="675"/>
      <c r="C1227" s="675"/>
      <c r="E1227" s="675"/>
      <c r="J1227" s="681"/>
    </row>
    <row r="1228" spans="2:10" s="676" customFormat="1">
      <c r="B1228" s="675"/>
      <c r="C1228" s="675"/>
      <c r="E1228" s="675"/>
      <c r="J1228" s="681"/>
    </row>
    <row r="1229" spans="2:10" s="676" customFormat="1">
      <c r="B1229" s="675"/>
      <c r="C1229" s="675"/>
      <c r="E1229" s="675"/>
      <c r="J1229" s="681"/>
    </row>
    <row r="1230" spans="2:10" s="676" customFormat="1">
      <c r="B1230" s="675"/>
      <c r="C1230" s="675"/>
      <c r="E1230" s="675"/>
      <c r="J1230" s="681"/>
    </row>
    <row r="1231" spans="2:10" s="676" customFormat="1">
      <c r="B1231" s="675"/>
      <c r="C1231" s="675"/>
      <c r="E1231" s="675"/>
      <c r="J1231" s="681"/>
    </row>
    <row r="1232" spans="2:10" s="676" customFormat="1">
      <c r="B1232" s="675"/>
      <c r="C1232" s="675"/>
      <c r="E1232" s="675"/>
      <c r="J1232" s="681"/>
    </row>
    <row r="1233" spans="2:10" s="676" customFormat="1">
      <c r="B1233" s="675"/>
      <c r="C1233" s="675"/>
      <c r="E1233" s="675"/>
      <c r="J1233" s="681"/>
    </row>
    <row r="1234" spans="2:10" s="676" customFormat="1">
      <c r="B1234" s="675"/>
      <c r="C1234" s="675"/>
      <c r="E1234" s="675"/>
      <c r="J1234" s="681"/>
    </row>
    <row r="1235" spans="2:10" s="676" customFormat="1">
      <c r="B1235" s="675"/>
      <c r="C1235" s="675"/>
      <c r="E1235" s="675"/>
      <c r="J1235" s="681"/>
    </row>
    <row r="1236" spans="2:10" s="676" customFormat="1">
      <c r="B1236" s="675"/>
      <c r="C1236" s="675"/>
      <c r="E1236" s="675"/>
      <c r="J1236" s="681"/>
    </row>
    <row r="1237" spans="2:10" s="676" customFormat="1">
      <c r="B1237" s="675"/>
      <c r="C1237" s="675"/>
      <c r="E1237" s="675"/>
      <c r="J1237" s="681"/>
    </row>
    <row r="1238" spans="2:10" s="676" customFormat="1">
      <c r="B1238" s="675"/>
      <c r="C1238" s="675"/>
      <c r="E1238" s="675"/>
      <c r="J1238" s="681"/>
    </row>
    <row r="1239" spans="2:10" s="676" customFormat="1">
      <c r="B1239" s="675"/>
      <c r="C1239" s="675"/>
      <c r="E1239" s="675"/>
      <c r="J1239" s="681"/>
    </row>
    <row r="1240" spans="2:10" s="676" customFormat="1">
      <c r="B1240" s="675"/>
      <c r="C1240" s="675"/>
      <c r="E1240" s="675"/>
      <c r="J1240" s="681"/>
    </row>
    <row r="1241" spans="2:10" s="676" customFormat="1">
      <c r="B1241" s="675"/>
      <c r="C1241" s="675"/>
      <c r="E1241" s="675"/>
      <c r="J1241" s="681"/>
    </row>
    <row r="1242" spans="2:10" s="676" customFormat="1">
      <c r="B1242" s="675"/>
      <c r="C1242" s="675"/>
      <c r="E1242" s="675"/>
      <c r="J1242" s="681"/>
    </row>
    <row r="1243" spans="2:10" s="676" customFormat="1">
      <c r="B1243" s="675"/>
      <c r="C1243" s="675"/>
      <c r="E1243" s="675"/>
      <c r="J1243" s="681"/>
    </row>
    <row r="1244" spans="2:10" s="676" customFormat="1">
      <c r="B1244" s="675"/>
      <c r="C1244" s="675"/>
      <c r="E1244" s="675"/>
      <c r="J1244" s="681"/>
    </row>
    <row r="1245" spans="2:10" s="676" customFormat="1">
      <c r="B1245" s="675"/>
      <c r="C1245" s="675"/>
      <c r="E1245" s="675"/>
      <c r="J1245" s="681"/>
    </row>
    <row r="1246" spans="2:10" s="676" customFormat="1">
      <c r="B1246" s="675"/>
      <c r="C1246" s="675"/>
      <c r="E1246" s="675"/>
      <c r="J1246" s="681"/>
    </row>
    <row r="1247" spans="2:10" s="676" customFormat="1">
      <c r="B1247" s="675"/>
      <c r="C1247" s="675"/>
      <c r="E1247" s="675"/>
      <c r="J1247" s="681"/>
    </row>
    <row r="1248" spans="2:10" s="676" customFormat="1">
      <c r="B1248" s="675"/>
      <c r="C1248" s="675"/>
      <c r="E1248" s="675"/>
      <c r="J1248" s="681"/>
    </row>
    <row r="1249" spans="2:10" s="676" customFormat="1">
      <c r="B1249" s="675"/>
      <c r="C1249" s="675"/>
      <c r="E1249" s="675"/>
      <c r="J1249" s="681"/>
    </row>
    <row r="1250" spans="2:10" s="676" customFormat="1">
      <c r="B1250" s="675"/>
      <c r="C1250" s="675"/>
      <c r="E1250" s="675"/>
      <c r="J1250" s="681"/>
    </row>
    <row r="1251" spans="2:10" s="676" customFormat="1">
      <c r="B1251" s="675"/>
      <c r="C1251" s="675"/>
      <c r="E1251" s="675"/>
      <c r="J1251" s="681"/>
    </row>
    <row r="1252" spans="2:10" s="676" customFormat="1">
      <c r="B1252" s="675"/>
      <c r="C1252" s="675"/>
      <c r="E1252" s="675"/>
      <c r="J1252" s="681"/>
    </row>
    <row r="1253" spans="2:10" s="676" customFormat="1">
      <c r="B1253" s="675"/>
      <c r="C1253" s="675"/>
      <c r="E1253" s="675"/>
      <c r="J1253" s="681"/>
    </row>
    <row r="1254" spans="2:10" s="676" customFormat="1">
      <c r="B1254" s="675"/>
      <c r="C1254" s="675"/>
      <c r="E1254" s="675"/>
      <c r="J1254" s="681"/>
    </row>
    <row r="1255" spans="2:10" s="676" customFormat="1">
      <c r="B1255" s="675"/>
      <c r="C1255" s="675"/>
      <c r="E1255" s="675"/>
      <c r="J1255" s="681"/>
    </row>
    <row r="1256" spans="2:10" s="676" customFormat="1">
      <c r="B1256" s="675"/>
      <c r="C1256" s="675"/>
      <c r="E1256" s="675"/>
      <c r="J1256" s="681"/>
    </row>
    <row r="1257" spans="2:10" s="676" customFormat="1">
      <c r="B1257" s="675"/>
      <c r="C1257" s="675"/>
      <c r="E1257" s="675"/>
      <c r="J1257" s="681"/>
    </row>
    <row r="1258" spans="2:10" s="676" customFormat="1">
      <c r="B1258" s="675"/>
      <c r="C1258" s="675"/>
      <c r="E1258" s="675"/>
      <c r="J1258" s="681"/>
    </row>
    <row r="1259" spans="2:10" s="676" customFormat="1">
      <c r="B1259" s="675"/>
      <c r="C1259" s="675"/>
      <c r="E1259" s="675"/>
      <c r="J1259" s="681"/>
    </row>
    <row r="1260" spans="2:10" s="676" customFormat="1">
      <c r="B1260" s="675"/>
      <c r="C1260" s="675"/>
      <c r="E1260" s="675"/>
      <c r="J1260" s="681"/>
    </row>
    <row r="1261" spans="2:10" s="676" customFormat="1">
      <c r="B1261" s="675"/>
      <c r="C1261" s="675"/>
      <c r="E1261" s="675"/>
      <c r="J1261" s="681"/>
    </row>
    <row r="1262" spans="2:10" s="676" customFormat="1">
      <c r="B1262" s="675"/>
      <c r="C1262" s="675"/>
      <c r="E1262" s="675"/>
      <c r="J1262" s="681"/>
    </row>
    <row r="1263" spans="2:10" s="676" customFormat="1">
      <c r="B1263" s="675"/>
      <c r="C1263" s="675"/>
      <c r="E1263" s="675"/>
      <c r="J1263" s="681"/>
    </row>
    <row r="1264" spans="2:10" s="676" customFormat="1">
      <c r="B1264" s="675"/>
      <c r="C1264" s="675"/>
      <c r="E1264" s="675"/>
      <c r="J1264" s="681"/>
    </row>
    <row r="1265" spans="2:10" s="676" customFormat="1">
      <c r="B1265" s="675"/>
      <c r="C1265" s="675"/>
      <c r="E1265" s="675"/>
      <c r="J1265" s="681"/>
    </row>
    <row r="1266" spans="2:10" s="676" customFormat="1">
      <c r="B1266" s="675"/>
      <c r="C1266" s="675"/>
      <c r="E1266" s="675"/>
      <c r="J1266" s="681"/>
    </row>
    <row r="1267" spans="2:10" s="676" customFormat="1">
      <c r="B1267" s="675"/>
      <c r="C1267" s="675"/>
      <c r="E1267" s="675"/>
      <c r="J1267" s="681"/>
    </row>
    <row r="1268" spans="2:10" s="676" customFormat="1">
      <c r="B1268" s="675"/>
      <c r="C1268" s="675"/>
      <c r="E1268" s="675"/>
      <c r="J1268" s="681"/>
    </row>
    <row r="1269" spans="2:10" s="676" customFormat="1">
      <c r="B1269" s="675"/>
      <c r="C1269" s="675"/>
      <c r="E1269" s="675"/>
      <c r="J1269" s="681"/>
    </row>
    <row r="1270" spans="2:10" s="676" customFormat="1">
      <c r="B1270" s="675"/>
      <c r="C1270" s="675"/>
      <c r="E1270" s="675"/>
      <c r="J1270" s="681"/>
    </row>
    <row r="1271" spans="2:10" s="676" customFormat="1">
      <c r="B1271" s="675"/>
      <c r="C1271" s="675"/>
      <c r="E1271" s="675"/>
      <c r="J1271" s="681"/>
    </row>
    <row r="1272" spans="2:10" s="676" customFormat="1">
      <c r="B1272" s="675"/>
      <c r="C1272" s="675"/>
      <c r="E1272" s="675"/>
      <c r="J1272" s="681"/>
    </row>
    <row r="1273" spans="2:10" s="676" customFormat="1">
      <c r="B1273" s="675"/>
      <c r="C1273" s="675"/>
      <c r="E1273" s="675"/>
      <c r="J1273" s="681"/>
    </row>
    <row r="1274" spans="2:10" s="676" customFormat="1">
      <c r="B1274" s="675"/>
      <c r="C1274" s="675"/>
      <c r="E1274" s="675"/>
      <c r="J1274" s="681"/>
    </row>
    <row r="1275" spans="2:10" s="676" customFormat="1">
      <c r="B1275" s="675"/>
      <c r="C1275" s="675"/>
      <c r="E1275" s="675"/>
      <c r="J1275" s="681"/>
    </row>
    <row r="1276" spans="2:10" s="676" customFormat="1">
      <c r="B1276" s="675"/>
      <c r="C1276" s="675"/>
      <c r="E1276" s="675"/>
      <c r="J1276" s="681"/>
    </row>
    <row r="1277" spans="2:10" s="676" customFormat="1">
      <c r="B1277" s="675"/>
      <c r="C1277" s="675"/>
      <c r="E1277" s="675"/>
      <c r="J1277" s="681"/>
    </row>
    <row r="1278" spans="2:10" s="676" customFormat="1">
      <c r="B1278" s="675"/>
      <c r="C1278" s="675"/>
      <c r="E1278" s="675"/>
      <c r="J1278" s="681"/>
    </row>
    <row r="1279" spans="2:10" s="676" customFormat="1">
      <c r="B1279" s="675"/>
      <c r="C1279" s="675"/>
      <c r="E1279" s="675"/>
      <c r="J1279" s="681"/>
    </row>
    <row r="1280" spans="2:10" s="676" customFormat="1">
      <c r="B1280" s="675"/>
      <c r="C1280" s="675"/>
      <c r="E1280" s="675"/>
      <c r="J1280" s="681"/>
    </row>
    <row r="1281" spans="2:10" s="676" customFormat="1">
      <c r="B1281" s="675"/>
      <c r="C1281" s="675"/>
      <c r="E1281" s="675"/>
      <c r="J1281" s="681"/>
    </row>
    <row r="1282" spans="2:10" s="676" customFormat="1">
      <c r="B1282" s="675"/>
      <c r="C1282" s="675"/>
      <c r="E1282" s="675"/>
      <c r="J1282" s="681"/>
    </row>
    <row r="1283" spans="2:10" s="676" customFormat="1">
      <c r="B1283" s="675"/>
      <c r="C1283" s="675"/>
      <c r="E1283" s="675"/>
      <c r="J1283" s="681"/>
    </row>
    <row r="1284" spans="2:10" s="676" customFormat="1">
      <c r="B1284" s="675"/>
      <c r="C1284" s="675"/>
      <c r="E1284" s="675"/>
      <c r="J1284" s="681"/>
    </row>
    <row r="1285" spans="2:10" s="676" customFormat="1">
      <c r="B1285" s="675"/>
      <c r="C1285" s="675"/>
      <c r="E1285" s="675"/>
      <c r="J1285" s="681"/>
    </row>
    <row r="1286" spans="2:10" s="676" customFormat="1">
      <c r="B1286" s="675"/>
      <c r="C1286" s="675"/>
      <c r="E1286" s="675"/>
      <c r="J1286" s="681"/>
    </row>
    <row r="1287" spans="2:10" s="676" customFormat="1">
      <c r="B1287" s="675"/>
      <c r="C1287" s="675"/>
      <c r="E1287" s="675"/>
      <c r="J1287" s="681"/>
    </row>
    <row r="1288" spans="2:10" s="676" customFormat="1">
      <c r="B1288" s="675"/>
      <c r="C1288" s="675"/>
      <c r="E1288" s="675"/>
      <c r="J1288" s="681"/>
    </row>
    <row r="1289" spans="2:10" s="676" customFormat="1">
      <c r="B1289" s="675"/>
      <c r="C1289" s="675"/>
      <c r="E1289" s="675"/>
      <c r="J1289" s="681"/>
    </row>
    <row r="1290" spans="2:10" s="676" customFormat="1">
      <c r="B1290" s="675"/>
      <c r="C1290" s="675"/>
      <c r="E1290" s="675"/>
      <c r="J1290" s="681"/>
    </row>
    <row r="1291" spans="2:10" s="676" customFormat="1">
      <c r="B1291" s="675"/>
      <c r="C1291" s="675"/>
      <c r="E1291" s="675"/>
      <c r="J1291" s="681"/>
    </row>
    <row r="1292" spans="2:10" s="676" customFormat="1">
      <c r="B1292" s="675"/>
      <c r="C1292" s="675"/>
      <c r="E1292" s="675"/>
      <c r="J1292" s="681"/>
    </row>
    <row r="1293" spans="2:10" s="676" customFormat="1">
      <c r="B1293" s="675"/>
      <c r="C1293" s="675"/>
      <c r="E1293" s="675"/>
      <c r="J1293" s="681"/>
    </row>
    <row r="1294" spans="2:10" s="676" customFormat="1">
      <c r="B1294" s="675"/>
      <c r="C1294" s="675"/>
      <c r="E1294" s="675"/>
      <c r="J1294" s="681"/>
    </row>
    <row r="1295" spans="2:10" s="676" customFormat="1">
      <c r="B1295" s="675"/>
      <c r="C1295" s="675"/>
      <c r="E1295" s="675"/>
      <c r="J1295" s="681"/>
    </row>
    <row r="1296" spans="2:10" s="676" customFormat="1">
      <c r="B1296" s="675"/>
      <c r="C1296" s="675"/>
      <c r="E1296" s="675"/>
      <c r="J1296" s="681"/>
    </row>
    <row r="1297" spans="2:10" s="676" customFormat="1">
      <c r="B1297" s="675"/>
      <c r="C1297" s="675"/>
      <c r="E1297" s="675"/>
      <c r="J1297" s="681"/>
    </row>
    <row r="1298" spans="2:10" s="676" customFormat="1">
      <c r="B1298" s="675"/>
      <c r="C1298" s="675"/>
      <c r="E1298" s="675"/>
      <c r="J1298" s="681"/>
    </row>
    <row r="1299" spans="2:10" s="676" customFormat="1">
      <c r="B1299" s="675"/>
      <c r="C1299" s="675"/>
      <c r="E1299" s="675"/>
      <c r="J1299" s="681"/>
    </row>
    <row r="1300" spans="2:10" s="676" customFormat="1">
      <c r="B1300" s="675"/>
      <c r="C1300" s="675"/>
      <c r="E1300" s="675"/>
      <c r="J1300" s="681"/>
    </row>
    <row r="1301" spans="2:10" s="676" customFormat="1">
      <c r="B1301" s="675"/>
      <c r="C1301" s="675"/>
      <c r="E1301" s="675"/>
      <c r="J1301" s="681"/>
    </row>
    <row r="1302" spans="2:10" s="676" customFormat="1">
      <c r="B1302" s="675"/>
      <c r="C1302" s="675"/>
      <c r="E1302" s="675"/>
      <c r="J1302" s="681"/>
    </row>
    <row r="1303" spans="2:10" s="676" customFormat="1">
      <c r="B1303" s="675"/>
      <c r="C1303" s="675"/>
      <c r="E1303" s="675"/>
      <c r="J1303" s="681"/>
    </row>
    <row r="1304" spans="2:10" s="676" customFormat="1">
      <c r="B1304" s="675"/>
      <c r="C1304" s="675"/>
      <c r="E1304" s="675"/>
      <c r="J1304" s="681"/>
    </row>
    <row r="1305" spans="2:10" s="676" customFormat="1">
      <c r="B1305" s="675"/>
      <c r="C1305" s="675"/>
      <c r="E1305" s="675"/>
      <c r="J1305" s="681"/>
    </row>
    <row r="1306" spans="2:10" s="676" customFormat="1">
      <c r="B1306" s="675"/>
      <c r="C1306" s="675"/>
      <c r="E1306" s="675"/>
      <c r="J1306" s="681"/>
    </row>
    <row r="1307" spans="2:10" s="676" customFormat="1">
      <c r="B1307" s="675"/>
      <c r="C1307" s="675"/>
      <c r="E1307" s="675"/>
      <c r="J1307" s="681"/>
    </row>
    <row r="1308" spans="2:10" s="676" customFormat="1">
      <c r="B1308" s="675"/>
      <c r="C1308" s="675"/>
      <c r="E1308" s="675"/>
      <c r="J1308" s="681"/>
    </row>
    <row r="1309" spans="2:10" s="676" customFormat="1">
      <c r="B1309" s="675"/>
      <c r="C1309" s="675"/>
      <c r="E1309" s="675"/>
      <c r="J1309" s="681"/>
    </row>
    <row r="1310" spans="2:10" s="676" customFormat="1">
      <c r="B1310" s="675"/>
      <c r="C1310" s="675"/>
      <c r="E1310" s="675"/>
      <c r="J1310" s="681"/>
    </row>
    <row r="1311" spans="2:10" s="676" customFormat="1">
      <c r="B1311" s="675"/>
      <c r="C1311" s="675"/>
      <c r="E1311" s="675"/>
      <c r="J1311" s="681"/>
    </row>
    <row r="1312" spans="2:10" s="676" customFormat="1">
      <c r="B1312" s="675"/>
      <c r="C1312" s="675"/>
      <c r="E1312" s="675"/>
      <c r="J1312" s="681"/>
    </row>
    <row r="1313" spans="2:10" s="676" customFormat="1">
      <c r="B1313" s="675"/>
      <c r="C1313" s="675"/>
      <c r="E1313" s="675"/>
      <c r="J1313" s="681"/>
    </row>
    <row r="1314" spans="2:10" s="676" customFormat="1">
      <c r="B1314" s="675"/>
      <c r="C1314" s="675"/>
      <c r="E1314" s="675"/>
      <c r="J1314" s="681"/>
    </row>
    <row r="1315" spans="2:10" s="676" customFormat="1">
      <c r="B1315" s="675"/>
      <c r="C1315" s="675"/>
      <c r="E1315" s="675"/>
      <c r="J1315" s="681"/>
    </row>
    <row r="1316" spans="2:10" s="676" customFormat="1">
      <c r="B1316" s="675"/>
      <c r="C1316" s="675"/>
      <c r="E1316" s="675"/>
      <c r="J1316" s="681"/>
    </row>
    <row r="1317" spans="2:10" s="676" customFormat="1">
      <c r="B1317" s="675"/>
      <c r="C1317" s="675"/>
      <c r="E1317" s="675"/>
      <c r="J1317" s="681"/>
    </row>
    <row r="1318" spans="2:10" s="676" customFormat="1">
      <c r="B1318" s="675"/>
      <c r="C1318" s="675"/>
      <c r="E1318" s="675"/>
      <c r="J1318" s="681"/>
    </row>
    <row r="1319" spans="2:10" s="676" customFormat="1">
      <c r="B1319" s="675"/>
      <c r="C1319" s="675"/>
      <c r="E1319" s="675"/>
      <c r="J1319" s="681"/>
    </row>
    <row r="1320" spans="2:10" s="676" customFormat="1">
      <c r="B1320" s="675"/>
      <c r="C1320" s="675"/>
      <c r="E1320" s="675"/>
      <c r="J1320" s="681"/>
    </row>
    <row r="1321" spans="2:10" s="676" customFormat="1">
      <c r="B1321" s="675"/>
      <c r="C1321" s="675"/>
      <c r="E1321" s="675"/>
      <c r="J1321" s="681"/>
    </row>
    <row r="1322" spans="2:10" s="676" customFormat="1">
      <c r="B1322" s="675"/>
      <c r="C1322" s="675"/>
      <c r="E1322" s="675"/>
      <c r="J1322" s="681"/>
    </row>
  </sheetData>
  <autoFilter ref="A1:L1030"/>
  <dataConsolidate/>
  <mergeCells count="4">
    <mergeCell ref="C213:D213"/>
    <mergeCell ref="C215:D215"/>
    <mergeCell ref="C218:D218"/>
    <mergeCell ref="C461:D461"/>
  </mergeCells>
  <printOptions horizontalCentered="1"/>
  <pageMargins left="0.17" right="0.22" top="0.78740157480314965" bottom="0.59" header="0.51181102362204722" footer="0.28000000000000003"/>
  <pageSetup paperSize="9" scale="72" fitToHeight="20" orientation="landscape" r:id="rId1"/>
  <headerFooter alignWithMargins="0">
    <oddHeader>&amp;C&amp;"Times New Roman CE,Tučné"&amp;18Čerpání rozpočtu provozních výdajů města k 31.12.2012 (v tis. Kč)</oddHeader>
    <oddFooter>&amp;R&amp;P</oddFooter>
  </headerFooter>
  <rowBreaks count="10" manualBreakCount="10">
    <brk id="55" max="11" man="1"/>
    <brk id="109" max="11" man="1"/>
    <brk id="215" max="11" man="1"/>
    <brk id="266" max="11" man="1"/>
    <brk id="426" max="11" man="1"/>
    <brk id="478" max="11" man="1"/>
    <brk id="528" max="11" man="1"/>
    <brk id="688" max="11" man="1"/>
    <brk id="850" max="11" man="1"/>
    <brk id="903" max="11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93"/>
  <sheetViews>
    <sheetView showZeros="0" zoomScaleSheetLayoutView="75" workbookViewId="0">
      <selection activeCell="F62" sqref="F62"/>
    </sheetView>
  </sheetViews>
  <sheetFormatPr defaultColWidth="5.7109375" defaultRowHeight="12.75"/>
  <cols>
    <col min="1" max="1" width="7.7109375" style="1" customWidth="1"/>
    <col min="2" max="2" width="7.7109375" style="22" customWidth="1"/>
    <col min="3" max="3" width="38.42578125" style="18" customWidth="1"/>
    <col min="4" max="4" width="13.42578125" style="4" customWidth="1"/>
    <col min="5" max="5" width="13.7109375" style="4" customWidth="1"/>
    <col min="6" max="6" width="13.85546875" style="4" customWidth="1"/>
    <col min="7" max="8" width="8.85546875" style="37" customWidth="1"/>
    <col min="9" max="15" width="5.7109375" style="278" customWidth="1"/>
    <col min="16" max="16384" width="5.7109375" style="1"/>
  </cols>
  <sheetData>
    <row r="1" spans="1:15" s="3" customFormat="1" ht="13.5" thickBot="1">
      <c r="A1" s="56" t="s">
        <v>273</v>
      </c>
      <c r="B1" s="2" t="s">
        <v>0</v>
      </c>
      <c r="C1" s="2" t="s">
        <v>3</v>
      </c>
      <c r="D1" s="45" t="s">
        <v>258</v>
      </c>
      <c r="E1" s="45" t="s">
        <v>292</v>
      </c>
      <c r="F1" s="45" t="s">
        <v>294</v>
      </c>
      <c r="G1" s="38" t="s">
        <v>52</v>
      </c>
      <c r="H1" s="39" t="s">
        <v>53</v>
      </c>
      <c r="I1" s="290"/>
      <c r="J1" s="290"/>
      <c r="K1" s="290"/>
      <c r="L1" s="290"/>
      <c r="M1" s="290"/>
      <c r="N1" s="290"/>
      <c r="O1" s="290"/>
    </row>
    <row r="2" spans="1:15">
      <c r="A2" s="34" t="s">
        <v>44</v>
      </c>
      <c r="B2" s="5"/>
      <c r="C2" s="15"/>
      <c r="D2" s="40"/>
      <c r="E2" s="40"/>
      <c r="F2" s="41"/>
      <c r="G2" s="50">
        <f t="shared" ref="G2:H4" si="0">IF(D2&lt;=0,0,$F2/D2*100)</f>
        <v>0</v>
      </c>
      <c r="H2" s="51">
        <f t="shared" si="0"/>
        <v>0</v>
      </c>
    </row>
    <row r="3" spans="1:15">
      <c r="A3" s="60">
        <v>1700</v>
      </c>
      <c r="B3" s="5">
        <v>6409</v>
      </c>
      <c r="C3" s="11" t="s">
        <v>39</v>
      </c>
      <c r="D3" s="9"/>
      <c r="E3" s="9">
        <v>80796</v>
      </c>
      <c r="F3" s="23">
        <v>80796</v>
      </c>
      <c r="G3" s="53">
        <f t="shared" si="0"/>
        <v>0</v>
      </c>
      <c r="H3" s="54">
        <f t="shared" si="0"/>
        <v>100</v>
      </c>
    </row>
    <row r="4" spans="1:15">
      <c r="A4" s="35" t="s">
        <v>209</v>
      </c>
      <c r="B4" s="16"/>
      <c r="C4" s="14"/>
      <c r="D4" s="40">
        <f>SUBTOTAL(9,D3:D3)</f>
        <v>0</v>
      </c>
      <c r="E4" s="40">
        <f>SUBTOTAL(9,E3:E3)</f>
        <v>80796</v>
      </c>
      <c r="F4" s="40">
        <f>SUBTOTAL(9,F3:F3)</f>
        <v>80796</v>
      </c>
      <c r="G4" s="70">
        <f t="shared" si="0"/>
        <v>0</v>
      </c>
      <c r="H4" s="51">
        <f t="shared" si="0"/>
        <v>100</v>
      </c>
    </row>
    <row r="5" spans="1:15">
      <c r="A5" s="35"/>
      <c r="B5" s="16"/>
      <c r="C5" s="14"/>
      <c r="D5" s="40"/>
      <c r="E5" s="40"/>
      <c r="F5" s="41"/>
      <c r="G5" s="70"/>
      <c r="H5" s="51"/>
    </row>
    <row r="6" spans="1:15">
      <c r="A6" s="34" t="s">
        <v>175</v>
      </c>
      <c r="B6" s="5"/>
      <c r="C6" s="15"/>
      <c r="D6" s="40"/>
      <c r="E6" s="40"/>
      <c r="F6" s="41"/>
      <c r="G6" s="50">
        <f t="shared" ref="G6:H8" si="1">IF(D6&lt;=0,0,$F6/D6*100)</f>
        <v>0</v>
      </c>
      <c r="H6" s="51">
        <f t="shared" si="1"/>
        <v>0</v>
      </c>
    </row>
    <row r="7" spans="1:15">
      <c r="A7" s="60">
        <v>1900</v>
      </c>
      <c r="B7" s="5">
        <v>2143</v>
      </c>
      <c r="C7" s="159" t="s">
        <v>198</v>
      </c>
      <c r="D7" s="9"/>
      <c r="E7" s="9">
        <v>200</v>
      </c>
      <c r="F7" s="23">
        <v>190</v>
      </c>
      <c r="G7" s="53">
        <f t="shared" si="1"/>
        <v>0</v>
      </c>
      <c r="H7" s="54">
        <f t="shared" si="1"/>
        <v>95</v>
      </c>
    </row>
    <row r="8" spans="1:15">
      <c r="A8" s="35" t="s">
        <v>173</v>
      </c>
      <c r="B8" s="16"/>
      <c r="C8" s="14"/>
      <c r="D8" s="40">
        <f>SUBTOTAL(9,D7:D7)</f>
        <v>0</v>
      </c>
      <c r="E8" s="40">
        <f>SUBTOTAL(9,E7:E7)</f>
        <v>200</v>
      </c>
      <c r="F8" s="40">
        <f>SUBTOTAL(9,F7:F7)</f>
        <v>190</v>
      </c>
      <c r="G8" s="70">
        <f t="shared" si="1"/>
        <v>0</v>
      </c>
      <c r="H8" s="51">
        <f t="shared" si="1"/>
        <v>95</v>
      </c>
    </row>
    <row r="9" spans="1:15">
      <c r="A9" s="35"/>
      <c r="B9" s="16"/>
      <c r="C9" s="14"/>
      <c r="D9" s="40"/>
      <c r="E9" s="40"/>
      <c r="F9" s="41"/>
      <c r="G9" s="70"/>
      <c r="H9" s="51"/>
    </row>
    <row r="10" spans="1:15">
      <c r="A10" s="34" t="s">
        <v>37</v>
      </c>
      <c r="B10" s="5"/>
      <c r="C10" s="15"/>
      <c r="D10" s="40"/>
      <c r="E10" s="40"/>
      <c r="F10" s="41"/>
      <c r="G10" s="50">
        <f t="shared" ref="G10:H12" si="2">IF(D10&lt;=0,0,$F10/D10*100)</f>
        <v>0</v>
      </c>
      <c r="H10" s="51">
        <f t="shared" si="2"/>
        <v>0</v>
      </c>
    </row>
    <row r="11" spans="1:15">
      <c r="A11" s="60">
        <v>3200</v>
      </c>
      <c r="B11" s="5">
        <v>6171</v>
      </c>
      <c r="C11" s="159" t="s">
        <v>9</v>
      </c>
      <c r="D11" s="9"/>
      <c r="E11" s="9">
        <v>960</v>
      </c>
      <c r="F11" s="23">
        <v>755</v>
      </c>
      <c r="G11" s="53">
        <f t="shared" si="2"/>
        <v>0</v>
      </c>
      <c r="H11" s="54">
        <f t="shared" si="2"/>
        <v>78.645833333333343</v>
      </c>
    </row>
    <row r="12" spans="1:15">
      <c r="A12" s="35" t="s">
        <v>34</v>
      </c>
      <c r="B12" s="16"/>
      <c r="C12" s="14"/>
      <c r="D12" s="40">
        <f>SUBTOTAL(9,D11:D11)</f>
        <v>0</v>
      </c>
      <c r="E12" s="40">
        <f>SUBTOTAL(9,E11:E11)</f>
        <v>960</v>
      </c>
      <c r="F12" s="40">
        <f>SUBTOTAL(9,F11:F11)</f>
        <v>755</v>
      </c>
      <c r="G12" s="70">
        <f t="shared" si="2"/>
        <v>0</v>
      </c>
      <c r="H12" s="51">
        <f t="shared" si="2"/>
        <v>78.645833333333343</v>
      </c>
    </row>
    <row r="13" spans="1:15">
      <c r="A13" s="35"/>
      <c r="B13" s="16"/>
      <c r="C13" s="14"/>
      <c r="D13" s="40"/>
      <c r="E13" s="40"/>
      <c r="F13" s="41"/>
      <c r="G13" s="70"/>
      <c r="H13" s="51"/>
    </row>
    <row r="14" spans="1:15">
      <c r="A14" s="34" t="s">
        <v>57</v>
      </c>
      <c r="B14" s="5"/>
      <c r="C14" s="15"/>
      <c r="D14" s="40"/>
      <c r="E14" s="40"/>
      <c r="F14" s="41"/>
      <c r="G14" s="50">
        <f t="shared" ref="G14:H16" si="3">IF(D14&lt;=0,0,$F14/D14*100)</f>
        <v>0</v>
      </c>
      <c r="H14" s="51">
        <f t="shared" si="3"/>
        <v>0</v>
      </c>
    </row>
    <row r="15" spans="1:15">
      <c r="A15" s="60">
        <v>3900</v>
      </c>
      <c r="B15" s="5">
        <v>6211</v>
      </c>
      <c r="C15" s="159" t="s">
        <v>58</v>
      </c>
      <c r="D15" s="9">
        <v>2000</v>
      </c>
      <c r="E15" s="9">
        <v>2000</v>
      </c>
      <c r="F15" s="23">
        <v>641</v>
      </c>
      <c r="G15" s="53">
        <f t="shared" si="3"/>
        <v>32.049999999999997</v>
      </c>
      <c r="H15" s="54">
        <f t="shared" si="3"/>
        <v>32.049999999999997</v>
      </c>
    </row>
    <row r="16" spans="1:15">
      <c r="A16" s="35" t="s">
        <v>220</v>
      </c>
      <c r="B16" s="16"/>
      <c r="C16" s="14"/>
      <c r="D16" s="40">
        <f>SUBTOTAL(9,D15:D15)</f>
        <v>2000</v>
      </c>
      <c r="E16" s="40">
        <f>SUBTOTAL(9,E15:E15)</f>
        <v>2000</v>
      </c>
      <c r="F16" s="40">
        <f>SUBTOTAL(9,F15:F15)</f>
        <v>641</v>
      </c>
      <c r="G16" s="70">
        <f t="shared" si="3"/>
        <v>32.049999999999997</v>
      </c>
      <c r="H16" s="51">
        <f t="shared" si="3"/>
        <v>32.049999999999997</v>
      </c>
    </row>
    <row r="17" spans="1:15">
      <c r="A17" s="28"/>
      <c r="B17" s="17"/>
      <c r="C17" s="11"/>
      <c r="D17" s="40"/>
      <c r="E17" s="40"/>
      <c r="F17" s="41"/>
      <c r="G17" s="50"/>
      <c r="H17" s="51"/>
    </row>
    <row r="18" spans="1:15">
      <c r="A18" s="34" t="s">
        <v>86</v>
      </c>
      <c r="B18" s="5"/>
      <c r="C18" s="15"/>
      <c r="D18" s="40"/>
      <c r="E18" s="40"/>
      <c r="F18" s="41"/>
      <c r="G18" s="50">
        <f t="shared" ref="G18:H21" si="4">IF(D18&lt;=0,0,$F18/D18*100)</f>
        <v>0</v>
      </c>
      <c r="H18" s="51">
        <f t="shared" si="4"/>
        <v>0</v>
      </c>
    </row>
    <row r="19" spans="1:15">
      <c r="A19" s="60">
        <v>4100</v>
      </c>
      <c r="B19" s="5">
        <v>3113</v>
      </c>
      <c r="C19" s="159" t="s">
        <v>23</v>
      </c>
      <c r="D19" s="9"/>
      <c r="E19" s="9">
        <v>7631</v>
      </c>
      <c r="F19" s="23">
        <v>7629</v>
      </c>
      <c r="G19" s="53">
        <f t="shared" si="4"/>
        <v>0</v>
      </c>
      <c r="H19" s="54">
        <f t="shared" si="4"/>
        <v>99.97379111518805</v>
      </c>
    </row>
    <row r="20" spans="1:15">
      <c r="A20" s="60">
        <v>4100</v>
      </c>
      <c r="B20" s="5">
        <v>3312</v>
      </c>
      <c r="C20" s="159" t="s">
        <v>93</v>
      </c>
      <c r="D20" s="9"/>
      <c r="E20" s="9">
        <v>8500</v>
      </c>
      <c r="F20" s="23">
        <v>2300</v>
      </c>
      <c r="G20" s="53">
        <f t="shared" si="4"/>
        <v>0</v>
      </c>
      <c r="H20" s="54">
        <f t="shared" si="4"/>
        <v>27.058823529411764</v>
      </c>
    </row>
    <row r="21" spans="1:15">
      <c r="A21" s="60">
        <v>4100</v>
      </c>
      <c r="B21" s="5">
        <v>3315</v>
      </c>
      <c r="C21" s="159" t="s">
        <v>25</v>
      </c>
      <c r="D21" s="9"/>
      <c r="E21" s="9">
        <v>33</v>
      </c>
      <c r="F21" s="23">
        <v>33</v>
      </c>
      <c r="G21" s="53">
        <f t="shared" si="4"/>
        <v>0</v>
      </c>
      <c r="H21" s="54">
        <f t="shared" si="4"/>
        <v>100</v>
      </c>
    </row>
    <row r="22" spans="1:15">
      <c r="A22" s="60">
        <v>4100</v>
      </c>
      <c r="B22" s="5">
        <v>3319</v>
      </c>
      <c r="C22" s="159" t="s">
        <v>49</v>
      </c>
      <c r="D22" s="9"/>
      <c r="E22" s="9">
        <v>290</v>
      </c>
      <c r="F22" s="23">
        <v>266</v>
      </c>
      <c r="G22" s="53"/>
      <c r="H22" s="54">
        <f>IF(E22&lt;=0,0,$F22/E22*100)</f>
        <v>91.724137931034477</v>
      </c>
    </row>
    <row r="23" spans="1:15">
      <c r="A23" s="60">
        <v>4100</v>
      </c>
      <c r="B23" s="5">
        <v>3421</v>
      </c>
      <c r="C23" s="159" t="s">
        <v>98</v>
      </c>
      <c r="D23" s="9"/>
      <c r="E23" s="9">
        <v>1092</v>
      </c>
      <c r="F23" s="23">
        <v>1092</v>
      </c>
      <c r="G23" s="53"/>
      <c r="H23" s="54">
        <f>IF(E23&lt;=0,0,$F23/E23*100)</f>
        <v>100</v>
      </c>
    </row>
    <row r="24" spans="1:15">
      <c r="A24" s="60">
        <v>4100</v>
      </c>
      <c r="B24" s="5">
        <v>3639</v>
      </c>
      <c r="C24" s="159" t="s">
        <v>130</v>
      </c>
      <c r="D24" s="9">
        <v>9930</v>
      </c>
      <c r="E24" s="9">
        <v>6930</v>
      </c>
      <c r="F24" s="23">
        <v>3938</v>
      </c>
      <c r="G24" s="53">
        <f t="shared" ref="G24:H26" si="5">IF(D24&lt;=0,0,$F24/D24*100)</f>
        <v>39.65760322255791</v>
      </c>
      <c r="H24" s="54">
        <f t="shared" si="5"/>
        <v>56.825396825396822</v>
      </c>
    </row>
    <row r="25" spans="1:15">
      <c r="A25" s="60">
        <v>4100</v>
      </c>
      <c r="B25" s="5">
        <v>6171</v>
      </c>
      <c r="C25" s="159" t="s">
        <v>9</v>
      </c>
      <c r="D25" s="9">
        <v>72000</v>
      </c>
      <c r="E25" s="9">
        <v>98309</v>
      </c>
      <c r="F25" s="23">
        <v>97105</v>
      </c>
      <c r="G25" s="53">
        <f t="shared" si="5"/>
        <v>134.86805555555557</v>
      </c>
      <c r="H25" s="54">
        <f t="shared" si="5"/>
        <v>98.775290156547214</v>
      </c>
    </row>
    <row r="26" spans="1:15">
      <c r="A26" s="35" t="s">
        <v>211</v>
      </c>
      <c r="B26" s="16"/>
      <c r="C26" s="14"/>
      <c r="D26" s="40">
        <f>SUBTOTAL(9,D19:D25)</f>
        <v>81930</v>
      </c>
      <c r="E26" s="40">
        <f>SUBTOTAL(9,E19:E25)</f>
        <v>122785</v>
      </c>
      <c r="F26" s="40">
        <f>SUBTOTAL(9,F19:F25)</f>
        <v>112363</v>
      </c>
      <c r="G26" s="70">
        <f t="shared" si="5"/>
        <v>137.14512388624436</v>
      </c>
      <c r="H26" s="51">
        <f t="shared" si="5"/>
        <v>91.511992507228086</v>
      </c>
    </row>
    <row r="27" spans="1:15" s="3" customFormat="1">
      <c r="A27" s="28"/>
      <c r="B27" s="17"/>
      <c r="C27" s="10"/>
      <c r="D27" s="40"/>
      <c r="E27" s="40"/>
      <c r="F27" s="41"/>
      <c r="G27" s="50"/>
      <c r="H27" s="51"/>
      <c r="I27" s="290"/>
      <c r="J27" s="290"/>
      <c r="K27" s="290"/>
      <c r="L27" s="290"/>
      <c r="M27" s="290"/>
      <c r="N27" s="290"/>
      <c r="O27" s="290"/>
    </row>
    <row r="28" spans="1:15">
      <c r="A28" s="32" t="s">
        <v>4</v>
      </c>
      <c r="B28" s="19"/>
      <c r="C28" s="8"/>
      <c r="D28" s="40"/>
      <c r="E28" s="40"/>
      <c r="F28" s="41"/>
      <c r="G28" s="50">
        <f t="shared" ref="G28:H32" si="6">IF(D28&lt;=0,0,$F28/D28*100)</f>
        <v>0</v>
      </c>
      <c r="H28" s="51">
        <f t="shared" si="6"/>
        <v>0</v>
      </c>
    </row>
    <row r="29" spans="1:15">
      <c r="A29" s="57">
        <v>4200</v>
      </c>
      <c r="B29" s="17">
        <v>3632</v>
      </c>
      <c r="C29" s="10" t="s">
        <v>1</v>
      </c>
      <c r="D29" s="9"/>
      <c r="E29" s="9">
        <v>853</v>
      </c>
      <c r="F29" s="23">
        <v>852</v>
      </c>
      <c r="G29" s="53">
        <f t="shared" si="6"/>
        <v>0</v>
      </c>
      <c r="H29" s="54">
        <f t="shared" si="6"/>
        <v>99.88276670574443</v>
      </c>
    </row>
    <row r="30" spans="1:15">
      <c r="A30" s="57">
        <v>4200</v>
      </c>
      <c r="B30" s="17">
        <v>3725</v>
      </c>
      <c r="C30" s="10" t="s">
        <v>287</v>
      </c>
      <c r="D30" s="9"/>
      <c r="E30" s="9">
        <v>16250</v>
      </c>
      <c r="F30" s="23">
        <v>15874</v>
      </c>
      <c r="G30" s="53">
        <f t="shared" si="6"/>
        <v>0</v>
      </c>
      <c r="H30" s="54">
        <f t="shared" si="6"/>
        <v>97.686153846153843</v>
      </c>
    </row>
    <row r="31" spans="1:15">
      <c r="A31" s="57">
        <v>4200</v>
      </c>
      <c r="B31" s="17">
        <v>6409</v>
      </c>
      <c r="C31" s="11" t="s">
        <v>39</v>
      </c>
      <c r="D31" s="9"/>
      <c r="E31" s="9">
        <v>2000</v>
      </c>
      <c r="F31" s="23">
        <v>2000</v>
      </c>
      <c r="G31" s="53">
        <f>IF(D31&lt;=0,0,$F31/D31*100)</f>
        <v>0</v>
      </c>
      <c r="H31" s="54">
        <f>IF(E31&lt;=0,0,$F31/E31*100)</f>
        <v>100</v>
      </c>
    </row>
    <row r="32" spans="1:15">
      <c r="A32" s="28" t="s">
        <v>210</v>
      </c>
      <c r="B32" s="17"/>
      <c r="C32" s="10"/>
      <c r="D32" s="40">
        <f>SUBTOTAL(9,D29:D30)</f>
        <v>0</v>
      </c>
      <c r="E32" s="40">
        <f>SUBTOTAL(9,E29:E31)</f>
        <v>19103</v>
      </c>
      <c r="F32" s="40">
        <f>SUBTOTAL(9,F29:F31)</f>
        <v>18726</v>
      </c>
      <c r="G32" s="50">
        <f t="shared" si="6"/>
        <v>0</v>
      </c>
      <c r="H32" s="51">
        <f t="shared" si="6"/>
        <v>98.026487986180172</v>
      </c>
    </row>
    <row r="33" spans="1:15" s="3" customFormat="1">
      <c r="A33" s="28"/>
      <c r="B33" s="17"/>
      <c r="C33" s="10"/>
      <c r="D33" s="40"/>
      <c r="E33" s="40"/>
      <c r="F33" s="41"/>
      <c r="G33" s="50"/>
      <c r="H33" s="51"/>
      <c r="I33" s="290"/>
      <c r="J33" s="290"/>
      <c r="K33" s="290"/>
      <c r="L33" s="290"/>
      <c r="M33" s="290"/>
      <c r="N33" s="290"/>
      <c r="O33" s="290"/>
    </row>
    <row r="34" spans="1:15">
      <c r="A34" s="32" t="s">
        <v>38</v>
      </c>
      <c r="B34" s="19"/>
      <c r="C34" s="8"/>
      <c r="D34" s="40"/>
      <c r="E34" s="40"/>
      <c r="F34" s="41"/>
      <c r="G34" s="50">
        <f t="shared" ref="G34:H38" si="7">IF(D34&lt;=0,0,$F34/D34*100)</f>
        <v>0</v>
      </c>
      <c r="H34" s="51">
        <f t="shared" si="7"/>
        <v>0</v>
      </c>
    </row>
    <row r="35" spans="1:15">
      <c r="A35" s="57">
        <v>5300</v>
      </c>
      <c r="B35" s="17">
        <v>6171</v>
      </c>
      <c r="C35" s="10" t="s">
        <v>9</v>
      </c>
      <c r="D35" s="9">
        <v>55470</v>
      </c>
      <c r="E35" s="9">
        <v>52626</v>
      </c>
      <c r="F35" s="23">
        <v>50656</v>
      </c>
      <c r="G35" s="53">
        <f t="shared" si="7"/>
        <v>91.321435009915277</v>
      </c>
      <c r="H35" s="54">
        <f t="shared" si="7"/>
        <v>96.256603199939192</v>
      </c>
    </row>
    <row r="36" spans="1:15">
      <c r="A36" s="28" t="s">
        <v>43</v>
      </c>
      <c r="B36" s="17"/>
      <c r="C36" s="10"/>
      <c r="D36" s="40">
        <f>SUBTOTAL(9,D35:D35)</f>
        <v>55470</v>
      </c>
      <c r="E36" s="40">
        <f>SUBTOTAL(9,E35:E35)</f>
        <v>52626</v>
      </c>
      <c r="F36" s="41">
        <f>SUBTOTAL(9,F35:F35)</f>
        <v>50656</v>
      </c>
      <c r="G36" s="50">
        <f t="shared" si="7"/>
        <v>91.321435009915277</v>
      </c>
      <c r="H36" s="51">
        <f t="shared" si="7"/>
        <v>96.256603199939192</v>
      </c>
    </row>
    <row r="37" spans="1:15">
      <c r="A37" s="33"/>
      <c r="B37" s="20"/>
      <c r="C37" s="12"/>
      <c r="D37" s="40"/>
      <c r="E37" s="40"/>
      <c r="F37" s="41"/>
      <c r="G37" s="50">
        <f t="shared" si="7"/>
        <v>0</v>
      </c>
      <c r="H37" s="51">
        <f t="shared" si="7"/>
        <v>0</v>
      </c>
    </row>
    <row r="38" spans="1:15">
      <c r="A38" s="33" t="s">
        <v>17</v>
      </c>
      <c r="B38" s="20"/>
      <c r="C38" s="12"/>
      <c r="D38" s="40"/>
      <c r="E38" s="40"/>
      <c r="F38" s="41"/>
      <c r="G38" s="50">
        <f t="shared" si="7"/>
        <v>0</v>
      </c>
      <c r="H38" s="51">
        <f t="shared" si="7"/>
        <v>0</v>
      </c>
    </row>
    <row r="39" spans="1:15">
      <c r="A39" s="59">
        <v>5400</v>
      </c>
      <c r="B39" s="5">
        <v>2219</v>
      </c>
      <c r="C39" s="47" t="s">
        <v>55</v>
      </c>
      <c r="D39" s="13">
        <v>71500</v>
      </c>
      <c r="E39" s="13">
        <v>70671</v>
      </c>
      <c r="F39" s="26">
        <v>70599</v>
      </c>
      <c r="G39" s="53">
        <f>IF(D39&lt;=0,0,$F39/D39*100)</f>
        <v>98.739860139860141</v>
      </c>
      <c r="H39" s="54">
        <f>IF(E39&lt;=0,0,$F39/E39*100)</f>
        <v>99.898119454939078</v>
      </c>
    </row>
    <row r="40" spans="1:15">
      <c r="A40" s="59">
        <v>5400</v>
      </c>
      <c r="B40" s="5">
        <v>2271</v>
      </c>
      <c r="C40" s="47" t="s">
        <v>20</v>
      </c>
      <c r="D40" s="13"/>
      <c r="E40" s="13">
        <v>90</v>
      </c>
      <c r="F40" s="26">
        <v>86</v>
      </c>
      <c r="G40" s="53"/>
      <c r="H40" s="54"/>
    </row>
    <row r="41" spans="1:15">
      <c r="A41" s="59">
        <v>5400</v>
      </c>
      <c r="B41" s="5">
        <v>2299</v>
      </c>
      <c r="C41" s="47" t="s">
        <v>77</v>
      </c>
      <c r="D41" s="13"/>
      <c r="E41" s="13">
        <v>408</v>
      </c>
      <c r="F41" s="26">
        <v>408</v>
      </c>
      <c r="G41" s="53"/>
      <c r="H41" s="54">
        <f>IF(E41&lt;=0,0,$F41/E41*100)</f>
        <v>100</v>
      </c>
    </row>
    <row r="42" spans="1:15">
      <c r="A42" s="33" t="s">
        <v>15</v>
      </c>
      <c r="B42" s="20"/>
      <c r="C42" s="12"/>
      <c r="D42" s="40">
        <f>SUBTOTAL(9,D39:D41)</f>
        <v>71500</v>
      </c>
      <c r="E42" s="40">
        <f>SUBTOTAL(9,E39:E41)</f>
        <v>71169</v>
      </c>
      <c r="F42" s="40">
        <f>SUBTOTAL(9,F39:F41)</f>
        <v>71093</v>
      </c>
      <c r="G42" s="50">
        <f t="shared" ref="G42:H44" si="8">IF(D42&lt;=0,0,$F42/D42*100)</f>
        <v>99.430769230769229</v>
      </c>
      <c r="H42" s="51">
        <f t="shared" si="8"/>
        <v>99.893211932161478</v>
      </c>
    </row>
    <row r="43" spans="1:15">
      <c r="A43" s="33"/>
      <c r="B43" s="20"/>
      <c r="C43" s="12"/>
      <c r="D43" s="40"/>
      <c r="E43" s="40"/>
      <c r="F43" s="41"/>
      <c r="G43" s="50">
        <f t="shared" si="8"/>
        <v>0</v>
      </c>
      <c r="H43" s="51">
        <f t="shared" si="8"/>
        <v>0</v>
      </c>
    </row>
    <row r="44" spans="1:15">
      <c r="A44" s="33" t="s">
        <v>18</v>
      </c>
      <c r="B44" s="20"/>
      <c r="C44" s="12"/>
      <c r="D44" s="40"/>
      <c r="E44" s="40"/>
      <c r="F44" s="41"/>
      <c r="G44" s="50">
        <f t="shared" si="8"/>
        <v>0</v>
      </c>
      <c r="H44" s="51">
        <f t="shared" si="8"/>
        <v>0</v>
      </c>
    </row>
    <row r="45" spans="1:15">
      <c r="A45" s="59">
        <v>5600</v>
      </c>
      <c r="B45" s="5">
        <v>2212</v>
      </c>
      <c r="C45" s="47" t="s">
        <v>19</v>
      </c>
      <c r="D45" s="9">
        <v>113700</v>
      </c>
      <c r="E45" s="9">
        <v>63604</v>
      </c>
      <c r="F45" s="23">
        <v>54421</v>
      </c>
      <c r="G45" s="53">
        <f>IF(D45&lt;=0,0,$F45/D45*100)</f>
        <v>47.863676341248897</v>
      </c>
      <c r="H45" s="54">
        <f>IF(E45&lt;=0,0,$F45/E45*100)</f>
        <v>85.562228790642109</v>
      </c>
    </row>
    <row r="46" spans="1:15">
      <c r="A46" s="59">
        <v>5600</v>
      </c>
      <c r="B46" s="5">
        <v>2219</v>
      </c>
      <c r="C46" s="47" t="s">
        <v>55</v>
      </c>
      <c r="D46" s="9">
        <v>43500</v>
      </c>
      <c r="E46" s="9">
        <v>87195</v>
      </c>
      <c r="F46" s="23">
        <v>81134</v>
      </c>
      <c r="G46" s="53">
        <f t="shared" ref="G46:G77" si="9">IF(D46&lt;=0,0,$F46/D46*100)</f>
        <v>186.51494252873565</v>
      </c>
      <c r="H46" s="54">
        <f t="shared" ref="H46:H77" si="10">IF(E46&lt;=0,0,$F46/E46*100)</f>
        <v>93.048913355123574</v>
      </c>
    </row>
    <row r="47" spans="1:15">
      <c r="A47" s="59">
        <v>5600</v>
      </c>
      <c r="B47" s="5">
        <v>2229</v>
      </c>
      <c r="C47" s="12" t="s">
        <v>235</v>
      </c>
      <c r="D47" s="9">
        <v>5000</v>
      </c>
      <c r="E47" s="9">
        <v>5500</v>
      </c>
      <c r="F47" s="23">
        <v>5474</v>
      </c>
      <c r="G47" s="53">
        <f t="shared" si="9"/>
        <v>109.48</v>
      </c>
      <c r="H47" s="54">
        <f t="shared" si="10"/>
        <v>99.527272727272731</v>
      </c>
    </row>
    <row r="48" spans="1:15">
      <c r="A48" s="59">
        <v>5600</v>
      </c>
      <c r="B48" s="5">
        <v>2271</v>
      </c>
      <c r="C48" s="47" t="s">
        <v>20</v>
      </c>
      <c r="D48" s="9"/>
      <c r="E48" s="9">
        <v>1</v>
      </c>
      <c r="F48" s="23">
        <v>1</v>
      </c>
      <c r="G48" s="53"/>
      <c r="H48" s="54">
        <f t="shared" si="10"/>
        <v>100</v>
      </c>
    </row>
    <row r="49" spans="1:8">
      <c r="A49" s="59">
        <v>5600</v>
      </c>
      <c r="B49" s="5">
        <v>2310</v>
      </c>
      <c r="C49" s="47" t="s">
        <v>5</v>
      </c>
      <c r="D49" s="9">
        <v>84123</v>
      </c>
      <c r="E49" s="9">
        <v>78041</v>
      </c>
      <c r="F49" s="23">
        <v>77311</v>
      </c>
      <c r="G49" s="53">
        <f t="shared" si="9"/>
        <v>91.902333487868958</v>
      </c>
      <c r="H49" s="54">
        <f t="shared" si="10"/>
        <v>99.064594251739464</v>
      </c>
    </row>
    <row r="50" spans="1:8">
      <c r="A50" s="59">
        <v>5600</v>
      </c>
      <c r="B50" s="5">
        <v>2321</v>
      </c>
      <c r="C50" s="47" t="s">
        <v>54</v>
      </c>
      <c r="D50" s="9">
        <v>1242827</v>
      </c>
      <c r="E50" s="9">
        <v>925924</v>
      </c>
      <c r="F50" s="23">
        <v>920649</v>
      </c>
      <c r="G50" s="53">
        <f t="shared" si="9"/>
        <v>74.077003476750988</v>
      </c>
      <c r="H50" s="54">
        <f t="shared" si="10"/>
        <v>99.43029881502153</v>
      </c>
    </row>
    <row r="51" spans="1:8">
      <c r="A51" s="59">
        <v>5600</v>
      </c>
      <c r="B51" s="5">
        <v>2329</v>
      </c>
      <c r="C51" s="47" t="s">
        <v>21</v>
      </c>
      <c r="D51" s="9">
        <v>12680</v>
      </c>
      <c r="E51" s="9">
        <v>2824</v>
      </c>
      <c r="F51" s="23">
        <v>1814</v>
      </c>
      <c r="G51" s="53">
        <f>IF(D51&lt;=0,0,$F51/D51*100)</f>
        <v>14.305993690851734</v>
      </c>
      <c r="H51" s="54">
        <f>IF(E51&lt;=0,0,$F51/E51*100)</f>
        <v>64.23512747875354</v>
      </c>
    </row>
    <row r="52" spans="1:8">
      <c r="A52" s="59">
        <v>5600</v>
      </c>
      <c r="B52" s="5">
        <v>2339</v>
      </c>
      <c r="C52" s="47" t="s">
        <v>247</v>
      </c>
      <c r="D52" s="9">
        <v>1180</v>
      </c>
      <c r="E52" s="9">
        <v>2007</v>
      </c>
      <c r="F52" s="23">
        <v>1984</v>
      </c>
      <c r="G52" s="53">
        <f t="shared" si="9"/>
        <v>168.13559322033896</v>
      </c>
      <c r="H52" s="54">
        <f t="shared" si="10"/>
        <v>98.854010961634273</v>
      </c>
    </row>
    <row r="53" spans="1:8">
      <c r="A53" s="59">
        <v>5600</v>
      </c>
      <c r="B53" s="5">
        <v>3111</v>
      </c>
      <c r="C53" s="47" t="s">
        <v>99</v>
      </c>
      <c r="D53" s="9">
        <v>74423</v>
      </c>
      <c r="E53" s="9">
        <v>89752</v>
      </c>
      <c r="F53" s="23">
        <v>57262</v>
      </c>
      <c r="G53" s="53">
        <f t="shared" si="9"/>
        <v>76.941268156349523</v>
      </c>
      <c r="H53" s="54">
        <f t="shared" si="10"/>
        <v>63.800249576611101</v>
      </c>
    </row>
    <row r="54" spans="1:8">
      <c r="A54" s="59">
        <v>5600</v>
      </c>
      <c r="B54" s="5">
        <v>3113</v>
      </c>
      <c r="C54" s="47" t="s">
        <v>23</v>
      </c>
      <c r="D54" s="9">
        <v>88247</v>
      </c>
      <c r="E54" s="9">
        <v>106205</v>
      </c>
      <c r="F54" s="23">
        <v>97433</v>
      </c>
      <c r="G54" s="53">
        <f t="shared" si="9"/>
        <v>110.40941901707706</v>
      </c>
      <c r="H54" s="54">
        <f t="shared" si="10"/>
        <v>91.740501859611129</v>
      </c>
    </row>
    <row r="55" spans="1:8">
      <c r="A55" s="59">
        <v>5600</v>
      </c>
      <c r="B55" s="5">
        <v>3311</v>
      </c>
      <c r="C55" s="47" t="s">
        <v>24</v>
      </c>
      <c r="D55" s="9">
        <v>900</v>
      </c>
      <c r="E55" s="9">
        <v>1375</v>
      </c>
      <c r="F55" s="23">
        <v>1341</v>
      </c>
      <c r="G55" s="53">
        <f t="shared" si="9"/>
        <v>149</v>
      </c>
      <c r="H55" s="54">
        <f t="shared" si="10"/>
        <v>97.527272727272731</v>
      </c>
    </row>
    <row r="56" spans="1:8">
      <c r="A56" s="59">
        <v>5600</v>
      </c>
      <c r="B56" s="5">
        <v>3314</v>
      </c>
      <c r="C56" s="47" t="s">
        <v>94</v>
      </c>
      <c r="D56" s="9">
        <v>700</v>
      </c>
      <c r="E56" s="9">
        <v>900</v>
      </c>
      <c r="F56" s="23">
        <v>494</v>
      </c>
      <c r="G56" s="53">
        <f t="shared" si="9"/>
        <v>70.571428571428569</v>
      </c>
      <c r="H56" s="54">
        <f t="shared" si="10"/>
        <v>54.888888888888886</v>
      </c>
    </row>
    <row r="57" spans="1:8">
      <c r="A57" s="59">
        <v>5600</v>
      </c>
      <c r="B57" s="5">
        <v>3315</v>
      </c>
      <c r="C57" s="47" t="s">
        <v>25</v>
      </c>
      <c r="D57" s="9">
        <v>19668</v>
      </c>
      <c r="E57" s="9">
        <v>64902</v>
      </c>
      <c r="F57" s="23">
        <v>64165</v>
      </c>
      <c r="G57" s="53">
        <f t="shared" si="9"/>
        <v>326.24059385804355</v>
      </c>
      <c r="H57" s="54">
        <f t="shared" si="10"/>
        <v>98.864441773751196</v>
      </c>
    </row>
    <row r="58" spans="1:8">
      <c r="A58" s="59">
        <v>5600</v>
      </c>
      <c r="B58" s="5">
        <v>3319</v>
      </c>
      <c r="C58" s="47" t="s">
        <v>49</v>
      </c>
      <c r="D58" s="9"/>
      <c r="E58" s="9">
        <v>44730</v>
      </c>
      <c r="F58" s="23"/>
      <c r="G58" s="53"/>
      <c r="H58" s="54"/>
    </row>
    <row r="59" spans="1:8">
      <c r="A59" s="59">
        <v>5600</v>
      </c>
      <c r="B59" s="5">
        <v>3322</v>
      </c>
      <c r="C59" s="47" t="s">
        <v>28</v>
      </c>
      <c r="D59" s="9">
        <v>10000</v>
      </c>
      <c r="E59" s="9">
        <v>104000</v>
      </c>
      <c r="F59" s="23">
        <v>93293</v>
      </c>
      <c r="G59" s="53">
        <f t="shared" si="9"/>
        <v>932.93</v>
      </c>
      <c r="H59" s="54">
        <f t="shared" si="10"/>
        <v>89.704807692307696</v>
      </c>
    </row>
    <row r="60" spans="1:8">
      <c r="A60" s="59">
        <v>5600</v>
      </c>
      <c r="B60" s="5">
        <v>3326</v>
      </c>
      <c r="C60" s="15" t="s">
        <v>50</v>
      </c>
      <c r="D60" s="9">
        <v>21813</v>
      </c>
      <c r="E60" s="9">
        <v>21813</v>
      </c>
      <c r="F60" s="23">
        <v>19255</v>
      </c>
      <c r="G60" s="53">
        <f t="shared" si="9"/>
        <v>88.273048182276625</v>
      </c>
      <c r="H60" s="54">
        <f t="shared" si="10"/>
        <v>88.273048182276625</v>
      </c>
    </row>
    <row r="61" spans="1:8">
      <c r="A61" s="59">
        <v>5600</v>
      </c>
      <c r="B61" s="5">
        <v>3412</v>
      </c>
      <c r="C61" s="181" t="s">
        <v>224</v>
      </c>
      <c r="D61" s="9">
        <v>8500</v>
      </c>
      <c r="E61" s="9">
        <v>4500</v>
      </c>
      <c r="F61" s="23">
        <v>24</v>
      </c>
      <c r="G61" s="53">
        <f t="shared" si="9"/>
        <v>0.28235294117647058</v>
      </c>
      <c r="H61" s="54">
        <f t="shared" si="10"/>
        <v>0.53333333333333333</v>
      </c>
    </row>
    <row r="62" spans="1:8">
      <c r="A62" s="59">
        <v>5600</v>
      </c>
      <c r="B62" s="5">
        <v>3421</v>
      </c>
      <c r="C62" s="47" t="s">
        <v>98</v>
      </c>
      <c r="D62" s="9">
        <v>14681</v>
      </c>
      <c r="E62" s="9">
        <v>27821</v>
      </c>
      <c r="F62" s="23">
        <v>22958</v>
      </c>
      <c r="G62" s="53">
        <f t="shared" si="9"/>
        <v>156.37899325659015</v>
      </c>
      <c r="H62" s="54">
        <f t="shared" si="10"/>
        <v>82.520398260306962</v>
      </c>
    </row>
    <row r="63" spans="1:8">
      <c r="A63" s="59">
        <v>5600</v>
      </c>
      <c r="B63" s="5">
        <v>3429</v>
      </c>
      <c r="C63" s="47" t="s">
        <v>60</v>
      </c>
      <c r="D63" s="9"/>
      <c r="E63" s="9">
        <v>1200</v>
      </c>
      <c r="F63" s="23">
        <v>132</v>
      </c>
      <c r="G63" s="53"/>
      <c r="H63" s="54">
        <f t="shared" si="10"/>
        <v>11</v>
      </c>
    </row>
    <row r="64" spans="1:8">
      <c r="A64" s="59">
        <v>5600</v>
      </c>
      <c r="B64" s="5">
        <v>3511</v>
      </c>
      <c r="C64" s="47" t="s">
        <v>13</v>
      </c>
      <c r="D64" s="9">
        <v>3515</v>
      </c>
      <c r="E64" s="9"/>
      <c r="F64" s="23"/>
      <c r="G64" s="53">
        <f t="shared" si="9"/>
        <v>0</v>
      </c>
      <c r="H64" s="54">
        <f t="shared" si="10"/>
        <v>0</v>
      </c>
    </row>
    <row r="65" spans="1:8">
      <c r="A65" s="59">
        <v>5600</v>
      </c>
      <c r="B65" s="5">
        <v>3522</v>
      </c>
      <c r="C65" s="47" t="s">
        <v>225</v>
      </c>
      <c r="D65" s="9">
        <v>5000</v>
      </c>
      <c r="E65" s="9">
        <v>17000</v>
      </c>
      <c r="F65" s="23">
        <v>17000</v>
      </c>
      <c r="G65" s="53">
        <f t="shared" si="9"/>
        <v>340</v>
      </c>
      <c r="H65" s="54">
        <f t="shared" si="10"/>
        <v>100</v>
      </c>
    </row>
    <row r="66" spans="1:8">
      <c r="A66" s="59">
        <v>5600</v>
      </c>
      <c r="B66" s="5">
        <v>3529</v>
      </c>
      <c r="C66" s="47" t="s">
        <v>48</v>
      </c>
      <c r="D66" s="9">
        <v>4000</v>
      </c>
      <c r="E66" s="9">
        <v>3501</v>
      </c>
      <c r="F66" s="23">
        <v>2922</v>
      </c>
      <c r="G66" s="53">
        <f t="shared" si="9"/>
        <v>73.05</v>
      </c>
      <c r="H66" s="54">
        <f t="shared" si="10"/>
        <v>83.46186803770351</v>
      </c>
    </row>
    <row r="67" spans="1:8">
      <c r="A67" s="59">
        <v>5600</v>
      </c>
      <c r="B67" s="5">
        <v>3639</v>
      </c>
      <c r="C67" s="12" t="s">
        <v>42</v>
      </c>
      <c r="D67" s="9">
        <v>2977</v>
      </c>
      <c r="E67" s="9">
        <v>360</v>
      </c>
      <c r="F67" s="23">
        <v>359</v>
      </c>
      <c r="G67" s="53">
        <f t="shared" si="9"/>
        <v>12.059119919381928</v>
      </c>
      <c r="H67" s="54">
        <f t="shared" si="10"/>
        <v>99.722222222222229</v>
      </c>
    </row>
    <row r="68" spans="1:8">
      <c r="A68" s="59">
        <v>5600</v>
      </c>
      <c r="B68" s="5">
        <v>3716</v>
      </c>
      <c r="C68" s="158" t="s">
        <v>67</v>
      </c>
      <c r="D68" s="9"/>
      <c r="E68" s="9">
        <v>3</v>
      </c>
      <c r="F68" s="23">
        <v>1</v>
      </c>
      <c r="G68" s="53"/>
      <c r="H68" s="54">
        <f t="shared" si="10"/>
        <v>33.333333333333329</v>
      </c>
    </row>
    <row r="69" spans="1:8">
      <c r="A69" s="59">
        <v>5600</v>
      </c>
      <c r="B69" s="5">
        <v>3741</v>
      </c>
      <c r="C69" s="158" t="s">
        <v>6</v>
      </c>
      <c r="D69" s="9"/>
      <c r="E69" s="9">
        <v>8400</v>
      </c>
      <c r="F69" s="23">
        <v>2234</v>
      </c>
      <c r="G69" s="53"/>
      <c r="H69" s="54">
        <f t="shared" si="10"/>
        <v>26.595238095238095</v>
      </c>
    </row>
    <row r="70" spans="1:8">
      <c r="A70" s="59">
        <v>5600</v>
      </c>
      <c r="B70" s="5">
        <v>3742</v>
      </c>
      <c r="C70" s="158" t="s">
        <v>7</v>
      </c>
      <c r="D70" s="9">
        <v>3000</v>
      </c>
      <c r="E70" s="9"/>
      <c r="F70" s="23"/>
      <c r="G70" s="53">
        <f t="shared" si="9"/>
        <v>0</v>
      </c>
      <c r="H70" s="54">
        <f t="shared" si="10"/>
        <v>0</v>
      </c>
    </row>
    <row r="71" spans="1:8">
      <c r="A71" s="59">
        <v>5600</v>
      </c>
      <c r="B71" s="5">
        <v>3743</v>
      </c>
      <c r="C71" s="158" t="s">
        <v>269</v>
      </c>
      <c r="D71" s="9">
        <v>2300</v>
      </c>
      <c r="E71" s="9">
        <v>2300</v>
      </c>
      <c r="F71" s="23">
        <v>1068</v>
      </c>
      <c r="G71" s="53">
        <f t="shared" si="9"/>
        <v>46.434782608695649</v>
      </c>
      <c r="H71" s="54">
        <f t="shared" si="10"/>
        <v>46.434782608695649</v>
      </c>
    </row>
    <row r="72" spans="1:8">
      <c r="A72" s="59">
        <v>5600</v>
      </c>
      <c r="B72" s="5">
        <v>3745</v>
      </c>
      <c r="C72" s="47" t="s">
        <v>2</v>
      </c>
      <c r="D72" s="9">
        <v>49315</v>
      </c>
      <c r="E72" s="9">
        <v>75590</v>
      </c>
      <c r="F72" s="23">
        <v>64402</v>
      </c>
      <c r="G72" s="53">
        <f t="shared" si="9"/>
        <v>130.59312582378587</v>
      </c>
      <c r="H72" s="54">
        <f t="shared" si="10"/>
        <v>85.19910041010715</v>
      </c>
    </row>
    <row r="73" spans="1:8">
      <c r="A73" s="59">
        <v>5600</v>
      </c>
      <c r="B73" s="5">
        <v>3792</v>
      </c>
      <c r="C73" s="10" t="s">
        <v>8</v>
      </c>
      <c r="D73" s="9">
        <v>5000</v>
      </c>
      <c r="E73" s="9">
        <v>6000</v>
      </c>
      <c r="F73" s="23">
        <v>3906</v>
      </c>
      <c r="G73" s="53">
        <f t="shared" si="9"/>
        <v>78.12</v>
      </c>
      <c r="H73" s="54">
        <f t="shared" si="10"/>
        <v>65.100000000000009</v>
      </c>
    </row>
    <row r="74" spans="1:8">
      <c r="A74" s="59">
        <v>5600</v>
      </c>
      <c r="B74" s="5">
        <v>4341</v>
      </c>
      <c r="C74" s="12" t="s">
        <v>185</v>
      </c>
      <c r="D74" s="9">
        <v>12795</v>
      </c>
      <c r="E74" s="9">
        <v>9795</v>
      </c>
      <c r="F74" s="23">
        <v>8883</v>
      </c>
      <c r="G74" s="53">
        <f t="shared" si="9"/>
        <v>69.425556858147715</v>
      </c>
      <c r="H74" s="54">
        <f t="shared" si="10"/>
        <v>90.689127105666159</v>
      </c>
    </row>
    <row r="75" spans="1:8">
      <c r="A75" s="59">
        <v>5600</v>
      </c>
      <c r="B75" s="5">
        <v>4352</v>
      </c>
      <c r="C75" s="12" t="s">
        <v>238</v>
      </c>
      <c r="D75" s="9">
        <v>5000</v>
      </c>
      <c r="E75" s="9">
        <v>100</v>
      </c>
      <c r="F75" s="23">
        <v>50</v>
      </c>
      <c r="G75" s="53">
        <f t="shared" si="9"/>
        <v>1</v>
      </c>
      <c r="H75" s="54">
        <f t="shared" si="10"/>
        <v>50</v>
      </c>
    </row>
    <row r="76" spans="1:8">
      <c r="A76" s="59">
        <v>5600</v>
      </c>
      <c r="B76" s="5">
        <v>4357</v>
      </c>
      <c r="C76" s="12" t="s">
        <v>184</v>
      </c>
      <c r="D76" s="9">
        <v>800</v>
      </c>
      <c r="E76" s="9">
        <v>1600</v>
      </c>
      <c r="F76" s="23">
        <v>715</v>
      </c>
      <c r="G76" s="53">
        <f t="shared" si="9"/>
        <v>89.375</v>
      </c>
      <c r="H76" s="54">
        <f t="shared" si="10"/>
        <v>44.6875</v>
      </c>
    </row>
    <row r="77" spans="1:8">
      <c r="A77" s="59">
        <v>5600</v>
      </c>
      <c r="B77" s="5">
        <v>4375</v>
      </c>
      <c r="C77" s="12" t="s">
        <v>214</v>
      </c>
      <c r="D77" s="9"/>
      <c r="E77" s="9">
        <v>5600</v>
      </c>
      <c r="F77" s="23">
        <v>5274</v>
      </c>
      <c r="G77" s="53">
        <f t="shared" si="9"/>
        <v>0</v>
      </c>
      <c r="H77" s="54">
        <f t="shared" si="10"/>
        <v>94.178571428571431</v>
      </c>
    </row>
    <row r="78" spans="1:8">
      <c r="A78" s="59">
        <v>5600</v>
      </c>
      <c r="B78" s="5">
        <v>6171</v>
      </c>
      <c r="C78" s="15" t="s">
        <v>9</v>
      </c>
      <c r="D78" s="9">
        <v>20210</v>
      </c>
      <c r="E78" s="9">
        <v>20210</v>
      </c>
      <c r="F78" s="23">
        <v>20208</v>
      </c>
      <c r="G78" s="53">
        <f>IF(D78&lt;=0,0,$F78/D78*100)</f>
        <v>99.990103908955959</v>
      </c>
      <c r="H78" s="54">
        <f>IF(E78&lt;=0,0,$F78/E78*100)</f>
        <v>99.990103908955959</v>
      </c>
    </row>
    <row r="79" spans="1:8">
      <c r="A79" s="33" t="s">
        <v>16</v>
      </c>
      <c r="B79" s="20"/>
      <c r="C79" s="12"/>
      <c r="D79" s="40">
        <f>SUBTOTAL(9,D45:D78)</f>
        <v>1855854</v>
      </c>
      <c r="E79" s="40">
        <f>SUBTOTAL(9,E45:E78)</f>
        <v>1782753</v>
      </c>
      <c r="F79" s="40">
        <f>SUBTOTAL(9,F45:F78)</f>
        <v>1626167</v>
      </c>
      <c r="G79" s="50">
        <f t="shared" ref="G79:H84" si="11">IF(D79&lt;=0,0,$F79/D79*100)</f>
        <v>87.623649274134706</v>
      </c>
      <c r="H79" s="51">
        <f t="shared" si="11"/>
        <v>91.216618342529785</v>
      </c>
    </row>
    <row r="80" spans="1:8">
      <c r="A80" s="33"/>
      <c r="B80" s="20"/>
      <c r="C80" s="12"/>
      <c r="D80" s="40"/>
      <c r="E80" s="40"/>
      <c r="F80" s="41"/>
      <c r="G80" s="50">
        <f t="shared" si="11"/>
        <v>0</v>
      </c>
      <c r="H80" s="51">
        <f t="shared" si="11"/>
        <v>0</v>
      </c>
    </row>
    <row r="81" spans="1:8">
      <c r="A81" s="34" t="s">
        <v>46</v>
      </c>
      <c r="B81" s="5"/>
      <c r="C81" s="15"/>
      <c r="D81" s="40"/>
      <c r="E81" s="40"/>
      <c r="F81" s="41"/>
      <c r="G81" s="50">
        <f t="shared" si="11"/>
        <v>0</v>
      </c>
      <c r="H81" s="51">
        <f t="shared" si="11"/>
        <v>0</v>
      </c>
    </row>
    <row r="82" spans="1:8">
      <c r="A82" s="60">
        <v>5700</v>
      </c>
      <c r="B82" s="5">
        <v>2329</v>
      </c>
      <c r="C82" s="47" t="s">
        <v>21</v>
      </c>
      <c r="D82" s="9">
        <v>100</v>
      </c>
      <c r="E82" s="9">
        <v>100</v>
      </c>
      <c r="F82" s="9">
        <v>61</v>
      </c>
      <c r="G82" s="53">
        <f t="shared" si="11"/>
        <v>61</v>
      </c>
      <c r="H82" s="54">
        <f t="shared" si="11"/>
        <v>61</v>
      </c>
    </row>
    <row r="83" spans="1:8">
      <c r="A83" s="60">
        <v>5700</v>
      </c>
      <c r="B83" s="5">
        <v>3319</v>
      </c>
      <c r="C83" s="47" t="s">
        <v>49</v>
      </c>
      <c r="D83" s="9"/>
      <c r="E83" s="9">
        <v>1500</v>
      </c>
      <c r="F83" s="9">
        <v>1500</v>
      </c>
      <c r="G83" s="53"/>
      <c r="H83" s="54">
        <f t="shared" si="11"/>
        <v>100</v>
      </c>
    </row>
    <row r="84" spans="1:8">
      <c r="A84" s="60">
        <v>5700</v>
      </c>
      <c r="B84" s="5">
        <v>3699</v>
      </c>
      <c r="C84" s="15" t="s">
        <v>79</v>
      </c>
      <c r="D84" s="9">
        <v>20000</v>
      </c>
      <c r="E84" s="9">
        <v>20000</v>
      </c>
      <c r="F84" s="9">
        <v>20000</v>
      </c>
      <c r="G84" s="53">
        <f t="shared" si="11"/>
        <v>100</v>
      </c>
      <c r="H84" s="54">
        <f t="shared" si="11"/>
        <v>100</v>
      </c>
    </row>
    <row r="85" spans="1:8">
      <c r="A85" s="35" t="s">
        <v>11</v>
      </c>
      <c r="B85" s="16"/>
      <c r="C85" s="14"/>
      <c r="D85" s="40">
        <f>SUBTOTAL(9,D82:D84)</f>
        <v>20100</v>
      </c>
      <c r="E85" s="40">
        <f>SUBTOTAL(9,E82:E84)</f>
        <v>21600</v>
      </c>
      <c r="F85" s="40">
        <f>SUBTOTAL(9,F82:F84)</f>
        <v>21561</v>
      </c>
      <c r="G85" s="70">
        <f>IF(D85&lt;=0,0,$F85/D85*100)</f>
        <v>107.26865671641792</v>
      </c>
      <c r="H85" s="51">
        <f>IF(E85&lt;=0,0,$F85/E85*100)</f>
        <v>99.819444444444443</v>
      </c>
    </row>
    <row r="86" spans="1:8">
      <c r="A86" s="33"/>
      <c r="B86" s="20"/>
      <c r="C86" s="12"/>
      <c r="D86" s="40"/>
      <c r="E86" s="40"/>
      <c r="F86" s="41"/>
      <c r="G86" s="50"/>
      <c r="H86" s="51"/>
    </row>
    <row r="87" spans="1:8">
      <c r="A87" s="314" t="s">
        <v>237</v>
      </c>
      <c r="B87" s="312"/>
      <c r="C87" s="313"/>
      <c r="D87" s="40"/>
      <c r="E87" s="40"/>
      <c r="F87" s="41"/>
      <c r="G87" s="50">
        <f t="shared" ref="G87:H92" si="12">IF(D87&lt;=0,0,$F87/D87*100)</f>
        <v>0</v>
      </c>
      <c r="H87" s="51">
        <f t="shared" si="12"/>
        <v>0</v>
      </c>
    </row>
    <row r="88" spans="1:8">
      <c r="A88" s="58">
        <v>6200</v>
      </c>
      <c r="B88" s="5">
        <v>3612</v>
      </c>
      <c r="C88" s="159" t="s">
        <v>12</v>
      </c>
      <c r="D88" s="9">
        <v>399013</v>
      </c>
      <c r="E88" s="9">
        <v>182985</v>
      </c>
      <c r="F88" s="23">
        <v>174727</v>
      </c>
      <c r="G88" s="53">
        <f t="shared" si="12"/>
        <v>43.789801334793601</v>
      </c>
      <c r="H88" s="54">
        <f t="shared" si="12"/>
        <v>95.487061781020302</v>
      </c>
    </row>
    <row r="89" spans="1:8">
      <c r="A89" s="58">
        <v>6200</v>
      </c>
      <c r="B89" s="5">
        <v>3619</v>
      </c>
      <c r="C89" s="159" t="s">
        <v>270</v>
      </c>
      <c r="D89" s="9"/>
      <c r="E89" s="9">
        <v>3410</v>
      </c>
      <c r="F89" s="23">
        <v>1250</v>
      </c>
      <c r="G89" s="53"/>
      <c r="H89" s="54">
        <f>IF(E89&lt;=0,0,$F89/E89*100)</f>
        <v>36.656891495601172</v>
      </c>
    </row>
    <row r="90" spans="1:8">
      <c r="A90" s="58">
        <v>6200</v>
      </c>
      <c r="B90" s="5">
        <v>3639</v>
      </c>
      <c r="C90" s="14" t="s">
        <v>130</v>
      </c>
      <c r="D90" s="9">
        <v>287000</v>
      </c>
      <c r="E90" s="9">
        <v>124295</v>
      </c>
      <c r="F90" s="23"/>
      <c r="G90" s="53"/>
      <c r="H90" s="54">
        <f>IF(E90&lt;=0,0,$F90/E90*100)</f>
        <v>0</v>
      </c>
    </row>
    <row r="91" spans="1:8">
      <c r="A91" s="58">
        <v>6200</v>
      </c>
      <c r="B91" s="5">
        <v>4351</v>
      </c>
      <c r="C91" s="14" t="s">
        <v>183</v>
      </c>
      <c r="D91" s="9">
        <v>45000</v>
      </c>
      <c r="E91" s="9">
        <v>21407</v>
      </c>
      <c r="F91" s="23">
        <v>18550</v>
      </c>
      <c r="G91" s="53">
        <f t="shared" si="12"/>
        <v>41.222222222222221</v>
      </c>
      <c r="H91" s="54">
        <f t="shared" si="12"/>
        <v>86.6538982575793</v>
      </c>
    </row>
    <row r="92" spans="1:8">
      <c r="A92" s="35" t="s">
        <v>81</v>
      </c>
      <c r="B92" s="16"/>
      <c r="C92" s="14"/>
      <c r="D92" s="41">
        <f>SUBTOTAL(9,D88:D91)</f>
        <v>731013</v>
      </c>
      <c r="E92" s="41">
        <f>SUBTOTAL(9,E88:E91)</f>
        <v>332097</v>
      </c>
      <c r="F92" s="41">
        <f>SUBTOTAL(9,F88:F91)</f>
        <v>194527</v>
      </c>
      <c r="G92" s="50">
        <f t="shared" si="12"/>
        <v>26.610607472096941</v>
      </c>
      <c r="H92" s="69">
        <f t="shared" si="12"/>
        <v>58.575355995386893</v>
      </c>
    </row>
    <row r="93" spans="1:8">
      <c r="A93" s="33"/>
      <c r="B93" s="20"/>
      <c r="C93" s="12"/>
      <c r="D93" s="40"/>
      <c r="E93" s="40"/>
      <c r="F93" s="41"/>
      <c r="G93" s="50"/>
      <c r="H93" s="51"/>
    </row>
    <row r="94" spans="1:8">
      <c r="A94" s="34" t="s">
        <v>221</v>
      </c>
      <c r="B94" s="5"/>
      <c r="C94" s="15"/>
      <c r="D94" s="40"/>
      <c r="E94" s="40"/>
      <c r="F94" s="41"/>
      <c r="G94" s="50">
        <f t="shared" ref="G94:H96" si="13">IF(D94&lt;=0,0,$F94/D94*100)</f>
        <v>0</v>
      </c>
      <c r="H94" s="51">
        <f t="shared" si="13"/>
        <v>0</v>
      </c>
    </row>
    <row r="95" spans="1:8">
      <c r="A95" s="60">
        <v>6300</v>
      </c>
      <c r="B95" s="5">
        <v>3639</v>
      </c>
      <c r="C95" s="12" t="s">
        <v>42</v>
      </c>
      <c r="D95" s="9">
        <v>26000</v>
      </c>
      <c r="E95" s="9">
        <v>14123</v>
      </c>
      <c r="F95" s="23">
        <v>12750</v>
      </c>
      <c r="G95" s="48">
        <f t="shared" si="13"/>
        <v>49.038461538461533</v>
      </c>
      <c r="H95" s="54">
        <f t="shared" si="13"/>
        <v>90.27826948948524</v>
      </c>
    </row>
    <row r="96" spans="1:8">
      <c r="A96" s="35" t="s">
        <v>222</v>
      </c>
      <c r="B96" s="16"/>
      <c r="C96" s="14"/>
      <c r="D96" s="40">
        <f>SUBTOTAL(9,D95:D95)</f>
        <v>26000</v>
      </c>
      <c r="E96" s="40">
        <f>SUBTOTAL(9,E95:E95)</f>
        <v>14123</v>
      </c>
      <c r="F96" s="40">
        <f>SUBTOTAL(9,F95:F95)</f>
        <v>12750</v>
      </c>
      <c r="G96" s="70">
        <f t="shared" si="13"/>
        <v>49.038461538461533</v>
      </c>
      <c r="H96" s="51">
        <f t="shared" si="13"/>
        <v>90.27826948948524</v>
      </c>
    </row>
    <row r="97" spans="1:8">
      <c r="A97" s="33"/>
      <c r="B97" s="20"/>
      <c r="C97" s="12"/>
      <c r="D97" s="40"/>
      <c r="E97" s="40"/>
      <c r="F97" s="41"/>
      <c r="G97" s="50"/>
      <c r="H97" s="51"/>
    </row>
    <row r="98" spans="1:8">
      <c r="A98" s="34" t="s">
        <v>244</v>
      </c>
      <c r="B98" s="5"/>
      <c r="C98" s="15"/>
      <c r="D98" s="40"/>
      <c r="E98" s="40"/>
      <c r="F98" s="41"/>
      <c r="G98" s="50">
        <f t="shared" ref="G98:H102" si="14">IF(D98&lt;=0,0,$F98/D98*100)</f>
        <v>0</v>
      </c>
      <c r="H98" s="51">
        <f t="shared" si="14"/>
        <v>0</v>
      </c>
    </row>
    <row r="99" spans="1:8">
      <c r="A99" s="60">
        <v>6600</v>
      </c>
      <c r="B99" s="5">
        <v>3612</v>
      </c>
      <c r="C99" s="159" t="s">
        <v>12</v>
      </c>
      <c r="D99" s="9">
        <v>11000</v>
      </c>
      <c r="E99" s="9">
        <v>18343</v>
      </c>
      <c r="F99" s="23">
        <v>11820</v>
      </c>
      <c r="G99" s="48">
        <f>IF(D99&lt;=0,0,$F99/D99*100)</f>
        <v>107.45454545454545</v>
      </c>
      <c r="H99" s="54">
        <f>IF(E99&lt;=0,0,$F99/E99*100)</f>
        <v>64.438750477021216</v>
      </c>
    </row>
    <row r="100" spans="1:8">
      <c r="A100" s="60">
        <v>6600</v>
      </c>
      <c r="B100" s="5">
        <v>3639</v>
      </c>
      <c r="C100" s="12" t="s">
        <v>42</v>
      </c>
      <c r="D100" s="9">
        <v>3000</v>
      </c>
      <c r="E100" s="9">
        <v>7455</v>
      </c>
      <c r="F100" s="23">
        <v>5049</v>
      </c>
      <c r="G100" s="48">
        <f t="shared" si="14"/>
        <v>168.3</v>
      </c>
      <c r="H100" s="54">
        <f t="shared" si="14"/>
        <v>67.726358148893368</v>
      </c>
    </row>
    <row r="101" spans="1:8">
      <c r="A101" s="60">
        <v>6600</v>
      </c>
      <c r="B101" s="5">
        <v>6171</v>
      </c>
      <c r="C101" s="12" t="s">
        <v>9</v>
      </c>
      <c r="D101" s="9">
        <v>2000</v>
      </c>
      <c r="E101" s="9">
        <v>2000</v>
      </c>
      <c r="F101" s="23">
        <v>1449</v>
      </c>
      <c r="G101" s="48">
        <f t="shared" si="14"/>
        <v>72.45</v>
      </c>
      <c r="H101" s="54">
        <f t="shared" si="14"/>
        <v>72.45</v>
      </c>
    </row>
    <row r="102" spans="1:8">
      <c r="A102" s="35" t="s">
        <v>85</v>
      </c>
      <c r="B102" s="16"/>
      <c r="C102" s="14"/>
      <c r="D102" s="40">
        <f>SUBTOTAL(9,D99:D101)</f>
        <v>16000</v>
      </c>
      <c r="E102" s="40">
        <f>SUBTOTAL(9,E99:E101)</f>
        <v>27798</v>
      </c>
      <c r="F102" s="40">
        <f>SUBTOTAL(9,F99:F101)</f>
        <v>18318</v>
      </c>
      <c r="G102" s="70">
        <f t="shared" si="14"/>
        <v>114.48750000000001</v>
      </c>
      <c r="H102" s="51">
        <f t="shared" si="14"/>
        <v>65.89682710986402</v>
      </c>
    </row>
    <row r="103" spans="1:8">
      <c r="A103" s="33"/>
      <c r="B103" s="20"/>
      <c r="C103" s="12"/>
      <c r="D103" s="40"/>
      <c r="E103" s="40"/>
      <c r="F103" s="41"/>
      <c r="G103" s="50"/>
      <c r="H103" s="51"/>
    </row>
    <row r="104" spans="1:8">
      <c r="A104" s="34" t="s">
        <v>205</v>
      </c>
      <c r="B104" s="5"/>
      <c r="C104" s="15"/>
      <c r="D104" s="40"/>
      <c r="E104" s="40"/>
      <c r="F104" s="41"/>
      <c r="G104" s="50"/>
      <c r="H104" s="51"/>
    </row>
    <row r="105" spans="1:8">
      <c r="A105" s="60">
        <v>7100</v>
      </c>
      <c r="B105" s="5">
        <v>3522</v>
      </c>
      <c r="C105" s="15" t="s">
        <v>225</v>
      </c>
      <c r="D105" s="9"/>
      <c r="E105" s="9">
        <v>500</v>
      </c>
      <c r="F105" s="23">
        <v>500</v>
      </c>
      <c r="G105" s="48">
        <f>IF(D105&lt;=0,0,$F105/D105*100)</f>
        <v>0</v>
      </c>
      <c r="H105" s="54">
        <f t="shared" ref="G105:H108" si="15">IF(E105&lt;=0,0,$F105/E105*100)</f>
        <v>100</v>
      </c>
    </row>
    <row r="106" spans="1:8">
      <c r="A106" s="60">
        <v>7100</v>
      </c>
      <c r="B106" s="5">
        <v>3599</v>
      </c>
      <c r="C106" s="14" t="s">
        <v>89</v>
      </c>
      <c r="D106" s="9">
        <v>1000</v>
      </c>
      <c r="E106" s="9"/>
      <c r="F106" s="23"/>
      <c r="G106" s="48">
        <f t="shared" si="15"/>
        <v>0</v>
      </c>
      <c r="H106" s="54">
        <f t="shared" si="15"/>
        <v>0</v>
      </c>
    </row>
    <row r="107" spans="1:8">
      <c r="A107" s="35" t="s">
        <v>14</v>
      </c>
      <c r="B107" s="16"/>
      <c r="C107" s="14"/>
      <c r="D107" s="40">
        <f>SUBTOTAL(9,D105:D106)</f>
        <v>1000</v>
      </c>
      <c r="E107" s="40">
        <f>SUBTOTAL(9,E105:E106)</f>
        <v>500</v>
      </c>
      <c r="F107" s="40">
        <f>SUBTOTAL(9,F105:F106)</f>
        <v>500</v>
      </c>
      <c r="G107" s="70">
        <f t="shared" si="15"/>
        <v>50</v>
      </c>
      <c r="H107" s="51">
        <f t="shared" si="15"/>
        <v>100</v>
      </c>
    </row>
    <row r="108" spans="1:8">
      <c r="A108" s="35"/>
      <c r="B108" s="16"/>
      <c r="C108" s="14"/>
      <c r="D108" s="40"/>
      <c r="E108" s="40"/>
      <c r="F108" s="41"/>
      <c r="G108" s="50">
        <f t="shared" si="15"/>
        <v>0</v>
      </c>
      <c r="H108" s="51">
        <f t="shared" si="15"/>
        <v>0</v>
      </c>
    </row>
    <row r="109" spans="1:8">
      <c r="A109" s="34" t="s">
        <v>40</v>
      </c>
      <c r="B109" s="5"/>
      <c r="C109" s="15"/>
      <c r="D109" s="40"/>
      <c r="E109" s="40"/>
      <c r="F109" s="41"/>
      <c r="G109" s="50"/>
      <c r="H109" s="51"/>
    </row>
    <row r="110" spans="1:8">
      <c r="A110" s="60">
        <v>7200</v>
      </c>
      <c r="B110" s="5">
        <v>5319</v>
      </c>
      <c r="C110" s="14" t="s">
        <v>288</v>
      </c>
      <c r="D110" s="9"/>
      <c r="E110" s="9">
        <v>150</v>
      </c>
      <c r="F110" s="23">
        <v>150</v>
      </c>
      <c r="G110" s="48">
        <f>IF(D110&lt;=0,0,$F110/D110*100)</f>
        <v>0</v>
      </c>
      <c r="H110" s="54">
        <f>IF(E110&lt;=0,0,$F110/E110*100)</f>
        <v>100</v>
      </c>
    </row>
    <row r="111" spans="1:8">
      <c r="A111" s="35" t="s">
        <v>35</v>
      </c>
      <c r="B111" s="16"/>
      <c r="C111" s="14"/>
      <c r="D111" s="40">
        <f>SUBTOTAL(9,D110:D110)</f>
        <v>0</v>
      </c>
      <c r="E111" s="40">
        <f>SUBTOTAL(9,E110:E110)</f>
        <v>150</v>
      </c>
      <c r="F111" s="40">
        <f>SUBTOTAL(9,F110:F110)</f>
        <v>150</v>
      </c>
      <c r="G111" s="70">
        <f>IF(D111&lt;=0,0,$F111/D111*100)</f>
        <v>0</v>
      </c>
      <c r="H111" s="51">
        <f>IF(E111&lt;=0,0,$F111/E111*100)</f>
        <v>100</v>
      </c>
    </row>
    <row r="112" spans="1:8">
      <c r="A112" s="303"/>
      <c r="B112" s="304"/>
      <c r="C112" s="305"/>
      <c r="D112" s="40"/>
      <c r="E112" s="40"/>
      <c r="F112" s="41"/>
      <c r="G112" s="50"/>
      <c r="H112" s="51"/>
    </row>
    <row r="113" spans="1:8">
      <c r="A113" s="311" t="s">
        <v>30</v>
      </c>
      <c r="B113" s="312"/>
      <c r="C113" s="313"/>
      <c r="D113" s="40"/>
      <c r="E113" s="40"/>
      <c r="F113" s="41"/>
      <c r="G113" s="50">
        <f t="shared" ref="G113:H119" si="16">IF(D113&lt;=0,0,$F113/D113*100)</f>
        <v>0</v>
      </c>
      <c r="H113" s="51">
        <f t="shared" si="16"/>
        <v>0</v>
      </c>
    </row>
    <row r="114" spans="1:8">
      <c r="A114" s="58">
        <v>7300</v>
      </c>
      <c r="B114" s="5">
        <v>3311</v>
      </c>
      <c r="C114" s="15" t="s">
        <v>24</v>
      </c>
      <c r="D114" s="6"/>
      <c r="E114" s="6">
        <v>150</v>
      </c>
      <c r="F114" s="25">
        <v>150</v>
      </c>
      <c r="G114" s="53">
        <f t="shared" si="16"/>
        <v>0</v>
      </c>
      <c r="H114" s="46">
        <f t="shared" si="16"/>
        <v>100</v>
      </c>
    </row>
    <row r="115" spans="1:8">
      <c r="A115" s="58">
        <v>7300</v>
      </c>
      <c r="B115" s="5">
        <v>3315</v>
      </c>
      <c r="C115" s="15" t="s">
        <v>95</v>
      </c>
      <c r="D115" s="6">
        <v>14200</v>
      </c>
      <c r="E115" s="6">
        <v>14200</v>
      </c>
      <c r="F115" s="25"/>
      <c r="G115" s="53">
        <f>IF(D115&lt;=0,0,$F115/D115*100)</f>
        <v>0</v>
      </c>
      <c r="H115" s="46">
        <f>IF(E115&lt;=0,0,$F115/E115*100)</f>
        <v>0</v>
      </c>
    </row>
    <row r="116" spans="1:8">
      <c r="A116" s="58">
        <v>7300</v>
      </c>
      <c r="B116" s="5">
        <v>3319</v>
      </c>
      <c r="C116" s="47" t="s">
        <v>49</v>
      </c>
      <c r="D116" s="6">
        <v>500</v>
      </c>
      <c r="E116" s="6">
        <v>500</v>
      </c>
      <c r="F116" s="25">
        <v>343</v>
      </c>
      <c r="G116" s="53">
        <f t="shared" si="16"/>
        <v>68.600000000000009</v>
      </c>
      <c r="H116" s="46">
        <f t="shared" si="16"/>
        <v>68.600000000000009</v>
      </c>
    </row>
    <row r="117" spans="1:8">
      <c r="A117" s="58">
        <v>7300</v>
      </c>
      <c r="B117" s="5">
        <v>3326</v>
      </c>
      <c r="C117" s="15" t="s">
        <v>177</v>
      </c>
      <c r="D117" s="6">
        <v>500</v>
      </c>
      <c r="E117" s="6">
        <v>650</v>
      </c>
      <c r="F117" s="25">
        <v>467</v>
      </c>
      <c r="G117" s="53">
        <f t="shared" si="16"/>
        <v>93.4</v>
      </c>
      <c r="H117" s="54">
        <f t="shared" si="16"/>
        <v>71.846153846153854</v>
      </c>
    </row>
    <row r="118" spans="1:8">
      <c r="A118" s="34" t="s">
        <v>27</v>
      </c>
      <c r="B118" s="5"/>
      <c r="C118" s="15"/>
      <c r="D118" s="40">
        <f>SUBTOTAL(9,D114:D117)</f>
        <v>15200</v>
      </c>
      <c r="E118" s="40">
        <f>SUBTOTAL(9,E114:E117)</f>
        <v>15500</v>
      </c>
      <c r="F118" s="40">
        <f>SUBTOTAL(9,F114:F117)</f>
        <v>960</v>
      </c>
      <c r="G118" s="50">
        <f t="shared" si="16"/>
        <v>6.3157894736842106</v>
      </c>
      <c r="H118" s="51">
        <f t="shared" si="16"/>
        <v>6.193548387096774</v>
      </c>
    </row>
    <row r="119" spans="1:8">
      <c r="A119" s="34"/>
      <c r="B119" s="5"/>
      <c r="C119" s="15"/>
      <c r="D119" s="40"/>
      <c r="E119" s="40"/>
      <c r="F119" s="41"/>
      <c r="G119" s="50">
        <f t="shared" si="16"/>
        <v>0</v>
      </c>
      <c r="H119" s="51">
        <f t="shared" si="16"/>
        <v>0</v>
      </c>
    </row>
    <row r="120" spans="1:8">
      <c r="A120" s="311" t="s">
        <v>41</v>
      </c>
      <c r="B120" s="312"/>
      <c r="C120" s="313"/>
      <c r="D120" s="40"/>
      <c r="E120" s="40"/>
      <c r="F120" s="41"/>
      <c r="G120" s="50">
        <f t="shared" ref="G120:H126" si="17">IF(D120&lt;=0,0,$F120/D120*100)</f>
        <v>0</v>
      </c>
      <c r="H120" s="51">
        <f t="shared" si="17"/>
        <v>0</v>
      </c>
    </row>
    <row r="121" spans="1:8">
      <c r="A121" s="58">
        <v>7400</v>
      </c>
      <c r="B121" s="5">
        <v>3111</v>
      </c>
      <c r="C121" s="47" t="s">
        <v>99</v>
      </c>
      <c r="D121" s="6"/>
      <c r="E121" s="6">
        <v>50</v>
      </c>
      <c r="F121" s="25">
        <v>50</v>
      </c>
      <c r="G121" s="53">
        <f>IF(D121&lt;=0,0,$F121/D121*100)</f>
        <v>0</v>
      </c>
      <c r="H121" s="46">
        <f>IF(E121&lt;=0,0,$F121/E121*100)</f>
        <v>100</v>
      </c>
    </row>
    <row r="122" spans="1:8">
      <c r="A122" s="58">
        <v>7400</v>
      </c>
      <c r="B122" s="5">
        <v>3113</v>
      </c>
      <c r="C122" s="47" t="s">
        <v>23</v>
      </c>
      <c r="D122" s="6"/>
      <c r="E122" s="6">
        <v>1044</v>
      </c>
      <c r="F122" s="25">
        <v>1044</v>
      </c>
      <c r="G122" s="53">
        <f>IF(D122&lt;=0,0,$F122/D122*100)</f>
        <v>0</v>
      </c>
      <c r="H122" s="46">
        <f>IF(E122&lt;=0,0,$F122/E122*100)</f>
        <v>100</v>
      </c>
    </row>
    <row r="123" spans="1:8">
      <c r="A123" s="58">
        <v>7400</v>
      </c>
      <c r="B123" s="5">
        <v>3419</v>
      </c>
      <c r="C123" s="47" t="s">
        <v>272</v>
      </c>
      <c r="D123" s="6"/>
      <c r="E123" s="6">
        <v>6691</v>
      </c>
      <c r="F123" s="25">
        <v>6657</v>
      </c>
      <c r="G123" s="53">
        <f t="shared" si="17"/>
        <v>0</v>
      </c>
      <c r="H123" s="46">
        <f t="shared" si="17"/>
        <v>99.491854730234635</v>
      </c>
    </row>
    <row r="124" spans="1:8">
      <c r="A124" s="58">
        <v>7400</v>
      </c>
      <c r="B124" s="5">
        <v>3421</v>
      </c>
      <c r="C124" s="15" t="s">
        <v>271</v>
      </c>
      <c r="D124" s="6"/>
      <c r="E124" s="6">
        <v>260</v>
      </c>
      <c r="F124" s="25">
        <v>260</v>
      </c>
      <c r="G124" s="53">
        <f t="shared" si="17"/>
        <v>0</v>
      </c>
      <c r="H124" s="46">
        <f t="shared" si="17"/>
        <v>100</v>
      </c>
    </row>
    <row r="125" spans="1:8">
      <c r="A125" s="58">
        <v>7400</v>
      </c>
      <c r="B125" s="5">
        <v>6409</v>
      </c>
      <c r="C125" s="11" t="s">
        <v>39</v>
      </c>
      <c r="D125" s="6"/>
      <c r="E125" s="6">
        <v>61300</v>
      </c>
      <c r="F125" s="25">
        <v>61300</v>
      </c>
      <c r="G125" s="53">
        <f>IF(D125&lt;=0,0,$F125/D125*100)</f>
        <v>0</v>
      </c>
      <c r="H125" s="46">
        <f>IF(E125&lt;=0,0,$F125/E125*100)</f>
        <v>100</v>
      </c>
    </row>
    <row r="126" spans="1:8">
      <c r="A126" s="34" t="s">
        <v>36</v>
      </c>
      <c r="B126" s="5"/>
      <c r="C126" s="15"/>
      <c r="D126" s="40">
        <f>SUBTOTAL(9,D121:D125)</f>
        <v>0</v>
      </c>
      <c r="E126" s="40">
        <f>SUBTOTAL(9,E121:E125)</f>
        <v>69345</v>
      </c>
      <c r="F126" s="40">
        <f>SUBTOTAL(9,F121:F125)</f>
        <v>69311</v>
      </c>
      <c r="G126" s="50">
        <f t="shared" si="17"/>
        <v>0</v>
      </c>
      <c r="H126" s="51">
        <f t="shared" si="17"/>
        <v>99.950969788737481</v>
      </c>
    </row>
    <row r="127" spans="1:8">
      <c r="A127" s="72"/>
      <c r="B127" s="73"/>
      <c r="C127" s="74"/>
      <c r="D127" s="75"/>
      <c r="E127" s="75"/>
      <c r="F127" s="76"/>
      <c r="G127" s="77"/>
      <c r="H127" s="78"/>
    </row>
    <row r="128" spans="1:8">
      <c r="A128" s="72" t="s">
        <v>31</v>
      </c>
      <c r="B128" s="73"/>
      <c r="C128" s="74"/>
      <c r="D128" s="75"/>
      <c r="E128" s="75"/>
      <c r="F128" s="76"/>
      <c r="G128" s="77">
        <f t="shared" ref="G128:H132" si="18">IF(D128&lt;=0,0,$F128/D128*100)</f>
        <v>0</v>
      </c>
      <c r="H128" s="78">
        <f t="shared" si="18"/>
        <v>0</v>
      </c>
    </row>
    <row r="129" spans="1:8">
      <c r="A129" s="79">
        <v>8200</v>
      </c>
      <c r="B129" s="73">
        <v>1014</v>
      </c>
      <c r="C129" s="10" t="s">
        <v>178</v>
      </c>
      <c r="D129" s="80"/>
      <c r="E129" s="80">
        <v>210</v>
      </c>
      <c r="F129" s="81">
        <v>209</v>
      </c>
      <c r="G129" s="53">
        <f>IF(D129&lt;=0,0,$F129/D129*100)</f>
        <v>0</v>
      </c>
      <c r="H129" s="54">
        <f>IF(E129&lt;=0,0,$F129/E129*100)</f>
        <v>99.523809523809518</v>
      </c>
    </row>
    <row r="130" spans="1:8">
      <c r="A130" s="79">
        <v>8200</v>
      </c>
      <c r="B130" s="73">
        <v>5311</v>
      </c>
      <c r="C130" s="15" t="s">
        <v>33</v>
      </c>
      <c r="D130" s="80">
        <v>19971</v>
      </c>
      <c r="E130" s="80">
        <v>28025</v>
      </c>
      <c r="F130" s="81">
        <v>26637</v>
      </c>
      <c r="G130" s="53">
        <f t="shared" si="18"/>
        <v>133.37839867808322</v>
      </c>
      <c r="H130" s="54">
        <f>IF(E130&lt;=0,0,$F130/E130*100)</f>
        <v>95.047279214986631</v>
      </c>
    </row>
    <row r="131" spans="1:8">
      <c r="A131" s="79">
        <v>8200</v>
      </c>
      <c r="B131" s="73">
        <v>5319</v>
      </c>
      <c r="C131" s="15" t="s">
        <v>216</v>
      </c>
      <c r="D131" s="80"/>
      <c r="E131" s="80">
        <v>92</v>
      </c>
      <c r="F131" s="81"/>
      <c r="G131" s="53">
        <f>IF(D131&lt;=0,0,$F131/D131*100)</f>
        <v>0</v>
      </c>
      <c r="H131" s="54">
        <f>IF(E131&lt;=0,0,$F131/E131*100)</f>
        <v>0</v>
      </c>
    </row>
    <row r="132" spans="1:8">
      <c r="A132" s="72" t="s">
        <v>29</v>
      </c>
      <c r="B132" s="73"/>
      <c r="C132" s="74"/>
      <c r="D132" s="40">
        <f>SUBTOTAL(9,D129:D131)</f>
        <v>19971</v>
      </c>
      <c r="E132" s="40">
        <f>SUBTOTAL(9,E129:E131)</f>
        <v>28327</v>
      </c>
      <c r="F132" s="40">
        <f>SUBTOTAL(9,F129:F131)</f>
        <v>26846</v>
      </c>
      <c r="G132" s="50">
        <f t="shared" si="18"/>
        <v>134.42491612838617</v>
      </c>
      <c r="H132" s="51">
        <f t="shared" si="18"/>
        <v>94.771772513856035</v>
      </c>
    </row>
    <row r="133" spans="1:8" ht="10.5" customHeight="1" thickBot="1">
      <c r="A133" s="29"/>
      <c r="B133" s="30"/>
      <c r="C133" s="31"/>
      <c r="D133" s="42"/>
      <c r="E133" s="42"/>
      <c r="F133" s="61"/>
      <c r="G133" s="62">
        <f>IF(D133&lt;=0,0,$F133/D133*100)</f>
        <v>0</v>
      </c>
      <c r="H133" s="63">
        <f>IF(E133&lt;=0,0,$F133/E133*100)</f>
        <v>0</v>
      </c>
    </row>
    <row r="134" spans="1:8" ht="17.25" thickBot="1">
      <c r="A134" s="71" t="s">
        <v>56</v>
      </c>
      <c r="B134" s="67"/>
      <c r="C134" s="68"/>
      <c r="D134" s="64">
        <f>SUBTOTAL(9,D2:D133)</f>
        <v>2896038</v>
      </c>
      <c r="E134" s="64">
        <f>SUBTOTAL(9,E2:E133)</f>
        <v>2641832</v>
      </c>
      <c r="F134" s="64">
        <f>SUBTOTAL(9,F2:F133)</f>
        <v>2306310</v>
      </c>
      <c r="G134" s="279">
        <f>IF(D134&lt;=0,0,$F134/D134*100)</f>
        <v>79.63673128598451</v>
      </c>
      <c r="H134" s="280">
        <f>IF(E134&lt;=0,0,$F134/E134*100)</f>
        <v>87.299646608868386</v>
      </c>
    </row>
    <row r="135" spans="1:8">
      <c r="A135" s="281"/>
      <c r="B135" s="282"/>
      <c r="C135" s="281"/>
      <c r="D135" s="283"/>
      <c r="E135" s="283"/>
      <c r="F135" s="283"/>
      <c r="G135" s="284"/>
      <c r="H135" s="284"/>
    </row>
    <row r="136" spans="1:8">
      <c r="A136" s="281"/>
      <c r="B136" s="282"/>
      <c r="C136" s="281"/>
      <c r="D136" s="283"/>
      <c r="E136" s="283"/>
      <c r="F136" s="283"/>
      <c r="G136" s="284"/>
      <c r="H136" s="284"/>
    </row>
    <row r="137" spans="1:8">
      <c r="A137" s="281"/>
      <c r="B137" s="282"/>
      <c r="C137" s="281"/>
      <c r="D137" s="283"/>
      <c r="E137" s="283"/>
      <c r="F137" s="283"/>
      <c r="G137" s="284"/>
      <c r="H137" s="284"/>
    </row>
    <row r="138" spans="1:8">
      <c r="A138" s="281"/>
      <c r="B138" s="282"/>
      <c r="C138" s="281"/>
      <c r="D138" s="283"/>
      <c r="E138" s="283"/>
      <c r="F138" s="283"/>
      <c r="G138" s="284"/>
      <c r="H138" s="284"/>
    </row>
    <row r="139" spans="1:8">
      <c r="A139" s="281"/>
      <c r="B139" s="282"/>
      <c r="C139" s="281"/>
      <c r="D139" s="283"/>
      <c r="E139" s="283"/>
      <c r="F139" s="283"/>
      <c r="G139" s="284"/>
      <c r="H139" s="284"/>
    </row>
    <row r="140" spans="1:8">
      <c r="A140" s="281"/>
      <c r="B140" s="282"/>
      <c r="C140" s="281"/>
      <c r="D140" s="283"/>
      <c r="E140" s="283"/>
      <c r="F140" s="283"/>
      <c r="G140" s="284"/>
      <c r="H140" s="284"/>
    </row>
    <row r="141" spans="1:8">
      <c r="A141" s="281"/>
      <c r="B141" s="282"/>
      <c r="C141" s="281"/>
      <c r="D141" s="283"/>
      <c r="E141" s="283"/>
      <c r="F141" s="283"/>
      <c r="G141" s="284"/>
      <c r="H141" s="284"/>
    </row>
    <row r="142" spans="1:8">
      <c r="A142" s="281"/>
      <c r="B142" s="282"/>
      <c r="C142" s="281"/>
      <c r="D142" s="283"/>
      <c r="E142" s="283"/>
      <c r="F142" s="283"/>
      <c r="G142" s="284"/>
      <c r="H142" s="284"/>
    </row>
    <row r="143" spans="1:8">
      <c r="A143" s="18"/>
    </row>
    <row r="144" spans="1:8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</sheetData>
  <mergeCells count="3">
    <mergeCell ref="A113:C113"/>
    <mergeCell ref="A87:C87"/>
    <mergeCell ref="A120:C120"/>
  </mergeCells>
  <phoneticPr fontId="0" type="noConversion"/>
  <printOptions horizontalCentered="1"/>
  <pageMargins left="0.69" right="0.6692913385826772" top="0.98" bottom="0.62" header="0.51181102362204722" footer="0.31496062992125984"/>
  <pageSetup paperSize="9" scale="78" fitToHeight="0" orientation="portrait" r:id="rId1"/>
  <headerFooter alignWithMargins="0">
    <oddHeader>&amp;C&amp;"Times New Roman,Tučné"&amp;14Čerpání rozpočtu kapitálových výdajů města k 31.12.2012 (v tis. Kč)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U436"/>
  <sheetViews>
    <sheetView showZeros="0" workbookViewId="0">
      <pane ySplit="1" topLeftCell="A155" activePane="bottomLeft" state="frozen"/>
      <selection activeCell="D1" sqref="D1"/>
      <selection pane="bottomLeft" activeCell="H407" sqref="H407"/>
    </sheetView>
  </sheetViews>
  <sheetFormatPr defaultColWidth="11.42578125" defaultRowHeight="12.75" outlineLevelRow="2"/>
  <cols>
    <col min="1" max="1" width="3.5703125" style="693" customWidth="1"/>
    <col min="2" max="2" width="6.5703125" style="842" customWidth="1"/>
    <col min="3" max="3" width="4.28515625" style="693" customWidth="1"/>
    <col min="4" max="4" width="9.28515625" style="843" customWidth="1"/>
    <col min="5" max="5" width="6.28515625" style="693" customWidth="1"/>
    <col min="6" max="6" width="39.7109375" style="693" customWidth="1"/>
    <col min="7" max="9" width="11.42578125" style="693" customWidth="1"/>
    <col min="10" max="10" width="13" style="693" customWidth="1"/>
    <col min="11" max="11" width="13.42578125" style="693" customWidth="1"/>
    <col min="12" max="12" width="12.42578125" style="708" customWidth="1"/>
    <col min="13" max="15" width="11.42578125" style="708" customWidth="1"/>
    <col min="16" max="19" width="11.42578125" style="708" hidden="1" customWidth="1"/>
    <col min="20" max="20" width="11.42578125" style="693" customWidth="1"/>
    <col min="21" max="16384" width="11.42578125" style="693"/>
  </cols>
  <sheetData>
    <row r="1" spans="1:21" ht="26.25" thickBot="1">
      <c r="A1" s="683" t="s">
        <v>303</v>
      </c>
      <c r="B1" s="684" t="s">
        <v>273</v>
      </c>
      <c r="C1" s="685" t="s">
        <v>0</v>
      </c>
      <c r="D1" s="685" t="s">
        <v>656</v>
      </c>
      <c r="E1" s="686" t="s">
        <v>657</v>
      </c>
      <c r="F1" s="686" t="s">
        <v>658</v>
      </c>
      <c r="G1" s="685" t="s">
        <v>659</v>
      </c>
      <c r="H1" s="685" t="s">
        <v>660</v>
      </c>
      <c r="I1" s="687" t="s">
        <v>661</v>
      </c>
      <c r="J1" s="688" t="s">
        <v>662</v>
      </c>
      <c r="K1" s="689" t="s">
        <v>663</v>
      </c>
      <c r="L1" s="685" t="s">
        <v>258</v>
      </c>
      <c r="M1" s="690" t="s">
        <v>292</v>
      </c>
      <c r="N1" s="687" t="s">
        <v>664</v>
      </c>
      <c r="O1" s="687" t="s">
        <v>665</v>
      </c>
      <c r="P1" s="691">
        <v>2013</v>
      </c>
      <c r="Q1" s="691">
        <v>2014</v>
      </c>
      <c r="R1" s="691">
        <v>2015</v>
      </c>
      <c r="S1" s="685" t="s">
        <v>666</v>
      </c>
      <c r="T1" s="692" t="s">
        <v>667</v>
      </c>
    </row>
    <row r="2" spans="1:21" s="708" customFormat="1" outlineLevel="2">
      <c r="A2" s="694">
        <v>1</v>
      </c>
      <c r="B2" s="695" t="s">
        <v>668</v>
      </c>
      <c r="C2" s="696" t="s">
        <v>669</v>
      </c>
      <c r="D2" s="696">
        <v>300800</v>
      </c>
      <c r="E2" s="697"/>
      <c r="F2" s="697" t="s">
        <v>670</v>
      </c>
      <c r="G2" s="698"/>
      <c r="H2" s="698"/>
      <c r="I2" s="699"/>
      <c r="J2" s="700"/>
      <c r="K2" s="701"/>
      <c r="L2" s="698"/>
      <c r="M2" s="702">
        <v>210</v>
      </c>
      <c r="N2" s="703">
        <v>209</v>
      </c>
      <c r="O2" s="704">
        <f>IF(M2&lt;=0," ",N2/M2*100)</f>
        <v>99.523809523809518</v>
      </c>
      <c r="P2" s="705"/>
      <c r="Q2" s="705"/>
      <c r="R2" s="705"/>
      <c r="S2" s="706"/>
      <c r="T2" s="707" t="s">
        <v>671</v>
      </c>
    </row>
    <row r="3" spans="1:21" s="708" customFormat="1" outlineLevel="1">
      <c r="A3" s="694">
        <f>A2+1</f>
        <v>2</v>
      </c>
      <c r="B3" s="709"/>
      <c r="C3" s="710" t="s">
        <v>672</v>
      </c>
      <c r="D3" s="711"/>
      <c r="E3" s="712"/>
      <c r="F3" s="712"/>
      <c r="G3" s="713"/>
      <c r="H3" s="713"/>
      <c r="I3" s="714">
        <f t="shared" ref="I3:N3" si="0">SUBTOTAL(9,I2:I2)</f>
        <v>0</v>
      </c>
      <c r="J3" s="715">
        <f t="shared" si="0"/>
        <v>0</v>
      </c>
      <c r="K3" s="716">
        <f t="shared" si="0"/>
        <v>0</v>
      </c>
      <c r="L3" s="713">
        <f t="shared" si="0"/>
        <v>0</v>
      </c>
      <c r="M3" s="717">
        <f t="shared" si="0"/>
        <v>210</v>
      </c>
      <c r="N3" s="718">
        <f t="shared" si="0"/>
        <v>209</v>
      </c>
      <c r="O3" s="719">
        <f>IF(M3&lt;=0," ",N3/M3*100)</f>
        <v>99.523809523809518</v>
      </c>
      <c r="P3" s="720">
        <f>SUBTOTAL(9,P2:P2)</f>
        <v>0</v>
      </c>
      <c r="Q3" s="720">
        <f>SUBTOTAL(9,Q2:Q2)</f>
        <v>0</v>
      </c>
      <c r="R3" s="720">
        <f>SUBTOTAL(9,R2:R2)</f>
        <v>0</v>
      </c>
      <c r="S3" s="721"/>
      <c r="T3" s="722"/>
    </row>
    <row r="4" spans="1:21" outlineLevel="2">
      <c r="A4" s="694">
        <f t="shared" ref="A4:A67" si="1">A3+1</f>
        <v>3</v>
      </c>
      <c r="B4" s="723" t="s">
        <v>673</v>
      </c>
      <c r="C4" s="724" t="s">
        <v>674</v>
      </c>
      <c r="D4" s="724">
        <v>30129125</v>
      </c>
      <c r="E4" s="725"/>
      <c r="F4" s="725" t="s">
        <v>675</v>
      </c>
      <c r="G4" s="726"/>
      <c r="H4" s="726"/>
      <c r="I4" s="727"/>
      <c r="J4" s="728"/>
      <c r="K4" s="729"/>
      <c r="L4" s="730"/>
      <c r="M4" s="730">
        <v>200</v>
      </c>
      <c r="N4" s="731">
        <v>190</v>
      </c>
      <c r="O4" s="704">
        <f>IF(M4&lt;=0," ",N4/M4*100)</f>
        <v>95</v>
      </c>
      <c r="P4" s="732"/>
      <c r="Q4" s="732"/>
      <c r="R4" s="732"/>
      <c r="S4" s="733"/>
      <c r="T4" s="734" t="s">
        <v>676</v>
      </c>
    </row>
    <row r="5" spans="1:21" outlineLevel="1">
      <c r="A5" s="694">
        <f t="shared" si="1"/>
        <v>4</v>
      </c>
      <c r="B5" s="709"/>
      <c r="C5" s="711" t="s">
        <v>677</v>
      </c>
      <c r="D5" s="711"/>
      <c r="E5" s="712"/>
      <c r="F5" s="712"/>
      <c r="G5" s="713"/>
      <c r="H5" s="713"/>
      <c r="I5" s="714">
        <f t="shared" ref="I5:N5" si="2">SUBTOTAL(9,I4:I4)</f>
        <v>0</v>
      </c>
      <c r="J5" s="715">
        <f t="shared" si="2"/>
        <v>0</v>
      </c>
      <c r="K5" s="716">
        <f t="shared" si="2"/>
        <v>0</v>
      </c>
      <c r="L5" s="717">
        <f t="shared" si="2"/>
        <v>0</v>
      </c>
      <c r="M5" s="717">
        <f t="shared" si="2"/>
        <v>200</v>
      </c>
      <c r="N5" s="718">
        <f t="shared" si="2"/>
        <v>190</v>
      </c>
      <c r="O5" s="719">
        <f>IF(M5&lt;=0," ",N5/M5*100)</f>
        <v>95</v>
      </c>
      <c r="P5" s="720">
        <f>SUBTOTAL(9,P4:P4)</f>
        <v>0</v>
      </c>
      <c r="Q5" s="720">
        <f>SUBTOTAL(9,Q4:Q4)</f>
        <v>0</v>
      </c>
      <c r="R5" s="720">
        <f>SUBTOTAL(9,R4:R4)</f>
        <v>0</v>
      </c>
      <c r="S5" s="721"/>
      <c r="T5" s="722"/>
    </row>
    <row r="6" spans="1:21" outlineLevel="2">
      <c r="A6" s="694">
        <f t="shared" si="1"/>
        <v>5</v>
      </c>
      <c r="B6" s="723" t="s">
        <v>678</v>
      </c>
      <c r="C6" s="735" t="s">
        <v>679</v>
      </c>
      <c r="D6" s="724">
        <v>2903</v>
      </c>
      <c r="E6" s="725"/>
      <c r="F6" s="725" t="s">
        <v>680</v>
      </c>
      <c r="G6" s="724">
        <v>2012</v>
      </c>
      <c r="H6" s="724">
        <v>2015</v>
      </c>
      <c r="I6" s="736">
        <v>68500</v>
      </c>
      <c r="J6" s="728"/>
      <c r="K6" s="729"/>
      <c r="L6" s="730"/>
      <c r="M6" s="730">
        <v>500</v>
      </c>
      <c r="N6" s="731"/>
      <c r="O6" s="737">
        <f t="shared" ref="O6:O69" si="3">IF(M6&lt;=0," ",N6/M6*100)</f>
        <v>0</v>
      </c>
      <c r="P6" s="732"/>
      <c r="Q6" s="732"/>
      <c r="R6" s="732"/>
      <c r="S6" s="733"/>
      <c r="T6" s="734" t="s">
        <v>681</v>
      </c>
    </row>
    <row r="7" spans="1:21" outlineLevel="2">
      <c r="A7" s="694">
        <f t="shared" si="1"/>
        <v>6</v>
      </c>
      <c r="B7" s="723" t="s">
        <v>678</v>
      </c>
      <c r="C7" s="735" t="s">
        <v>679</v>
      </c>
      <c r="D7" s="724">
        <v>2908</v>
      </c>
      <c r="E7" s="725"/>
      <c r="F7" s="725" t="s">
        <v>682</v>
      </c>
      <c r="G7" s="724">
        <v>2012</v>
      </c>
      <c r="H7" s="724">
        <v>2013</v>
      </c>
      <c r="I7" s="736">
        <v>3025</v>
      </c>
      <c r="J7" s="728"/>
      <c r="K7" s="729"/>
      <c r="L7" s="730"/>
      <c r="M7" s="738">
        <v>2525</v>
      </c>
      <c r="N7" s="739">
        <v>2254</v>
      </c>
      <c r="O7" s="737">
        <f t="shared" si="3"/>
        <v>89.267326732673268</v>
      </c>
      <c r="P7" s="732"/>
      <c r="Q7" s="732"/>
      <c r="R7" s="732"/>
      <c r="S7" s="733"/>
      <c r="T7" s="734" t="s">
        <v>681</v>
      </c>
      <c r="U7" s="740">
        <f>K7+N7</f>
        <v>2254</v>
      </c>
    </row>
    <row r="8" spans="1:21" outlineLevel="2">
      <c r="A8" s="694">
        <f t="shared" si="1"/>
        <v>7</v>
      </c>
      <c r="B8" s="723" t="s">
        <v>678</v>
      </c>
      <c r="C8" s="735" t="s">
        <v>679</v>
      </c>
      <c r="D8" s="724">
        <v>2908</v>
      </c>
      <c r="E8" s="724">
        <v>229</v>
      </c>
      <c r="F8" s="725" t="s">
        <v>682</v>
      </c>
      <c r="G8" s="724"/>
      <c r="H8" s="724"/>
      <c r="I8" s="736"/>
      <c r="J8" s="728"/>
      <c r="K8" s="729"/>
      <c r="L8" s="730"/>
      <c r="M8" s="738">
        <v>500</v>
      </c>
      <c r="N8" s="739">
        <v>500</v>
      </c>
      <c r="O8" s="737">
        <f t="shared" si="3"/>
        <v>100</v>
      </c>
      <c r="P8" s="732"/>
      <c r="Q8" s="732"/>
      <c r="R8" s="732"/>
      <c r="S8" s="733"/>
      <c r="T8" s="734" t="s">
        <v>681</v>
      </c>
    </row>
    <row r="9" spans="1:21" outlineLevel="2">
      <c r="A9" s="694">
        <f t="shared" si="1"/>
        <v>8</v>
      </c>
      <c r="B9" s="723" t="s">
        <v>678</v>
      </c>
      <c r="C9" s="735" t="s">
        <v>679</v>
      </c>
      <c r="D9" s="724">
        <v>2909</v>
      </c>
      <c r="E9" s="725"/>
      <c r="F9" s="725" t="s">
        <v>683</v>
      </c>
      <c r="G9" s="724">
        <v>2012</v>
      </c>
      <c r="H9" s="724">
        <v>2013</v>
      </c>
      <c r="I9" s="741">
        <v>275</v>
      </c>
      <c r="J9" s="728"/>
      <c r="K9" s="729"/>
      <c r="L9" s="730"/>
      <c r="M9" s="730">
        <v>30</v>
      </c>
      <c r="N9" s="731">
        <v>30</v>
      </c>
      <c r="O9" s="737">
        <f>IF(M9&lt;=0," ",N9/M9*100)</f>
        <v>100</v>
      </c>
      <c r="P9" s="732"/>
      <c r="Q9" s="732"/>
      <c r="R9" s="732"/>
      <c r="S9" s="733"/>
      <c r="T9" s="734" t="s">
        <v>681</v>
      </c>
      <c r="U9" s="740">
        <f>K9+N9</f>
        <v>30</v>
      </c>
    </row>
    <row r="10" spans="1:21" s="708" customFormat="1" outlineLevel="2">
      <c r="A10" s="694">
        <f t="shared" si="1"/>
        <v>9</v>
      </c>
      <c r="B10" s="742">
        <v>5600</v>
      </c>
      <c r="C10" s="735" t="s">
        <v>679</v>
      </c>
      <c r="D10" s="735">
        <v>2930</v>
      </c>
      <c r="E10" s="743"/>
      <c r="F10" s="743" t="s">
        <v>684</v>
      </c>
      <c r="G10" s="735">
        <v>2012</v>
      </c>
      <c r="H10" s="735">
        <v>2015</v>
      </c>
      <c r="I10" s="744">
        <v>75200</v>
      </c>
      <c r="J10" s="743"/>
      <c r="K10" s="745">
        <v>0</v>
      </c>
      <c r="L10" s="744">
        <v>3000</v>
      </c>
      <c r="M10" s="744"/>
      <c r="N10" s="746"/>
      <c r="O10" s="737" t="str">
        <f t="shared" si="3"/>
        <v xml:space="preserve"> </v>
      </c>
      <c r="P10" s="747"/>
      <c r="Q10" s="747"/>
      <c r="R10" s="747"/>
      <c r="S10" s="746">
        <v>72200</v>
      </c>
      <c r="T10" s="748" t="s">
        <v>681</v>
      </c>
    </row>
    <row r="11" spans="1:21" s="708" customFormat="1" outlineLevel="2">
      <c r="A11" s="694">
        <f t="shared" si="1"/>
        <v>10</v>
      </c>
      <c r="B11" s="742">
        <v>5600</v>
      </c>
      <c r="C11" s="735" t="s">
        <v>679</v>
      </c>
      <c r="D11" s="735">
        <v>2931</v>
      </c>
      <c r="E11" s="743"/>
      <c r="F11" s="743" t="s">
        <v>685</v>
      </c>
      <c r="G11" s="735">
        <v>2012</v>
      </c>
      <c r="H11" s="735">
        <v>2015</v>
      </c>
      <c r="I11" s="744">
        <v>91670</v>
      </c>
      <c r="J11" s="743"/>
      <c r="K11" s="745">
        <v>0</v>
      </c>
      <c r="L11" s="744">
        <v>3000</v>
      </c>
      <c r="M11" s="744"/>
      <c r="N11" s="749"/>
      <c r="O11" s="737" t="str">
        <f t="shared" si="3"/>
        <v xml:space="preserve"> </v>
      </c>
      <c r="P11" s="750"/>
      <c r="Q11" s="750"/>
      <c r="R11" s="750"/>
      <c r="S11" s="749">
        <v>88670</v>
      </c>
      <c r="T11" s="748" t="s">
        <v>681</v>
      </c>
    </row>
    <row r="12" spans="1:21" outlineLevel="2">
      <c r="A12" s="694">
        <f t="shared" si="1"/>
        <v>11</v>
      </c>
      <c r="B12" s="751" t="s">
        <v>678</v>
      </c>
      <c r="C12" s="735" t="s">
        <v>679</v>
      </c>
      <c r="D12" s="752">
        <v>2963</v>
      </c>
      <c r="E12" s="753"/>
      <c r="F12" s="753" t="s">
        <v>686</v>
      </c>
      <c r="G12" s="753" t="s">
        <v>687</v>
      </c>
      <c r="H12" s="752">
        <v>2014</v>
      </c>
      <c r="I12" s="754">
        <v>15650</v>
      </c>
      <c r="J12" s="754"/>
      <c r="K12" s="754">
        <f>0</f>
        <v>0</v>
      </c>
      <c r="L12" s="755">
        <v>800</v>
      </c>
      <c r="M12" s="755">
        <v>800</v>
      </c>
      <c r="N12" s="756">
        <v>799</v>
      </c>
      <c r="O12" s="737">
        <f t="shared" si="3"/>
        <v>99.875</v>
      </c>
      <c r="P12" s="757"/>
      <c r="Q12" s="757"/>
      <c r="R12" s="757"/>
      <c r="S12" s="749">
        <v>14850</v>
      </c>
      <c r="T12" s="758" t="s">
        <v>681</v>
      </c>
    </row>
    <row r="13" spans="1:21" outlineLevel="2">
      <c r="A13" s="694">
        <f t="shared" si="1"/>
        <v>12</v>
      </c>
      <c r="B13" s="751" t="s">
        <v>678</v>
      </c>
      <c r="C13" s="735" t="s">
        <v>679</v>
      </c>
      <c r="D13" s="752">
        <v>3067</v>
      </c>
      <c r="E13" s="753"/>
      <c r="F13" s="753" t="s">
        <v>688</v>
      </c>
      <c r="G13" s="753" t="s">
        <v>689</v>
      </c>
      <c r="H13" s="752">
        <v>2016</v>
      </c>
      <c r="I13" s="754">
        <v>903</v>
      </c>
      <c r="J13" s="754"/>
      <c r="K13" s="754">
        <v>0</v>
      </c>
      <c r="L13" s="755">
        <v>0</v>
      </c>
      <c r="M13" s="755">
        <v>0</v>
      </c>
      <c r="N13" s="756"/>
      <c r="O13" s="737" t="str">
        <f t="shared" si="3"/>
        <v xml:space="preserve"> </v>
      </c>
      <c r="P13" s="757"/>
      <c r="Q13" s="757"/>
      <c r="R13" s="757"/>
      <c r="S13" s="749">
        <v>903</v>
      </c>
      <c r="T13" s="758" t="s">
        <v>681</v>
      </c>
      <c r="U13" s="740">
        <f t="shared" ref="U13:U14" si="4">K13+N13</f>
        <v>0</v>
      </c>
    </row>
    <row r="14" spans="1:21" outlineLevel="2">
      <c r="A14" s="694">
        <f t="shared" si="1"/>
        <v>13</v>
      </c>
      <c r="B14" s="751" t="s">
        <v>678</v>
      </c>
      <c r="C14" s="735" t="s">
        <v>679</v>
      </c>
      <c r="D14" s="752">
        <v>3070</v>
      </c>
      <c r="E14" s="753"/>
      <c r="F14" s="753" t="s">
        <v>690</v>
      </c>
      <c r="G14" s="753" t="s">
        <v>689</v>
      </c>
      <c r="H14" s="752">
        <v>2014</v>
      </c>
      <c r="I14" s="754">
        <v>68320</v>
      </c>
      <c r="J14" s="754"/>
      <c r="K14" s="754">
        <f>6560+15307</f>
        <v>21867</v>
      </c>
      <c r="L14" s="755">
        <v>0</v>
      </c>
      <c r="M14" s="755">
        <v>0</v>
      </c>
      <c r="N14" s="756"/>
      <c r="O14" s="737" t="str">
        <f t="shared" si="3"/>
        <v xml:space="preserve"> </v>
      </c>
      <c r="P14" s="757"/>
      <c r="Q14" s="757"/>
      <c r="R14" s="757"/>
      <c r="S14" s="749">
        <v>46452</v>
      </c>
      <c r="T14" s="758" t="s">
        <v>681</v>
      </c>
      <c r="U14" s="740">
        <f t="shared" si="4"/>
        <v>21867</v>
      </c>
    </row>
    <row r="15" spans="1:21" outlineLevel="2">
      <c r="A15" s="694">
        <f t="shared" si="1"/>
        <v>14</v>
      </c>
      <c r="B15" s="751" t="s">
        <v>678</v>
      </c>
      <c r="C15" s="735" t="s">
        <v>679</v>
      </c>
      <c r="D15" s="752">
        <v>3094</v>
      </c>
      <c r="E15" s="753"/>
      <c r="F15" s="753" t="s">
        <v>691</v>
      </c>
      <c r="G15" s="753" t="s">
        <v>689</v>
      </c>
      <c r="H15" s="752">
        <v>2014</v>
      </c>
      <c r="I15" s="754">
        <v>96000</v>
      </c>
      <c r="J15" s="754"/>
      <c r="K15" s="754">
        <f>610</f>
        <v>610</v>
      </c>
      <c r="L15" s="755">
        <v>34300</v>
      </c>
      <c r="M15" s="755">
        <v>29000</v>
      </c>
      <c r="N15" s="756">
        <v>28986</v>
      </c>
      <c r="O15" s="737">
        <f t="shared" si="3"/>
        <v>99.951724137931024</v>
      </c>
      <c r="P15" s="757"/>
      <c r="Q15" s="757"/>
      <c r="R15" s="757"/>
      <c r="S15" s="749">
        <v>51700</v>
      </c>
      <c r="T15" s="758" t="s">
        <v>681</v>
      </c>
    </row>
    <row r="16" spans="1:21" outlineLevel="2">
      <c r="A16" s="694">
        <f t="shared" si="1"/>
        <v>15</v>
      </c>
      <c r="B16" s="751" t="s">
        <v>678</v>
      </c>
      <c r="C16" s="735" t="s">
        <v>679</v>
      </c>
      <c r="D16" s="752">
        <v>3153</v>
      </c>
      <c r="E16" s="753"/>
      <c r="F16" s="753" t="s">
        <v>692</v>
      </c>
      <c r="G16" s="753" t="s">
        <v>693</v>
      </c>
      <c r="H16" s="752">
        <v>2014</v>
      </c>
      <c r="I16" s="755">
        <v>371860</v>
      </c>
      <c r="J16" s="755"/>
      <c r="K16" s="754">
        <f>25165+14</f>
        <v>25179</v>
      </c>
      <c r="L16" s="755">
        <v>20000</v>
      </c>
      <c r="M16" s="755">
        <v>13000</v>
      </c>
      <c r="N16" s="756">
        <v>5484</v>
      </c>
      <c r="O16" s="737">
        <f t="shared" si="3"/>
        <v>42.184615384615384</v>
      </c>
      <c r="P16" s="757"/>
      <c r="Q16" s="757"/>
      <c r="R16" s="757"/>
      <c r="S16" s="749">
        <v>326495</v>
      </c>
      <c r="T16" s="758" t="s">
        <v>681</v>
      </c>
    </row>
    <row r="17" spans="1:21" outlineLevel="2">
      <c r="A17" s="694">
        <f t="shared" si="1"/>
        <v>16</v>
      </c>
      <c r="B17" s="751" t="s">
        <v>678</v>
      </c>
      <c r="C17" s="735" t="s">
        <v>679</v>
      </c>
      <c r="D17" s="752">
        <v>3227</v>
      </c>
      <c r="E17" s="753"/>
      <c r="F17" s="753" t="s">
        <v>694</v>
      </c>
      <c r="G17" s="753" t="s">
        <v>695</v>
      </c>
      <c r="H17" s="752">
        <v>2015</v>
      </c>
      <c r="I17" s="754">
        <v>4200</v>
      </c>
      <c r="J17" s="754"/>
      <c r="K17" s="754">
        <v>228</v>
      </c>
      <c r="L17" s="755">
        <v>0</v>
      </c>
      <c r="M17" s="755">
        <v>0</v>
      </c>
      <c r="N17" s="756"/>
      <c r="O17" s="737" t="str">
        <f t="shared" si="3"/>
        <v xml:space="preserve"> </v>
      </c>
      <c r="P17" s="757"/>
      <c r="Q17" s="757"/>
      <c r="R17" s="757"/>
      <c r="S17" s="749">
        <v>3972</v>
      </c>
      <c r="T17" s="758" t="s">
        <v>681</v>
      </c>
    </row>
    <row r="18" spans="1:21" outlineLevel="2">
      <c r="A18" s="694">
        <f t="shared" si="1"/>
        <v>17</v>
      </c>
      <c r="B18" s="751" t="s">
        <v>678</v>
      </c>
      <c r="C18" s="735" t="s">
        <v>679</v>
      </c>
      <c r="D18" s="752">
        <v>3228</v>
      </c>
      <c r="E18" s="753"/>
      <c r="F18" s="753" t="s">
        <v>696</v>
      </c>
      <c r="G18" s="753" t="s">
        <v>695</v>
      </c>
      <c r="H18" s="752">
        <v>2015</v>
      </c>
      <c r="I18" s="754">
        <v>3000</v>
      </c>
      <c r="J18" s="754"/>
      <c r="K18" s="754">
        <v>115</v>
      </c>
      <c r="L18" s="755">
        <v>0</v>
      </c>
      <c r="M18" s="755">
        <v>0</v>
      </c>
      <c r="N18" s="756"/>
      <c r="O18" s="737" t="str">
        <f t="shared" si="3"/>
        <v xml:space="preserve"> </v>
      </c>
      <c r="P18" s="757"/>
      <c r="Q18" s="757"/>
      <c r="R18" s="757"/>
      <c r="S18" s="749">
        <v>2885</v>
      </c>
      <c r="T18" s="758" t="s">
        <v>681</v>
      </c>
    </row>
    <row r="19" spans="1:21" outlineLevel="2">
      <c r="A19" s="694">
        <f t="shared" si="1"/>
        <v>18</v>
      </c>
      <c r="B19" s="751" t="s">
        <v>678</v>
      </c>
      <c r="C19" s="735" t="s">
        <v>679</v>
      </c>
      <c r="D19" s="752">
        <v>3348</v>
      </c>
      <c r="E19" s="753"/>
      <c r="F19" s="753" t="s">
        <v>697</v>
      </c>
      <c r="G19" s="753" t="s">
        <v>698</v>
      </c>
      <c r="H19" s="753" t="s">
        <v>699</v>
      </c>
      <c r="I19" s="754">
        <v>3000000</v>
      </c>
      <c r="J19" s="754"/>
      <c r="K19" s="754">
        <f>41073+2698</f>
        <v>43771</v>
      </c>
      <c r="L19" s="755">
        <v>100</v>
      </c>
      <c r="M19" s="755">
        <v>1200</v>
      </c>
      <c r="N19" s="756">
        <v>1057</v>
      </c>
      <c r="O19" s="737">
        <f t="shared" si="3"/>
        <v>88.083333333333343</v>
      </c>
      <c r="P19" s="757"/>
      <c r="Q19" s="757"/>
      <c r="R19" s="757"/>
      <c r="S19" s="749">
        <v>2953827</v>
      </c>
      <c r="T19" s="758" t="s">
        <v>681</v>
      </c>
    </row>
    <row r="20" spans="1:21" outlineLevel="2">
      <c r="A20" s="694">
        <f t="shared" si="1"/>
        <v>19</v>
      </c>
      <c r="B20" s="751" t="s">
        <v>678</v>
      </c>
      <c r="C20" s="735" t="s">
        <v>679</v>
      </c>
      <c r="D20" s="752">
        <v>4220</v>
      </c>
      <c r="E20" s="753"/>
      <c r="F20" s="753" t="s">
        <v>700</v>
      </c>
      <c r="G20" s="753" t="s">
        <v>701</v>
      </c>
      <c r="H20" s="752">
        <v>2015</v>
      </c>
      <c r="I20" s="755">
        <v>688583</v>
      </c>
      <c r="J20" s="755"/>
      <c r="K20" s="754">
        <v>686439</v>
      </c>
      <c r="L20" s="755">
        <v>0</v>
      </c>
      <c r="M20" s="755">
        <v>0</v>
      </c>
      <c r="N20" s="756"/>
      <c r="O20" s="737" t="str">
        <f t="shared" si="3"/>
        <v xml:space="preserve"> </v>
      </c>
      <c r="P20" s="757"/>
      <c r="Q20" s="757"/>
      <c r="R20" s="757"/>
      <c r="S20" s="749">
        <v>2144</v>
      </c>
      <c r="T20" s="758" t="s">
        <v>681</v>
      </c>
    </row>
    <row r="21" spans="1:21" outlineLevel="2">
      <c r="A21" s="694">
        <f t="shared" si="1"/>
        <v>20</v>
      </c>
      <c r="B21" s="751" t="s">
        <v>678</v>
      </c>
      <c r="C21" s="735" t="s">
        <v>679</v>
      </c>
      <c r="D21" s="752">
        <v>4267</v>
      </c>
      <c r="E21" s="753"/>
      <c r="F21" s="753" t="s">
        <v>702</v>
      </c>
      <c r="G21" s="752">
        <v>2000</v>
      </c>
      <c r="H21" s="752">
        <v>2015</v>
      </c>
      <c r="I21" s="754">
        <v>929659</v>
      </c>
      <c r="J21" s="755"/>
      <c r="K21" s="754">
        <v>400607</v>
      </c>
      <c r="L21" s="755">
        <v>0</v>
      </c>
      <c r="M21" s="755">
        <v>0</v>
      </c>
      <c r="N21" s="756"/>
      <c r="O21" s="737" t="str">
        <f t="shared" si="3"/>
        <v xml:space="preserve"> </v>
      </c>
      <c r="P21" s="757"/>
      <c r="Q21" s="757"/>
      <c r="R21" s="757"/>
      <c r="S21" s="749">
        <v>529052</v>
      </c>
      <c r="T21" s="758" t="s">
        <v>681</v>
      </c>
    </row>
    <row r="22" spans="1:21" outlineLevel="2">
      <c r="A22" s="694">
        <f t="shared" si="1"/>
        <v>21</v>
      </c>
      <c r="B22" s="751" t="s">
        <v>678</v>
      </c>
      <c r="C22" s="735" t="s">
        <v>679</v>
      </c>
      <c r="D22" s="752">
        <v>4276</v>
      </c>
      <c r="E22" s="753"/>
      <c r="F22" s="753" t="s">
        <v>703</v>
      </c>
      <c r="G22" s="753" t="s">
        <v>704</v>
      </c>
      <c r="H22" s="753" t="s">
        <v>705</v>
      </c>
      <c r="I22" s="754">
        <v>2171000</v>
      </c>
      <c r="J22" s="755"/>
      <c r="K22" s="754">
        <f>305041+124900</f>
        <v>429941</v>
      </c>
      <c r="L22" s="755">
        <v>2000</v>
      </c>
      <c r="M22" s="755">
        <v>2000</v>
      </c>
      <c r="N22" s="756">
        <v>1838</v>
      </c>
      <c r="O22" s="737">
        <f t="shared" si="3"/>
        <v>91.9</v>
      </c>
      <c r="P22" s="757"/>
      <c r="Q22" s="757"/>
      <c r="R22" s="757"/>
      <c r="S22" s="749">
        <v>1738959</v>
      </c>
      <c r="T22" s="758" t="s">
        <v>681</v>
      </c>
    </row>
    <row r="23" spans="1:21" outlineLevel="2">
      <c r="A23" s="694">
        <f t="shared" si="1"/>
        <v>22</v>
      </c>
      <c r="B23" s="751" t="s">
        <v>678</v>
      </c>
      <c r="C23" s="735" t="s">
        <v>679</v>
      </c>
      <c r="D23" s="752">
        <v>4280</v>
      </c>
      <c r="E23" s="753"/>
      <c r="F23" s="753" t="s">
        <v>706</v>
      </c>
      <c r="G23" s="753" t="s">
        <v>704</v>
      </c>
      <c r="H23" s="752">
        <v>2016</v>
      </c>
      <c r="I23" s="755">
        <v>188649</v>
      </c>
      <c r="J23" s="755"/>
      <c r="K23" s="754">
        <v>18767</v>
      </c>
      <c r="L23" s="755">
        <v>0</v>
      </c>
      <c r="M23" s="755">
        <v>0</v>
      </c>
      <c r="N23" s="756"/>
      <c r="O23" s="737" t="str">
        <f t="shared" si="3"/>
        <v xml:space="preserve"> </v>
      </c>
      <c r="P23" s="757"/>
      <c r="Q23" s="757"/>
      <c r="R23" s="757"/>
      <c r="S23" s="749">
        <v>169882</v>
      </c>
      <c r="T23" s="758" t="s">
        <v>681</v>
      </c>
    </row>
    <row r="24" spans="1:21" outlineLevel="2">
      <c r="A24" s="694">
        <f t="shared" si="1"/>
        <v>23</v>
      </c>
      <c r="B24" s="751" t="s">
        <v>678</v>
      </c>
      <c r="C24" s="735" t="s">
        <v>679</v>
      </c>
      <c r="D24" s="752">
        <v>4281</v>
      </c>
      <c r="E24" s="753"/>
      <c r="F24" s="753" t="s">
        <v>707</v>
      </c>
      <c r="G24" s="753" t="s">
        <v>704</v>
      </c>
      <c r="H24" s="752">
        <v>2016</v>
      </c>
      <c r="I24" s="755">
        <v>91681</v>
      </c>
      <c r="J24" s="755"/>
      <c r="K24" s="754">
        <f>17419+6000</f>
        <v>23419</v>
      </c>
      <c r="L24" s="755">
        <v>0</v>
      </c>
      <c r="M24" s="755">
        <v>0</v>
      </c>
      <c r="N24" s="756"/>
      <c r="O24" s="737" t="str">
        <f t="shared" si="3"/>
        <v xml:space="preserve"> </v>
      </c>
      <c r="P24" s="757"/>
      <c r="Q24" s="757"/>
      <c r="R24" s="757"/>
      <c r="S24" s="749">
        <v>68262</v>
      </c>
      <c r="T24" s="758" t="s">
        <v>681</v>
      </c>
    </row>
    <row r="25" spans="1:21" outlineLevel="2">
      <c r="A25" s="694">
        <f t="shared" si="1"/>
        <v>24</v>
      </c>
      <c r="B25" s="751" t="s">
        <v>678</v>
      </c>
      <c r="C25" s="735" t="s">
        <v>679</v>
      </c>
      <c r="D25" s="752">
        <v>4283</v>
      </c>
      <c r="E25" s="753"/>
      <c r="F25" s="753" t="s">
        <v>708</v>
      </c>
      <c r="G25" s="753" t="s">
        <v>704</v>
      </c>
      <c r="H25" s="752">
        <v>2014</v>
      </c>
      <c r="I25" s="755">
        <v>25386</v>
      </c>
      <c r="J25" s="755"/>
      <c r="K25" s="754">
        <v>12359</v>
      </c>
      <c r="L25" s="755">
        <v>500</v>
      </c>
      <c r="M25" s="755">
        <v>500</v>
      </c>
      <c r="N25" s="756">
        <v>76</v>
      </c>
      <c r="O25" s="737">
        <f t="shared" si="3"/>
        <v>15.2</v>
      </c>
      <c r="P25" s="757"/>
      <c r="Q25" s="757"/>
      <c r="R25" s="757"/>
      <c r="S25" s="749">
        <v>12527</v>
      </c>
      <c r="T25" s="758" t="s">
        <v>681</v>
      </c>
    </row>
    <row r="26" spans="1:21" outlineLevel="2">
      <c r="A26" s="694">
        <f t="shared" si="1"/>
        <v>25</v>
      </c>
      <c r="B26" s="751" t="s">
        <v>678</v>
      </c>
      <c r="C26" s="735" t="s">
        <v>679</v>
      </c>
      <c r="D26" s="752">
        <v>4284</v>
      </c>
      <c r="E26" s="753"/>
      <c r="F26" s="743" t="s">
        <v>709</v>
      </c>
      <c r="G26" s="753" t="s">
        <v>704</v>
      </c>
      <c r="H26" s="752">
        <v>2013</v>
      </c>
      <c r="I26" s="754">
        <v>38620</v>
      </c>
      <c r="J26" s="755"/>
      <c r="K26" s="754">
        <v>10227</v>
      </c>
      <c r="L26" s="755">
        <v>10000</v>
      </c>
      <c r="M26" s="755">
        <v>2630</v>
      </c>
      <c r="N26" s="756">
        <v>2503</v>
      </c>
      <c r="O26" s="737">
        <f t="shared" si="3"/>
        <v>95.171102661596962</v>
      </c>
      <c r="P26" s="757"/>
      <c r="Q26" s="757"/>
      <c r="R26" s="757"/>
      <c r="S26" s="749">
        <v>13763</v>
      </c>
      <c r="T26" s="758" t="s">
        <v>681</v>
      </c>
      <c r="U26" s="740">
        <f>K26+N26</f>
        <v>12730</v>
      </c>
    </row>
    <row r="27" spans="1:21" outlineLevel="2">
      <c r="A27" s="694">
        <f t="shared" si="1"/>
        <v>26</v>
      </c>
      <c r="B27" s="751" t="s">
        <v>678</v>
      </c>
      <c r="C27" s="735" t="s">
        <v>679</v>
      </c>
      <c r="D27" s="752">
        <v>4286</v>
      </c>
      <c r="E27" s="753"/>
      <c r="F27" s="743" t="s">
        <v>710</v>
      </c>
      <c r="G27" s="753" t="s">
        <v>704</v>
      </c>
      <c r="H27" s="752">
        <v>2016</v>
      </c>
      <c r="I27" s="754">
        <v>127143</v>
      </c>
      <c r="J27" s="755"/>
      <c r="K27" s="754">
        <v>793</v>
      </c>
      <c r="L27" s="755">
        <v>0</v>
      </c>
      <c r="M27" s="755">
        <v>0</v>
      </c>
      <c r="N27" s="756"/>
      <c r="O27" s="737" t="str">
        <f t="shared" si="3"/>
        <v xml:space="preserve"> </v>
      </c>
      <c r="P27" s="757"/>
      <c r="Q27" s="757"/>
      <c r="R27" s="757"/>
      <c r="S27" s="749">
        <v>126350</v>
      </c>
      <c r="T27" s="758" t="s">
        <v>681</v>
      </c>
    </row>
    <row r="28" spans="1:21" s="708" customFormat="1" outlineLevel="2">
      <c r="A28" s="694">
        <f t="shared" si="1"/>
        <v>27</v>
      </c>
      <c r="B28" s="759" t="s">
        <v>678</v>
      </c>
      <c r="C28" s="735" t="s">
        <v>679</v>
      </c>
      <c r="D28" s="735">
        <v>4556</v>
      </c>
      <c r="E28" s="743"/>
      <c r="F28" s="743" t="s">
        <v>711</v>
      </c>
      <c r="G28" s="743" t="s">
        <v>712</v>
      </c>
      <c r="H28" s="735">
        <v>2015</v>
      </c>
      <c r="I28" s="755">
        <v>185000</v>
      </c>
      <c r="J28" s="755"/>
      <c r="K28" s="755">
        <v>7932</v>
      </c>
      <c r="L28" s="755">
        <v>40000</v>
      </c>
      <c r="M28" s="755">
        <v>10919</v>
      </c>
      <c r="N28" s="756">
        <v>10894</v>
      </c>
      <c r="O28" s="737">
        <f t="shared" si="3"/>
        <v>99.771041304148739</v>
      </c>
      <c r="P28" s="757"/>
      <c r="Q28" s="757"/>
      <c r="R28" s="757"/>
      <c r="S28" s="749">
        <v>137068</v>
      </c>
      <c r="T28" s="748" t="s">
        <v>681</v>
      </c>
    </row>
    <row r="29" spans="1:21" outlineLevel="2">
      <c r="A29" s="694">
        <f t="shared" si="1"/>
        <v>28</v>
      </c>
      <c r="B29" s="751" t="s">
        <v>678</v>
      </c>
      <c r="C29" s="735" t="s">
        <v>679</v>
      </c>
      <c r="D29" s="752">
        <v>4567</v>
      </c>
      <c r="E29" s="753"/>
      <c r="F29" s="743" t="s">
        <v>713</v>
      </c>
      <c r="G29" s="753" t="s">
        <v>714</v>
      </c>
      <c r="H29" s="752">
        <v>2016</v>
      </c>
      <c r="I29" s="754">
        <v>40480</v>
      </c>
      <c r="J29" s="754"/>
      <c r="K29" s="754">
        <v>859</v>
      </c>
      <c r="L29" s="755">
        <v>0</v>
      </c>
      <c r="M29" s="755">
        <v>0</v>
      </c>
      <c r="N29" s="756"/>
      <c r="O29" s="737" t="str">
        <f t="shared" si="3"/>
        <v xml:space="preserve"> </v>
      </c>
      <c r="P29" s="757"/>
      <c r="Q29" s="757"/>
      <c r="R29" s="757"/>
      <c r="S29" s="749">
        <v>39621</v>
      </c>
      <c r="T29" s="758" t="s">
        <v>681</v>
      </c>
      <c r="U29" s="740">
        <f>K29+N29</f>
        <v>859</v>
      </c>
    </row>
    <row r="30" spans="1:21" outlineLevel="1">
      <c r="A30" s="694">
        <f t="shared" si="1"/>
        <v>29</v>
      </c>
      <c r="B30" s="760"/>
      <c r="C30" s="761" t="s">
        <v>715</v>
      </c>
      <c r="D30" s="761"/>
      <c r="E30" s="762"/>
      <c r="F30" s="762"/>
      <c r="G30" s="762"/>
      <c r="H30" s="762"/>
      <c r="I30" s="763">
        <f t="shared" ref="I30:N30" si="5">SUBTOTAL(9,I6:I29)</f>
        <v>8284804</v>
      </c>
      <c r="J30" s="763">
        <f t="shared" si="5"/>
        <v>0</v>
      </c>
      <c r="K30" s="763">
        <f t="shared" si="5"/>
        <v>1683113</v>
      </c>
      <c r="L30" s="763">
        <f t="shared" si="5"/>
        <v>113700</v>
      </c>
      <c r="M30" s="763">
        <f t="shared" si="5"/>
        <v>63604</v>
      </c>
      <c r="N30" s="764">
        <f t="shared" si="5"/>
        <v>54421</v>
      </c>
      <c r="O30" s="765">
        <f t="shared" si="3"/>
        <v>85.562228790642109</v>
      </c>
      <c r="P30" s="764">
        <f>SUBTOTAL(9,P6:P29)</f>
        <v>0</v>
      </c>
      <c r="Q30" s="764">
        <f>SUBTOTAL(9,Q6:Q29)</f>
        <v>0</v>
      </c>
      <c r="R30" s="764">
        <f>SUBTOTAL(9,R6:R29)</f>
        <v>0</v>
      </c>
      <c r="S30" s="766"/>
      <c r="T30" s="767"/>
    </row>
    <row r="31" spans="1:21" s="708" customFormat="1" outlineLevel="2">
      <c r="A31" s="694">
        <f t="shared" si="1"/>
        <v>30</v>
      </c>
      <c r="B31" s="759" t="s">
        <v>678</v>
      </c>
      <c r="C31" s="752" t="s">
        <v>716</v>
      </c>
      <c r="D31" s="735">
        <v>2884</v>
      </c>
      <c r="E31" s="768"/>
      <c r="F31" s="743" t="s">
        <v>717</v>
      </c>
      <c r="G31" s="735">
        <v>2012</v>
      </c>
      <c r="H31" s="735">
        <v>2012</v>
      </c>
      <c r="I31" s="755">
        <v>1855</v>
      </c>
      <c r="J31" s="755"/>
      <c r="K31" s="755"/>
      <c r="L31" s="755"/>
      <c r="M31" s="755">
        <v>1855</v>
      </c>
      <c r="N31" s="756">
        <v>1854</v>
      </c>
      <c r="O31" s="737">
        <f t="shared" si="3"/>
        <v>99.946091644204841</v>
      </c>
      <c r="P31" s="756"/>
      <c r="Q31" s="756"/>
      <c r="R31" s="756"/>
      <c r="S31" s="749"/>
      <c r="T31" s="748" t="s">
        <v>681</v>
      </c>
      <c r="U31" s="740">
        <f>K31+N31</f>
        <v>1854</v>
      </c>
    </row>
    <row r="32" spans="1:21" outlineLevel="2">
      <c r="A32" s="694">
        <f t="shared" si="1"/>
        <v>31</v>
      </c>
      <c r="B32" s="751" t="s">
        <v>718</v>
      </c>
      <c r="C32" s="752" t="s">
        <v>716</v>
      </c>
      <c r="D32" s="752">
        <v>2947</v>
      </c>
      <c r="E32" s="753"/>
      <c r="F32" s="753" t="s">
        <v>719</v>
      </c>
      <c r="G32" s="769"/>
      <c r="H32" s="769"/>
      <c r="I32" s="754"/>
      <c r="J32" s="754"/>
      <c r="K32" s="754">
        <f>38</f>
        <v>38</v>
      </c>
      <c r="L32" s="755">
        <v>0</v>
      </c>
      <c r="M32" s="755">
        <v>3671</v>
      </c>
      <c r="N32" s="756">
        <v>3599</v>
      </c>
      <c r="O32" s="737">
        <f t="shared" si="3"/>
        <v>98.03868155815853</v>
      </c>
      <c r="P32" s="757"/>
      <c r="Q32" s="757"/>
      <c r="R32" s="757"/>
      <c r="S32" s="749">
        <v>0</v>
      </c>
      <c r="T32" s="758" t="s">
        <v>720</v>
      </c>
    </row>
    <row r="33" spans="1:21" outlineLevel="2">
      <c r="A33" s="694">
        <f t="shared" si="1"/>
        <v>32</v>
      </c>
      <c r="B33" s="751" t="s">
        <v>718</v>
      </c>
      <c r="C33" s="752" t="s">
        <v>716</v>
      </c>
      <c r="D33" s="752">
        <v>2959</v>
      </c>
      <c r="E33" s="753"/>
      <c r="F33" s="753" t="s">
        <v>721</v>
      </c>
      <c r="G33" s="769"/>
      <c r="H33" s="769"/>
      <c r="I33" s="754"/>
      <c r="J33" s="754"/>
      <c r="K33" s="754">
        <f>26299</f>
        <v>26299</v>
      </c>
      <c r="L33" s="755">
        <v>67000</v>
      </c>
      <c r="M33" s="755">
        <v>67000</v>
      </c>
      <c r="N33" s="756">
        <v>67000</v>
      </c>
      <c r="O33" s="737">
        <f t="shared" si="3"/>
        <v>100</v>
      </c>
      <c r="P33" s="757"/>
      <c r="Q33" s="757"/>
      <c r="R33" s="757"/>
      <c r="S33" s="749">
        <v>0</v>
      </c>
      <c r="T33" s="758" t="s">
        <v>720</v>
      </c>
    </row>
    <row r="34" spans="1:21" s="708" customFormat="1" outlineLevel="2">
      <c r="A34" s="694">
        <f t="shared" si="1"/>
        <v>33</v>
      </c>
      <c r="B34" s="759" t="s">
        <v>678</v>
      </c>
      <c r="C34" s="752" t="s">
        <v>716</v>
      </c>
      <c r="D34" s="735">
        <v>2967</v>
      </c>
      <c r="E34" s="743"/>
      <c r="F34" s="743" t="s">
        <v>722</v>
      </c>
      <c r="G34" s="743" t="s">
        <v>687</v>
      </c>
      <c r="H34" s="735">
        <v>2012</v>
      </c>
      <c r="I34" s="755">
        <v>17000</v>
      </c>
      <c r="J34" s="755"/>
      <c r="K34" s="755">
        <f>931</f>
        <v>931</v>
      </c>
      <c r="L34" s="755">
        <v>1000</v>
      </c>
      <c r="M34" s="755">
        <v>16000</v>
      </c>
      <c r="N34" s="756">
        <v>14642</v>
      </c>
      <c r="O34" s="737">
        <f t="shared" si="3"/>
        <v>91.512500000000003</v>
      </c>
      <c r="P34" s="757"/>
      <c r="Q34" s="757"/>
      <c r="R34" s="757"/>
      <c r="S34" s="749"/>
      <c r="T34" s="748" t="s">
        <v>681</v>
      </c>
    </row>
    <row r="35" spans="1:21" s="708" customFormat="1" outlineLevel="2">
      <c r="A35" s="694">
        <f t="shared" si="1"/>
        <v>34</v>
      </c>
      <c r="B35" s="742">
        <v>5600</v>
      </c>
      <c r="C35" s="752" t="s">
        <v>716</v>
      </c>
      <c r="D35" s="735">
        <v>3177</v>
      </c>
      <c r="E35" s="743"/>
      <c r="F35" s="743" t="s">
        <v>723</v>
      </c>
      <c r="G35" s="735">
        <v>2007</v>
      </c>
      <c r="H35" s="735">
        <v>2014</v>
      </c>
      <c r="I35" s="755">
        <v>14750</v>
      </c>
      <c r="J35" s="755"/>
      <c r="K35" s="755">
        <v>1794</v>
      </c>
      <c r="L35" s="755"/>
      <c r="M35" s="755"/>
      <c r="N35" s="756"/>
      <c r="O35" s="737" t="str">
        <f t="shared" si="3"/>
        <v xml:space="preserve"> </v>
      </c>
      <c r="P35" s="757"/>
      <c r="Q35" s="757"/>
      <c r="R35" s="757"/>
      <c r="S35" s="749">
        <v>12956</v>
      </c>
      <c r="T35" s="748" t="s">
        <v>681</v>
      </c>
    </row>
    <row r="36" spans="1:21" outlineLevel="2">
      <c r="A36" s="694">
        <f t="shared" si="1"/>
        <v>35</v>
      </c>
      <c r="B36" s="751" t="s">
        <v>678</v>
      </c>
      <c r="C36" s="752" t="s">
        <v>716</v>
      </c>
      <c r="D36" s="752">
        <v>3297</v>
      </c>
      <c r="E36" s="753"/>
      <c r="F36" s="753" t="s">
        <v>724</v>
      </c>
      <c r="G36" s="753" t="s">
        <v>725</v>
      </c>
      <c r="H36" s="752">
        <v>2015</v>
      </c>
      <c r="I36" s="754">
        <v>72737</v>
      </c>
      <c r="J36" s="754"/>
      <c r="K36" s="754">
        <f>10304+77</f>
        <v>10381</v>
      </c>
      <c r="L36" s="755">
        <v>16500</v>
      </c>
      <c r="M36" s="755">
        <v>28500</v>
      </c>
      <c r="N36" s="756">
        <v>28231</v>
      </c>
      <c r="O36" s="737">
        <f t="shared" si="3"/>
        <v>99.0561403508772</v>
      </c>
      <c r="P36" s="757"/>
      <c r="Q36" s="757"/>
      <c r="R36" s="757"/>
      <c r="S36" s="749">
        <v>32857</v>
      </c>
      <c r="T36" s="758" t="s">
        <v>681</v>
      </c>
      <c r="U36" s="740">
        <f>K36+N36</f>
        <v>38612</v>
      </c>
    </row>
    <row r="37" spans="1:21" outlineLevel="2">
      <c r="A37" s="694">
        <f t="shared" si="1"/>
        <v>36</v>
      </c>
      <c r="B37" s="751" t="s">
        <v>678</v>
      </c>
      <c r="C37" s="752" t="s">
        <v>716</v>
      </c>
      <c r="D37" s="752">
        <v>4208</v>
      </c>
      <c r="E37" s="753"/>
      <c r="F37" s="743" t="s">
        <v>726</v>
      </c>
      <c r="G37" s="753"/>
      <c r="H37" s="753"/>
      <c r="I37" s="754"/>
      <c r="J37" s="754"/>
      <c r="K37" s="754">
        <f>36791+5092</f>
        <v>41883</v>
      </c>
      <c r="L37" s="755">
        <v>9000</v>
      </c>
      <c r="M37" s="755">
        <v>9000</v>
      </c>
      <c r="N37" s="756">
        <v>6361</v>
      </c>
      <c r="O37" s="737">
        <f t="shared" si="3"/>
        <v>70.677777777777777</v>
      </c>
      <c r="P37" s="757"/>
      <c r="Q37" s="757"/>
      <c r="R37" s="757"/>
      <c r="S37" s="749">
        <v>0</v>
      </c>
      <c r="T37" s="758" t="s">
        <v>681</v>
      </c>
    </row>
    <row r="38" spans="1:21" outlineLevel="2">
      <c r="A38" s="694">
        <f t="shared" si="1"/>
        <v>37</v>
      </c>
      <c r="B38" s="751" t="s">
        <v>678</v>
      </c>
      <c r="C38" s="752" t="s">
        <v>716</v>
      </c>
      <c r="D38" s="752">
        <v>4296</v>
      </c>
      <c r="E38" s="753"/>
      <c r="F38" s="753" t="s">
        <v>727</v>
      </c>
      <c r="G38" s="753" t="s">
        <v>704</v>
      </c>
      <c r="H38" s="752">
        <v>2014</v>
      </c>
      <c r="I38" s="754">
        <v>4250</v>
      </c>
      <c r="J38" s="754"/>
      <c r="K38" s="754">
        <v>88</v>
      </c>
      <c r="L38" s="755">
        <v>0</v>
      </c>
      <c r="M38" s="755">
        <v>0</v>
      </c>
      <c r="N38" s="756"/>
      <c r="O38" s="737" t="str">
        <f t="shared" si="3"/>
        <v xml:space="preserve"> </v>
      </c>
      <c r="P38" s="757"/>
      <c r="Q38" s="757"/>
      <c r="R38" s="757"/>
      <c r="S38" s="749">
        <v>3662</v>
      </c>
      <c r="T38" s="758" t="s">
        <v>681</v>
      </c>
    </row>
    <row r="39" spans="1:21" outlineLevel="2">
      <c r="A39" s="694">
        <f t="shared" si="1"/>
        <v>38</v>
      </c>
      <c r="B39" s="751" t="s">
        <v>678</v>
      </c>
      <c r="C39" s="752" t="s">
        <v>716</v>
      </c>
      <c r="D39" s="752">
        <v>4554</v>
      </c>
      <c r="E39" s="753"/>
      <c r="F39" s="753" t="s">
        <v>728</v>
      </c>
      <c r="G39" s="753" t="s">
        <v>712</v>
      </c>
      <c r="H39" s="752">
        <v>2014</v>
      </c>
      <c r="I39" s="754">
        <v>34440</v>
      </c>
      <c r="J39" s="754"/>
      <c r="K39" s="754">
        <v>472</v>
      </c>
      <c r="L39" s="755">
        <v>1500</v>
      </c>
      <c r="M39" s="755">
        <v>1500</v>
      </c>
      <c r="N39" s="756">
        <v>1488</v>
      </c>
      <c r="O39" s="737">
        <f t="shared" si="3"/>
        <v>99.2</v>
      </c>
      <c r="P39" s="757"/>
      <c r="Q39" s="757"/>
      <c r="R39" s="757"/>
      <c r="S39" s="749">
        <v>32468</v>
      </c>
      <c r="T39" s="758" t="s">
        <v>681</v>
      </c>
      <c r="U39" s="740">
        <f t="shared" ref="U39:U41" si="6">K39+N39</f>
        <v>1960</v>
      </c>
    </row>
    <row r="40" spans="1:21" outlineLevel="2">
      <c r="A40" s="694">
        <f t="shared" si="1"/>
        <v>39</v>
      </c>
      <c r="B40" s="751" t="s">
        <v>718</v>
      </c>
      <c r="C40" s="752" t="s">
        <v>716</v>
      </c>
      <c r="D40" s="752">
        <v>5014</v>
      </c>
      <c r="E40" s="770" t="s">
        <v>729</v>
      </c>
      <c r="F40" s="753" t="s">
        <v>730</v>
      </c>
      <c r="G40" s="753" t="s">
        <v>689</v>
      </c>
      <c r="H40" s="752">
        <v>2013</v>
      </c>
      <c r="I40" s="754">
        <v>4668</v>
      </c>
      <c r="J40" s="755"/>
      <c r="K40" s="754">
        <v>0</v>
      </c>
      <c r="L40" s="755">
        <v>4500</v>
      </c>
      <c r="M40" s="755"/>
      <c r="N40" s="756"/>
      <c r="O40" s="737" t="str">
        <f t="shared" si="3"/>
        <v xml:space="preserve"> </v>
      </c>
      <c r="P40" s="757"/>
      <c r="Q40" s="757"/>
      <c r="R40" s="757"/>
      <c r="S40" s="749">
        <v>0</v>
      </c>
      <c r="T40" s="758" t="s">
        <v>720</v>
      </c>
      <c r="U40" s="740">
        <f t="shared" si="6"/>
        <v>0</v>
      </c>
    </row>
    <row r="41" spans="1:21" outlineLevel="2">
      <c r="A41" s="694">
        <f t="shared" si="1"/>
        <v>40</v>
      </c>
      <c r="B41" s="751" t="s">
        <v>678</v>
      </c>
      <c r="C41" s="752" t="s">
        <v>716</v>
      </c>
      <c r="D41" s="752">
        <v>5020</v>
      </c>
      <c r="E41" s="770" t="s">
        <v>729</v>
      </c>
      <c r="F41" s="753" t="s">
        <v>731</v>
      </c>
      <c r="G41" s="753" t="s">
        <v>698</v>
      </c>
      <c r="H41" s="752">
        <v>2013</v>
      </c>
      <c r="I41" s="755">
        <v>16100</v>
      </c>
      <c r="J41" s="755">
        <v>6363</v>
      </c>
      <c r="K41" s="754">
        <v>2303</v>
      </c>
      <c r="L41" s="755">
        <v>9000</v>
      </c>
      <c r="M41" s="755">
        <v>12340</v>
      </c>
      <c r="N41" s="756">
        <v>12019</v>
      </c>
      <c r="O41" s="737">
        <f t="shared" si="3"/>
        <v>97.398703403565648</v>
      </c>
      <c r="P41" s="757"/>
      <c r="Q41" s="757"/>
      <c r="R41" s="757"/>
      <c r="S41" s="749">
        <v>0</v>
      </c>
      <c r="T41" s="758" t="s">
        <v>681</v>
      </c>
      <c r="U41" s="740">
        <f t="shared" si="6"/>
        <v>14322</v>
      </c>
    </row>
    <row r="42" spans="1:21" outlineLevel="2">
      <c r="A42" s="694">
        <f t="shared" si="1"/>
        <v>41</v>
      </c>
      <c r="B42" s="751" t="s">
        <v>678</v>
      </c>
      <c r="C42" s="752" t="s">
        <v>716</v>
      </c>
      <c r="D42" s="752">
        <v>5023</v>
      </c>
      <c r="E42" s="770" t="s">
        <v>729</v>
      </c>
      <c r="F42" s="753" t="s">
        <v>732</v>
      </c>
      <c r="G42" s="753" t="s">
        <v>689</v>
      </c>
      <c r="H42" s="752">
        <v>2014</v>
      </c>
      <c r="I42" s="754">
        <v>53923</v>
      </c>
      <c r="J42" s="755">
        <v>48056</v>
      </c>
      <c r="K42" s="754">
        <v>0</v>
      </c>
      <c r="L42" s="755">
        <v>1500</v>
      </c>
      <c r="M42" s="755">
        <v>1500</v>
      </c>
      <c r="N42" s="756">
        <v>648</v>
      </c>
      <c r="O42" s="737">
        <f t="shared" si="3"/>
        <v>43.2</v>
      </c>
      <c r="P42" s="757"/>
      <c r="Q42" s="757"/>
      <c r="R42" s="757"/>
      <c r="S42" s="749">
        <v>0</v>
      </c>
      <c r="T42" s="758" t="s">
        <v>681</v>
      </c>
    </row>
    <row r="43" spans="1:21" outlineLevel="2">
      <c r="A43" s="694">
        <f t="shared" si="1"/>
        <v>42</v>
      </c>
      <c r="B43" s="751" t="s">
        <v>678</v>
      </c>
      <c r="C43" s="752" t="s">
        <v>716</v>
      </c>
      <c r="D43" s="752">
        <v>5137</v>
      </c>
      <c r="E43" s="770" t="s">
        <v>729</v>
      </c>
      <c r="F43" s="753" t="s">
        <v>733</v>
      </c>
      <c r="G43" s="753" t="s">
        <v>698</v>
      </c>
      <c r="H43" s="753" t="s">
        <v>734</v>
      </c>
      <c r="I43" s="755">
        <v>29000</v>
      </c>
      <c r="J43" s="755">
        <v>17959</v>
      </c>
      <c r="K43" s="754">
        <v>0</v>
      </c>
      <c r="L43" s="755">
        <v>5000</v>
      </c>
      <c r="M43" s="755">
        <v>16500</v>
      </c>
      <c r="N43" s="756">
        <v>15891</v>
      </c>
      <c r="O43" s="737">
        <f t="shared" si="3"/>
        <v>96.309090909090912</v>
      </c>
      <c r="P43" s="757"/>
      <c r="Q43" s="757"/>
      <c r="R43" s="757"/>
      <c r="S43" s="749">
        <v>0</v>
      </c>
      <c r="T43" s="758" t="s">
        <v>681</v>
      </c>
      <c r="U43" s="740">
        <f>K43+N43</f>
        <v>15891</v>
      </c>
    </row>
    <row r="44" spans="1:21" outlineLevel="1">
      <c r="A44" s="694">
        <f t="shared" si="1"/>
        <v>43</v>
      </c>
      <c r="B44" s="760"/>
      <c r="C44" s="761" t="s">
        <v>735</v>
      </c>
      <c r="D44" s="761"/>
      <c r="E44" s="771"/>
      <c r="F44" s="762"/>
      <c r="G44" s="762"/>
      <c r="H44" s="762"/>
      <c r="I44" s="763">
        <f t="shared" ref="I44:N44" si="7">SUBTOTAL(9,I31:I43)</f>
        <v>248723</v>
      </c>
      <c r="J44" s="763">
        <f t="shared" si="7"/>
        <v>72378</v>
      </c>
      <c r="K44" s="763">
        <f t="shared" si="7"/>
        <v>84189</v>
      </c>
      <c r="L44" s="763">
        <f t="shared" si="7"/>
        <v>115000</v>
      </c>
      <c r="M44" s="763">
        <f t="shared" si="7"/>
        <v>157866</v>
      </c>
      <c r="N44" s="764">
        <f t="shared" si="7"/>
        <v>151733</v>
      </c>
      <c r="O44" s="765">
        <f t="shared" si="3"/>
        <v>96.115059607515235</v>
      </c>
      <c r="P44" s="764">
        <f>SUBTOTAL(9,P31:P43)</f>
        <v>0</v>
      </c>
      <c r="Q44" s="764">
        <f>SUBTOTAL(9,Q31:Q43)</f>
        <v>0</v>
      </c>
      <c r="R44" s="764">
        <f>SUBTOTAL(9,R31:R43)</f>
        <v>0</v>
      </c>
      <c r="S44" s="766"/>
      <c r="T44" s="767"/>
    </row>
    <row r="45" spans="1:21" outlineLevel="2">
      <c r="A45" s="694">
        <f t="shared" si="1"/>
        <v>44</v>
      </c>
      <c r="B45" s="751" t="s">
        <v>678</v>
      </c>
      <c r="C45" s="752" t="s">
        <v>736</v>
      </c>
      <c r="D45" s="752">
        <v>5075</v>
      </c>
      <c r="E45" s="770" t="s">
        <v>729</v>
      </c>
      <c r="F45" s="753" t="s">
        <v>737</v>
      </c>
      <c r="G45" s="753" t="s">
        <v>689</v>
      </c>
      <c r="H45" s="752">
        <v>2014</v>
      </c>
      <c r="I45" s="754">
        <v>372500</v>
      </c>
      <c r="J45" s="755"/>
      <c r="K45" s="754">
        <f>12010+2904</f>
        <v>14914</v>
      </c>
      <c r="L45" s="755">
        <v>5000</v>
      </c>
      <c r="M45" s="755">
        <v>5500</v>
      </c>
      <c r="N45" s="756">
        <v>5474</v>
      </c>
      <c r="O45" s="737">
        <f t="shared" si="3"/>
        <v>99.527272727272731</v>
      </c>
      <c r="P45" s="757"/>
      <c r="Q45" s="757"/>
      <c r="R45" s="757"/>
      <c r="S45" s="749">
        <v>350490</v>
      </c>
      <c r="T45" s="758" t="s">
        <v>681</v>
      </c>
    </row>
    <row r="46" spans="1:21" outlineLevel="1">
      <c r="A46" s="694">
        <f t="shared" si="1"/>
        <v>45</v>
      </c>
      <c r="B46" s="760"/>
      <c r="C46" s="761" t="s">
        <v>738</v>
      </c>
      <c r="D46" s="761"/>
      <c r="E46" s="771"/>
      <c r="F46" s="762"/>
      <c r="G46" s="762"/>
      <c r="H46" s="762"/>
      <c r="I46" s="763">
        <f t="shared" ref="I46:N46" si="8">SUBTOTAL(9,I45:I45)</f>
        <v>372500</v>
      </c>
      <c r="J46" s="763">
        <f t="shared" si="8"/>
        <v>0</v>
      </c>
      <c r="K46" s="763">
        <f t="shared" si="8"/>
        <v>14914</v>
      </c>
      <c r="L46" s="763">
        <f t="shared" si="8"/>
        <v>5000</v>
      </c>
      <c r="M46" s="763">
        <f t="shared" si="8"/>
        <v>5500</v>
      </c>
      <c r="N46" s="764">
        <f t="shared" si="8"/>
        <v>5474</v>
      </c>
      <c r="O46" s="765">
        <f t="shared" si="3"/>
        <v>99.527272727272731</v>
      </c>
      <c r="P46" s="764">
        <f>SUBTOTAL(9,P45:P45)</f>
        <v>0</v>
      </c>
      <c r="Q46" s="764">
        <f>SUBTOTAL(9,Q45:Q45)</f>
        <v>0</v>
      </c>
      <c r="R46" s="764">
        <f>SUBTOTAL(9,R45:R45)</f>
        <v>0</v>
      </c>
      <c r="S46" s="766"/>
      <c r="T46" s="767"/>
    </row>
    <row r="47" spans="1:21" outlineLevel="2">
      <c r="A47" s="694">
        <f t="shared" si="1"/>
        <v>46</v>
      </c>
      <c r="B47" s="751" t="s">
        <v>739</v>
      </c>
      <c r="C47" s="752" t="s">
        <v>740</v>
      </c>
      <c r="D47" s="752">
        <v>5093</v>
      </c>
      <c r="E47" s="770" t="s">
        <v>729</v>
      </c>
      <c r="F47" s="743" t="s">
        <v>741</v>
      </c>
      <c r="G47" s="753" t="s">
        <v>698</v>
      </c>
      <c r="H47" s="753" t="s">
        <v>742</v>
      </c>
      <c r="I47" s="754">
        <v>7150</v>
      </c>
      <c r="J47" s="755">
        <v>2691</v>
      </c>
      <c r="K47" s="754">
        <f>2289</f>
        <v>2289</v>
      </c>
      <c r="L47" s="755">
        <v>0</v>
      </c>
      <c r="M47" s="755">
        <v>91</v>
      </c>
      <c r="N47" s="756">
        <v>86</v>
      </c>
      <c r="O47" s="737">
        <f t="shared" si="3"/>
        <v>94.505494505494497</v>
      </c>
      <c r="P47" s="757"/>
      <c r="Q47" s="757"/>
      <c r="R47" s="757"/>
      <c r="S47" s="749">
        <v>0</v>
      </c>
      <c r="T47" s="758" t="s">
        <v>681</v>
      </c>
    </row>
    <row r="48" spans="1:21" outlineLevel="1">
      <c r="A48" s="694">
        <f t="shared" si="1"/>
        <v>47</v>
      </c>
      <c r="B48" s="760"/>
      <c r="C48" s="761" t="s">
        <v>743</v>
      </c>
      <c r="D48" s="761"/>
      <c r="E48" s="771"/>
      <c r="F48" s="762"/>
      <c r="G48" s="762"/>
      <c r="H48" s="762"/>
      <c r="I48" s="763">
        <f t="shared" ref="I48:N48" si="9">SUBTOTAL(9,I47:I47)</f>
        <v>7150</v>
      </c>
      <c r="J48" s="763">
        <f t="shared" si="9"/>
        <v>2691</v>
      </c>
      <c r="K48" s="763">
        <f t="shared" si="9"/>
        <v>2289</v>
      </c>
      <c r="L48" s="763">
        <f t="shared" si="9"/>
        <v>0</v>
      </c>
      <c r="M48" s="763">
        <f t="shared" si="9"/>
        <v>91</v>
      </c>
      <c r="N48" s="764">
        <f t="shared" si="9"/>
        <v>86</v>
      </c>
      <c r="O48" s="765">
        <f t="shared" si="3"/>
        <v>94.505494505494497</v>
      </c>
      <c r="P48" s="764">
        <f>SUBTOTAL(9,P47:P47)</f>
        <v>0</v>
      </c>
      <c r="Q48" s="764">
        <f>SUBTOTAL(9,Q47:Q47)</f>
        <v>0</v>
      </c>
      <c r="R48" s="764">
        <f>SUBTOTAL(9,R47:R47)</f>
        <v>0</v>
      </c>
      <c r="S48" s="766"/>
      <c r="T48" s="767"/>
    </row>
    <row r="49" spans="1:21" outlineLevel="2">
      <c r="A49" s="694">
        <f t="shared" si="1"/>
        <v>48</v>
      </c>
      <c r="B49" s="759" t="s">
        <v>718</v>
      </c>
      <c r="C49" s="735" t="s">
        <v>744</v>
      </c>
      <c r="D49" s="735">
        <v>2906</v>
      </c>
      <c r="E49" s="768"/>
      <c r="F49" s="743" t="s">
        <v>745</v>
      </c>
      <c r="G49" s="735">
        <v>2012</v>
      </c>
      <c r="H49" s="735">
        <v>2012</v>
      </c>
      <c r="I49" s="755">
        <v>408</v>
      </c>
      <c r="J49" s="755"/>
      <c r="K49" s="755"/>
      <c r="L49" s="755"/>
      <c r="M49" s="755">
        <v>408</v>
      </c>
      <c r="N49" s="756">
        <v>408</v>
      </c>
      <c r="O49" s="737">
        <f t="shared" si="3"/>
        <v>100</v>
      </c>
      <c r="P49" s="757"/>
      <c r="Q49" s="757"/>
      <c r="R49" s="757"/>
      <c r="S49" s="749"/>
      <c r="T49" s="748" t="s">
        <v>720</v>
      </c>
      <c r="U49" s="740">
        <f>K49+N49</f>
        <v>408</v>
      </c>
    </row>
    <row r="50" spans="1:21" outlineLevel="1">
      <c r="A50" s="694">
        <f t="shared" si="1"/>
        <v>49</v>
      </c>
      <c r="B50" s="760"/>
      <c r="C50" s="761" t="s">
        <v>746</v>
      </c>
      <c r="D50" s="761"/>
      <c r="E50" s="771"/>
      <c r="F50" s="762"/>
      <c r="G50" s="761"/>
      <c r="H50" s="761"/>
      <c r="I50" s="763">
        <f t="shared" ref="I50:N50" si="10">SUBTOTAL(9,I49:I49)</f>
        <v>408</v>
      </c>
      <c r="J50" s="763">
        <f t="shared" si="10"/>
        <v>0</v>
      </c>
      <c r="K50" s="763">
        <f t="shared" si="10"/>
        <v>0</v>
      </c>
      <c r="L50" s="763">
        <f t="shared" si="10"/>
        <v>0</v>
      </c>
      <c r="M50" s="763">
        <f t="shared" si="10"/>
        <v>408</v>
      </c>
      <c r="N50" s="764">
        <f t="shared" si="10"/>
        <v>408</v>
      </c>
      <c r="O50" s="765">
        <f t="shared" si="3"/>
        <v>100</v>
      </c>
      <c r="P50" s="764">
        <f>SUBTOTAL(9,P49:P49)</f>
        <v>0</v>
      </c>
      <c r="Q50" s="764">
        <f>SUBTOTAL(9,Q49:Q49)</f>
        <v>0</v>
      </c>
      <c r="R50" s="764">
        <f>SUBTOTAL(9,R49:R49)</f>
        <v>0</v>
      </c>
      <c r="S50" s="766"/>
      <c r="T50" s="767"/>
    </row>
    <row r="51" spans="1:21" outlineLevel="2">
      <c r="A51" s="694">
        <f t="shared" si="1"/>
        <v>50</v>
      </c>
      <c r="B51" s="759" t="s">
        <v>678</v>
      </c>
      <c r="C51" s="772" t="s">
        <v>747</v>
      </c>
      <c r="D51" s="735">
        <v>2911</v>
      </c>
      <c r="E51" s="773">
        <v>49</v>
      </c>
      <c r="F51" s="743" t="s">
        <v>748</v>
      </c>
      <c r="G51" s="735">
        <v>2012</v>
      </c>
      <c r="H51" s="735">
        <v>2014</v>
      </c>
      <c r="I51" s="755">
        <v>2970</v>
      </c>
      <c r="J51" s="755"/>
      <c r="K51" s="755"/>
      <c r="L51" s="755"/>
      <c r="M51" s="755">
        <v>335</v>
      </c>
      <c r="N51" s="756">
        <v>323</v>
      </c>
      <c r="O51" s="737">
        <f t="shared" si="3"/>
        <v>96.417910447761187</v>
      </c>
      <c r="P51" s="756"/>
      <c r="Q51" s="756"/>
      <c r="R51" s="756"/>
      <c r="S51" s="749">
        <v>2710</v>
      </c>
      <c r="T51" s="748" t="s">
        <v>749</v>
      </c>
    </row>
    <row r="52" spans="1:21" outlineLevel="2">
      <c r="A52" s="694">
        <f t="shared" si="1"/>
        <v>51</v>
      </c>
      <c r="B52" s="759" t="s">
        <v>678</v>
      </c>
      <c r="C52" s="772" t="s">
        <v>747</v>
      </c>
      <c r="D52" s="735">
        <v>2916</v>
      </c>
      <c r="E52" s="773">
        <v>49</v>
      </c>
      <c r="F52" s="743" t="s">
        <v>750</v>
      </c>
      <c r="G52" s="735">
        <v>2012</v>
      </c>
      <c r="H52" s="735">
        <v>2014</v>
      </c>
      <c r="I52" s="755">
        <v>3546</v>
      </c>
      <c r="J52" s="755"/>
      <c r="K52" s="755"/>
      <c r="L52" s="755"/>
      <c r="M52" s="755">
        <v>200</v>
      </c>
      <c r="N52" s="756">
        <v>191</v>
      </c>
      <c r="O52" s="737">
        <f t="shared" si="3"/>
        <v>95.5</v>
      </c>
      <c r="P52" s="756"/>
      <c r="Q52" s="756"/>
      <c r="R52" s="756"/>
      <c r="S52" s="749">
        <v>3346</v>
      </c>
      <c r="T52" s="748" t="s">
        <v>749</v>
      </c>
    </row>
    <row r="53" spans="1:21" outlineLevel="2">
      <c r="A53" s="694">
        <f t="shared" si="1"/>
        <v>52</v>
      </c>
      <c r="B53" s="759" t="s">
        <v>678</v>
      </c>
      <c r="C53" s="772" t="s">
        <v>747</v>
      </c>
      <c r="D53" s="735">
        <v>2917</v>
      </c>
      <c r="E53" s="773">
        <v>49</v>
      </c>
      <c r="F53" s="743" t="s">
        <v>751</v>
      </c>
      <c r="G53" s="735">
        <v>2012</v>
      </c>
      <c r="H53" s="735">
        <v>2015</v>
      </c>
      <c r="I53" s="755">
        <v>5620</v>
      </c>
      <c r="J53" s="755"/>
      <c r="K53" s="755"/>
      <c r="L53" s="755"/>
      <c r="M53" s="755">
        <v>10</v>
      </c>
      <c r="N53" s="756"/>
      <c r="O53" s="737">
        <f t="shared" si="3"/>
        <v>0</v>
      </c>
      <c r="P53" s="756"/>
      <c r="Q53" s="756"/>
      <c r="R53" s="756"/>
      <c r="S53" s="749">
        <v>5610</v>
      </c>
      <c r="T53" s="748" t="s">
        <v>749</v>
      </c>
    </row>
    <row r="54" spans="1:21" outlineLevel="2">
      <c r="A54" s="694">
        <f t="shared" si="1"/>
        <v>53</v>
      </c>
      <c r="B54" s="759">
        <v>5600</v>
      </c>
      <c r="C54" s="772" t="s">
        <v>747</v>
      </c>
      <c r="D54" s="774" t="s">
        <v>752</v>
      </c>
      <c r="E54" s="743">
        <v>49</v>
      </c>
      <c r="F54" s="743" t="s">
        <v>753</v>
      </c>
      <c r="G54" s="775">
        <v>2011</v>
      </c>
      <c r="H54" s="775" t="s">
        <v>742</v>
      </c>
      <c r="I54" s="755">
        <v>6305</v>
      </c>
      <c r="J54" s="755"/>
      <c r="K54" s="755">
        <v>0</v>
      </c>
      <c r="L54" s="755">
        <v>700</v>
      </c>
      <c r="M54" s="755">
        <v>700</v>
      </c>
      <c r="N54" s="756">
        <v>693</v>
      </c>
      <c r="O54" s="737">
        <f t="shared" si="3"/>
        <v>99</v>
      </c>
      <c r="P54" s="756"/>
      <c r="Q54" s="756">
        <v>9300</v>
      </c>
      <c r="R54" s="756"/>
      <c r="S54" s="749">
        <v>5605</v>
      </c>
      <c r="T54" s="748" t="s">
        <v>749</v>
      </c>
    </row>
    <row r="55" spans="1:21" outlineLevel="2">
      <c r="A55" s="694">
        <f t="shared" si="1"/>
        <v>54</v>
      </c>
      <c r="B55" s="759">
        <v>5600</v>
      </c>
      <c r="C55" s="772" t="s">
        <v>747</v>
      </c>
      <c r="D55" s="774" t="s">
        <v>754</v>
      </c>
      <c r="E55" s="743">
        <v>49</v>
      </c>
      <c r="F55" s="743" t="s">
        <v>755</v>
      </c>
      <c r="G55" s="775">
        <v>2011</v>
      </c>
      <c r="H55" s="775" t="s">
        <v>742</v>
      </c>
      <c r="I55" s="755">
        <v>3102</v>
      </c>
      <c r="J55" s="755"/>
      <c r="K55" s="755">
        <v>0</v>
      </c>
      <c r="L55" s="755">
        <v>0</v>
      </c>
      <c r="M55" s="755">
        <v>320</v>
      </c>
      <c r="N55" s="756">
        <v>310</v>
      </c>
      <c r="O55" s="737">
        <f t="shared" si="3"/>
        <v>96.875</v>
      </c>
      <c r="P55" s="756">
        <v>1880</v>
      </c>
      <c r="Q55" s="756"/>
      <c r="R55" s="756"/>
      <c r="S55" s="749">
        <v>2782</v>
      </c>
      <c r="T55" s="748" t="s">
        <v>749</v>
      </c>
    </row>
    <row r="56" spans="1:21" outlineLevel="2">
      <c r="A56" s="694">
        <f t="shared" si="1"/>
        <v>55</v>
      </c>
      <c r="B56" s="759">
        <v>5600</v>
      </c>
      <c r="C56" s="772" t="s">
        <v>747</v>
      </c>
      <c r="D56" s="774" t="s">
        <v>756</v>
      </c>
      <c r="E56" s="743">
        <v>49</v>
      </c>
      <c r="F56" s="743" t="s">
        <v>757</v>
      </c>
      <c r="G56" s="775">
        <v>2011</v>
      </c>
      <c r="H56" s="775">
        <v>2013</v>
      </c>
      <c r="I56" s="755">
        <v>3225</v>
      </c>
      <c r="J56" s="755"/>
      <c r="K56" s="755">
        <f>505</f>
        <v>505</v>
      </c>
      <c r="L56" s="755">
        <v>0</v>
      </c>
      <c r="M56" s="755">
        <v>0</v>
      </c>
      <c r="N56" s="756"/>
      <c r="O56" s="737" t="str">
        <f t="shared" si="3"/>
        <v xml:space="preserve"> </v>
      </c>
      <c r="P56" s="756">
        <v>3211</v>
      </c>
      <c r="Q56" s="756"/>
      <c r="R56" s="756"/>
      <c r="S56" s="749">
        <v>2720</v>
      </c>
      <c r="T56" s="748" t="s">
        <v>749</v>
      </c>
    </row>
    <row r="57" spans="1:21" outlineLevel="2">
      <c r="A57" s="694">
        <f t="shared" si="1"/>
        <v>56</v>
      </c>
      <c r="B57" s="742">
        <v>5600</v>
      </c>
      <c r="C57" s="772" t="s">
        <v>747</v>
      </c>
      <c r="D57" s="735">
        <v>2953</v>
      </c>
      <c r="E57" s="743">
        <v>49</v>
      </c>
      <c r="F57" s="743" t="s">
        <v>758</v>
      </c>
      <c r="G57" s="735">
        <v>2011</v>
      </c>
      <c r="H57" s="735">
        <v>2016</v>
      </c>
      <c r="I57" s="755">
        <v>23000</v>
      </c>
      <c r="J57" s="755"/>
      <c r="K57" s="755">
        <v>0</v>
      </c>
      <c r="L57" s="755">
        <v>0</v>
      </c>
      <c r="M57" s="755">
        <v>0</v>
      </c>
      <c r="N57" s="756"/>
      <c r="O57" s="737" t="str">
        <f t="shared" si="3"/>
        <v xml:space="preserve"> </v>
      </c>
      <c r="P57" s="756"/>
      <c r="Q57" s="756"/>
      <c r="R57" s="756"/>
      <c r="S57" s="749">
        <v>23000</v>
      </c>
      <c r="T57" s="748" t="s">
        <v>749</v>
      </c>
    </row>
    <row r="58" spans="1:21" outlineLevel="2">
      <c r="A58" s="694">
        <f t="shared" si="1"/>
        <v>57</v>
      </c>
      <c r="B58" s="759" t="s">
        <v>678</v>
      </c>
      <c r="C58" s="772" t="s">
        <v>747</v>
      </c>
      <c r="D58" s="735">
        <v>2975</v>
      </c>
      <c r="E58" s="743">
        <v>49</v>
      </c>
      <c r="F58" s="743" t="s">
        <v>759</v>
      </c>
      <c r="G58" s="743" t="s">
        <v>698</v>
      </c>
      <c r="H58" s="743" t="s">
        <v>760</v>
      </c>
      <c r="I58" s="755">
        <v>15434</v>
      </c>
      <c r="J58" s="755"/>
      <c r="K58" s="755">
        <v>0</v>
      </c>
      <c r="L58" s="755">
        <v>1500</v>
      </c>
      <c r="M58" s="755"/>
      <c r="N58" s="756"/>
      <c r="O58" s="737" t="str">
        <f t="shared" si="3"/>
        <v xml:space="preserve"> </v>
      </c>
      <c r="P58" s="756">
        <v>2650</v>
      </c>
      <c r="Q58" s="756">
        <v>11284</v>
      </c>
      <c r="R58" s="756"/>
      <c r="S58" s="749">
        <v>14484</v>
      </c>
      <c r="T58" s="748" t="s">
        <v>749</v>
      </c>
    </row>
    <row r="59" spans="1:21" outlineLevel="2">
      <c r="A59" s="694">
        <f t="shared" si="1"/>
        <v>58</v>
      </c>
      <c r="B59" s="759" t="s">
        <v>678</v>
      </c>
      <c r="C59" s="772" t="s">
        <v>747</v>
      </c>
      <c r="D59" s="735">
        <v>2991</v>
      </c>
      <c r="E59" s="743">
        <v>49</v>
      </c>
      <c r="F59" s="743" t="s">
        <v>761</v>
      </c>
      <c r="G59" s="743" t="s">
        <v>698</v>
      </c>
      <c r="H59" s="743" t="s">
        <v>742</v>
      </c>
      <c r="I59" s="755">
        <v>6715</v>
      </c>
      <c r="J59" s="755"/>
      <c r="K59" s="755">
        <f>619</f>
        <v>619</v>
      </c>
      <c r="L59" s="755">
        <v>0</v>
      </c>
      <c r="M59" s="755">
        <v>2480</v>
      </c>
      <c r="N59" s="756">
        <v>2283</v>
      </c>
      <c r="O59" s="737">
        <f t="shared" si="3"/>
        <v>92.056451612903217</v>
      </c>
      <c r="P59" s="756">
        <v>4542</v>
      </c>
      <c r="Q59" s="756"/>
      <c r="R59" s="756"/>
      <c r="S59" s="749">
        <v>4541</v>
      </c>
      <c r="T59" s="748" t="s">
        <v>749</v>
      </c>
    </row>
    <row r="60" spans="1:21" outlineLevel="2">
      <c r="A60" s="694">
        <f t="shared" si="1"/>
        <v>59</v>
      </c>
      <c r="B60" s="759" t="s">
        <v>678</v>
      </c>
      <c r="C60" s="772" t="s">
        <v>747</v>
      </c>
      <c r="D60" s="735">
        <v>2992</v>
      </c>
      <c r="E60" s="743">
        <v>49</v>
      </c>
      <c r="F60" s="743" t="s">
        <v>762</v>
      </c>
      <c r="G60" s="743" t="s">
        <v>698</v>
      </c>
      <c r="H60" s="735">
        <v>2012</v>
      </c>
      <c r="I60" s="755">
        <v>2475</v>
      </c>
      <c r="J60" s="755"/>
      <c r="K60" s="755">
        <v>310</v>
      </c>
      <c r="L60" s="755">
        <v>3114</v>
      </c>
      <c r="M60" s="755">
        <v>2165</v>
      </c>
      <c r="N60" s="756">
        <v>2161</v>
      </c>
      <c r="O60" s="737">
        <f t="shared" si="3"/>
        <v>99.815242494226325</v>
      </c>
      <c r="P60" s="756"/>
      <c r="Q60" s="756"/>
      <c r="R60" s="756"/>
      <c r="S60" s="749">
        <v>0</v>
      </c>
      <c r="T60" s="748" t="s">
        <v>749</v>
      </c>
      <c r="U60" s="740">
        <f t="shared" ref="U60:U62" si="11">K60+N60</f>
        <v>2471</v>
      </c>
    </row>
    <row r="61" spans="1:21" outlineLevel="2">
      <c r="A61" s="694">
        <f t="shared" si="1"/>
        <v>60</v>
      </c>
      <c r="B61" s="759" t="s">
        <v>678</v>
      </c>
      <c r="C61" s="772" t="s">
        <v>747</v>
      </c>
      <c r="D61" s="735">
        <v>3057</v>
      </c>
      <c r="E61" s="743">
        <v>49</v>
      </c>
      <c r="F61" s="743" t="s">
        <v>763</v>
      </c>
      <c r="G61" s="743" t="s">
        <v>689</v>
      </c>
      <c r="H61" s="735">
        <v>2012</v>
      </c>
      <c r="I61" s="755">
        <v>7007</v>
      </c>
      <c r="J61" s="755"/>
      <c r="K61" s="755">
        <f>602+1</f>
        <v>603</v>
      </c>
      <c r="L61" s="755">
        <v>6772</v>
      </c>
      <c r="M61" s="755">
        <v>6404</v>
      </c>
      <c r="N61" s="756">
        <v>6379</v>
      </c>
      <c r="O61" s="737">
        <f t="shared" si="3"/>
        <v>99.609618988132425</v>
      </c>
      <c r="P61" s="756"/>
      <c r="Q61" s="756"/>
      <c r="R61" s="756"/>
      <c r="S61" s="749">
        <v>0</v>
      </c>
      <c r="T61" s="748" t="s">
        <v>749</v>
      </c>
      <c r="U61" s="740">
        <f t="shared" si="11"/>
        <v>6982</v>
      </c>
    </row>
    <row r="62" spans="1:21" outlineLevel="2">
      <c r="A62" s="694">
        <f t="shared" si="1"/>
        <v>61</v>
      </c>
      <c r="B62" s="759" t="s">
        <v>678</v>
      </c>
      <c r="C62" s="772" t="s">
        <v>747</v>
      </c>
      <c r="D62" s="735">
        <v>3085</v>
      </c>
      <c r="E62" s="743">
        <v>49</v>
      </c>
      <c r="F62" s="743" t="s">
        <v>764</v>
      </c>
      <c r="G62" s="743" t="s">
        <v>689</v>
      </c>
      <c r="H62" s="735">
        <v>2013</v>
      </c>
      <c r="I62" s="755">
        <v>88794</v>
      </c>
      <c r="J62" s="755"/>
      <c r="K62" s="755">
        <f>2197+30446</f>
        <v>32643</v>
      </c>
      <c r="L62" s="755">
        <v>55897</v>
      </c>
      <c r="M62" s="755">
        <v>55777</v>
      </c>
      <c r="N62" s="756">
        <v>55373</v>
      </c>
      <c r="O62" s="737">
        <f t="shared" si="3"/>
        <v>99.275687111174861</v>
      </c>
      <c r="P62" s="756"/>
      <c r="Q62" s="756"/>
      <c r="R62" s="756"/>
      <c r="S62" s="749">
        <v>0</v>
      </c>
      <c r="T62" s="748" t="s">
        <v>749</v>
      </c>
      <c r="U62" s="740">
        <f t="shared" si="11"/>
        <v>88016</v>
      </c>
    </row>
    <row r="63" spans="1:21" outlineLevel="2">
      <c r="A63" s="694">
        <f t="shared" si="1"/>
        <v>62</v>
      </c>
      <c r="B63" s="759" t="s">
        <v>678</v>
      </c>
      <c r="C63" s="772" t="s">
        <v>747</v>
      </c>
      <c r="D63" s="735">
        <v>3106</v>
      </c>
      <c r="E63" s="743">
        <v>49</v>
      </c>
      <c r="F63" s="743" t="s">
        <v>765</v>
      </c>
      <c r="G63" s="743" t="s">
        <v>689</v>
      </c>
      <c r="H63" s="743" t="s">
        <v>742</v>
      </c>
      <c r="I63" s="755">
        <v>6086</v>
      </c>
      <c r="J63" s="755"/>
      <c r="K63" s="755">
        <f>556</f>
        <v>556</v>
      </c>
      <c r="L63" s="755">
        <v>2140</v>
      </c>
      <c r="M63" s="755">
        <v>4240</v>
      </c>
      <c r="N63" s="756">
        <v>4238</v>
      </c>
      <c r="O63" s="737">
        <f t="shared" si="3"/>
        <v>99.952830188679243</v>
      </c>
      <c r="P63" s="756">
        <v>2590</v>
      </c>
      <c r="Q63" s="756"/>
      <c r="R63" s="756"/>
      <c r="S63" s="749">
        <v>2590</v>
      </c>
      <c r="T63" s="748" t="s">
        <v>749</v>
      </c>
    </row>
    <row r="64" spans="1:21" outlineLevel="2">
      <c r="A64" s="694">
        <f t="shared" si="1"/>
        <v>63</v>
      </c>
      <c r="B64" s="759" t="s">
        <v>678</v>
      </c>
      <c r="C64" s="772" t="s">
        <v>747</v>
      </c>
      <c r="D64" s="735">
        <v>3124</v>
      </c>
      <c r="E64" s="743">
        <v>49</v>
      </c>
      <c r="F64" s="743" t="s">
        <v>766</v>
      </c>
      <c r="G64" s="743" t="s">
        <v>767</v>
      </c>
      <c r="H64" s="735">
        <v>2017</v>
      </c>
      <c r="I64" s="755">
        <v>24900</v>
      </c>
      <c r="J64" s="755"/>
      <c r="K64" s="755">
        <v>986</v>
      </c>
      <c r="L64" s="755">
        <v>0</v>
      </c>
      <c r="M64" s="755">
        <v>0</v>
      </c>
      <c r="N64" s="756"/>
      <c r="O64" s="737" t="str">
        <f t="shared" si="3"/>
        <v xml:space="preserve"> </v>
      </c>
      <c r="P64" s="756"/>
      <c r="Q64" s="756"/>
      <c r="R64" s="756"/>
      <c r="S64" s="749">
        <v>23914</v>
      </c>
      <c r="T64" s="748" t="s">
        <v>749</v>
      </c>
    </row>
    <row r="65" spans="1:20" outlineLevel="2">
      <c r="A65" s="694">
        <f t="shared" si="1"/>
        <v>64</v>
      </c>
      <c r="B65" s="759" t="s">
        <v>678</v>
      </c>
      <c r="C65" s="772" t="s">
        <v>747</v>
      </c>
      <c r="D65" s="735">
        <v>3161</v>
      </c>
      <c r="E65" s="743">
        <v>49</v>
      </c>
      <c r="F65" s="743" t="s">
        <v>768</v>
      </c>
      <c r="G65" s="743" t="s">
        <v>693</v>
      </c>
      <c r="H65" s="743" t="s">
        <v>769</v>
      </c>
      <c r="I65" s="755">
        <v>1900</v>
      </c>
      <c r="J65" s="755"/>
      <c r="K65" s="755">
        <v>0</v>
      </c>
      <c r="L65" s="755">
        <v>0</v>
      </c>
      <c r="M65" s="755">
        <v>0</v>
      </c>
      <c r="N65" s="756"/>
      <c r="O65" s="737" t="str">
        <f t="shared" si="3"/>
        <v xml:space="preserve"> </v>
      </c>
      <c r="P65" s="756"/>
      <c r="Q65" s="756"/>
      <c r="R65" s="756"/>
      <c r="S65" s="749">
        <v>1900</v>
      </c>
      <c r="T65" s="748" t="s">
        <v>749</v>
      </c>
    </row>
    <row r="66" spans="1:20" outlineLevel="2">
      <c r="A66" s="694">
        <f t="shared" si="1"/>
        <v>65</v>
      </c>
      <c r="B66" s="759" t="s">
        <v>678</v>
      </c>
      <c r="C66" s="772" t="s">
        <v>747</v>
      </c>
      <c r="D66" s="735">
        <v>3203</v>
      </c>
      <c r="E66" s="743">
        <v>49</v>
      </c>
      <c r="F66" s="743" t="s">
        <v>770</v>
      </c>
      <c r="G66" s="743" t="s">
        <v>695</v>
      </c>
      <c r="H66" s="775" t="s">
        <v>769</v>
      </c>
      <c r="I66" s="755">
        <v>30000</v>
      </c>
      <c r="J66" s="755"/>
      <c r="K66" s="755">
        <f>18245+913</f>
        <v>19158</v>
      </c>
      <c r="L66" s="755">
        <v>2000</v>
      </c>
      <c r="M66" s="755"/>
      <c r="N66" s="756"/>
      <c r="O66" s="737" t="str">
        <f t="shared" si="3"/>
        <v xml:space="preserve"> </v>
      </c>
      <c r="P66" s="756">
        <v>2000</v>
      </c>
      <c r="Q66" s="756">
        <v>2000</v>
      </c>
      <c r="R66" s="756"/>
      <c r="S66" s="749">
        <v>10822</v>
      </c>
      <c r="T66" s="748" t="s">
        <v>749</v>
      </c>
    </row>
    <row r="67" spans="1:20" outlineLevel="2">
      <c r="A67" s="694">
        <f t="shared" si="1"/>
        <v>66</v>
      </c>
      <c r="B67" s="759" t="s">
        <v>678</v>
      </c>
      <c r="C67" s="772" t="s">
        <v>747</v>
      </c>
      <c r="D67" s="735">
        <v>3270</v>
      </c>
      <c r="E67" s="743">
        <v>49</v>
      </c>
      <c r="F67" s="743" t="s">
        <v>771</v>
      </c>
      <c r="G67" s="743" t="s">
        <v>695</v>
      </c>
      <c r="H67" s="743" t="s">
        <v>742</v>
      </c>
      <c r="I67" s="755">
        <v>140</v>
      </c>
      <c r="J67" s="755"/>
      <c r="K67" s="755">
        <v>140</v>
      </c>
      <c r="L67" s="755">
        <v>0</v>
      </c>
      <c r="M67" s="755">
        <v>0</v>
      </c>
      <c r="N67" s="756"/>
      <c r="O67" s="737" t="str">
        <f t="shared" si="3"/>
        <v xml:space="preserve"> </v>
      </c>
      <c r="P67" s="756"/>
      <c r="Q67" s="756"/>
      <c r="R67" s="756"/>
      <c r="S67" s="749"/>
      <c r="T67" s="748" t="s">
        <v>749</v>
      </c>
    </row>
    <row r="68" spans="1:20" outlineLevel="2">
      <c r="A68" s="694">
        <f t="shared" ref="A68:A131" si="12">A67+1</f>
        <v>67</v>
      </c>
      <c r="B68" s="759" t="s">
        <v>678</v>
      </c>
      <c r="C68" s="772" t="s">
        <v>747</v>
      </c>
      <c r="D68" s="735">
        <v>3271</v>
      </c>
      <c r="E68" s="743">
        <v>49</v>
      </c>
      <c r="F68" s="743" t="s">
        <v>772</v>
      </c>
      <c r="G68" s="743" t="s">
        <v>695</v>
      </c>
      <c r="H68" s="743" t="s">
        <v>742</v>
      </c>
      <c r="I68" s="755">
        <v>124</v>
      </c>
      <c r="J68" s="755"/>
      <c r="K68" s="755">
        <v>124</v>
      </c>
      <c r="L68" s="755">
        <v>0</v>
      </c>
      <c r="M68" s="755">
        <v>0</v>
      </c>
      <c r="N68" s="756"/>
      <c r="O68" s="737" t="str">
        <f t="shared" si="3"/>
        <v xml:space="preserve"> </v>
      </c>
      <c r="P68" s="756"/>
      <c r="Q68" s="756"/>
      <c r="R68" s="756"/>
      <c r="S68" s="749"/>
      <c r="T68" s="748" t="s">
        <v>749</v>
      </c>
    </row>
    <row r="69" spans="1:20" outlineLevel="2">
      <c r="A69" s="694">
        <f t="shared" si="12"/>
        <v>68</v>
      </c>
      <c r="B69" s="759" t="s">
        <v>678</v>
      </c>
      <c r="C69" s="772" t="s">
        <v>747</v>
      </c>
      <c r="D69" s="735">
        <v>3362</v>
      </c>
      <c r="E69" s="743">
        <v>49</v>
      </c>
      <c r="F69" s="743" t="s">
        <v>773</v>
      </c>
      <c r="G69" s="743" t="s">
        <v>725</v>
      </c>
      <c r="H69" s="735">
        <v>2017</v>
      </c>
      <c r="I69" s="755">
        <v>48150</v>
      </c>
      <c r="J69" s="755"/>
      <c r="K69" s="755">
        <v>9380</v>
      </c>
      <c r="L69" s="755">
        <v>0</v>
      </c>
      <c r="M69" s="755">
        <v>0</v>
      </c>
      <c r="N69" s="756"/>
      <c r="O69" s="737" t="str">
        <f t="shared" si="3"/>
        <v xml:space="preserve"> </v>
      </c>
      <c r="P69" s="756"/>
      <c r="Q69" s="756"/>
      <c r="R69" s="756"/>
      <c r="S69" s="749">
        <v>38770</v>
      </c>
      <c r="T69" s="748" t="s">
        <v>749</v>
      </c>
    </row>
    <row r="70" spans="1:20" outlineLevel="2">
      <c r="A70" s="694">
        <f t="shared" si="12"/>
        <v>69</v>
      </c>
      <c r="B70" s="759" t="s">
        <v>678</v>
      </c>
      <c r="C70" s="772" t="s">
        <v>747</v>
      </c>
      <c r="D70" s="735">
        <v>3403</v>
      </c>
      <c r="E70" s="743">
        <v>49</v>
      </c>
      <c r="F70" s="743" t="s">
        <v>774</v>
      </c>
      <c r="G70" s="743" t="s">
        <v>775</v>
      </c>
      <c r="H70" s="735">
        <v>2013</v>
      </c>
      <c r="I70" s="755">
        <v>103</v>
      </c>
      <c r="J70" s="755"/>
      <c r="K70" s="755">
        <v>103</v>
      </c>
      <c r="L70" s="755">
        <v>0</v>
      </c>
      <c r="M70" s="755">
        <v>0</v>
      </c>
      <c r="N70" s="756"/>
      <c r="O70" s="737" t="str">
        <f t="shared" ref="O70:O143" si="13">IF(M70&lt;=0," ",N70/M70*100)</f>
        <v xml:space="preserve"> </v>
      </c>
      <c r="P70" s="756"/>
      <c r="Q70" s="756"/>
      <c r="R70" s="756"/>
      <c r="S70" s="749"/>
      <c r="T70" s="748" t="s">
        <v>749</v>
      </c>
    </row>
    <row r="71" spans="1:20" outlineLevel="2">
      <c r="A71" s="694">
        <f t="shared" si="12"/>
        <v>70</v>
      </c>
      <c r="B71" s="759" t="s">
        <v>678</v>
      </c>
      <c r="C71" s="772" t="s">
        <v>747</v>
      </c>
      <c r="D71" s="735">
        <v>3404</v>
      </c>
      <c r="E71" s="743">
        <v>49</v>
      </c>
      <c r="F71" s="743" t="s">
        <v>776</v>
      </c>
      <c r="G71" s="743" t="s">
        <v>775</v>
      </c>
      <c r="H71" s="743" t="s">
        <v>760</v>
      </c>
      <c r="I71" s="755">
        <v>13087</v>
      </c>
      <c r="J71" s="755"/>
      <c r="K71" s="755">
        <v>0</v>
      </c>
      <c r="L71" s="755">
        <v>0</v>
      </c>
      <c r="M71" s="755">
        <v>210</v>
      </c>
      <c r="N71" s="756">
        <v>194</v>
      </c>
      <c r="O71" s="737">
        <f t="shared" si="13"/>
        <v>92.38095238095238</v>
      </c>
      <c r="P71" s="756"/>
      <c r="Q71" s="756">
        <v>8740</v>
      </c>
      <c r="R71" s="756"/>
      <c r="S71" s="749">
        <v>12877</v>
      </c>
      <c r="T71" s="748" t="s">
        <v>749</v>
      </c>
    </row>
    <row r="72" spans="1:20" outlineLevel="2">
      <c r="A72" s="694">
        <f t="shared" si="12"/>
        <v>71</v>
      </c>
      <c r="B72" s="759" t="s">
        <v>678</v>
      </c>
      <c r="C72" s="772" t="s">
        <v>747</v>
      </c>
      <c r="D72" s="735">
        <v>3409</v>
      </c>
      <c r="E72" s="743">
        <v>49</v>
      </c>
      <c r="F72" s="743" t="s">
        <v>777</v>
      </c>
      <c r="G72" s="743" t="s">
        <v>775</v>
      </c>
      <c r="H72" s="735">
        <v>2017</v>
      </c>
      <c r="I72" s="755">
        <v>3670</v>
      </c>
      <c r="J72" s="755"/>
      <c r="K72" s="755">
        <v>0</v>
      </c>
      <c r="L72" s="755">
        <v>0</v>
      </c>
      <c r="M72" s="755">
        <v>0</v>
      </c>
      <c r="N72" s="756"/>
      <c r="O72" s="737" t="str">
        <f t="shared" si="13"/>
        <v xml:space="preserve"> </v>
      </c>
      <c r="P72" s="756"/>
      <c r="Q72" s="756"/>
      <c r="R72" s="756"/>
      <c r="S72" s="749">
        <v>3670</v>
      </c>
      <c r="T72" s="748" t="s">
        <v>749</v>
      </c>
    </row>
    <row r="73" spans="1:20" outlineLevel="2">
      <c r="A73" s="694">
        <f t="shared" si="12"/>
        <v>72</v>
      </c>
      <c r="B73" s="759" t="s">
        <v>678</v>
      </c>
      <c r="C73" s="772" t="s">
        <v>747</v>
      </c>
      <c r="D73" s="735">
        <v>4052</v>
      </c>
      <c r="E73" s="743">
        <v>49</v>
      </c>
      <c r="F73" s="743" t="s">
        <v>778</v>
      </c>
      <c r="G73" s="743" t="s">
        <v>779</v>
      </c>
      <c r="H73" s="735">
        <v>2017</v>
      </c>
      <c r="I73" s="755">
        <v>98988</v>
      </c>
      <c r="J73" s="755"/>
      <c r="K73" s="755">
        <f>55189+5000</f>
        <v>60189</v>
      </c>
      <c r="L73" s="755">
        <v>5000</v>
      </c>
      <c r="M73" s="755">
        <v>5000</v>
      </c>
      <c r="N73" s="756">
        <v>5000</v>
      </c>
      <c r="O73" s="737">
        <f t="shared" si="13"/>
        <v>100</v>
      </c>
      <c r="P73" s="756">
        <v>5000</v>
      </c>
      <c r="Q73" s="756">
        <v>5000</v>
      </c>
      <c r="R73" s="756"/>
      <c r="S73" s="749">
        <v>33799</v>
      </c>
      <c r="T73" s="748" t="s">
        <v>749</v>
      </c>
    </row>
    <row r="74" spans="1:20" outlineLevel="2">
      <c r="A74" s="694">
        <f t="shared" si="12"/>
        <v>73</v>
      </c>
      <c r="B74" s="759" t="s">
        <v>678</v>
      </c>
      <c r="C74" s="772" t="s">
        <v>747</v>
      </c>
      <c r="D74" s="735">
        <v>4193</v>
      </c>
      <c r="E74" s="743">
        <v>49</v>
      </c>
      <c r="F74" s="743" t="s">
        <v>780</v>
      </c>
      <c r="G74" s="743" t="s">
        <v>781</v>
      </c>
      <c r="H74" s="775">
        <v>2016</v>
      </c>
      <c r="I74" s="755">
        <v>251230</v>
      </c>
      <c r="J74" s="755"/>
      <c r="K74" s="755">
        <f>162395+5548</f>
        <v>167943</v>
      </c>
      <c r="L74" s="755">
        <v>7000</v>
      </c>
      <c r="M74" s="755">
        <v>200</v>
      </c>
      <c r="N74" s="756">
        <v>166</v>
      </c>
      <c r="O74" s="737">
        <f t="shared" si="13"/>
        <v>83</v>
      </c>
      <c r="P74" s="756">
        <v>7000</v>
      </c>
      <c r="Q74" s="756">
        <v>3000</v>
      </c>
      <c r="R74" s="756"/>
      <c r="S74" s="749">
        <v>82547</v>
      </c>
      <c r="T74" s="748" t="s">
        <v>749</v>
      </c>
    </row>
    <row r="75" spans="1:20" outlineLevel="1">
      <c r="A75" s="694">
        <f t="shared" si="12"/>
        <v>74</v>
      </c>
      <c r="B75" s="760"/>
      <c r="C75" s="776" t="s">
        <v>782</v>
      </c>
      <c r="D75" s="761"/>
      <c r="E75" s="762"/>
      <c r="F75" s="762"/>
      <c r="G75" s="762"/>
      <c r="H75" s="777"/>
      <c r="I75" s="763">
        <f t="shared" ref="I75:N75" si="14">SUBTOTAL(9,I51:I74)</f>
        <v>646571</v>
      </c>
      <c r="J75" s="763">
        <f t="shared" si="14"/>
        <v>0</v>
      </c>
      <c r="K75" s="763">
        <f t="shared" si="14"/>
        <v>293259</v>
      </c>
      <c r="L75" s="763">
        <f t="shared" si="14"/>
        <v>84123</v>
      </c>
      <c r="M75" s="763">
        <f t="shared" si="14"/>
        <v>78041</v>
      </c>
      <c r="N75" s="763">
        <f t="shared" si="14"/>
        <v>77311</v>
      </c>
      <c r="O75" s="765">
        <f t="shared" si="13"/>
        <v>99.064594251739464</v>
      </c>
      <c r="P75" s="764">
        <f>SUBTOTAL(9,P51:P74)</f>
        <v>28873</v>
      </c>
      <c r="Q75" s="764">
        <f>SUBTOTAL(9,Q51:Q74)</f>
        <v>39324</v>
      </c>
      <c r="R75" s="764">
        <f>SUBTOTAL(9,R51:R74)</f>
        <v>0</v>
      </c>
      <c r="S75" s="766"/>
      <c r="T75" s="767"/>
    </row>
    <row r="76" spans="1:20" outlineLevel="2">
      <c r="A76" s="694">
        <f t="shared" si="12"/>
        <v>75</v>
      </c>
      <c r="B76" s="759" t="s">
        <v>678</v>
      </c>
      <c r="C76" s="735" t="s">
        <v>783</v>
      </c>
      <c r="D76" s="735">
        <v>2889</v>
      </c>
      <c r="E76" s="743">
        <v>49</v>
      </c>
      <c r="F76" s="743" t="s">
        <v>784</v>
      </c>
      <c r="G76" s="735">
        <v>2012</v>
      </c>
      <c r="H76" s="775" t="s">
        <v>705</v>
      </c>
      <c r="I76" s="755">
        <v>47100</v>
      </c>
      <c r="J76" s="755"/>
      <c r="K76" s="755"/>
      <c r="L76" s="755"/>
      <c r="M76" s="755">
        <v>2</v>
      </c>
      <c r="N76" s="755"/>
      <c r="O76" s="737"/>
      <c r="P76" s="756"/>
      <c r="Q76" s="756"/>
      <c r="R76" s="756"/>
      <c r="S76" s="749"/>
      <c r="T76" s="778" t="s">
        <v>749</v>
      </c>
    </row>
    <row r="77" spans="1:20" outlineLevel="2">
      <c r="A77" s="694">
        <f t="shared" si="12"/>
        <v>76</v>
      </c>
      <c r="B77" s="759" t="s">
        <v>678</v>
      </c>
      <c r="C77" s="735" t="s">
        <v>783</v>
      </c>
      <c r="D77" s="735">
        <v>2890</v>
      </c>
      <c r="E77" s="743">
        <v>49</v>
      </c>
      <c r="F77" s="743" t="s">
        <v>785</v>
      </c>
      <c r="G77" s="735">
        <v>2012</v>
      </c>
      <c r="H77" s="775" t="s">
        <v>742</v>
      </c>
      <c r="I77" s="755">
        <v>800</v>
      </c>
      <c r="J77" s="755"/>
      <c r="K77" s="755"/>
      <c r="L77" s="755"/>
      <c r="M77" s="755">
        <v>2</v>
      </c>
      <c r="N77" s="755"/>
      <c r="O77" s="737"/>
      <c r="P77" s="756"/>
      <c r="Q77" s="756"/>
      <c r="R77" s="756"/>
      <c r="S77" s="749"/>
      <c r="T77" s="778" t="s">
        <v>749</v>
      </c>
    </row>
    <row r="78" spans="1:20" outlineLevel="2">
      <c r="A78" s="694">
        <f t="shared" si="12"/>
        <v>77</v>
      </c>
      <c r="B78" s="759" t="s">
        <v>678</v>
      </c>
      <c r="C78" s="735" t="s">
        <v>783</v>
      </c>
      <c r="D78" s="735">
        <v>2891</v>
      </c>
      <c r="E78" s="743">
        <v>49</v>
      </c>
      <c r="F78" s="743" t="s">
        <v>786</v>
      </c>
      <c r="G78" s="735">
        <v>2012</v>
      </c>
      <c r="H78" s="775" t="s">
        <v>769</v>
      </c>
      <c r="I78" s="755">
        <v>85000</v>
      </c>
      <c r="J78" s="755"/>
      <c r="K78" s="755"/>
      <c r="L78" s="755"/>
      <c r="M78" s="755">
        <v>2</v>
      </c>
      <c r="N78" s="755"/>
      <c r="O78" s="737"/>
      <c r="P78" s="756"/>
      <c r="Q78" s="756"/>
      <c r="R78" s="756"/>
      <c r="S78" s="749"/>
      <c r="T78" s="778" t="s">
        <v>749</v>
      </c>
    </row>
    <row r="79" spans="1:20" outlineLevel="2">
      <c r="A79" s="694">
        <f t="shared" si="12"/>
        <v>78</v>
      </c>
      <c r="B79" s="759" t="s">
        <v>678</v>
      </c>
      <c r="C79" s="735" t="s">
        <v>783</v>
      </c>
      <c r="D79" s="735">
        <v>2892</v>
      </c>
      <c r="E79" s="743">
        <v>49</v>
      </c>
      <c r="F79" s="743" t="s">
        <v>787</v>
      </c>
      <c r="G79" s="735">
        <v>2012</v>
      </c>
      <c r="H79" s="775" t="s">
        <v>705</v>
      </c>
      <c r="I79" s="755">
        <v>28350</v>
      </c>
      <c r="J79" s="755"/>
      <c r="K79" s="755"/>
      <c r="L79" s="755"/>
      <c r="M79" s="755">
        <v>2</v>
      </c>
      <c r="N79" s="755"/>
      <c r="O79" s="737"/>
      <c r="P79" s="756"/>
      <c r="Q79" s="756"/>
      <c r="R79" s="756"/>
      <c r="S79" s="749"/>
      <c r="T79" s="778" t="s">
        <v>749</v>
      </c>
    </row>
    <row r="80" spans="1:20" outlineLevel="2">
      <c r="A80" s="694">
        <f t="shared" si="12"/>
        <v>79</v>
      </c>
      <c r="B80" s="759" t="s">
        <v>678</v>
      </c>
      <c r="C80" s="735" t="s">
        <v>783</v>
      </c>
      <c r="D80" s="735">
        <v>2893</v>
      </c>
      <c r="E80" s="743">
        <v>49</v>
      </c>
      <c r="F80" s="743" t="s">
        <v>788</v>
      </c>
      <c r="G80" s="735">
        <v>2012</v>
      </c>
      <c r="H80" s="775" t="s">
        <v>760</v>
      </c>
      <c r="I80" s="755">
        <v>8000</v>
      </c>
      <c r="J80" s="755"/>
      <c r="K80" s="755"/>
      <c r="L80" s="755"/>
      <c r="M80" s="755">
        <v>2</v>
      </c>
      <c r="N80" s="755"/>
      <c r="O80" s="737"/>
      <c r="P80" s="756"/>
      <c r="Q80" s="756"/>
      <c r="R80" s="756"/>
      <c r="S80" s="749"/>
      <c r="T80" s="778" t="s">
        <v>749</v>
      </c>
    </row>
    <row r="81" spans="1:21" outlineLevel="2">
      <c r="A81" s="694">
        <f t="shared" si="12"/>
        <v>80</v>
      </c>
      <c r="B81" s="759" t="s">
        <v>678</v>
      </c>
      <c r="C81" s="735" t="s">
        <v>783</v>
      </c>
      <c r="D81" s="735">
        <v>2894</v>
      </c>
      <c r="E81" s="743">
        <v>49</v>
      </c>
      <c r="F81" s="743" t="s">
        <v>789</v>
      </c>
      <c r="G81" s="735">
        <v>2012</v>
      </c>
      <c r="H81" s="775" t="s">
        <v>699</v>
      </c>
      <c r="I81" s="755">
        <v>52000</v>
      </c>
      <c r="J81" s="755"/>
      <c r="K81" s="755"/>
      <c r="L81" s="755"/>
      <c r="M81" s="755">
        <v>2</v>
      </c>
      <c r="N81" s="755"/>
      <c r="O81" s="737"/>
      <c r="P81" s="756"/>
      <c r="Q81" s="756"/>
      <c r="R81" s="756"/>
      <c r="S81" s="749"/>
      <c r="T81" s="778" t="s">
        <v>749</v>
      </c>
    </row>
    <row r="82" spans="1:21" outlineLevel="2">
      <c r="A82" s="694">
        <f t="shared" si="12"/>
        <v>81</v>
      </c>
      <c r="B82" s="759" t="s">
        <v>678</v>
      </c>
      <c r="C82" s="735" t="s">
        <v>783</v>
      </c>
      <c r="D82" s="735">
        <v>2895</v>
      </c>
      <c r="E82" s="743">
        <v>49</v>
      </c>
      <c r="F82" s="743" t="s">
        <v>790</v>
      </c>
      <c r="G82" s="735">
        <v>2012</v>
      </c>
      <c r="H82" s="775" t="s">
        <v>705</v>
      </c>
      <c r="I82" s="755">
        <v>26386</v>
      </c>
      <c r="J82" s="755"/>
      <c r="K82" s="755"/>
      <c r="L82" s="755"/>
      <c r="M82" s="755">
        <v>2</v>
      </c>
      <c r="N82" s="755"/>
      <c r="O82" s="737"/>
      <c r="P82" s="756"/>
      <c r="Q82" s="756"/>
      <c r="R82" s="756"/>
      <c r="S82" s="749"/>
      <c r="T82" s="778" t="s">
        <v>749</v>
      </c>
    </row>
    <row r="83" spans="1:21" outlineLevel="2">
      <c r="A83" s="694">
        <f t="shared" si="12"/>
        <v>82</v>
      </c>
      <c r="B83" s="759" t="s">
        <v>678</v>
      </c>
      <c r="C83" s="735" t="s">
        <v>783</v>
      </c>
      <c r="D83" s="735">
        <v>2896</v>
      </c>
      <c r="E83" s="743">
        <v>49</v>
      </c>
      <c r="F83" s="743" t="s">
        <v>791</v>
      </c>
      <c r="G83" s="735">
        <v>2012</v>
      </c>
      <c r="H83" s="775" t="s">
        <v>699</v>
      </c>
      <c r="I83" s="755">
        <v>49000</v>
      </c>
      <c r="J83" s="755"/>
      <c r="K83" s="755"/>
      <c r="L83" s="755"/>
      <c r="M83" s="755">
        <v>2</v>
      </c>
      <c r="N83" s="755"/>
      <c r="O83" s="737"/>
      <c r="P83" s="756"/>
      <c r="Q83" s="756"/>
      <c r="R83" s="756"/>
      <c r="S83" s="749"/>
      <c r="T83" s="778" t="s">
        <v>749</v>
      </c>
    </row>
    <row r="84" spans="1:21" outlineLevel="2">
      <c r="A84" s="694">
        <f t="shared" si="12"/>
        <v>83</v>
      </c>
      <c r="B84" s="759" t="s">
        <v>678</v>
      </c>
      <c r="C84" s="735" t="s">
        <v>783</v>
      </c>
      <c r="D84" s="735">
        <v>2897</v>
      </c>
      <c r="E84" s="743">
        <v>49</v>
      </c>
      <c r="F84" s="743" t="s">
        <v>792</v>
      </c>
      <c r="G84" s="735">
        <v>2012</v>
      </c>
      <c r="H84" s="775" t="s">
        <v>705</v>
      </c>
      <c r="I84" s="755">
        <v>7500</v>
      </c>
      <c r="J84" s="755"/>
      <c r="K84" s="755"/>
      <c r="L84" s="755"/>
      <c r="M84" s="755">
        <v>2</v>
      </c>
      <c r="N84" s="755"/>
      <c r="O84" s="737"/>
      <c r="P84" s="756"/>
      <c r="Q84" s="756"/>
      <c r="R84" s="756"/>
      <c r="S84" s="749"/>
      <c r="T84" s="778" t="s">
        <v>749</v>
      </c>
    </row>
    <row r="85" spans="1:21" outlineLevel="2">
      <c r="A85" s="694">
        <f t="shared" si="12"/>
        <v>84</v>
      </c>
      <c r="B85" s="759" t="s">
        <v>678</v>
      </c>
      <c r="C85" s="735" t="s">
        <v>783</v>
      </c>
      <c r="D85" s="735">
        <v>2898</v>
      </c>
      <c r="E85" s="743">
        <v>49</v>
      </c>
      <c r="F85" s="743" t="s">
        <v>793</v>
      </c>
      <c r="G85" s="735">
        <v>2012</v>
      </c>
      <c r="H85" s="775" t="s">
        <v>705</v>
      </c>
      <c r="I85" s="755">
        <v>15080</v>
      </c>
      <c r="J85" s="755"/>
      <c r="K85" s="755"/>
      <c r="L85" s="755"/>
      <c r="M85" s="755">
        <v>2</v>
      </c>
      <c r="N85" s="755"/>
      <c r="O85" s="737"/>
      <c r="P85" s="756"/>
      <c r="Q85" s="756"/>
      <c r="R85" s="756"/>
      <c r="S85" s="749"/>
      <c r="T85" s="778" t="s">
        <v>749</v>
      </c>
    </row>
    <row r="86" spans="1:21" outlineLevel="2">
      <c r="A86" s="694">
        <f t="shared" si="12"/>
        <v>85</v>
      </c>
      <c r="B86" s="759" t="s">
        <v>678</v>
      </c>
      <c r="C86" s="735" t="s">
        <v>783</v>
      </c>
      <c r="D86" s="735">
        <v>2910</v>
      </c>
      <c r="E86" s="743">
        <v>49</v>
      </c>
      <c r="F86" s="743" t="s">
        <v>794</v>
      </c>
      <c r="G86" s="735">
        <v>2012</v>
      </c>
      <c r="H86" s="775" t="s">
        <v>769</v>
      </c>
      <c r="I86" s="755">
        <v>50100</v>
      </c>
      <c r="J86" s="755"/>
      <c r="K86" s="755"/>
      <c r="L86" s="755"/>
      <c r="M86" s="755">
        <v>10</v>
      </c>
      <c r="N86" s="755"/>
      <c r="O86" s="737">
        <f t="shared" si="13"/>
        <v>0</v>
      </c>
      <c r="P86" s="757"/>
      <c r="Q86" s="757"/>
      <c r="R86" s="757"/>
      <c r="S86" s="749">
        <v>50090</v>
      </c>
      <c r="T86" s="748" t="s">
        <v>749</v>
      </c>
    </row>
    <row r="87" spans="1:21" outlineLevel="2">
      <c r="A87" s="694">
        <f t="shared" si="12"/>
        <v>86</v>
      </c>
      <c r="B87" s="759" t="s">
        <v>678</v>
      </c>
      <c r="C87" s="735" t="s">
        <v>783</v>
      </c>
      <c r="D87" s="735">
        <v>2914</v>
      </c>
      <c r="E87" s="743">
        <v>49</v>
      </c>
      <c r="F87" s="743" t="s">
        <v>795</v>
      </c>
      <c r="G87" s="735">
        <v>2012</v>
      </c>
      <c r="H87" s="774" t="s">
        <v>760</v>
      </c>
      <c r="I87" s="755">
        <v>5800</v>
      </c>
      <c r="J87" s="755"/>
      <c r="K87" s="755"/>
      <c r="L87" s="755"/>
      <c r="M87" s="755">
        <v>10</v>
      </c>
      <c r="N87" s="755"/>
      <c r="O87" s="737">
        <f t="shared" si="13"/>
        <v>0</v>
      </c>
      <c r="P87" s="757"/>
      <c r="Q87" s="757"/>
      <c r="R87" s="757"/>
      <c r="S87" s="749">
        <v>5790</v>
      </c>
      <c r="T87" s="748" t="s">
        <v>749</v>
      </c>
    </row>
    <row r="88" spans="1:21" outlineLevel="2">
      <c r="A88" s="694">
        <f t="shared" si="12"/>
        <v>87</v>
      </c>
      <c r="B88" s="759" t="s">
        <v>678</v>
      </c>
      <c r="C88" s="735" t="s">
        <v>783</v>
      </c>
      <c r="D88" s="735">
        <v>2915</v>
      </c>
      <c r="E88" s="743">
        <v>49</v>
      </c>
      <c r="F88" s="743" t="s">
        <v>796</v>
      </c>
      <c r="G88" s="735">
        <v>2012</v>
      </c>
      <c r="H88" s="775" t="s">
        <v>769</v>
      </c>
      <c r="I88" s="755">
        <v>26550</v>
      </c>
      <c r="J88" s="755"/>
      <c r="K88" s="755"/>
      <c r="L88" s="755"/>
      <c r="M88" s="755">
        <v>10</v>
      </c>
      <c r="N88" s="755"/>
      <c r="O88" s="737">
        <f t="shared" si="13"/>
        <v>0</v>
      </c>
      <c r="P88" s="757"/>
      <c r="Q88" s="757"/>
      <c r="R88" s="757"/>
      <c r="S88" s="749">
        <v>26540</v>
      </c>
      <c r="T88" s="748" t="s">
        <v>749</v>
      </c>
    </row>
    <row r="89" spans="1:21" s="708" customFormat="1" outlineLevel="2">
      <c r="A89" s="694">
        <f t="shared" si="12"/>
        <v>88</v>
      </c>
      <c r="B89" s="742">
        <v>5600</v>
      </c>
      <c r="C89" s="735" t="s">
        <v>783</v>
      </c>
      <c r="D89" s="735">
        <v>2927</v>
      </c>
      <c r="E89" s="743">
        <v>49</v>
      </c>
      <c r="F89" s="743" t="s">
        <v>797</v>
      </c>
      <c r="G89" s="735">
        <v>2011</v>
      </c>
      <c r="H89" s="735">
        <v>2017</v>
      </c>
      <c r="I89" s="755">
        <v>86000</v>
      </c>
      <c r="J89" s="755"/>
      <c r="K89" s="755">
        <v>0</v>
      </c>
      <c r="L89" s="755">
        <v>0</v>
      </c>
      <c r="M89" s="755">
        <v>0</v>
      </c>
      <c r="N89" s="756"/>
      <c r="O89" s="737" t="str">
        <f t="shared" si="13"/>
        <v xml:space="preserve"> </v>
      </c>
      <c r="P89" s="757"/>
      <c r="Q89" s="757"/>
      <c r="R89" s="757">
        <v>1500</v>
      </c>
      <c r="S89" s="749">
        <v>86000</v>
      </c>
      <c r="T89" s="748" t="s">
        <v>749</v>
      </c>
    </row>
    <row r="90" spans="1:21" s="708" customFormat="1" outlineLevel="2">
      <c r="A90" s="694">
        <f t="shared" si="12"/>
        <v>89</v>
      </c>
      <c r="B90" s="742">
        <v>5600</v>
      </c>
      <c r="C90" s="735" t="s">
        <v>783</v>
      </c>
      <c r="D90" s="735">
        <v>2928</v>
      </c>
      <c r="E90" s="743">
        <v>49</v>
      </c>
      <c r="F90" s="743" t="s">
        <v>798</v>
      </c>
      <c r="G90" s="735">
        <v>2011</v>
      </c>
      <c r="H90" s="735">
        <v>2016</v>
      </c>
      <c r="I90" s="755">
        <v>76000</v>
      </c>
      <c r="J90" s="755"/>
      <c r="K90" s="755">
        <v>0</v>
      </c>
      <c r="L90" s="755">
        <v>0</v>
      </c>
      <c r="M90" s="755">
        <v>0</v>
      </c>
      <c r="N90" s="756"/>
      <c r="O90" s="737" t="str">
        <f t="shared" si="13"/>
        <v xml:space="preserve"> </v>
      </c>
      <c r="P90" s="757">
        <v>2000</v>
      </c>
      <c r="Q90" s="757"/>
      <c r="R90" s="757"/>
      <c r="S90" s="749">
        <v>76000</v>
      </c>
      <c r="T90" s="748" t="s">
        <v>749</v>
      </c>
    </row>
    <row r="91" spans="1:21" s="708" customFormat="1" outlineLevel="2">
      <c r="A91" s="694">
        <f t="shared" si="12"/>
        <v>90</v>
      </c>
      <c r="B91" s="742">
        <v>5600</v>
      </c>
      <c r="C91" s="735" t="s">
        <v>783</v>
      </c>
      <c r="D91" s="735">
        <v>2929</v>
      </c>
      <c r="E91" s="743">
        <v>49</v>
      </c>
      <c r="F91" s="743" t="s">
        <v>799</v>
      </c>
      <c r="G91" s="735">
        <v>2011</v>
      </c>
      <c r="H91" s="735">
        <v>2016</v>
      </c>
      <c r="I91" s="755">
        <v>50100</v>
      </c>
      <c r="J91" s="755"/>
      <c r="K91" s="755">
        <v>0</v>
      </c>
      <c r="L91" s="755">
        <v>0</v>
      </c>
      <c r="M91" s="755">
        <v>0</v>
      </c>
      <c r="N91" s="756"/>
      <c r="O91" s="737" t="str">
        <f t="shared" si="13"/>
        <v xml:space="preserve"> </v>
      </c>
      <c r="P91" s="757">
        <v>1500</v>
      </c>
      <c r="Q91" s="757"/>
      <c r="R91" s="757"/>
      <c r="S91" s="749">
        <v>50100</v>
      </c>
      <c r="T91" s="748" t="s">
        <v>749</v>
      </c>
    </row>
    <row r="92" spans="1:21" outlineLevel="2">
      <c r="A92" s="694">
        <f t="shared" si="12"/>
        <v>91</v>
      </c>
      <c r="B92" s="779">
        <v>5600</v>
      </c>
      <c r="C92" s="735" t="s">
        <v>783</v>
      </c>
      <c r="D92" s="752">
        <v>2943</v>
      </c>
      <c r="E92" s="753"/>
      <c r="F92" s="753" t="s">
        <v>800</v>
      </c>
      <c r="G92" s="752">
        <v>2011</v>
      </c>
      <c r="H92" s="752">
        <v>2012</v>
      </c>
      <c r="I92" s="754">
        <v>32000</v>
      </c>
      <c r="J92" s="754"/>
      <c r="K92" s="754">
        <f>2</f>
        <v>2</v>
      </c>
      <c r="L92" s="755">
        <v>30350</v>
      </c>
      <c r="M92" s="755">
        <v>20350</v>
      </c>
      <c r="N92" s="756">
        <v>17047</v>
      </c>
      <c r="O92" s="737">
        <f t="shared" si="13"/>
        <v>83.769041769041777</v>
      </c>
      <c r="P92" s="757"/>
      <c r="Q92" s="757"/>
      <c r="R92" s="757"/>
      <c r="S92" s="749">
        <v>0</v>
      </c>
      <c r="T92" s="758" t="s">
        <v>681</v>
      </c>
      <c r="U92" s="740">
        <f>K92+N92</f>
        <v>17049</v>
      </c>
    </row>
    <row r="93" spans="1:21" outlineLevel="2">
      <c r="A93" s="694">
        <f t="shared" si="12"/>
        <v>92</v>
      </c>
      <c r="B93" s="779">
        <v>5600</v>
      </c>
      <c r="C93" s="735" t="s">
        <v>783</v>
      </c>
      <c r="D93" s="752">
        <v>2949</v>
      </c>
      <c r="E93" s="753">
        <v>49</v>
      </c>
      <c r="F93" s="753" t="s">
        <v>801</v>
      </c>
      <c r="G93" s="752">
        <v>2011</v>
      </c>
      <c r="H93" s="752">
        <v>2013</v>
      </c>
      <c r="I93" s="754">
        <v>6638</v>
      </c>
      <c r="J93" s="754"/>
      <c r="K93" s="754">
        <f>670</f>
        <v>670</v>
      </c>
      <c r="L93" s="755">
        <v>0</v>
      </c>
      <c r="M93" s="755">
        <v>5887</v>
      </c>
      <c r="N93" s="756">
        <v>5884</v>
      </c>
      <c r="O93" s="737">
        <f t="shared" si="13"/>
        <v>99.949040258196021</v>
      </c>
      <c r="P93" s="757"/>
      <c r="Q93" s="757"/>
      <c r="R93" s="757"/>
      <c r="S93" s="749">
        <v>214</v>
      </c>
      <c r="T93" s="758" t="s">
        <v>749</v>
      </c>
    </row>
    <row r="94" spans="1:21" outlineLevel="2">
      <c r="A94" s="694">
        <f t="shared" si="12"/>
        <v>93</v>
      </c>
      <c r="B94" s="779">
        <v>5600</v>
      </c>
      <c r="C94" s="735" t="s">
        <v>783</v>
      </c>
      <c r="D94" s="752">
        <v>2951</v>
      </c>
      <c r="E94" s="753">
        <v>49</v>
      </c>
      <c r="F94" s="753" t="s">
        <v>802</v>
      </c>
      <c r="G94" s="752">
        <v>2011</v>
      </c>
      <c r="H94" s="752">
        <v>2017</v>
      </c>
      <c r="I94" s="754">
        <v>27000</v>
      </c>
      <c r="J94" s="754"/>
      <c r="K94" s="754">
        <v>0</v>
      </c>
      <c r="L94" s="755">
        <v>0</v>
      </c>
      <c r="M94" s="755">
        <v>0</v>
      </c>
      <c r="N94" s="756"/>
      <c r="O94" s="737" t="str">
        <f t="shared" si="13"/>
        <v xml:space="preserve"> </v>
      </c>
      <c r="P94" s="757"/>
      <c r="Q94" s="757">
        <v>1000</v>
      </c>
      <c r="R94" s="757"/>
      <c r="S94" s="749">
        <v>27000</v>
      </c>
      <c r="T94" s="758" t="s">
        <v>749</v>
      </c>
    </row>
    <row r="95" spans="1:21" outlineLevel="2">
      <c r="A95" s="694">
        <f t="shared" si="12"/>
        <v>94</v>
      </c>
      <c r="B95" s="779">
        <v>5600</v>
      </c>
      <c r="C95" s="735" t="s">
        <v>783</v>
      </c>
      <c r="D95" s="752">
        <v>2952</v>
      </c>
      <c r="E95" s="753">
        <v>49</v>
      </c>
      <c r="F95" s="753" t="s">
        <v>803</v>
      </c>
      <c r="G95" s="752">
        <v>2011</v>
      </c>
      <c r="H95" s="752">
        <v>2016</v>
      </c>
      <c r="I95" s="755">
        <v>75475</v>
      </c>
      <c r="J95" s="754"/>
      <c r="K95" s="754">
        <v>0</v>
      </c>
      <c r="L95" s="755">
        <v>2100</v>
      </c>
      <c r="M95" s="755">
        <v>1800</v>
      </c>
      <c r="N95" s="756">
        <v>1783</v>
      </c>
      <c r="O95" s="737">
        <f t="shared" si="13"/>
        <v>99.055555555555557</v>
      </c>
      <c r="P95" s="757"/>
      <c r="Q95" s="757"/>
      <c r="R95" s="757"/>
      <c r="S95" s="749">
        <v>73675</v>
      </c>
      <c r="T95" s="758" t="s">
        <v>749</v>
      </c>
    </row>
    <row r="96" spans="1:21" outlineLevel="2">
      <c r="A96" s="694">
        <f t="shared" si="12"/>
        <v>95</v>
      </c>
      <c r="B96" s="751" t="s">
        <v>678</v>
      </c>
      <c r="C96" s="735" t="s">
        <v>783</v>
      </c>
      <c r="D96" s="752">
        <v>2956</v>
      </c>
      <c r="E96" s="753"/>
      <c r="F96" s="753" t="s">
        <v>804</v>
      </c>
      <c r="G96" s="753" t="s">
        <v>698</v>
      </c>
      <c r="H96" s="780">
        <v>2014</v>
      </c>
      <c r="I96" s="755">
        <v>655000</v>
      </c>
      <c r="J96" s="754"/>
      <c r="K96" s="754">
        <f>2908+127978</f>
        <v>130886</v>
      </c>
      <c r="L96" s="755">
        <v>216000</v>
      </c>
      <c r="M96" s="755">
        <v>216000</v>
      </c>
      <c r="N96" s="756">
        <v>215796</v>
      </c>
      <c r="O96" s="737">
        <f t="shared" si="13"/>
        <v>99.905555555555566</v>
      </c>
      <c r="P96" s="757">
        <v>308114</v>
      </c>
      <c r="Q96" s="757"/>
      <c r="R96" s="757"/>
      <c r="S96" s="749"/>
      <c r="T96" s="758" t="s">
        <v>681</v>
      </c>
    </row>
    <row r="97" spans="1:20" outlineLevel="2">
      <c r="A97" s="694">
        <f t="shared" si="12"/>
        <v>96</v>
      </c>
      <c r="B97" s="751" t="s">
        <v>678</v>
      </c>
      <c r="C97" s="735" t="s">
        <v>783</v>
      </c>
      <c r="D97" s="752">
        <v>2969</v>
      </c>
      <c r="E97" s="753">
        <v>49</v>
      </c>
      <c r="F97" s="753" t="s">
        <v>805</v>
      </c>
      <c r="G97" s="753" t="s">
        <v>698</v>
      </c>
      <c r="H97" s="769">
        <v>2016</v>
      </c>
      <c r="I97" s="755">
        <v>95000</v>
      </c>
      <c r="J97" s="754"/>
      <c r="K97" s="754">
        <v>0</v>
      </c>
      <c r="L97" s="755">
        <v>2000</v>
      </c>
      <c r="M97" s="755">
        <v>1950</v>
      </c>
      <c r="N97" s="756">
        <v>1946</v>
      </c>
      <c r="O97" s="737">
        <f t="shared" si="13"/>
        <v>99.794871794871796</v>
      </c>
      <c r="P97" s="757"/>
      <c r="Q97" s="757"/>
      <c r="R97" s="757"/>
      <c r="S97" s="749">
        <v>93050</v>
      </c>
      <c r="T97" s="758" t="s">
        <v>749</v>
      </c>
    </row>
    <row r="98" spans="1:20" outlineLevel="2">
      <c r="A98" s="694">
        <f t="shared" si="12"/>
        <v>97</v>
      </c>
      <c r="B98" s="751" t="s">
        <v>678</v>
      </c>
      <c r="C98" s="735" t="s">
        <v>783</v>
      </c>
      <c r="D98" s="752">
        <v>2970</v>
      </c>
      <c r="E98" s="753">
        <v>49</v>
      </c>
      <c r="F98" s="753" t="s">
        <v>806</v>
      </c>
      <c r="G98" s="753" t="s">
        <v>698</v>
      </c>
      <c r="H98" s="752">
        <v>2015</v>
      </c>
      <c r="I98" s="755">
        <v>12200</v>
      </c>
      <c r="J98" s="754"/>
      <c r="K98" s="754">
        <v>0</v>
      </c>
      <c r="L98" s="755">
        <v>700</v>
      </c>
      <c r="M98" s="755">
        <v>460</v>
      </c>
      <c r="N98" s="756">
        <v>456</v>
      </c>
      <c r="O98" s="737">
        <f t="shared" si="13"/>
        <v>99.130434782608702</v>
      </c>
      <c r="P98" s="757"/>
      <c r="Q98" s="757"/>
      <c r="R98" s="757"/>
      <c r="S98" s="749">
        <v>11740</v>
      </c>
      <c r="T98" s="758" t="s">
        <v>749</v>
      </c>
    </row>
    <row r="99" spans="1:20" outlineLevel="2">
      <c r="A99" s="694">
        <f t="shared" si="12"/>
        <v>98</v>
      </c>
      <c r="B99" s="751" t="s">
        <v>678</v>
      </c>
      <c r="C99" s="735" t="s">
        <v>783</v>
      </c>
      <c r="D99" s="752">
        <v>2971</v>
      </c>
      <c r="E99" s="753">
        <v>49</v>
      </c>
      <c r="F99" s="753" t="s">
        <v>807</v>
      </c>
      <c r="G99" s="753" t="s">
        <v>698</v>
      </c>
      <c r="H99" s="752">
        <v>2016</v>
      </c>
      <c r="I99" s="755">
        <v>7000</v>
      </c>
      <c r="J99" s="754"/>
      <c r="K99" s="754">
        <v>0</v>
      </c>
      <c r="L99" s="755">
        <v>500</v>
      </c>
      <c r="M99" s="755">
        <v>0</v>
      </c>
      <c r="N99" s="756"/>
      <c r="O99" s="737" t="str">
        <f t="shared" si="13"/>
        <v xml:space="preserve"> </v>
      </c>
      <c r="P99" s="757"/>
      <c r="Q99" s="757">
        <v>1236</v>
      </c>
      <c r="R99" s="757"/>
      <c r="S99" s="749">
        <v>7000</v>
      </c>
      <c r="T99" s="758" t="s">
        <v>749</v>
      </c>
    </row>
    <row r="100" spans="1:20" outlineLevel="2">
      <c r="A100" s="694">
        <f t="shared" si="12"/>
        <v>99</v>
      </c>
      <c r="B100" s="751" t="s">
        <v>678</v>
      </c>
      <c r="C100" s="735" t="s">
        <v>783</v>
      </c>
      <c r="D100" s="752">
        <v>2972</v>
      </c>
      <c r="E100" s="753">
        <v>49</v>
      </c>
      <c r="F100" s="753" t="s">
        <v>808</v>
      </c>
      <c r="G100" s="753" t="s">
        <v>698</v>
      </c>
      <c r="H100" s="752">
        <v>2015</v>
      </c>
      <c r="I100" s="755">
        <v>60850</v>
      </c>
      <c r="J100" s="754"/>
      <c r="K100" s="754">
        <v>0</v>
      </c>
      <c r="L100" s="755">
        <v>2100</v>
      </c>
      <c r="M100" s="755">
        <v>20</v>
      </c>
      <c r="N100" s="756"/>
      <c r="O100" s="737">
        <f t="shared" si="13"/>
        <v>0</v>
      </c>
      <c r="P100" s="757"/>
      <c r="Q100" s="757"/>
      <c r="R100" s="757"/>
      <c r="S100" s="749">
        <v>60830</v>
      </c>
      <c r="T100" s="758" t="s">
        <v>749</v>
      </c>
    </row>
    <row r="101" spans="1:20" outlineLevel="2">
      <c r="A101" s="694">
        <f t="shared" si="12"/>
        <v>100</v>
      </c>
      <c r="B101" s="751" t="s">
        <v>678</v>
      </c>
      <c r="C101" s="735" t="s">
        <v>783</v>
      </c>
      <c r="D101" s="752">
        <v>2973</v>
      </c>
      <c r="E101" s="753">
        <v>49</v>
      </c>
      <c r="F101" s="753" t="s">
        <v>809</v>
      </c>
      <c r="G101" s="753" t="s">
        <v>698</v>
      </c>
      <c r="H101" s="752">
        <v>2014</v>
      </c>
      <c r="I101" s="755">
        <v>21445</v>
      </c>
      <c r="J101" s="754"/>
      <c r="K101" s="754">
        <f>953</f>
        <v>953</v>
      </c>
      <c r="L101" s="755">
        <v>0</v>
      </c>
      <c r="M101" s="755">
        <v>205</v>
      </c>
      <c r="N101" s="756">
        <v>200</v>
      </c>
      <c r="O101" s="737">
        <f t="shared" si="13"/>
        <v>97.560975609756099</v>
      </c>
      <c r="P101" s="757"/>
      <c r="Q101" s="757"/>
      <c r="R101" s="757"/>
      <c r="S101" s="749">
        <v>21958</v>
      </c>
      <c r="T101" s="758" t="s">
        <v>749</v>
      </c>
    </row>
    <row r="102" spans="1:20" outlineLevel="2">
      <c r="A102" s="694">
        <f t="shared" si="12"/>
        <v>101</v>
      </c>
      <c r="B102" s="751" t="s">
        <v>678</v>
      </c>
      <c r="C102" s="735" t="s">
        <v>783</v>
      </c>
      <c r="D102" s="752">
        <v>2974</v>
      </c>
      <c r="E102" s="753">
        <v>49</v>
      </c>
      <c r="F102" s="753" t="s">
        <v>810</v>
      </c>
      <c r="G102" s="753" t="s">
        <v>698</v>
      </c>
      <c r="H102" s="752">
        <v>2014</v>
      </c>
      <c r="I102" s="755">
        <v>29510</v>
      </c>
      <c r="J102" s="754"/>
      <c r="K102" s="754">
        <f>1138</f>
        <v>1138</v>
      </c>
      <c r="L102" s="755">
        <v>0</v>
      </c>
      <c r="M102" s="755">
        <v>5</v>
      </c>
      <c r="N102" s="756"/>
      <c r="O102" s="737">
        <f t="shared" si="13"/>
        <v>0</v>
      </c>
      <c r="P102" s="757"/>
      <c r="Q102" s="757"/>
      <c r="R102" s="757"/>
      <c r="S102" s="749">
        <v>28372</v>
      </c>
      <c r="T102" s="758" t="s">
        <v>749</v>
      </c>
    </row>
    <row r="103" spans="1:20" outlineLevel="2">
      <c r="A103" s="694">
        <f t="shared" si="12"/>
        <v>102</v>
      </c>
      <c r="B103" s="751" t="s">
        <v>678</v>
      </c>
      <c r="C103" s="735" t="s">
        <v>783</v>
      </c>
      <c r="D103" s="752">
        <v>2984</v>
      </c>
      <c r="E103" s="753">
        <v>49</v>
      </c>
      <c r="F103" s="753" t="s">
        <v>811</v>
      </c>
      <c r="G103" s="753" t="s">
        <v>698</v>
      </c>
      <c r="H103" s="752">
        <v>2016</v>
      </c>
      <c r="I103" s="755">
        <v>25605</v>
      </c>
      <c r="J103" s="754"/>
      <c r="K103" s="754">
        <v>0</v>
      </c>
      <c r="L103" s="755">
        <v>0</v>
      </c>
      <c r="M103" s="755">
        <v>20</v>
      </c>
      <c r="N103" s="756"/>
      <c r="O103" s="737">
        <f t="shared" si="13"/>
        <v>0</v>
      </c>
      <c r="P103" s="757">
        <v>1500</v>
      </c>
      <c r="Q103" s="757"/>
      <c r="R103" s="757"/>
      <c r="S103" s="749">
        <v>25585</v>
      </c>
      <c r="T103" s="758" t="s">
        <v>749</v>
      </c>
    </row>
    <row r="104" spans="1:20" outlineLevel="2">
      <c r="A104" s="694">
        <f t="shared" si="12"/>
        <v>103</v>
      </c>
      <c r="B104" s="751" t="s">
        <v>678</v>
      </c>
      <c r="C104" s="735" t="s">
        <v>783</v>
      </c>
      <c r="D104" s="752">
        <v>2986</v>
      </c>
      <c r="E104" s="753">
        <v>49</v>
      </c>
      <c r="F104" s="753" t="s">
        <v>812</v>
      </c>
      <c r="G104" s="753" t="s">
        <v>698</v>
      </c>
      <c r="H104" s="752">
        <v>2013</v>
      </c>
      <c r="I104" s="755">
        <v>24172</v>
      </c>
      <c r="J104" s="754"/>
      <c r="K104" s="754">
        <f>979</f>
        <v>979</v>
      </c>
      <c r="L104" s="755">
        <v>0</v>
      </c>
      <c r="M104" s="755">
        <v>300</v>
      </c>
      <c r="N104" s="756">
        <v>71</v>
      </c>
      <c r="O104" s="737">
        <f t="shared" si="13"/>
        <v>23.666666666666668</v>
      </c>
      <c r="P104" s="757"/>
      <c r="Q104" s="757">
        <v>22893</v>
      </c>
      <c r="R104" s="757"/>
      <c r="S104" s="749">
        <v>22893</v>
      </c>
      <c r="T104" s="758" t="s">
        <v>749</v>
      </c>
    </row>
    <row r="105" spans="1:20" outlineLevel="2">
      <c r="A105" s="694">
        <f t="shared" si="12"/>
        <v>104</v>
      </c>
      <c r="B105" s="751" t="s">
        <v>678</v>
      </c>
      <c r="C105" s="735" t="s">
        <v>783</v>
      </c>
      <c r="D105" s="752">
        <v>2987</v>
      </c>
      <c r="E105" s="753">
        <v>49</v>
      </c>
      <c r="F105" s="753" t="s">
        <v>813</v>
      </c>
      <c r="G105" s="753" t="s">
        <v>698</v>
      </c>
      <c r="H105" s="752">
        <v>2014</v>
      </c>
      <c r="I105" s="755">
        <v>26000</v>
      </c>
      <c r="J105" s="754"/>
      <c r="K105" s="754">
        <v>0</v>
      </c>
      <c r="L105" s="755">
        <v>2100</v>
      </c>
      <c r="M105" s="755">
        <v>1950</v>
      </c>
      <c r="N105" s="756">
        <v>1944</v>
      </c>
      <c r="O105" s="737">
        <f t="shared" si="13"/>
        <v>99.692307692307693</v>
      </c>
      <c r="P105" s="757"/>
      <c r="Q105" s="757"/>
      <c r="R105" s="757"/>
      <c r="S105" s="749">
        <v>24050</v>
      </c>
      <c r="T105" s="758" t="s">
        <v>749</v>
      </c>
    </row>
    <row r="106" spans="1:20" outlineLevel="2">
      <c r="A106" s="694">
        <f t="shared" si="12"/>
        <v>105</v>
      </c>
      <c r="B106" s="751" t="s">
        <v>678</v>
      </c>
      <c r="C106" s="735" t="s">
        <v>783</v>
      </c>
      <c r="D106" s="752">
        <v>2988</v>
      </c>
      <c r="E106" s="753">
        <v>49</v>
      </c>
      <c r="F106" s="753" t="s">
        <v>814</v>
      </c>
      <c r="G106" s="753" t="s">
        <v>698</v>
      </c>
      <c r="H106" s="752">
        <v>2013</v>
      </c>
      <c r="I106" s="755"/>
      <c r="J106" s="754"/>
      <c r="K106" s="754">
        <v>0</v>
      </c>
      <c r="L106" s="755">
        <v>9400</v>
      </c>
      <c r="M106" s="755">
        <v>0</v>
      </c>
      <c r="N106" s="756"/>
      <c r="O106" s="737" t="str">
        <f t="shared" si="13"/>
        <v xml:space="preserve"> </v>
      </c>
      <c r="P106" s="757"/>
      <c r="Q106" s="757"/>
      <c r="R106" s="757"/>
      <c r="S106" s="749">
        <v>0</v>
      </c>
      <c r="T106" s="758" t="s">
        <v>749</v>
      </c>
    </row>
    <row r="107" spans="1:20" outlineLevel="2">
      <c r="A107" s="694">
        <f t="shared" si="12"/>
        <v>106</v>
      </c>
      <c r="B107" s="751" t="s">
        <v>678</v>
      </c>
      <c r="C107" s="735" t="s">
        <v>783</v>
      </c>
      <c r="D107" s="752">
        <v>2989</v>
      </c>
      <c r="E107" s="753">
        <v>49</v>
      </c>
      <c r="F107" s="753" t="s">
        <v>815</v>
      </c>
      <c r="G107" s="753" t="s">
        <v>698</v>
      </c>
      <c r="H107" s="752">
        <v>2018</v>
      </c>
      <c r="I107" s="755">
        <v>20000</v>
      </c>
      <c r="J107" s="754"/>
      <c r="K107" s="754">
        <f>537+4231</f>
        <v>4768</v>
      </c>
      <c r="L107" s="755">
        <v>2000</v>
      </c>
      <c r="M107" s="755">
        <v>350</v>
      </c>
      <c r="N107" s="756">
        <v>343</v>
      </c>
      <c r="O107" s="737">
        <f t="shared" si="13"/>
        <v>98</v>
      </c>
      <c r="P107" s="757">
        <v>2000</v>
      </c>
      <c r="Q107" s="757">
        <v>2000</v>
      </c>
      <c r="R107" s="757"/>
      <c r="S107" s="749">
        <v>14832</v>
      </c>
      <c r="T107" s="758" t="s">
        <v>749</v>
      </c>
    </row>
    <row r="108" spans="1:20" s="708" customFormat="1" outlineLevel="2">
      <c r="A108" s="694">
        <f t="shared" si="12"/>
        <v>107</v>
      </c>
      <c r="B108" s="759" t="s">
        <v>678</v>
      </c>
      <c r="C108" s="735" t="s">
        <v>783</v>
      </c>
      <c r="D108" s="735">
        <v>2990</v>
      </c>
      <c r="E108" s="743">
        <v>49</v>
      </c>
      <c r="F108" s="743" t="s">
        <v>816</v>
      </c>
      <c r="G108" s="743" t="s">
        <v>698</v>
      </c>
      <c r="H108" s="743" t="s">
        <v>742</v>
      </c>
      <c r="I108" s="755">
        <v>29068</v>
      </c>
      <c r="J108" s="755"/>
      <c r="K108" s="755">
        <f>1354</f>
        <v>1354</v>
      </c>
      <c r="L108" s="755">
        <v>20</v>
      </c>
      <c r="M108" s="755">
        <v>100</v>
      </c>
      <c r="N108" s="756">
        <v>78</v>
      </c>
      <c r="O108" s="737">
        <f t="shared" si="13"/>
        <v>78</v>
      </c>
      <c r="P108" s="757">
        <v>27711</v>
      </c>
      <c r="Q108" s="757"/>
      <c r="R108" s="757"/>
      <c r="S108" s="749">
        <v>23732</v>
      </c>
      <c r="T108" s="748" t="s">
        <v>749</v>
      </c>
    </row>
    <row r="109" spans="1:20" outlineLevel="2">
      <c r="A109" s="694">
        <f t="shared" si="12"/>
        <v>108</v>
      </c>
      <c r="B109" s="751" t="s">
        <v>678</v>
      </c>
      <c r="C109" s="735" t="s">
        <v>783</v>
      </c>
      <c r="D109" s="752">
        <v>3023</v>
      </c>
      <c r="E109" s="753">
        <v>49</v>
      </c>
      <c r="F109" s="753" t="s">
        <v>817</v>
      </c>
      <c r="G109" s="753" t="s">
        <v>698</v>
      </c>
      <c r="H109" s="752">
        <v>2015</v>
      </c>
      <c r="I109" s="755">
        <v>22300</v>
      </c>
      <c r="J109" s="754"/>
      <c r="K109" s="754">
        <f>669</f>
        <v>669</v>
      </c>
      <c r="L109" s="755">
        <v>2000</v>
      </c>
      <c r="M109" s="755"/>
      <c r="N109" s="756"/>
      <c r="O109" s="737" t="str">
        <f t="shared" si="13"/>
        <v xml:space="preserve"> </v>
      </c>
      <c r="P109" s="757">
        <v>21531</v>
      </c>
      <c r="Q109" s="757"/>
      <c r="R109" s="757"/>
      <c r="S109" s="749">
        <v>21611</v>
      </c>
      <c r="T109" s="758" t="s">
        <v>749</v>
      </c>
    </row>
    <row r="110" spans="1:20" outlineLevel="2">
      <c r="A110" s="694">
        <f t="shared" si="12"/>
        <v>109</v>
      </c>
      <c r="B110" s="751" t="s">
        <v>678</v>
      </c>
      <c r="C110" s="735" t="s">
        <v>783</v>
      </c>
      <c r="D110" s="752">
        <v>3024</v>
      </c>
      <c r="E110" s="753">
        <v>49</v>
      </c>
      <c r="F110" s="753" t="s">
        <v>818</v>
      </c>
      <c r="G110" s="753" t="s">
        <v>698</v>
      </c>
      <c r="H110" s="752">
        <v>2015</v>
      </c>
      <c r="I110" s="755">
        <v>65000</v>
      </c>
      <c r="J110" s="754"/>
      <c r="K110" s="754">
        <f>2030</f>
        <v>2030</v>
      </c>
      <c r="L110" s="755">
        <v>3000</v>
      </c>
      <c r="M110" s="755">
        <v>5</v>
      </c>
      <c r="N110" s="756">
        <v>1</v>
      </c>
      <c r="O110" s="737">
        <f t="shared" si="13"/>
        <v>20</v>
      </c>
      <c r="P110" s="757">
        <v>3000</v>
      </c>
      <c r="Q110" s="757">
        <v>37000</v>
      </c>
      <c r="R110" s="757">
        <v>22770</v>
      </c>
      <c r="S110" s="749">
        <v>62920</v>
      </c>
      <c r="T110" s="758" t="s">
        <v>749</v>
      </c>
    </row>
    <row r="111" spans="1:20" outlineLevel="2">
      <c r="A111" s="694">
        <f t="shared" si="12"/>
        <v>110</v>
      </c>
      <c r="B111" s="751" t="s">
        <v>678</v>
      </c>
      <c r="C111" s="735" t="s">
        <v>783</v>
      </c>
      <c r="D111" s="752">
        <v>3025</v>
      </c>
      <c r="E111" s="753">
        <v>49</v>
      </c>
      <c r="F111" s="753" t="s">
        <v>819</v>
      </c>
      <c r="G111" s="753" t="s">
        <v>698</v>
      </c>
      <c r="H111" s="752">
        <v>2013</v>
      </c>
      <c r="I111" s="755">
        <v>20030</v>
      </c>
      <c r="J111" s="754"/>
      <c r="K111" s="754">
        <f>1445+87</f>
        <v>1532</v>
      </c>
      <c r="L111" s="755">
        <v>11000</v>
      </c>
      <c r="M111" s="755">
        <v>17939</v>
      </c>
      <c r="N111" s="756">
        <v>17933</v>
      </c>
      <c r="O111" s="737">
        <f t="shared" si="13"/>
        <v>99.966553319583028</v>
      </c>
      <c r="P111" s="757">
        <v>559</v>
      </c>
      <c r="Q111" s="757"/>
      <c r="R111" s="757"/>
      <c r="S111" s="749">
        <v>559</v>
      </c>
      <c r="T111" s="758" t="s">
        <v>749</v>
      </c>
    </row>
    <row r="112" spans="1:20" outlineLevel="2">
      <c r="A112" s="694">
        <f t="shared" si="12"/>
        <v>111</v>
      </c>
      <c r="B112" s="751" t="s">
        <v>678</v>
      </c>
      <c r="C112" s="735" t="s">
        <v>783</v>
      </c>
      <c r="D112" s="752">
        <v>3043</v>
      </c>
      <c r="E112" s="753">
        <v>49</v>
      </c>
      <c r="F112" s="753" t="s">
        <v>820</v>
      </c>
      <c r="G112" s="753" t="s">
        <v>689</v>
      </c>
      <c r="H112" s="752">
        <v>2016</v>
      </c>
      <c r="I112" s="755">
        <v>158000</v>
      </c>
      <c r="J112" s="754"/>
      <c r="K112" s="754">
        <v>0</v>
      </c>
      <c r="L112" s="755">
        <v>0</v>
      </c>
      <c r="M112" s="755">
        <v>0</v>
      </c>
      <c r="N112" s="756"/>
      <c r="O112" s="737" t="str">
        <f t="shared" si="13"/>
        <v xml:space="preserve"> </v>
      </c>
      <c r="P112" s="757">
        <v>4000</v>
      </c>
      <c r="Q112" s="757">
        <v>2500</v>
      </c>
      <c r="R112" s="757"/>
      <c r="S112" s="749">
        <v>158000</v>
      </c>
      <c r="T112" s="758" t="s">
        <v>749</v>
      </c>
    </row>
    <row r="113" spans="1:21" s="708" customFormat="1" outlineLevel="2">
      <c r="A113" s="694">
        <f t="shared" si="12"/>
        <v>112</v>
      </c>
      <c r="B113" s="759" t="s">
        <v>678</v>
      </c>
      <c r="C113" s="735" t="s">
        <v>783</v>
      </c>
      <c r="D113" s="735">
        <v>3045</v>
      </c>
      <c r="E113" s="743">
        <v>49</v>
      </c>
      <c r="F113" s="743" t="s">
        <v>821</v>
      </c>
      <c r="G113" s="743" t="s">
        <v>689</v>
      </c>
      <c r="H113" s="743" t="s">
        <v>742</v>
      </c>
      <c r="I113" s="755">
        <v>32641</v>
      </c>
      <c r="J113" s="755"/>
      <c r="K113" s="755">
        <f>1703+80</f>
        <v>1783</v>
      </c>
      <c r="L113" s="755">
        <v>18212</v>
      </c>
      <c r="M113" s="755">
        <v>23537</v>
      </c>
      <c r="N113" s="756">
        <v>23529</v>
      </c>
      <c r="O113" s="737">
        <f t="shared" si="13"/>
        <v>99.966010961464917</v>
      </c>
      <c r="P113" s="757">
        <v>7695</v>
      </c>
      <c r="Q113" s="757"/>
      <c r="R113" s="757"/>
      <c r="S113" s="749">
        <v>7336</v>
      </c>
      <c r="T113" s="748" t="s">
        <v>749</v>
      </c>
    </row>
    <row r="114" spans="1:21" outlineLevel="2">
      <c r="A114" s="694">
        <f t="shared" si="12"/>
        <v>113</v>
      </c>
      <c r="B114" s="751" t="s">
        <v>678</v>
      </c>
      <c r="C114" s="735" t="s">
        <v>783</v>
      </c>
      <c r="D114" s="752">
        <v>3046</v>
      </c>
      <c r="E114" s="753">
        <v>49</v>
      </c>
      <c r="F114" s="753" t="s">
        <v>822</v>
      </c>
      <c r="G114" s="752">
        <v>2009</v>
      </c>
      <c r="H114" s="752">
        <v>2012</v>
      </c>
      <c r="I114" s="755">
        <v>13940</v>
      </c>
      <c r="J114" s="754"/>
      <c r="K114" s="754">
        <v>0</v>
      </c>
      <c r="L114" s="755">
        <v>22548</v>
      </c>
      <c r="M114" s="755">
        <v>13940</v>
      </c>
      <c r="N114" s="756">
        <v>13819</v>
      </c>
      <c r="O114" s="737">
        <f t="shared" si="13"/>
        <v>99.13199426111909</v>
      </c>
      <c r="P114" s="757"/>
      <c r="Q114" s="757"/>
      <c r="R114" s="757"/>
      <c r="S114" s="749">
        <v>0</v>
      </c>
      <c r="T114" s="758" t="s">
        <v>749</v>
      </c>
      <c r="U114" s="740">
        <f t="shared" ref="U114:U115" si="15">K114+N114</f>
        <v>13819</v>
      </c>
    </row>
    <row r="115" spans="1:21" outlineLevel="2">
      <c r="A115" s="694">
        <f t="shared" si="12"/>
        <v>114</v>
      </c>
      <c r="B115" s="751" t="s">
        <v>678</v>
      </c>
      <c r="C115" s="735" t="s">
        <v>783</v>
      </c>
      <c r="D115" s="752">
        <v>3053</v>
      </c>
      <c r="E115" s="753">
        <v>49</v>
      </c>
      <c r="F115" s="753" t="s">
        <v>823</v>
      </c>
      <c r="G115" s="753" t="s">
        <v>689</v>
      </c>
      <c r="H115" s="753" t="s">
        <v>734</v>
      </c>
      <c r="I115" s="755">
        <v>30984</v>
      </c>
      <c r="J115" s="754"/>
      <c r="K115" s="754">
        <f>1458+8997</f>
        <v>10455</v>
      </c>
      <c r="L115" s="755">
        <v>20932</v>
      </c>
      <c r="M115" s="755">
        <v>20529</v>
      </c>
      <c r="N115" s="756">
        <v>20516</v>
      </c>
      <c r="O115" s="737">
        <f t="shared" si="13"/>
        <v>99.936674947635055</v>
      </c>
      <c r="P115" s="757"/>
      <c r="Q115" s="757"/>
      <c r="R115" s="757"/>
      <c r="S115" s="749">
        <v>0</v>
      </c>
      <c r="T115" s="758" t="s">
        <v>749</v>
      </c>
      <c r="U115" s="740">
        <f t="shared" si="15"/>
        <v>30971</v>
      </c>
    </row>
    <row r="116" spans="1:21" outlineLevel="2">
      <c r="A116" s="694">
        <f t="shared" si="12"/>
        <v>115</v>
      </c>
      <c r="B116" s="751" t="s">
        <v>678</v>
      </c>
      <c r="C116" s="735" t="s">
        <v>783</v>
      </c>
      <c r="D116" s="752">
        <v>3055</v>
      </c>
      <c r="E116" s="753">
        <v>49</v>
      </c>
      <c r="F116" s="753" t="s">
        <v>824</v>
      </c>
      <c r="G116" s="753" t="s">
        <v>689</v>
      </c>
      <c r="H116" s="752">
        <v>2013</v>
      </c>
      <c r="I116" s="755">
        <v>21840</v>
      </c>
      <c r="J116" s="754"/>
      <c r="K116" s="754">
        <v>1724</v>
      </c>
      <c r="L116" s="755">
        <v>0</v>
      </c>
      <c r="M116" s="755">
        <v>120</v>
      </c>
      <c r="N116" s="756">
        <v>98</v>
      </c>
      <c r="O116" s="737">
        <f t="shared" si="13"/>
        <v>81.666666666666671</v>
      </c>
      <c r="P116" s="757"/>
      <c r="Q116" s="757">
        <v>25106</v>
      </c>
      <c r="R116" s="757"/>
      <c r="S116" s="749">
        <v>25106</v>
      </c>
      <c r="T116" s="758" t="s">
        <v>749</v>
      </c>
    </row>
    <row r="117" spans="1:21" outlineLevel="2">
      <c r="A117" s="694">
        <f t="shared" si="12"/>
        <v>116</v>
      </c>
      <c r="B117" s="751" t="s">
        <v>678</v>
      </c>
      <c r="C117" s="735" t="s">
        <v>783</v>
      </c>
      <c r="D117" s="752">
        <v>3082</v>
      </c>
      <c r="E117" s="753">
        <v>49</v>
      </c>
      <c r="F117" s="753" t="s">
        <v>825</v>
      </c>
      <c r="G117" s="753" t="s">
        <v>689</v>
      </c>
      <c r="H117" s="752">
        <v>2016</v>
      </c>
      <c r="I117" s="755">
        <v>16334</v>
      </c>
      <c r="J117" s="754"/>
      <c r="K117" s="754">
        <v>0</v>
      </c>
      <c r="L117" s="755">
        <v>920</v>
      </c>
      <c r="M117" s="755">
        <v>920</v>
      </c>
      <c r="N117" s="756">
        <v>915</v>
      </c>
      <c r="O117" s="737">
        <f t="shared" si="13"/>
        <v>99.456521739130437</v>
      </c>
      <c r="P117" s="757"/>
      <c r="Q117" s="757">
        <v>15414</v>
      </c>
      <c r="R117" s="757"/>
      <c r="S117" s="749">
        <v>15414</v>
      </c>
      <c r="T117" s="758" t="s">
        <v>749</v>
      </c>
    </row>
    <row r="118" spans="1:21" outlineLevel="2">
      <c r="A118" s="694">
        <f t="shared" si="12"/>
        <v>117</v>
      </c>
      <c r="B118" s="751" t="s">
        <v>678</v>
      </c>
      <c r="C118" s="735" t="s">
        <v>783</v>
      </c>
      <c r="D118" s="752">
        <v>3083</v>
      </c>
      <c r="E118" s="753">
        <v>49</v>
      </c>
      <c r="F118" s="753" t="s">
        <v>826</v>
      </c>
      <c r="G118" s="753" t="s">
        <v>689</v>
      </c>
      <c r="H118" s="752">
        <v>2015</v>
      </c>
      <c r="I118" s="755">
        <v>19250</v>
      </c>
      <c r="J118" s="754"/>
      <c r="K118" s="754">
        <f>942</f>
        <v>942</v>
      </c>
      <c r="L118" s="755">
        <v>0</v>
      </c>
      <c r="M118" s="755">
        <v>0</v>
      </c>
      <c r="N118" s="756"/>
      <c r="O118" s="737" t="str">
        <f t="shared" si="13"/>
        <v xml:space="preserve"> </v>
      </c>
      <c r="P118" s="757"/>
      <c r="Q118" s="757"/>
      <c r="R118" s="757"/>
      <c r="S118" s="749">
        <v>18308</v>
      </c>
      <c r="T118" s="758" t="s">
        <v>749</v>
      </c>
    </row>
    <row r="119" spans="1:21" outlineLevel="2">
      <c r="A119" s="694">
        <f t="shared" si="12"/>
        <v>118</v>
      </c>
      <c r="B119" s="751" t="s">
        <v>678</v>
      </c>
      <c r="C119" s="735" t="s">
        <v>783</v>
      </c>
      <c r="D119" s="752">
        <v>3105</v>
      </c>
      <c r="E119" s="753">
        <v>49</v>
      </c>
      <c r="F119" s="753" t="s">
        <v>827</v>
      </c>
      <c r="G119" s="753" t="s">
        <v>767</v>
      </c>
      <c r="H119" s="752">
        <v>2017</v>
      </c>
      <c r="I119" s="754">
        <v>14200</v>
      </c>
      <c r="J119" s="754"/>
      <c r="K119" s="754">
        <v>530</v>
      </c>
      <c r="L119" s="755">
        <v>0</v>
      </c>
      <c r="M119" s="755">
        <v>0</v>
      </c>
      <c r="N119" s="756"/>
      <c r="O119" s="737" t="str">
        <f t="shared" si="13"/>
        <v xml:space="preserve"> </v>
      </c>
      <c r="P119" s="757"/>
      <c r="Q119" s="757"/>
      <c r="R119" s="757"/>
      <c r="S119" s="749">
        <v>13670</v>
      </c>
      <c r="T119" s="758" t="s">
        <v>749</v>
      </c>
    </row>
    <row r="120" spans="1:21" outlineLevel="2">
      <c r="A120" s="694">
        <f t="shared" si="12"/>
        <v>119</v>
      </c>
      <c r="B120" s="751" t="s">
        <v>678</v>
      </c>
      <c r="C120" s="735" t="s">
        <v>783</v>
      </c>
      <c r="D120" s="752">
        <v>3115</v>
      </c>
      <c r="E120" s="753"/>
      <c r="F120" s="753" t="s">
        <v>828</v>
      </c>
      <c r="G120" s="753" t="s">
        <v>767</v>
      </c>
      <c r="H120" s="735">
        <v>2011</v>
      </c>
      <c r="I120" s="754">
        <v>4000</v>
      </c>
      <c r="J120" s="754"/>
      <c r="K120" s="754">
        <v>2340</v>
      </c>
      <c r="L120" s="755">
        <v>0</v>
      </c>
      <c r="M120" s="755">
        <v>0</v>
      </c>
      <c r="N120" s="756"/>
      <c r="O120" s="737" t="str">
        <f t="shared" si="13"/>
        <v xml:space="preserve"> </v>
      </c>
      <c r="P120" s="757"/>
      <c r="Q120" s="757"/>
      <c r="R120" s="757"/>
      <c r="S120" s="749">
        <v>0</v>
      </c>
      <c r="T120" s="758" t="s">
        <v>681</v>
      </c>
    </row>
    <row r="121" spans="1:21" outlineLevel="2">
      <c r="A121" s="694">
        <f t="shared" si="12"/>
        <v>120</v>
      </c>
      <c r="B121" s="751" t="s">
        <v>678</v>
      </c>
      <c r="C121" s="735" t="s">
        <v>783</v>
      </c>
      <c r="D121" s="752">
        <v>3126</v>
      </c>
      <c r="E121" s="753">
        <v>49</v>
      </c>
      <c r="F121" s="753" t="s">
        <v>829</v>
      </c>
      <c r="G121" s="753" t="s">
        <v>767</v>
      </c>
      <c r="H121" s="752">
        <v>2016</v>
      </c>
      <c r="I121" s="755">
        <v>17000</v>
      </c>
      <c r="J121" s="754"/>
      <c r="K121" s="754">
        <f>3692+3209</f>
        <v>6901</v>
      </c>
      <c r="L121" s="755">
        <v>2000</v>
      </c>
      <c r="M121" s="755">
        <v>2595</v>
      </c>
      <c r="N121" s="756">
        <v>2566</v>
      </c>
      <c r="O121" s="737">
        <f t="shared" si="13"/>
        <v>98.882466281310215</v>
      </c>
      <c r="P121" s="757">
        <v>2000</v>
      </c>
      <c r="Q121" s="757">
        <v>2000</v>
      </c>
      <c r="R121" s="757"/>
      <c r="S121" s="749">
        <v>7099</v>
      </c>
      <c r="T121" s="758" t="s">
        <v>749</v>
      </c>
    </row>
    <row r="122" spans="1:21" outlineLevel="2">
      <c r="A122" s="694">
        <f t="shared" si="12"/>
        <v>121</v>
      </c>
      <c r="B122" s="751" t="s">
        <v>678</v>
      </c>
      <c r="C122" s="735" t="s">
        <v>783</v>
      </c>
      <c r="D122" s="752">
        <v>3140</v>
      </c>
      <c r="E122" s="753">
        <v>49</v>
      </c>
      <c r="F122" s="753" t="s">
        <v>830</v>
      </c>
      <c r="G122" s="753" t="s">
        <v>767</v>
      </c>
      <c r="H122" s="752">
        <v>2013</v>
      </c>
      <c r="I122" s="754">
        <v>44160</v>
      </c>
      <c r="J122" s="754"/>
      <c r="K122" s="754">
        <f>1782+228</f>
        <v>2010</v>
      </c>
      <c r="L122" s="755">
        <v>22000</v>
      </c>
      <c r="M122" s="755">
        <v>29303</v>
      </c>
      <c r="N122" s="756">
        <v>29303</v>
      </c>
      <c r="O122" s="737">
        <f t="shared" si="13"/>
        <v>100</v>
      </c>
      <c r="P122" s="757">
        <v>16615</v>
      </c>
      <c r="Q122" s="757"/>
      <c r="R122" s="757"/>
      <c r="S122" s="749">
        <v>11847</v>
      </c>
      <c r="T122" s="758" t="s">
        <v>749</v>
      </c>
    </row>
    <row r="123" spans="1:21" outlineLevel="2">
      <c r="A123" s="694">
        <f t="shared" si="12"/>
        <v>122</v>
      </c>
      <c r="B123" s="751" t="s">
        <v>678</v>
      </c>
      <c r="C123" s="735" t="s">
        <v>783</v>
      </c>
      <c r="D123" s="752">
        <v>3141</v>
      </c>
      <c r="E123" s="753">
        <v>49</v>
      </c>
      <c r="F123" s="753" t="s">
        <v>831</v>
      </c>
      <c r="G123" s="753" t="s">
        <v>767</v>
      </c>
      <c r="H123" s="753" t="s">
        <v>742</v>
      </c>
      <c r="I123" s="754">
        <v>1668</v>
      </c>
      <c r="J123" s="754"/>
      <c r="K123" s="754">
        <v>1667</v>
      </c>
      <c r="L123" s="755">
        <v>0</v>
      </c>
      <c r="M123" s="755"/>
      <c r="N123" s="756"/>
      <c r="O123" s="737" t="str">
        <f t="shared" si="13"/>
        <v xml:space="preserve"> </v>
      </c>
      <c r="P123" s="757"/>
      <c r="Q123" s="757"/>
      <c r="R123" s="757"/>
      <c r="S123" s="749">
        <v>0</v>
      </c>
      <c r="T123" s="758" t="s">
        <v>749</v>
      </c>
    </row>
    <row r="124" spans="1:21" outlineLevel="2">
      <c r="A124" s="694">
        <f t="shared" si="12"/>
        <v>123</v>
      </c>
      <c r="B124" s="751" t="s">
        <v>678</v>
      </c>
      <c r="C124" s="735" t="s">
        <v>783</v>
      </c>
      <c r="D124" s="752">
        <v>3152</v>
      </c>
      <c r="E124" s="753"/>
      <c r="F124" s="753" t="s">
        <v>832</v>
      </c>
      <c r="G124" s="753" t="s">
        <v>767</v>
      </c>
      <c r="H124" s="752">
        <v>2014</v>
      </c>
      <c r="I124" s="754">
        <v>61200</v>
      </c>
      <c r="J124" s="754"/>
      <c r="K124" s="754">
        <f>1096+217</f>
        <v>1313</v>
      </c>
      <c r="L124" s="755">
        <v>0</v>
      </c>
      <c r="M124" s="755">
        <v>0</v>
      </c>
      <c r="N124" s="756"/>
      <c r="O124" s="737" t="str">
        <f t="shared" si="13"/>
        <v xml:space="preserve"> </v>
      </c>
      <c r="P124" s="757"/>
      <c r="Q124" s="757"/>
      <c r="R124" s="757"/>
      <c r="S124" s="749">
        <v>59884</v>
      </c>
      <c r="T124" s="758" t="s">
        <v>681</v>
      </c>
    </row>
    <row r="125" spans="1:21" outlineLevel="2">
      <c r="A125" s="694">
        <f t="shared" si="12"/>
        <v>124</v>
      </c>
      <c r="B125" s="751" t="s">
        <v>678</v>
      </c>
      <c r="C125" s="735" t="s">
        <v>783</v>
      </c>
      <c r="D125" s="752">
        <v>3159</v>
      </c>
      <c r="E125" s="753">
        <v>49</v>
      </c>
      <c r="F125" s="753" t="s">
        <v>833</v>
      </c>
      <c r="G125" s="753" t="s">
        <v>693</v>
      </c>
      <c r="H125" s="753" t="s">
        <v>760</v>
      </c>
      <c r="I125" s="754">
        <v>10650</v>
      </c>
      <c r="J125" s="754"/>
      <c r="K125" s="754">
        <v>0</v>
      </c>
      <c r="L125" s="755">
        <v>0</v>
      </c>
      <c r="M125" s="755">
        <v>0</v>
      </c>
      <c r="N125" s="756"/>
      <c r="O125" s="737" t="str">
        <f t="shared" si="13"/>
        <v xml:space="preserve"> </v>
      </c>
      <c r="P125" s="757">
        <v>700</v>
      </c>
      <c r="Q125" s="757">
        <v>9950</v>
      </c>
      <c r="R125" s="757"/>
      <c r="S125" s="749">
        <v>10650</v>
      </c>
      <c r="T125" s="758" t="s">
        <v>749</v>
      </c>
    </row>
    <row r="126" spans="1:21" outlineLevel="2">
      <c r="A126" s="694">
        <f t="shared" si="12"/>
        <v>125</v>
      </c>
      <c r="B126" s="751" t="s">
        <v>678</v>
      </c>
      <c r="C126" s="735" t="s">
        <v>783</v>
      </c>
      <c r="D126" s="752">
        <v>3172</v>
      </c>
      <c r="E126" s="753"/>
      <c r="F126" s="753" t="s">
        <v>834</v>
      </c>
      <c r="G126" s="752">
        <v>2005</v>
      </c>
      <c r="H126" s="752">
        <v>2015</v>
      </c>
      <c r="I126" s="754">
        <v>71214</v>
      </c>
      <c r="J126" s="754"/>
      <c r="K126" s="754"/>
      <c r="L126" s="755"/>
      <c r="M126" s="755"/>
      <c r="N126" s="756"/>
      <c r="O126" s="737" t="str">
        <f t="shared" si="13"/>
        <v xml:space="preserve"> </v>
      </c>
      <c r="P126" s="757"/>
      <c r="Q126" s="757"/>
      <c r="R126" s="757"/>
      <c r="S126" s="749">
        <v>71214</v>
      </c>
      <c r="T126" s="758" t="s">
        <v>681</v>
      </c>
    </row>
    <row r="127" spans="1:21" outlineLevel="2">
      <c r="A127" s="694">
        <f t="shared" si="12"/>
        <v>126</v>
      </c>
      <c r="B127" s="751" t="s">
        <v>678</v>
      </c>
      <c r="C127" s="735" t="s">
        <v>783</v>
      </c>
      <c r="D127" s="752">
        <v>3181</v>
      </c>
      <c r="E127" s="753">
        <v>49</v>
      </c>
      <c r="F127" s="753" t="s">
        <v>835</v>
      </c>
      <c r="G127" s="753" t="s">
        <v>693</v>
      </c>
      <c r="H127" s="753" t="s">
        <v>705</v>
      </c>
      <c r="I127" s="754">
        <v>5400</v>
      </c>
      <c r="J127" s="754"/>
      <c r="K127" s="754">
        <v>332</v>
      </c>
      <c r="L127" s="755">
        <v>0</v>
      </c>
      <c r="M127" s="755">
        <v>0</v>
      </c>
      <c r="N127" s="756"/>
      <c r="O127" s="737" t="str">
        <f t="shared" si="13"/>
        <v xml:space="preserve"> </v>
      </c>
      <c r="P127" s="757"/>
      <c r="Q127" s="757"/>
      <c r="R127" s="757"/>
      <c r="S127" s="749">
        <v>5068</v>
      </c>
      <c r="T127" s="758" t="s">
        <v>749</v>
      </c>
    </row>
    <row r="128" spans="1:21" outlineLevel="2">
      <c r="A128" s="694">
        <f t="shared" si="12"/>
        <v>127</v>
      </c>
      <c r="B128" s="751" t="s">
        <v>678</v>
      </c>
      <c r="C128" s="735" t="s">
        <v>783</v>
      </c>
      <c r="D128" s="752">
        <v>3184</v>
      </c>
      <c r="E128" s="753">
        <v>49</v>
      </c>
      <c r="F128" s="753" t="s">
        <v>836</v>
      </c>
      <c r="G128" s="753" t="s">
        <v>693</v>
      </c>
      <c r="H128" s="753" t="s">
        <v>734</v>
      </c>
      <c r="I128" s="754">
        <v>114670</v>
      </c>
      <c r="J128" s="754"/>
      <c r="K128" s="754">
        <f>3204+42383</f>
        <v>45587</v>
      </c>
      <c r="L128" s="755">
        <v>70535</v>
      </c>
      <c r="M128" s="755">
        <v>69084</v>
      </c>
      <c r="N128" s="756">
        <v>69080</v>
      </c>
      <c r="O128" s="737">
        <f t="shared" si="13"/>
        <v>99.994209947310523</v>
      </c>
      <c r="P128" s="757"/>
      <c r="Q128" s="757"/>
      <c r="R128" s="757"/>
      <c r="S128" s="749">
        <v>0</v>
      </c>
      <c r="T128" s="758" t="s">
        <v>749</v>
      </c>
      <c r="U128" s="740">
        <f>K128+N128</f>
        <v>114667</v>
      </c>
    </row>
    <row r="129" spans="1:21" outlineLevel="2">
      <c r="A129" s="694">
        <f t="shared" si="12"/>
        <v>128</v>
      </c>
      <c r="B129" s="751" t="s">
        <v>678</v>
      </c>
      <c r="C129" s="735" t="s">
        <v>783</v>
      </c>
      <c r="D129" s="735">
        <v>3185</v>
      </c>
      <c r="E129" s="753">
        <v>49</v>
      </c>
      <c r="F129" s="753" t="s">
        <v>837</v>
      </c>
      <c r="G129" s="753" t="s">
        <v>693</v>
      </c>
      <c r="H129" s="752">
        <v>2014</v>
      </c>
      <c r="I129" s="754">
        <v>112000</v>
      </c>
      <c r="J129" s="754"/>
      <c r="K129" s="754">
        <v>3923</v>
      </c>
      <c r="L129" s="755">
        <v>0</v>
      </c>
      <c r="M129" s="755">
        <v>2988</v>
      </c>
      <c r="N129" s="756">
        <v>2975</v>
      </c>
      <c r="O129" s="737">
        <f t="shared" si="13"/>
        <v>99.564926372155284</v>
      </c>
      <c r="P129" s="757">
        <v>40000</v>
      </c>
      <c r="Q129" s="757">
        <v>41000</v>
      </c>
      <c r="R129" s="757">
        <v>23977</v>
      </c>
      <c r="S129" s="749">
        <v>104977</v>
      </c>
      <c r="T129" s="758" t="s">
        <v>749</v>
      </c>
    </row>
    <row r="130" spans="1:21" outlineLevel="2">
      <c r="A130" s="694">
        <f t="shared" si="12"/>
        <v>129</v>
      </c>
      <c r="B130" s="751">
        <v>5600</v>
      </c>
      <c r="C130" s="735" t="s">
        <v>783</v>
      </c>
      <c r="D130" s="781" t="s">
        <v>838</v>
      </c>
      <c r="E130" s="753"/>
      <c r="F130" s="753" t="s">
        <v>839</v>
      </c>
      <c r="G130" s="769">
        <v>2005</v>
      </c>
      <c r="H130" s="769" t="s">
        <v>760</v>
      </c>
      <c r="I130" s="754">
        <v>70000</v>
      </c>
      <c r="J130" s="754"/>
      <c r="K130" s="754">
        <f>52904+649</f>
        <v>53553</v>
      </c>
      <c r="L130" s="755">
        <v>1600</v>
      </c>
      <c r="M130" s="755">
        <v>1600</v>
      </c>
      <c r="N130" s="756">
        <v>1118</v>
      </c>
      <c r="O130" s="737">
        <f t="shared" si="13"/>
        <v>69.875</v>
      </c>
      <c r="P130" s="757"/>
      <c r="Q130" s="757"/>
      <c r="R130" s="757"/>
      <c r="S130" s="749">
        <v>14796</v>
      </c>
      <c r="T130" s="758" t="s">
        <v>681</v>
      </c>
      <c r="U130" s="740">
        <f>K130+N130</f>
        <v>54671</v>
      </c>
    </row>
    <row r="131" spans="1:21" outlineLevel="2">
      <c r="A131" s="694">
        <f t="shared" si="12"/>
        <v>130</v>
      </c>
      <c r="B131" s="751" t="s">
        <v>678</v>
      </c>
      <c r="C131" s="735" t="s">
        <v>783</v>
      </c>
      <c r="D131" s="752">
        <v>3350</v>
      </c>
      <c r="E131" s="753">
        <v>49</v>
      </c>
      <c r="F131" s="753" t="s">
        <v>840</v>
      </c>
      <c r="G131" s="753" t="s">
        <v>725</v>
      </c>
      <c r="H131" s="752">
        <v>2016</v>
      </c>
      <c r="I131" s="754">
        <v>19554</v>
      </c>
      <c r="J131" s="754"/>
      <c r="K131" s="754">
        <v>0</v>
      </c>
      <c r="L131" s="755">
        <v>850</v>
      </c>
      <c r="M131" s="755">
        <v>205</v>
      </c>
      <c r="N131" s="756">
        <v>202</v>
      </c>
      <c r="O131" s="737">
        <f t="shared" si="13"/>
        <v>98.536585365853654</v>
      </c>
      <c r="P131" s="757"/>
      <c r="Q131" s="757">
        <v>18704</v>
      </c>
      <c r="R131" s="757"/>
      <c r="S131" s="749">
        <v>18704</v>
      </c>
      <c r="T131" s="758" t="s">
        <v>749</v>
      </c>
    </row>
    <row r="132" spans="1:21" outlineLevel="2">
      <c r="A132" s="694">
        <f t="shared" ref="A132:A195" si="16">A131+1</f>
        <v>131</v>
      </c>
      <c r="B132" s="751" t="s">
        <v>678</v>
      </c>
      <c r="C132" s="735" t="s">
        <v>783</v>
      </c>
      <c r="D132" s="752">
        <v>3351</v>
      </c>
      <c r="E132" s="753">
        <v>49</v>
      </c>
      <c r="F132" s="753" t="s">
        <v>841</v>
      </c>
      <c r="G132" s="753" t="s">
        <v>725</v>
      </c>
      <c r="H132" s="752">
        <v>2013</v>
      </c>
      <c r="I132" s="754">
        <v>50336</v>
      </c>
      <c r="J132" s="754"/>
      <c r="K132" s="754">
        <f>1798+68</f>
        <v>1866</v>
      </c>
      <c r="L132" s="755">
        <v>29000</v>
      </c>
      <c r="M132" s="755">
        <v>37252</v>
      </c>
      <c r="N132" s="756">
        <v>37242</v>
      </c>
      <c r="O132" s="737">
        <f t="shared" si="13"/>
        <v>99.973155803715244</v>
      </c>
      <c r="P132" s="757">
        <v>19470</v>
      </c>
      <c r="Q132" s="757"/>
      <c r="R132" s="757"/>
      <c r="S132" s="749">
        <v>19470</v>
      </c>
      <c r="T132" s="758" t="s">
        <v>749</v>
      </c>
    </row>
    <row r="133" spans="1:21" outlineLevel="2">
      <c r="A133" s="694">
        <f t="shared" si="16"/>
        <v>132</v>
      </c>
      <c r="B133" s="751" t="s">
        <v>678</v>
      </c>
      <c r="C133" s="735" t="s">
        <v>783</v>
      </c>
      <c r="D133" s="752">
        <v>3352</v>
      </c>
      <c r="E133" s="753">
        <v>49</v>
      </c>
      <c r="F133" s="753" t="s">
        <v>842</v>
      </c>
      <c r="G133" s="753" t="s">
        <v>725</v>
      </c>
      <c r="H133" s="753" t="s">
        <v>769</v>
      </c>
      <c r="I133" s="754">
        <v>57143</v>
      </c>
      <c r="J133" s="754"/>
      <c r="K133" s="754">
        <v>0</v>
      </c>
      <c r="L133" s="755">
        <v>0</v>
      </c>
      <c r="M133" s="755">
        <v>0</v>
      </c>
      <c r="N133" s="756"/>
      <c r="O133" s="737" t="str">
        <f t="shared" si="13"/>
        <v xml:space="preserve"> </v>
      </c>
      <c r="P133" s="757"/>
      <c r="Q133" s="757"/>
      <c r="R133" s="757"/>
      <c r="S133" s="749">
        <v>57143</v>
      </c>
      <c r="T133" s="758" t="s">
        <v>749</v>
      </c>
    </row>
    <row r="134" spans="1:21" outlineLevel="2">
      <c r="A134" s="694">
        <f t="shared" si="16"/>
        <v>133</v>
      </c>
      <c r="B134" s="751" t="s">
        <v>678</v>
      </c>
      <c r="C134" s="735" t="s">
        <v>783</v>
      </c>
      <c r="D134" s="752">
        <v>3353</v>
      </c>
      <c r="E134" s="753">
        <v>49</v>
      </c>
      <c r="F134" s="753" t="s">
        <v>843</v>
      </c>
      <c r="G134" s="753" t="s">
        <v>725</v>
      </c>
      <c r="H134" s="752">
        <v>2015</v>
      </c>
      <c r="I134" s="754">
        <v>69400</v>
      </c>
      <c r="J134" s="754"/>
      <c r="K134" s="754">
        <v>0</v>
      </c>
      <c r="L134" s="755">
        <v>0</v>
      </c>
      <c r="M134" s="755">
        <v>0</v>
      </c>
      <c r="N134" s="756"/>
      <c r="O134" s="737" t="str">
        <f t="shared" si="13"/>
        <v xml:space="preserve"> </v>
      </c>
      <c r="P134" s="757">
        <v>2000</v>
      </c>
      <c r="Q134" s="757"/>
      <c r="R134" s="757"/>
      <c r="S134" s="749">
        <v>69400</v>
      </c>
      <c r="T134" s="758" t="s">
        <v>749</v>
      </c>
    </row>
    <row r="135" spans="1:21" s="708" customFormat="1" outlineLevel="2">
      <c r="A135" s="694">
        <f t="shared" si="16"/>
        <v>134</v>
      </c>
      <c r="B135" s="759" t="s">
        <v>678</v>
      </c>
      <c r="C135" s="735" t="s">
        <v>783</v>
      </c>
      <c r="D135" s="735">
        <v>3375</v>
      </c>
      <c r="E135" s="743"/>
      <c r="F135" s="743" t="s">
        <v>844</v>
      </c>
      <c r="G135" s="743" t="s">
        <v>775</v>
      </c>
      <c r="H135" s="735">
        <v>2014</v>
      </c>
      <c r="I135" s="755">
        <v>1671000</v>
      </c>
      <c r="J135" s="755">
        <v>979626</v>
      </c>
      <c r="K135" s="755">
        <v>86985</v>
      </c>
      <c r="L135" s="755">
        <v>523000</v>
      </c>
      <c r="M135" s="755">
        <v>209759</v>
      </c>
      <c r="N135" s="756">
        <v>209727</v>
      </c>
      <c r="O135" s="737">
        <f t="shared" si="13"/>
        <v>99.984744397141483</v>
      </c>
      <c r="P135" s="757"/>
      <c r="Q135" s="757"/>
      <c r="R135" s="757"/>
      <c r="S135" s="749">
        <v>1571179</v>
      </c>
      <c r="T135" s="748" t="s">
        <v>681</v>
      </c>
    </row>
    <row r="136" spans="1:21" s="708" customFormat="1" outlineLevel="2">
      <c r="A136" s="694">
        <f t="shared" si="16"/>
        <v>135</v>
      </c>
      <c r="B136" s="759" t="s">
        <v>678</v>
      </c>
      <c r="C136" s="735" t="s">
        <v>783</v>
      </c>
      <c r="D136" s="735">
        <v>3375</v>
      </c>
      <c r="E136" s="743">
        <v>49</v>
      </c>
      <c r="F136" s="743" t="s">
        <v>844</v>
      </c>
      <c r="G136" s="735">
        <v>2012</v>
      </c>
      <c r="H136" s="735">
        <v>2014</v>
      </c>
      <c r="I136" s="755">
        <v>199000</v>
      </c>
      <c r="J136" s="755"/>
      <c r="K136" s="755">
        <v>0</v>
      </c>
      <c r="L136" s="755">
        <v>100000</v>
      </c>
      <c r="M136" s="755">
        <v>100000</v>
      </c>
      <c r="N136" s="756">
        <v>100000</v>
      </c>
      <c r="O136" s="737">
        <f t="shared" si="13"/>
        <v>100</v>
      </c>
      <c r="P136" s="757"/>
      <c r="Q136" s="757"/>
      <c r="R136" s="757"/>
      <c r="S136" s="749">
        <v>80000</v>
      </c>
      <c r="T136" s="748" t="s">
        <v>749</v>
      </c>
    </row>
    <row r="137" spans="1:21" outlineLevel="2">
      <c r="A137" s="694">
        <f t="shared" si="16"/>
        <v>136</v>
      </c>
      <c r="B137" s="751" t="s">
        <v>678</v>
      </c>
      <c r="C137" s="735" t="s">
        <v>783</v>
      </c>
      <c r="D137" s="752">
        <v>3393</v>
      </c>
      <c r="E137" s="753">
        <v>49</v>
      </c>
      <c r="F137" s="753" t="s">
        <v>845</v>
      </c>
      <c r="G137" s="753" t="s">
        <v>775</v>
      </c>
      <c r="H137" s="752">
        <v>2017</v>
      </c>
      <c r="I137" s="754">
        <v>18788</v>
      </c>
      <c r="J137" s="754"/>
      <c r="K137" s="754">
        <v>730</v>
      </c>
      <c r="L137" s="755">
        <v>0</v>
      </c>
      <c r="M137" s="755">
        <v>0</v>
      </c>
      <c r="N137" s="756"/>
      <c r="O137" s="737" t="str">
        <f t="shared" si="13"/>
        <v xml:space="preserve"> </v>
      </c>
      <c r="P137" s="757"/>
      <c r="Q137" s="757"/>
      <c r="R137" s="757"/>
      <c r="S137" s="749">
        <v>18058</v>
      </c>
      <c r="T137" s="758" t="s">
        <v>749</v>
      </c>
    </row>
    <row r="138" spans="1:21" outlineLevel="2">
      <c r="A138" s="694">
        <f t="shared" si="16"/>
        <v>137</v>
      </c>
      <c r="B138" s="751" t="s">
        <v>678</v>
      </c>
      <c r="C138" s="735" t="s">
        <v>783</v>
      </c>
      <c r="D138" s="752">
        <v>3399</v>
      </c>
      <c r="E138" s="753">
        <v>49</v>
      </c>
      <c r="F138" s="753" t="s">
        <v>846</v>
      </c>
      <c r="G138" s="753" t="s">
        <v>775</v>
      </c>
      <c r="H138" s="753" t="s">
        <v>699</v>
      </c>
      <c r="I138" s="754">
        <v>3683</v>
      </c>
      <c r="J138" s="754"/>
      <c r="K138" s="754">
        <v>2733</v>
      </c>
      <c r="L138" s="755">
        <v>950</v>
      </c>
      <c r="M138" s="755"/>
      <c r="N138" s="756"/>
      <c r="O138" s="737" t="str">
        <f t="shared" si="13"/>
        <v xml:space="preserve"> </v>
      </c>
      <c r="P138" s="757"/>
      <c r="Q138" s="757"/>
      <c r="R138" s="757"/>
      <c r="S138" s="749">
        <v>950</v>
      </c>
      <c r="T138" s="758" t="s">
        <v>749</v>
      </c>
    </row>
    <row r="139" spans="1:21" outlineLevel="2">
      <c r="A139" s="694">
        <f t="shared" si="16"/>
        <v>138</v>
      </c>
      <c r="B139" s="751" t="s">
        <v>678</v>
      </c>
      <c r="C139" s="735" t="s">
        <v>783</v>
      </c>
      <c r="D139" s="752">
        <v>4033</v>
      </c>
      <c r="E139" s="753">
        <v>49</v>
      </c>
      <c r="F139" s="753" t="s">
        <v>847</v>
      </c>
      <c r="G139" s="753" t="s">
        <v>779</v>
      </c>
      <c r="H139" s="752">
        <v>2017</v>
      </c>
      <c r="I139" s="754">
        <v>22012</v>
      </c>
      <c r="J139" s="754"/>
      <c r="K139" s="754">
        <v>6202</v>
      </c>
      <c r="L139" s="755">
        <v>0</v>
      </c>
      <c r="M139" s="755">
        <v>0</v>
      </c>
      <c r="N139" s="756"/>
      <c r="O139" s="737" t="str">
        <f t="shared" si="13"/>
        <v xml:space="preserve"> </v>
      </c>
      <c r="P139" s="757"/>
      <c r="Q139" s="757"/>
      <c r="R139" s="757"/>
      <c r="S139" s="749">
        <v>15810</v>
      </c>
      <c r="T139" s="758" t="s">
        <v>749</v>
      </c>
    </row>
    <row r="140" spans="1:21" outlineLevel="2">
      <c r="A140" s="694">
        <f t="shared" si="16"/>
        <v>139</v>
      </c>
      <c r="B140" s="751" t="s">
        <v>678</v>
      </c>
      <c r="C140" s="735" t="s">
        <v>783</v>
      </c>
      <c r="D140" s="752">
        <v>4130</v>
      </c>
      <c r="E140" s="753">
        <v>49</v>
      </c>
      <c r="F140" s="753" t="s">
        <v>848</v>
      </c>
      <c r="G140" s="753" t="s">
        <v>781</v>
      </c>
      <c r="H140" s="752">
        <v>2018</v>
      </c>
      <c r="I140" s="755">
        <v>190000</v>
      </c>
      <c r="J140" s="755"/>
      <c r="K140" s="755">
        <f>109660+10369</f>
        <v>120029</v>
      </c>
      <c r="L140" s="755">
        <v>7000</v>
      </c>
      <c r="M140" s="755">
        <v>9510</v>
      </c>
      <c r="N140" s="756">
        <v>9258</v>
      </c>
      <c r="O140" s="737">
        <f t="shared" si="13"/>
        <v>97.35015772870662</v>
      </c>
      <c r="P140" s="757">
        <v>7000</v>
      </c>
      <c r="Q140" s="757">
        <v>7000</v>
      </c>
      <c r="R140" s="757"/>
      <c r="S140" s="749">
        <v>60119</v>
      </c>
      <c r="T140" s="758" t="s">
        <v>749</v>
      </c>
    </row>
    <row r="141" spans="1:21" s="708" customFormat="1" outlineLevel="2">
      <c r="A141" s="694">
        <f t="shared" si="16"/>
        <v>140</v>
      </c>
      <c r="B141" s="759">
        <v>5600</v>
      </c>
      <c r="C141" s="735" t="s">
        <v>783</v>
      </c>
      <c r="D141" s="774" t="s">
        <v>849</v>
      </c>
      <c r="E141" s="743"/>
      <c r="F141" s="743" t="s">
        <v>850</v>
      </c>
      <c r="G141" s="775">
        <v>2000</v>
      </c>
      <c r="H141" s="775" t="s">
        <v>742</v>
      </c>
      <c r="I141" s="755">
        <v>61000</v>
      </c>
      <c r="J141" s="755"/>
      <c r="K141" s="755">
        <f>28143+407</f>
        <v>28550</v>
      </c>
      <c r="L141" s="755">
        <v>16300</v>
      </c>
      <c r="M141" s="755">
        <v>16256</v>
      </c>
      <c r="N141" s="756">
        <v>15947</v>
      </c>
      <c r="O141" s="737">
        <f t="shared" si="13"/>
        <v>98.09916338582677</v>
      </c>
      <c r="P141" s="757"/>
      <c r="Q141" s="757"/>
      <c r="R141" s="757"/>
      <c r="S141" s="749">
        <v>16150</v>
      </c>
      <c r="T141" s="748" t="s">
        <v>681</v>
      </c>
      <c r="U141" s="740">
        <f>K141+N141</f>
        <v>44497</v>
      </c>
    </row>
    <row r="142" spans="1:21" outlineLevel="2">
      <c r="A142" s="694">
        <f t="shared" si="16"/>
        <v>141</v>
      </c>
      <c r="B142" s="751" t="s">
        <v>678</v>
      </c>
      <c r="C142" s="735" t="s">
        <v>783</v>
      </c>
      <c r="D142" s="752">
        <v>4455</v>
      </c>
      <c r="E142" s="753">
        <v>49</v>
      </c>
      <c r="F142" s="753" t="s">
        <v>851</v>
      </c>
      <c r="G142" s="753" t="s">
        <v>704</v>
      </c>
      <c r="H142" s="752">
        <v>2016</v>
      </c>
      <c r="I142" s="754">
        <v>51093</v>
      </c>
      <c r="J142" s="754"/>
      <c r="K142" s="754">
        <v>505</v>
      </c>
      <c r="L142" s="755">
        <v>0</v>
      </c>
      <c r="M142" s="755">
        <v>0</v>
      </c>
      <c r="N142" s="756"/>
      <c r="O142" s="737" t="str">
        <f t="shared" si="13"/>
        <v xml:space="preserve"> </v>
      </c>
      <c r="P142" s="757"/>
      <c r="Q142" s="757"/>
      <c r="R142" s="757"/>
      <c r="S142" s="749">
        <v>50588</v>
      </c>
      <c r="T142" s="758" t="s">
        <v>749</v>
      </c>
    </row>
    <row r="143" spans="1:21" outlineLevel="2">
      <c r="A143" s="694">
        <f t="shared" si="16"/>
        <v>142</v>
      </c>
      <c r="B143" s="751" t="s">
        <v>678</v>
      </c>
      <c r="C143" s="735" t="s">
        <v>783</v>
      </c>
      <c r="D143" s="752">
        <v>4474</v>
      </c>
      <c r="E143" s="753">
        <v>49</v>
      </c>
      <c r="F143" s="753" t="s">
        <v>852</v>
      </c>
      <c r="G143" s="753" t="s">
        <v>704</v>
      </c>
      <c r="H143" s="753" t="s">
        <v>699</v>
      </c>
      <c r="I143" s="754">
        <v>47450</v>
      </c>
      <c r="J143" s="754"/>
      <c r="K143" s="754">
        <f>362+1473</f>
        <v>1835</v>
      </c>
      <c r="L143" s="755">
        <v>0</v>
      </c>
      <c r="M143" s="755">
        <v>0</v>
      </c>
      <c r="N143" s="756"/>
      <c r="O143" s="737" t="str">
        <f t="shared" si="13"/>
        <v xml:space="preserve"> </v>
      </c>
      <c r="P143" s="757"/>
      <c r="Q143" s="757"/>
      <c r="R143" s="757">
        <v>500</v>
      </c>
      <c r="S143" s="749">
        <v>45615</v>
      </c>
      <c r="T143" s="758" t="s">
        <v>749</v>
      </c>
    </row>
    <row r="144" spans="1:21" outlineLevel="2">
      <c r="A144" s="694">
        <f t="shared" si="16"/>
        <v>143</v>
      </c>
      <c r="B144" s="751" t="s">
        <v>678</v>
      </c>
      <c r="C144" s="735" t="s">
        <v>783</v>
      </c>
      <c r="D144" s="752">
        <v>4500</v>
      </c>
      <c r="E144" s="753">
        <v>49</v>
      </c>
      <c r="F144" s="753" t="s">
        <v>853</v>
      </c>
      <c r="G144" s="753" t="s">
        <v>698</v>
      </c>
      <c r="H144" s="752">
        <v>2015</v>
      </c>
      <c r="I144" s="754">
        <v>104330</v>
      </c>
      <c r="J144" s="754"/>
      <c r="K144" s="754">
        <f>1947</f>
        <v>1947</v>
      </c>
      <c r="L144" s="755">
        <v>3000</v>
      </c>
      <c r="M144" s="755">
        <v>200</v>
      </c>
      <c r="N144" s="756">
        <v>194</v>
      </c>
      <c r="O144" s="737">
        <f t="shared" ref="O144:O212" si="17">IF(M144&lt;=0," ",N144/M144*100)</f>
        <v>97</v>
      </c>
      <c r="P144" s="757">
        <v>11000</v>
      </c>
      <c r="Q144" s="757">
        <v>88330</v>
      </c>
      <c r="R144" s="757"/>
      <c r="S144" s="749">
        <v>102183</v>
      </c>
      <c r="T144" s="758" t="s">
        <v>749</v>
      </c>
    </row>
    <row r="145" spans="1:21" outlineLevel="2">
      <c r="A145" s="694">
        <f t="shared" si="16"/>
        <v>144</v>
      </c>
      <c r="B145" s="751" t="s">
        <v>678</v>
      </c>
      <c r="C145" s="735" t="s">
        <v>783</v>
      </c>
      <c r="D145" s="752">
        <v>4644</v>
      </c>
      <c r="E145" s="753"/>
      <c r="F145" s="753" t="s">
        <v>854</v>
      </c>
      <c r="G145" s="753" t="s">
        <v>712</v>
      </c>
      <c r="H145" s="735">
        <v>2015</v>
      </c>
      <c r="I145" s="754">
        <v>89955</v>
      </c>
      <c r="J145" s="754"/>
      <c r="K145" s="754">
        <f>59379+3331</f>
        <v>62710</v>
      </c>
      <c r="L145" s="755">
        <v>0</v>
      </c>
      <c r="M145" s="755">
        <v>0</v>
      </c>
      <c r="N145" s="756"/>
      <c r="O145" s="737" t="str">
        <f t="shared" si="17"/>
        <v xml:space="preserve"> </v>
      </c>
      <c r="P145" s="757"/>
      <c r="Q145" s="757"/>
      <c r="R145" s="757"/>
      <c r="S145" s="749">
        <v>27026</v>
      </c>
      <c r="T145" s="758" t="s">
        <v>681</v>
      </c>
    </row>
    <row r="146" spans="1:21" outlineLevel="2">
      <c r="A146" s="694">
        <f t="shared" si="16"/>
        <v>145</v>
      </c>
      <c r="B146" s="751" t="s">
        <v>678</v>
      </c>
      <c r="C146" s="735" t="s">
        <v>783</v>
      </c>
      <c r="D146" s="752">
        <v>4649</v>
      </c>
      <c r="E146" s="753">
        <v>49</v>
      </c>
      <c r="F146" s="753" t="s">
        <v>855</v>
      </c>
      <c r="G146" s="753" t="s">
        <v>712</v>
      </c>
      <c r="H146" s="752" t="s">
        <v>705</v>
      </c>
      <c r="I146" s="754">
        <v>117143</v>
      </c>
      <c r="J146" s="754"/>
      <c r="K146" s="754">
        <v>767</v>
      </c>
      <c r="L146" s="755">
        <v>0</v>
      </c>
      <c r="M146" s="755">
        <v>0</v>
      </c>
      <c r="N146" s="756"/>
      <c r="O146" s="737" t="str">
        <f t="shared" si="17"/>
        <v xml:space="preserve"> </v>
      </c>
      <c r="P146" s="757"/>
      <c r="Q146" s="757"/>
      <c r="R146" s="757"/>
      <c r="S146" s="749">
        <v>116376</v>
      </c>
      <c r="T146" s="758" t="s">
        <v>749</v>
      </c>
    </row>
    <row r="147" spans="1:21" outlineLevel="2">
      <c r="A147" s="694">
        <f t="shared" si="16"/>
        <v>146</v>
      </c>
      <c r="B147" s="751" t="s">
        <v>678</v>
      </c>
      <c r="C147" s="735" t="s">
        <v>783</v>
      </c>
      <c r="D147" s="752">
        <v>4651</v>
      </c>
      <c r="E147" s="753">
        <v>49</v>
      </c>
      <c r="F147" s="753" t="s">
        <v>856</v>
      </c>
      <c r="G147" s="753" t="s">
        <v>712</v>
      </c>
      <c r="H147" s="752">
        <v>2016</v>
      </c>
      <c r="I147" s="754">
        <v>13025</v>
      </c>
      <c r="J147" s="754"/>
      <c r="K147" s="754">
        <v>99</v>
      </c>
      <c r="L147" s="755">
        <v>0</v>
      </c>
      <c r="M147" s="755">
        <v>0</v>
      </c>
      <c r="N147" s="756"/>
      <c r="O147" s="737" t="str">
        <f t="shared" si="17"/>
        <v xml:space="preserve"> </v>
      </c>
      <c r="P147" s="757"/>
      <c r="Q147" s="757"/>
      <c r="R147" s="757"/>
      <c r="S147" s="749">
        <v>12926</v>
      </c>
      <c r="T147" s="758" t="s">
        <v>749</v>
      </c>
    </row>
    <row r="148" spans="1:21" outlineLevel="2">
      <c r="A148" s="694">
        <f t="shared" si="16"/>
        <v>147</v>
      </c>
      <c r="B148" s="751" t="s">
        <v>678</v>
      </c>
      <c r="C148" s="735" t="s">
        <v>783</v>
      </c>
      <c r="D148" s="752">
        <v>4674</v>
      </c>
      <c r="E148" s="753">
        <v>49</v>
      </c>
      <c r="F148" s="753" t="s">
        <v>857</v>
      </c>
      <c r="G148" s="753" t="s">
        <v>712</v>
      </c>
      <c r="H148" s="753" t="s">
        <v>742</v>
      </c>
      <c r="I148" s="754">
        <v>5950</v>
      </c>
      <c r="J148" s="754"/>
      <c r="K148" s="754">
        <f>333+449</f>
        <v>782</v>
      </c>
      <c r="L148" s="755">
        <v>0</v>
      </c>
      <c r="M148" s="755">
        <v>0</v>
      </c>
      <c r="N148" s="756"/>
      <c r="O148" s="737" t="str">
        <f t="shared" si="17"/>
        <v xml:space="preserve"> </v>
      </c>
      <c r="P148" s="757">
        <v>9628</v>
      </c>
      <c r="Q148" s="757"/>
      <c r="R148" s="757"/>
      <c r="S148" s="749">
        <v>5168</v>
      </c>
      <c r="T148" s="758" t="s">
        <v>749</v>
      </c>
    </row>
    <row r="149" spans="1:21" outlineLevel="2">
      <c r="A149" s="694">
        <f t="shared" si="16"/>
        <v>148</v>
      </c>
      <c r="B149" s="751" t="s">
        <v>678</v>
      </c>
      <c r="C149" s="735" t="s">
        <v>783</v>
      </c>
      <c r="D149" s="752">
        <v>4677</v>
      </c>
      <c r="E149" s="753"/>
      <c r="F149" s="753" t="s">
        <v>858</v>
      </c>
      <c r="G149" s="753" t="s">
        <v>714</v>
      </c>
      <c r="H149" s="752">
        <v>2014</v>
      </c>
      <c r="I149" s="754">
        <v>284300</v>
      </c>
      <c r="J149" s="754"/>
      <c r="K149" s="754">
        <f>4036+42779</f>
        <v>46815</v>
      </c>
      <c r="L149" s="755">
        <v>120700</v>
      </c>
      <c r="M149" s="755">
        <v>120700</v>
      </c>
      <c r="N149" s="756">
        <v>120646</v>
      </c>
      <c r="O149" s="737">
        <f t="shared" si="17"/>
        <v>99.955260977630488</v>
      </c>
      <c r="P149" s="757"/>
      <c r="Q149" s="757"/>
      <c r="R149" s="757"/>
      <c r="S149" s="749">
        <v>114784</v>
      </c>
      <c r="T149" s="758" t="s">
        <v>681</v>
      </c>
    </row>
    <row r="150" spans="1:21" outlineLevel="2">
      <c r="A150" s="694">
        <f t="shared" si="16"/>
        <v>149</v>
      </c>
      <c r="B150" s="751" t="s">
        <v>678</v>
      </c>
      <c r="C150" s="735" t="s">
        <v>783</v>
      </c>
      <c r="D150" s="752">
        <v>4679</v>
      </c>
      <c r="E150" s="753"/>
      <c r="F150" s="753" t="s">
        <v>859</v>
      </c>
      <c r="G150" s="753" t="s">
        <v>714</v>
      </c>
      <c r="H150" s="735">
        <v>2015</v>
      </c>
      <c r="I150" s="754">
        <v>80109</v>
      </c>
      <c r="J150" s="754"/>
      <c r="K150" s="754">
        <v>614</v>
      </c>
      <c r="L150" s="755">
        <v>0</v>
      </c>
      <c r="M150" s="755">
        <v>0</v>
      </c>
      <c r="N150" s="756"/>
      <c r="O150" s="737" t="str">
        <f t="shared" si="17"/>
        <v xml:space="preserve"> </v>
      </c>
      <c r="P150" s="757"/>
      <c r="Q150" s="757"/>
      <c r="R150" s="757"/>
      <c r="S150" s="749">
        <v>79495</v>
      </c>
      <c r="T150" s="758" t="s">
        <v>681</v>
      </c>
    </row>
    <row r="151" spans="1:21" outlineLevel="2">
      <c r="A151" s="694">
        <f t="shared" si="16"/>
        <v>150</v>
      </c>
      <c r="B151" s="751" t="s">
        <v>678</v>
      </c>
      <c r="C151" s="735" t="s">
        <v>783</v>
      </c>
      <c r="D151" s="752">
        <v>4740</v>
      </c>
      <c r="E151" s="753">
        <v>49</v>
      </c>
      <c r="F151" s="753" t="s">
        <v>860</v>
      </c>
      <c r="G151" s="753" t="s">
        <v>714</v>
      </c>
      <c r="H151" s="752">
        <v>2017</v>
      </c>
      <c r="I151" s="754">
        <v>69328</v>
      </c>
      <c r="J151" s="754"/>
      <c r="K151" s="754">
        <v>46270</v>
      </c>
      <c r="L151" s="755">
        <v>0</v>
      </c>
      <c r="M151" s="755">
        <v>0</v>
      </c>
      <c r="N151" s="756"/>
      <c r="O151" s="737" t="str">
        <f t="shared" si="17"/>
        <v xml:space="preserve"> </v>
      </c>
      <c r="P151" s="757"/>
      <c r="Q151" s="757"/>
      <c r="R151" s="757"/>
      <c r="S151" s="749">
        <v>23058</v>
      </c>
      <c r="T151" s="758" t="s">
        <v>749</v>
      </c>
    </row>
    <row r="152" spans="1:21" outlineLevel="2">
      <c r="A152" s="694">
        <f t="shared" si="16"/>
        <v>151</v>
      </c>
      <c r="B152" s="751" t="s">
        <v>678</v>
      </c>
      <c r="C152" s="735" t="s">
        <v>783</v>
      </c>
      <c r="D152" s="752">
        <v>4742</v>
      </c>
      <c r="E152" s="753">
        <v>49</v>
      </c>
      <c r="F152" s="753" t="s">
        <v>861</v>
      </c>
      <c r="G152" s="753" t="s">
        <v>714</v>
      </c>
      <c r="H152" s="752">
        <v>2012</v>
      </c>
      <c r="I152" s="755">
        <v>98788</v>
      </c>
      <c r="J152" s="754"/>
      <c r="K152" s="754">
        <f>55287+43466</f>
        <v>98753</v>
      </c>
      <c r="L152" s="755">
        <v>10</v>
      </c>
      <c r="M152" s="755">
        <v>35</v>
      </c>
      <c r="N152" s="756">
        <v>33</v>
      </c>
      <c r="O152" s="737">
        <f t="shared" si="17"/>
        <v>94.285714285714278</v>
      </c>
      <c r="P152" s="757"/>
      <c r="Q152" s="757"/>
      <c r="R152" s="757"/>
      <c r="S152" s="749">
        <v>0</v>
      </c>
      <c r="T152" s="758" t="s">
        <v>749</v>
      </c>
      <c r="U152" s="740">
        <f>K152+N152</f>
        <v>98786</v>
      </c>
    </row>
    <row r="153" spans="1:21" outlineLevel="1">
      <c r="A153" s="694">
        <f t="shared" si="16"/>
        <v>152</v>
      </c>
      <c r="B153" s="760"/>
      <c r="C153" s="761" t="s">
        <v>862</v>
      </c>
      <c r="D153" s="761"/>
      <c r="E153" s="762"/>
      <c r="F153" s="762"/>
      <c r="G153" s="762"/>
      <c r="H153" s="761"/>
      <c r="I153" s="763">
        <f t="shared" ref="I153:N153" si="18">SUBTOTAL(9,I76:I152)</f>
        <v>6010597</v>
      </c>
      <c r="J153" s="763">
        <f t="shared" si="18"/>
        <v>979626</v>
      </c>
      <c r="K153" s="763">
        <f t="shared" si="18"/>
        <v>786233</v>
      </c>
      <c r="L153" s="763">
        <f t="shared" si="18"/>
        <v>1242827</v>
      </c>
      <c r="M153" s="763">
        <f t="shared" si="18"/>
        <v>925924</v>
      </c>
      <c r="N153" s="764">
        <f t="shared" si="18"/>
        <v>920650</v>
      </c>
      <c r="O153" s="765">
        <f t="shared" si="17"/>
        <v>99.430406815246172</v>
      </c>
      <c r="P153" s="764">
        <f>SUBTOTAL(9,P76:P152)</f>
        <v>488023</v>
      </c>
      <c r="Q153" s="764">
        <f>SUBTOTAL(9,Q76:Q152)</f>
        <v>274133</v>
      </c>
      <c r="R153" s="764">
        <f>SUBTOTAL(9,R76:R152)</f>
        <v>48747</v>
      </c>
      <c r="S153" s="766"/>
      <c r="T153" s="767"/>
    </row>
    <row r="154" spans="1:21" outlineLevel="2">
      <c r="A154" s="694">
        <f t="shared" si="16"/>
        <v>153</v>
      </c>
      <c r="B154" s="742">
        <v>5600</v>
      </c>
      <c r="C154" s="752" t="s">
        <v>863</v>
      </c>
      <c r="D154" s="752">
        <v>2944</v>
      </c>
      <c r="E154" s="753"/>
      <c r="F154" s="753" t="s">
        <v>864</v>
      </c>
      <c r="G154" s="769"/>
      <c r="H154" s="769"/>
      <c r="I154" s="754"/>
      <c r="J154" s="754"/>
      <c r="K154" s="754">
        <f>2303</f>
        <v>2303</v>
      </c>
      <c r="L154" s="755">
        <v>0</v>
      </c>
      <c r="M154" s="755">
        <v>44</v>
      </c>
      <c r="N154" s="756">
        <v>43</v>
      </c>
      <c r="O154" s="737">
        <f t="shared" si="17"/>
        <v>97.727272727272734</v>
      </c>
      <c r="P154" s="757"/>
      <c r="Q154" s="757"/>
      <c r="R154" s="757"/>
      <c r="S154" s="749">
        <v>0</v>
      </c>
      <c r="T154" s="758" t="s">
        <v>681</v>
      </c>
    </row>
    <row r="155" spans="1:21" outlineLevel="2">
      <c r="A155" s="694">
        <f t="shared" si="16"/>
        <v>154</v>
      </c>
      <c r="B155" s="751" t="s">
        <v>865</v>
      </c>
      <c r="C155" s="752" t="s">
        <v>863</v>
      </c>
      <c r="D155" s="752">
        <v>3188</v>
      </c>
      <c r="E155" s="753"/>
      <c r="F155" s="753" t="s">
        <v>866</v>
      </c>
      <c r="G155" s="753"/>
      <c r="H155" s="753"/>
      <c r="I155" s="754"/>
      <c r="J155" s="754"/>
      <c r="K155" s="754">
        <f>150+68</f>
        <v>218</v>
      </c>
      <c r="L155" s="755">
        <v>100</v>
      </c>
      <c r="M155" s="755">
        <v>100</v>
      </c>
      <c r="N155" s="756">
        <v>61</v>
      </c>
      <c r="O155" s="737">
        <f t="shared" si="17"/>
        <v>61</v>
      </c>
      <c r="P155" s="757"/>
      <c r="Q155" s="757"/>
      <c r="R155" s="757"/>
      <c r="S155" s="749">
        <v>0</v>
      </c>
      <c r="T155" s="758" t="s">
        <v>867</v>
      </c>
    </row>
    <row r="156" spans="1:21" outlineLevel="2">
      <c r="A156" s="694">
        <f t="shared" si="16"/>
        <v>155</v>
      </c>
      <c r="B156" s="751" t="s">
        <v>678</v>
      </c>
      <c r="C156" s="752" t="s">
        <v>863</v>
      </c>
      <c r="D156" s="752">
        <v>3340</v>
      </c>
      <c r="E156" s="753"/>
      <c r="F156" s="753" t="s">
        <v>868</v>
      </c>
      <c r="G156" s="753"/>
      <c r="H156" s="753"/>
      <c r="I156" s="754"/>
      <c r="J156" s="754"/>
      <c r="K156" s="754">
        <f>38873+14845</f>
        <v>53718</v>
      </c>
      <c r="L156" s="755">
        <v>10680</v>
      </c>
      <c r="M156" s="755">
        <v>1080</v>
      </c>
      <c r="N156" s="756">
        <v>1685</v>
      </c>
      <c r="O156" s="737">
        <f t="shared" si="17"/>
        <v>156.0185185185185</v>
      </c>
      <c r="P156" s="757"/>
      <c r="Q156" s="757"/>
      <c r="R156" s="757"/>
      <c r="S156" s="749">
        <v>0</v>
      </c>
      <c r="T156" s="758" t="s">
        <v>681</v>
      </c>
    </row>
    <row r="157" spans="1:21" outlineLevel="2">
      <c r="A157" s="694">
        <f t="shared" si="16"/>
        <v>156</v>
      </c>
      <c r="B157" s="751" t="s">
        <v>678</v>
      </c>
      <c r="C157" s="752" t="s">
        <v>863</v>
      </c>
      <c r="D157" s="752">
        <v>4056</v>
      </c>
      <c r="E157" s="753">
        <v>49</v>
      </c>
      <c r="F157" s="753" t="s">
        <v>869</v>
      </c>
      <c r="G157" s="753"/>
      <c r="H157" s="753"/>
      <c r="I157" s="754"/>
      <c r="J157" s="754"/>
      <c r="K157" s="754">
        <f>23926+1189</f>
        <v>25115</v>
      </c>
      <c r="L157" s="755">
        <v>2000</v>
      </c>
      <c r="M157" s="755">
        <v>1700</v>
      </c>
      <c r="N157" s="756">
        <v>85</v>
      </c>
      <c r="O157" s="737">
        <f t="shared" si="17"/>
        <v>5</v>
      </c>
      <c r="P157" s="757"/>
      <c r="Q157" s="757"/>
      <c r="R157" s="757"/>
      <c r="S157" s="749">
        <v>0</v>
      </c>
      <c r="T157" s="758" t="s">
        <v>749</v>
      </c>
    </row>
    <row r="158" spans="1:21" outlineLevel="1">
      <c r="A158" s="694">
        <f t="shared" si="16"/>
        <v>157</v>
      </c>
      <c r="B158" s="760"/>
      <c r="C158" s="761" t="s">
        <v>870</v>
      </c>
      <c r="D158" s="761"/>
      <c r="E158" s="762"/>
      <c r="F158" s="762"/>
      <c r="G158" s="762"/>
      <c r="H158" s="762"/>
      <c r="I158" s="763">
        <f t="shared" ref="I158:N158" si="19">SUBTOTAL(9,I154:I157)</f>
        <v>0</v>
      </c>
      <c r="J158" s="763">
        <f t="shared" si="19"/>
        <v>0</v>
      </c>
      <c r="K158" s="763">
        <f t="shared" si="19"/>
        <v>81354</v>
      </c>
      <c r="L158" s="763">
        <f t="shared" si="19"/>
        <v>12780</v>
      </c>
      <c r="M158" s="763">
        <f t="shared" si="19"/>
        <v>2924</v>
      </c>
      <c r="N158" s="764">
        <f t="shared" si="19"/>
        <v>1874</v>
      </c>
      <c r="O158" s="765">
        <f t="shared" si="17"/>
        <v>64.090287277701776</v>
      </c>
      <c r="P158" s="764">
        <f>SUBTOTAL(9,P154:P157)</f>
        <v>0</v>
      </c>
      <c r="Q158" s="764">
        <f>SUBTOTAL(9,Q154:Q157)</f>
        <v>0</v>
      </c>
      <c r="R158" s="764">
        <f>SUBTOTAL(9,R154:R157)</f>
        <v>0</v>
      </c>
      <c r="S158" s="766"/>
      <c r="T158" s="767"/>
    </row>
    <row r="159" spans="1:21" outlineLevel="2">
      <c r="A159" s="694">
        <f t="shared" si="16"/>
        <v>158</v>
      </c>
      <c r="B159" s="751" t="s">
        <v>871</v>
      </c>
      <c r="C159" s="752" t="s">
        <v>872</v>
      </c>
      <c r="D159" s="752">
        <v>2954</v>
      </c>
      <c r="E159" s="753"/>
      <c r="F159" s="753" t="s">
        <v>873</v>
      </c>
      <c r="G159" s="753"/>
      <c r="H159" s="753"/>
      <c r="I159" s="754"/>
      <c r="J159" s="754"/>
      <c r="K159" s="754">
        <f>1072</f>
        <v>1072</v>
      </c>
      <c r="L159" s="755">
        <v>0</v>
      </c>
      <c r="M159" s="755">
        <v>0</v>
      </c>
      <c r="N159" s="756"/>
      <c r="O159" s="737" t="str">
        <f t="shared" si="17"/>
        <v xml:space="preserve"> </v>
      </c>
      <c r="P159" s="757"/>
      <c r="Q159" s="757"/>
      <c r="R159" s="757"/>
      <c r="S159" s="749">
        <v>0</v>
      </c>
      <c r="T159" s="758" t="s">
        <v>874</v>
      </c>
    </row>
    <row r="160" spans="1:21" outlineLevel="2">
      <c r="A160" s="694">
        <f t="shared" si="16"/>
        <v>159</v>
      </c>
      <c r="B160" s="751" t="s">
        <v>871</v>
      </c>
      <c r="C160" s="752" t="s">
        <v>872</v>
      </c>
      <c r="D160" s="752">
        <v>3135</v>
      </c>
      <c r="E160" s="753"/>
      <c r="F160" s="753" t="s">
        <v>875</v>
      </c>
      <c r="G160" s="753"/>
      <c r="H160" s="753"/>
      <c r="I160" s="754"/>
      <c r="J160" s="754"/>
      <c r="K160" s="754">
        <v>1616</v>
      </c>
      <c r="L160" s="755">
        <v>0</v>
      </c>
      <c r="M160" s="755">
        <v>0</v>
      </c>
      <c r="N160" s="756"/>
      <c r="O160" s="737" t="str">
        <f t="shared" si="17"/>
        <v xml:space="preserve"> </v>
      </c>
      <c r="P160" s="757"/>
      <c r="Q160" s="757"/>
      <c r="R160" s="757"/>
      <c r="S160" s="749">
        <v>0</v>
      </c>
      <c r="T160" s="758" t="s">
        <v>874</v>
      </c>
    </row>
    <row r="161" spans="1:21" outlineLevel="1">
      <c r="A161" s="694">
        <f t="shared" si="16"/>
        <v>160</v>
      </c>
      <c r="B161" s="760"/>
      <c r="C161" s="761" t="s">
        <v>876</v>
      </c>
      <c r="D161" s="761"/>
      <c r="E161" s="762"/>
      <c r="F161" s="762"/>
      <c r="G161" s="762"/>
      <c r="H161" s="762"/>
      <c r="I161" s="763">
        <f t="shared" ref="I161:N161" si="20">SUBTOTAL(9,I159:I160)</f>
        <v>0</v>
      </c>
      <c r="J161" s="763">
        <f t="shared" si="20"/>
        <v>0</v>
      </c>
      <c r="K161" s="763">
        <f t="shared" si="20"/>
        <v>2688</v>
      </c>
      <c r="L161" s="763">
        <f t="shared" si="20"/>
        <v>0</v>
      </c>
      <c r="M161" s="763">
        <f t="shared" si="20"/>
        <v>0</v>
      </c>
      <c r="N161" s="764">
        <f t="shared" si="20"/>
        <v>0</v>
      </c>
      <c r="O161" s="765" t="str">
        <f t="shared" si="17"/>
        <v xml:space="preserve"> </v>
      </c>
      <c r="P161" s="764">
        <f>SUBTOTAL(9,P159:P160)</f>
        <v>0</v>
      </c>
      <c r="Q161" s="764">
        <f>SUBTOTAL(9,Q159:Q160)</f>
        <v>0</v>
      </c>
      <c r="R161" s="764">
        <f>SUBTOTAL(9,R159:R160)</f>
        <v>0</v>
      </c>
      <c r="S161" s="766"/>
      <c r="T161" s="767"/>
    </row>
    <row r="162" spans="1:21" outlineLevel="2">
      <c r="A162" s="694">
        <f t="shared" si="16"/>
        <v>161</v>
      </c>
      <c r="B162" s="751" t="s">
        <v>678</v>
      </c>
      <c r="C162" s="752" t="s">
        <v>877</v>
      </c>
      <c r="D162" s="752">
        <v>4197</v>
      </c>
      <c r="E162" s="753"/>
      <c r="F162" s="753" t="s">
        <v>878</v>
      </c>
      <c r="G162" s="753" t="s">
        <v>701</v>
      </c>
      <c r="H162" s="752">
        <v>2014</v>
      </c>
      <c r="I162" s="754">
        <v>85780</v>
      </c>
      <c r="J162" s="754"/>
      <c r="K162" s="754">
        <v>25386</v>
      </c>
      <c r="L162" s="755">
        <v>0</v>
      </c>
      <c r="M162" s="755">
        <v>0</v>
      </c>
      <c r="N162" s="756"/>
      <c r="O162" s="737" t="str">
        <f t="shared" si="17"/>
        <v xml:space="preserve"> </v>
      </c>
      <c r="P162" s="757"/>
      <c r="Q162" s="757"/>
      <c r="R162" s="757"/>
      <c r="S162" s="749"/>
      <c r="T162" s="758" t="s">
        <v>681</v>
      </c>
    </row>
    <row r="163" spans="1:21" outlineLevel="1">
      <c r="A163" s="694">
        <f t="shared" si="16"/>
        <v>162</v>
      </c>
      <c r="B163" s="760"/>
      <c r="C163" s="761" t="s">
        <v>879</v>
      </c>
      <c r="D163" s="761"/>
      <c r="E163" s="762"/>
      <c r="F163" s="762"/>
      <c r="G163" s="762"/>
      <c r="H163" s="761"/>
      <c r="I163" s="763">
        <f t="shared" ref="I163:N163" si="21">SUBTOTAL(9,I162:I162)</f>
        <v>85780</v>
      </c>
      <c r="J163" s="763">
        <f t="shared" si="21"/>
        <v>0</v>
      </c>
      <c r="K163" s="763">
        <f t="shared" si="21"/>
        <v>25386</v>
      </c>
      <c r="L163" s="763">
        <f t="shared" si="21"/>
        <v>0</v>
      </c>
      <c r="M163" s="763">
        <f t="shared" si="21"/>
        <v>0</v>
      </c>
      <c r="N163" s="764">
        <f t="shared" si="21"/>
        <v>0</v>
      </c>
      <c r="O163" s="765" t="str">
        <f t="shared" si="17"/>
        <v xml:space="preserve"> </v>
      </c>
      <c r="P163" s="764">
        <f>SUBTOTAL(9,P162:P162)</f>
        <v>0</v>
      </c>
      <c r="Q163" s="764">
        <f>SUBTOTAL(9,Q162:Q162)</f>
        <v>0</v>
      </c>
      <c r="R163" s="764">
        <f>SUBTOTAL(9,R162:R162)</f>
        <v>0</v>
      </c>
      <c r="S163" s="766"/>
      <c r="T163" s="767"/>
    </row>
    <row r="164" spans="1:21" outlineLevel="2">
      <c r="A164" s="694">
        <f t="shared" si="16"/>
        <v>163</v>
      </c>
      <c r="B164" s="751" t="s">
        <v>678</v>
      </c>
      <c r="C164" s="752" t="s">
        <v>880</v>
      </c>
      <c r="D164" s="752">
        <v>3252</v>
      </c>
      <c r="E164" s="753"/>
      <c r="F164" s="753" t="s">
        <v>881</v>
      </c>
      <c r="G164" s="753" t="s">
        <v>695</v>
      </c>
      <c r="H164" s="753" t="s">
        <v>699</v>
      </c>
      <c r="I164" s="754">
        <v>58900</v>
      </c>
      <c r="J164" s="754"/>
      <c r="K164" s="754">
        <v>2515</v>
      </c>
      <c r="L164" s="755">
        <v>0</v>
      </c>
      <c r="M164" s="755">
        <v>0</v>
      </c>
      <c r="N164" s="756"/>
      <c r="O164" s="737" t="str">
        <f t="shared" si="17"/>
        <v xml:space="preserve"> </v>
      </c>
      <c r="P164" s="757"/>
      <c r="Q164" s="757"/>
      <c r="R164" s="757"/>
      <c r="S164" s="749">
        <v>56385</v>
      </c>
      <c r="T164" s="758" t="s">
        <v>681</v>
      </c>
    </row>
    <row r="165" spans="1:21" outlineLevel="1">
      <c r="A165" s="694">
        <f t="shared" si="16"/>
        <v>164</v>
      </c>
      <c r="B165" s="760"/>
      <c r="C165" s="761" t="s">
        <v>882</v>
      </c>
      <c r="D165" s="761"/>
      <c r="E165" s="762"/>
      <c r="F165" s="762"/>
      <c r="G165" s="762"/>
      <c r="H165" s="762"/>
      <c r="I165" s="763">
        <f t="shared" ref="I165:N165" si="22">SUBTOTAL(9,I164:I164)</f>
        <v>58900</v>
      </c>
      <c r="J165" s="763">
        <f t="shared" si="22"/>
        <v>0</v>
      </c>
      <c r="K165" s="763">
        <f t="shared" si="22"/>
        <v>2515</v>
      </c>
      <c r="L165" s="763">
        <f t="shared" si="22"/>
        <v>0</v>
      </c>
      <c r="M165" s="763">
        <f t="shared" si="22"/>
        <v>0</v>
      </c>
      <c r="N165" s="764">
        <f t="shared" si="22"/>
        <v>0</v>
      </c>
      <c r="O165" s="765" t="str">
        <f t="shared" si="17"/>
        <v xml:space="preserve"> </v>
      </c>
      <c r="P165" s="764">
        <f>SUBTOTAL(9,P164:P164)</f>
        <v>0</v>
      </c>
      <c r="Q165" s="764">
        <f>SUBTOTAL(9,Q164:Q164)</f>
        <v>0</v>
      </c>
      <c r="R165" s="764">
        <f>SUBTOTAL(9,R164:R164)</f>
        <v>0</v>
      </c>
      <c r="S165" s="766"/>
      <c r="T165" s="767"/>
    </row>
    <row r="166" spans="1:21" outlineLevel="2">
      <c r="A166" s="694">
        <f t="shared" si="16"/>
        <v>165</v>
      </c>
      <c r="B166" s="751" t="s">
        <v>678</v>
      </c>
      <c r="C166" s="752" t="s">
        <v>883</v>
      </c>
      <c r="D166" s="752">
        <v>2979</v>
      </c>
      <c r="E166" s="753">
        <v>41</v>
      </c>
      <c r="F166" s="743" t="s">
        <v>884</v>
      </c>
      <c r="G166" s="753" t="s">
        <v>698</v>
      </c>
      <c r="H166" s="735">
        <v>2012</v>
      </c>
      <c r="I166" s="754">
        <v>5700</v>
      </c>
      <c r="J166" s="754"/>
      <c r="K166" s="754">
        <f>3092</f>
        <v>3092</v>
      </c>
      <c r="L166" s="755">
        <v>1180</v>
      </c>
      <c r="M166" s="755">
        <v>2007</v>
      </c>
      <c r="N166" s="756">
        <v>1984</v>
      </c>
      <c r="O166" s="737">
        <f t="shared" si="17"/>
        <v>98.854010961634273</v>
      </c>
      <c r="P166" s="757"/>
      <c r="Q166" s="757"/>
      <c r="R166" s="757"/>
      <c r="S166" s="749">
        <v>0</v>
      </c>
      <c r="T166" s="758" t="s">
        <v>681</v>
      </c>
      <c r="U166" s="740">
        <f>K166+N166</f>
        <v>5076</v>
      </c>
    </row>
    <row r="167" spans="1:21" outlineLevel="1">
      <c r="A167" s="694">
        <f t="shared" si="16"/>
        <v>166</v>
      </c>
      <c r="B167" s="760"/>
      <c r="C167" s="761" t="s">
        <v>885</v>
      </c>
      <c r="D167" s="761"/>
      <c r="E167" s="762"/>
      <c r="F167" s="762"/>
      <c r="G167" s="762"/>
      <c r="H167" s="761"/>
      <c r="I167" s="763">
        <f t="shared" ref="I167:N167" si="23">SUBTOTAL(9,I166:I166)</f>
        <v>5700</v>
      </c>
      <c r="J167" s="763">
        <f t="shared" si="23"/>
        <v>0</v>
      </c>
      <c r="K167" s="763">
        <f t="shared" si="23"/>
        <v>3092</v>
      </c>
      <c r="L167" s="763">
        <f t="shared" si="23"/>
        <v>1180</v>
      </c>
      <c r="M167" s="763">
        <f t="shared" si="23"/>
        <v>2007</v>
      </c>
      <c r="N167" s="764">
        <f t="shared" si="23"/>
        <v>1984</v>
      </c>
      <c r="O167" s="765">
        <f t="shared" si="17"/>
        <v>98.854010961634273</v>
      </c>
      <c r="P167" s="764">
        <f>SUBTOTAL(9,P166:P166)</f>
        <v>0</v>
      </c>
      <c r="Q167" s="764">
        <f>SUBTOTAL(9,Q166:Q166)</f>
        <v>0</v>
      </c>
      <c r="R167" s="764">
        <f>SUBTOTAL(9,R166:R166)</f>
        <v>0</v>
      </c>
      <c r="S167" s="766"/>
      <c r="T167" s="767"/>
    </row>
    <row r="168" spans="1:21" outlineLevel="2">
      <c r="A168" s="694">
        <f t="shared" si="16"/>
        <v>167</v>
      </c>
      <c r="B168" s="759" t="s">
        <v>886</v>
      </c>
      <c r="C168" s="752" t="s">
        <v>887</v>
      </c>
      <c r="D168" s="735">
        <v>30079142</v>
      </c>
      <c r="E168" s="768"/>
      <c r="F168" s="743" t="s">
        <v>888</v>
      </c>
      <c r="G168" s="743"/>
      <c r="H168" s="735"/>
      <c r="I168" s="755"/>
      <c r="J168" s="755"/>
      <c r="K168" s="755"/>
      <c r="L168" s="755"/>
      <c r="M168" s="755">
        <v>50</v>
      </c>
      <c r="N168" s="756">
        <v>50</v>
      </c>
      <c r="O168" s="737">
        <f t="shared" si="17"/>
        <v>100</v>
      </c>
      <c r="P168" s="756"/>
      <c r="Q168" s="756"/>
      <c r="R168" s="756"/>
      <c r="S168" s="749"/>
      <c r="T168" s="748" t="s">
        <v>889</v>
      </c>
    </row>
    <row r="169" spans="1:21" outlineLevel="2">
      <c r="A169" s="694">
        <f t="shared" si="16"/>
        <v>168</v>
      </c>
      <c r="B169" s="759" t="s">
        <v>678</v>
      </c>
      <c r="C169" s="752" t="s">
        <v>887</v>
      </c>
      <c r="D169" s="735">
        <v>2913</v>
      </c>
      <c r="E169" s="743"/>
      <c r="F169" s="743" t="s">
        <v>890</v>
      </c>
      <c r="G169" s="735">
        <v>2012</v>
      </c>
      <c r="H169" s="735">
        <v>2012</v>
      </c>
      <c r="I169" s="755">
        <v>1300</v>
      </c>
      <c r="J169" s="755"/>
      <c r="K169" s="755"/>
      <c r="L169" s="755"/>
      <c r="M169" s="755">
        <v>1300</v>
      </c>
      <c r="N169" s="756">
        <v>1147</v>
      </c>
      <c r="O169" s="737">
        <f t="shared" si="17"/>
        <v>88.230769230769241</v>
      </c>
      <c r="P169" s="756"/>
      <c r="Q169" s="756"/>
      <c r="R169" s="756"/>
      <c r="S169" s="749"/>
      <c r="T169" s="748" t="s">
        <v>681</v>
      </c>
      <c r="U169" s="740">
        <f t="shared" ref="U169:U171" si="24">K169+N169</f>
        <v>1147</v>
      </c>
    </row>
    <row r="170" spans="1:21" outlineLevel="2">
      <c r="A170" s="694">
        <f t="shared" si="16"/>
        <v>169</v>
      </c>
      <c r="B170" s="751" t="s">
        <v>678</v>
      </c>
      <c r="C170" s="752" t="s">
        <v>887</v>
      </c>
      <c r="D170" s="752">
        <v>2950</v>
      </c>
      <c r="E170" s="753">
        <v>41</v>
      </c>
      <c r="F170" s="743" t="s">
        <v>891</v>
      </c>
      <c r="G170" s="752">
        <v>2011</v>
      </c>
      <c r="H170" s="752">
        <v>2012</v>
      </c>
      <c r="I170" s="755">
        <v>43000</v>
      </c>
      <c r="J170" s="755"/>
      <c r="K170" s="754">
        <f>4953</f>
        <v>4953</v>
      </c>
      <c r="L170" s="755">
        <v>38000</v>
      </c>
      <c r="M170" s="755">
        <v>37786</v>
      </c>
      <c r="N170" s="756">
        <v>18955</v>
      </c>
      <c r="O170" s="737">
        <f t="shared" si="17"/>
        <v>50.164081935108243</v>
      </c>
      <c r="P170" s="757"/>
      <c r="Q170" s="757"/>
      <c r="R170" s="757"/>
      <c r="S170" s="749">
        <v>0</v>
      </c>
      <c r="T170" s="758" t="s">
        <v>681</v>
      </c>
      <c r="U170" s="740">
        <f t="shared" si="24"/>
        <v>23908</v>
      </c>
    </row>
    <row r="171" spans="1:21" outlineLevel="2">
      <c r="A171" s="694">
        <f t="shared" si="16"/>
        <v>170</v>
      </c>
      <c r="B171" s="751" t="s">
        <v>678</v>
      </c>
      <c r="C171" s="752" t="s">
        <v>887</v>
      </c>
      <c r="D171" s="752">
        <v>2981</v>
      </c>
      <c r="E171" s="753">
        <v>41</v>
      </c>
      <c r="F171" s="753" t="s">
        <v>892</v>
      </c>
      <c r="G171" s="753" t="s">
        <v>698</v>
      </c>
      <c r="H171" s="735">
        <v>2012</v>
      </c>
      <c r="I171" s="755">
        <v>28000</v>
      </c>
      <c r="J171" s="754"/>
      <c r="K171" s="754">
        <f>677+5229</f>
        <v>5906</v>
      </c>
      <c r="L171" s="755">
        <v>17323</v>
      </c>
      <c r="M171" s="755">
        <v>22093</v>
      </c>
      <c r="N171" s="756">
        <v>16693</v>
      </c>
      <c r="O171" s="737">
        <f t="shared" si="17"/>
        <v>75.557869008283163</v>
      </c>
      <c r="P171" s="757"/>
      <c r="Q171" s="757"/>
      <c r="R171" s="757"/>
      <c r="S171" s="749">
        <v>0</v>
      </c>
      <c r="T171" s="758" t="s">
        <v>681</v>
      </c>
      <c r="U171" s="740">
        <f t="shared" si="24"/>
        <v>22599</v>
      </c>
    </row>
    <row r="172" spans="1:21" outlineLevel="2">
      <c r="A172" s="694">
        <f t="shared" si="16"/>
        <v>171</v>
      </c>
      <c r="B172" s="751" t="s">
        <v>886</v>
      </c>
      <c r="C172" s="752" t="s">
        <v>887</v>
      </c>
      <c r="D172" s="752">
        <v>3028</v>
      </c>
      <c r="E172" s="753"/>
      <c r="F172" s="753" t="s">
        <v>893</v>
      </c>
      <c r="G172" s="753"/>
      <c r="H172" s="753"/>
      <c r="I172" s="754"/>
      <c r="J172" s="754"/>
      <c r="K172" s="754">
        <v>0</v>
      </c>
      <c r="L172" s="755">
        <v>0</v>
      </c>
      <c r="M172" s="755">
        <v>0</v>
      </c>
      <c r="N172" s="756"/>
      <c r="O172" s="737" t="str">
        <f t="shared" si="17"/>
        <v xml:space="preserve"> </v>
      </c>
      <c r="P172" s="757"/>
      <c r="Q172" s="757"/>
      <c r="R172" s="757"/>
      <c r="S172" s="749">
        <v>0</v>
      </c>
      <c r="T172" s="758" t="s">
        <v>889</v>
      </c>
    </row>
    <row r="173" spans="1:21" outlineLevel="2">
      <c r="A173" s="694">
        <f t="shared" si="16"/>
        <v>172</v>
      </c>
      <c r="B173" s="751" t="s">
        <v>678</v>
      </c>
      <c r="C173" s="752" t="s">
        <v>887</v>
      </c>
      <c r="D173" s="752">
        <v>3038</v>
      </c>
      <c r="E173" s="753">
        <v>41</v>
      </c>
      <c r="F173" s="753" t="s">
        <v>894</v>
      </c>
      <c r="G173" s="753" t="s">
        <v>698</v>
      </c>
      <c r="H173" s="735">
        <v>2012</v>
      </c>
      <c r="I173" s="754">
        <v>25000</v>
      </c>
      <c r="J173" s="754"/>
      <c r="K173" s="754">
        <f>1542+18455</f>
        <v>19997</v>
      </c>
      <c r="L173" s="755">
        <v>5000</v>
      </c>
      <c r="M173" s="755">
        <v>5000</v>
      </c>
      <c r="N173" s="756">
        <v>3708</v>
      </c>
      <c r="O173" s="737">
        <f t="shared" si="17"/>
        <v>74.16</v>
      </c>
      <c r="P173" s="757"/>
      <c r="Q173" s="757"/>
      <c r="R173" s="757"/>
      <c r="S173" s="749">
        <v>0</v>
      </c>
      <c r="T173" s="758" t="s">
        <v>681</v>
      </c>
      <c r="U173" s="740">
        <f t="shared" ref="U173:U178" si="25">K173+N173</f>
        <v>23705</v>
      </c>
    </row>
    <row r="174" spans="1:21" outlineLevel="2">
      <c r="A174" s="694">
        <f t="shared" si="16"/>
        <v>173</v>
      </c>
      <c r="B174" s="751" t="s">
        <v>678</v>
      </c>
      <c r="C174" s="752" t="s">
        <v>887</v>
      </c>
      <c r="D174" s="752">
        <v>5128</v>
      </c>
      <c r="E174" s="770" t="s">
        <v>729</v>
      </c>
      <c r="F174" s="753" t="s">
        <v>895</v>
      </c>
      <c r="G174" s="753" t="s">
        <v>698</v>
      </c>
      <c r="H174" s="752">
        <v>2013</v>
      </c>
      <c r="I174" s="754">
        <v>25500</v>
      </c>
      <c r="J174" s="755">
        <v>17683</v>
      </c>
      <c r="K174" s="754">
        <f>171</f>
        <v>171</v>
      </c>
      <c r="L174" s="755">
        <v>1150</v>
      </c>
      <c r="M174" s="755">
        <v>2150</v>
      </c>
      <c r="N174" s="756">
        <v>333</v>
      </c>
      <c r="O174" s="737">
        <f t="shared" si="17"/>
        <v>15.488372093023257</v>
      </c>
      <c r="P174" s="757"/>
      <c r="Q174" s="757"/>
      <c r="R174" s="757"/>
      <c r="S174" s="749">
        <v>0</v>
      </c>
      <c r="T174" s="758" t="s">
        <v>681</v>
      </c>
      <c r="U174" s="740">
        <f t="shared" si="25"/>
        <v>504</v>
      </c>
    </row>
    <row r="175" spans="1:21" outlineLevel="2">
      <c r="A175" s="694">
        <f t="shared" si="16"/>
        <v>174</v>
      </c>
      <c r="B175" s="751" t="s">
        <v>678</v>
      </c>
      <c r="C175" s="752" t="s">
        <v>887</v>
      </c>
      <c r="D175" s="752">
        <v>5129</v>
      </c>
      <c r="E175" s="770" t="s">
        <v>729</v>
      </c>
      <c r="F175" s="753" t="s">
        <v>896</v>
      </c>
      <c r="G175" s="753" t="s">
        <v>698</v>
      </c>
      <c r="H175" s="752">
        <v>2012</v>
      </c>
      <c r="I175" s="755">
        <v>10500</v>
      </c>
      <c r="J175" s="755">
        <v>5150</v>
      </c>
      <c r="K175" s="754">
        <f>222</f>
        <v>222</v>
      </c>
      <c r="L175" s="755">
        <v>9350</v>
      </c>
      <c r="M175" s="755">
        <v>9350</v>
      </c>
      <c r="N175" s="756">
        <v>5583</v>
      </c>
      <c r="O175" s="737">
        <f t="shared" si="17"/>
        <v>59.711229946524071</v>
      </c>
      <c r="P175" s="757"/>
      <c r="Q175" s="757"/>
      <c r="R175" s="757"/>
      <c r="S175" s="749">
        <v>0</v>
      </c>
      <c r="T175" s="758" t="s">
        <v>681</v>
      </c>
      <c r="U175" s="740">
        <f t="shared" si="25"/>
        <v>5805</v>
      </c>
    </row>
    <row r="176" spans="1:21" outlineLevel="2">
      <c r="A176" s="694">
        <f t="shared" si="16"/>
        <v>175</v>
      </c>
      <c r="B176" s="751" t="s">
        <v>678</v>
      </c>
      <c r="C176" s="752" t="s">
        <v>887</v>
      </c>
      <c r="D176" s="752">
        <v>5131</v>
      </c>
      <c r="E176" s="770" t="s">
        <v>729</v>
      </c>
      <c r="F176" s="753" t="s">
        <v>897</v>
      </c>
      <c r="G176" s="753" t="s">
        <v>698</v>
      </c>
      <c r="H176" s="752">
        <v>2012</v>
      </c>
      <c r="I176" s="754">
        <v>83</v>
      </c>
      <c r="J176" s="755">
        <v>4326</v>
      </c>
      <c r="K176" s="754">
        <f>82</f>
        <v>82</v>
      </c>
      <c r="L176" s="755">
        <v>0</v>
      </c>
      <c r="M176" s="755">
        <v>0</v>
      </c>
      <c r="N176" s="756"/>
      <c r="O176" s="737" t="str">
        <f t="shared" si="17"/>
        <v xml:space="preserve"> </v>
      </c>
      <c r="P176" s="757"/>
      <c r="Q176" s="757"/>
      <c r="R176" s="757"/>
      <c r="S176" s="749">
        <v>0</v>
      </c>
      <c r="T176" s="758" t="s">
        <v>681</v>
      </c>
      <c r="U176" s="740">
        <f t="shared" si="25"/>
        <v>82</v>
      </c>
    </row>
    <row r="177" spans="1:21" outlineLevel="2">
      <c r="A177" s="694">
        <f t="shared" si="16"/>
        <v>176</v>
      </c>
      <c r="B177" s="751" t="s">
        <v>678</v>
      </c>
      <c r="C177" s="752" t="s">
        <v>887</v>
      </c>
      <c r="D177" s="752">
        <v>5132</v>
      </c>
      <c r="E177" s="770" t="s">
        <v>729</v>
      </c>
      <c r="F177" s="753" t="s">
        <v>898</v>
      </c>
      <c r="G177" s="753" t="s">
        <v>698</v>
      </c>
      <c r="H177" s="753" t="s">
        <v>734</v>
      </c>
      <c r="I177" s="754">
        <v>12300</v>
      </c>
      <c r="J177" s="755">
        <v>8689</v>
      </c>
      <c r="K177" s="754">
        <f>1127</f>
        <v>1127</v>
      </c>
      <c r="L177" s="755">
        <v>3500</v>
      </c>
      <c r="M177" s="755">
        <v>11173</v>
      </c>
      <c r="N177" s="756">
        <v>10826</v>
      </c>
      <c r="O177" s="737">
        <f t="shared" si="17"/>
        <v>96.894298755929469</v>
      </c>
      <c r="P177" s="757"/>
      <c r="Q177" s="757"/>
      <c r="R177" s="757"/>
      <c r="S177" s="749">
        <v>0</v>
      </c>
      <c r="T177" s="758" t="s">
        <v>681</v>
      </c>
      <c r="U177" s="740">
        <f t="shared" si="25"/>
        <v>11953</v>
      </c>
    </row>
    <row r="178" spans="1:21" outlineLevel="2">
      <c r="A178" s="694">
        <f t="shared" si="16"/>
        <v>177</v>
      </c>
      <c r="B178" s="751" t="s">
        <v>678</v>
      </c>
      <c r="C178" s="752" t="s">
        <v>887</v>
      </c>
      <c r="D178" s="752">
        <v>5135</v>
      </c>
      <c r="E178" s="770" t="s">
        <v>729</v>
      </c>
      <c r="F178" s="753" t="s">
        <v>899</v>
      </c>
      <c r="G178" s="753" t="s">
        <v>698</v>
      </c>
      <c r="H178" s="752">
        <v>2014</v>
      </c>
      <c r="I178" s="754">
        <v>18826</v>
      </c>
      <c r="J178" s="755">
        <v>16471</v>
      </c>
      <c r="K178" s="754">
        <v>0</v>
      </c>
      <c r="L178" s="755">
        <v>100</v>
      </c>
      <c r="M178" s="755">
        <v>100</v>
      </c>
      <c r="N178" s="756">
        <v>17</v>
      </c>
      <c r="O178" s="737">
        <f t="shared" si="17"/>
        <v>17</v>
      </c>
      <c r="P178" s="757"/>
      <c r="Q178" s="757"/>
      <c r="R178" s="757"/>
      <c r="S178" s="749">
        <v>0</v>
      </c>
      <c r="T178" s="758" t="s">
        <v>681</v>
      </c>
      <c r="U178" s="740">
        <f t="shared" si="25"/>
        <v>17</v>
      </c>
    </row>
    <row r="179" spans="1:21" outlineLevel="2">
      <c r="A179" s="694">
        <f t="shared" si="16"/>
        <v>178</v>
      </c>
      <c r="B179" s="751" t="s">
        <v>678</v>
      </c>
      <c r="C179" s="752" t="s">
        <v>887</v>
      </c>
      <c r="D179" s="752">
        <v>5153</v>
      </c>
      <c r="E179" s="770" t="s">
        <v>729</v>
      </c>
      <c r="F179" s="743" t="s">
        <v>900</v>
      </c>
      <c r="G179" s="752">
        <v>2012</v>
      </c>
      <c r="H179" s="752">
        <v>2014</v>
      </c>
      <c r="I179" s="754">
        <v>7500</v>
      </c>
      <c r="J179" s="755">
        <v>2500</v>
      </c>
      <c r="K179" s="754"/>
      <c r="L179" s="755"/>
      <c r="M179" s="755">
        <v>200</v>
      </c>
      <c r="N179" s="755"/>
      <c r="O179" s="737"/>
      <c r="P179" s="757"/>
      <c r="Q179" s="757"/>
      <c r="R179" s="757"/>
      <c r="S179" s="749"/>
      <c r="T179" s="758" t="s">
        <v>681</v>
      </c>
    </row>
    <row r="180" spans="1:21" outlineLevel="2">
      <c r="A180" s="694">
        <f t="shared" si="16"/>
        <v>179</v>
      </c>
      <c r="B180" s="751" t="s">
        <v>678</v>
      </c>
      <c r="C180" s="752" t="s">
        <v>887</v>
      </c>
      <c r="D180" s="752">
        <v>5154</v>
      </c>
      <c r="E180" s="770" t="s">
        <v>729</v>
      </c>
      <c r="F180" s="743" t="s">
        <v>901</v>
      </c>
      <c r="G180" s="752">
        <v>2012</v>
      </c>
      <c r="H180" s="752">
        <v>2014</v>
      </c>
      <c r="I180" s="754">
        <v>7300</v>
      </c>
      <c r="J180" s="755">
        <v>2400</v>
      </c>
      <c r="K180" s="754"/>
      <c r="L180" s="755"/>
      <c r="M180" s="755">
        <v>200</v>
      </c>
      <c r="N180" s="755"/>
      <c r="O180" s="737"/>
      <c r="P180" s="757"/>
      <c r="Q180" s="757"/>
      <c r="R180" s="757"/>
      <c r="S180" s="749"/>
      <c r="T180" s="758" t="s">
        <v>681</v>
      </c>
    </row>
    <row r="181" spans="1:21" outlineLevel="2">
      <c r="A181" s="694">
        <f t="shared" si="16"/>
        <v>180</v>
      </c>
      <c r="B181" s="751" t="s">
        <v>678</v>
      </c>
      <c r="C181" s="752" t="s">
        <v>887</v>
      </c>
      <c r="D181" s="752">
        <v>5155</v>
      </c>
      <c r="E181" s="770" t="s">
        <v>729</v>
      </c>
      <c r="F181" s="743" t="s">
        <v>902</v>
      </c>
      <c r="G181" s="752">
        <v>2012</v>
      </c>
      <c r="H181" s="752">
        <v>2014</v>
      </c>
      <c r="I181" s="754">
        <v>7800</v>
      </c>
      <c r="J181" s="755">
        <v>2800</v>
      </c>
      <c r="K181" s="754"/>
      <c r="L181" s="755"/>
      <c r="M181" s="755">
        <v>200</v>
      </c>
      <c r="N181" s="755"/>
      <c r="O181" s="737"/>
      <c r="P181" s="757"/>
      <c r="Q181" s="757"/>
      <c r="R181" s="757"/>
      <c r="S181" s="749"/>
      <c r="T181" s="758" t="s">
        <v>681</v>
      </c>
    </row>
    <row r="182" spans="1:21" outlineLevel="2">
      <c r="A182" s="694">
        <f t="shared" si="16"/>
        <v>181</v>
      </c>
      <c r="B182" s="751" t="s">
        <v>678</v>
      </c>
      <c r="C182" s="752" t="s">
        <v>887</v>
      </c>
      <c r="D182" s="752">
        <v>5156</v>
      </c>
      <c r="E182" s="770" t="s">
        <v>729</v>
      </c>
      <c r="F182" s="743" t="s">
        <v>903</v>
      </c>
      <c r="G182" s="752">
        <v>2012</v>
      </c>
      <c r="H182" s="752">
        <v>2014</v>
      </c>
      <c r="I182" s="754">
        <v>8100</v>
      </c>
      <c r="J182" s="755">
        <v>2500</v>
      </c>
      <c r="K182" s="754"/>
      <c r="L182" s="755"/>
      <c r="M182" s="755">
        <v>200</v>
      </c>
      <c r="N182" s="755"/>
      <c r="O182" s="737"/>
      <c r="P182" s="757"/>
      <c r="Q182" s="757"/>
      <c r="R182" s="757"/>
      <c r="S182" s="749"/>
      <c r="T182" s="758" t="s">
        <v>681</v>
      </c>
    </row>
    <row r="183" spans="1:21" outlineLevel="1">
      <c r="A183" s="694">
        <f t="shared" si="16"/>
        <v>182</v>
      </c>
      <c r="B183" s="760"/>
      <c r="C183" s="761" t="s">
        <v>904</v>
      </c>
      <c r="D183" s="761"/>
      <c r="E183" s="771"/>
      <c r="F183" s="762"/>
      <c r="G183" s="762"/>
      <c r="H183" s="762"/>
      <c r="I183" s="763">
        <f t="shared" ref="I183:N183" si="26">SUBTOTAL(9,I168:I182)</f>
        <v>195209</v>
      </c>
      <c r="J183" s="763">
        <f t="shared" si="26"/>
        <v>62519</v>
      </c>
      <c r="K183" s="763">
        <f t="shared" si="26"/>
        <v>32458</v>
      </c>
      <c r="L183" s="763">
        <f t="shared" si="26"/>
        <v>74423</v>
      </c>
      <c r="M183" s="763">
        <f t="shared" si="26"/>
        <v>89802</v>
      </c>
      <c r="N183" s="763">
        <f t="shared" si="26"/>
        <v>57312</v>
      </c>
      <c r="O183" s="765">
        <f>IF(M183&lt;=0," ",N183/M183*100)</f>
        <v>63.820404890759676</v>
      </c>
      <c r="P183" s="764">
        <f>SUBTOTAL(9,P168:P182)</f>
        <v>0</v>
      </c>
      <c r="Q183" s="764">
        <f>SUBTOTAL(9,Q168:Q182)</f>
        <v>0</v>
      </c>
      <c r="R183" s="764">
        <f>SUBTOTAL(9,R168:R182)</f>
        <v>0</v>
      </c>
      <c r="S183" s="766"/>
      <c r="T183" s="767"/>
    </row>
    <row r="184" spans="1:21" outlineLevel="2">
      <c r="A184" s="694">
        <f t="shared" si="16"/>
        <v>183</v>
      </c>
      <c r="B184" s="759" t="s">
        <v>886</v>
      </c>
      <c r="C184" s="752" t="s">
        <v>905</v>
      </c>
      <c r="D184" s="735">
        <v>30078223</v>
      </c>
      <c r="E184" s="768" t="s">
        <v>729</v>
      </c>
      <c r="F184" s="743" t="s">
        <v>906</v>
      </c>
      <c r="G184" s="743"/>
      <c r="H184" s="743"/>
      <c r="I184" s="755"/>
      <c r="J184" s="755"/>
      <c r="K184" s="755"/>
      <c r="L184" s="755"/>
      <c r="M184" s="755">
        <v>52</v>
      </c>
      <c r="N184" s="755">
        <v>52</v>
      </c>
      <c r="O184" s="737">
        <f t="shared" si="17"/>
        <v>100</v>
      </c>
      <c r="P184" s="756"/>
      <c r="Q184" s="756"/>
      <c r="R184" s="756"/>
      <c r="S184" s="749"/>
      <c r="T184" s="748" t="s">
        <v>907</v>
      </c>
    </row>
    <row r="185" spans="1:21" outlineLevel="2">
      <c r="A185" s="694">
        <f t="shared" si="16"/>
        <v>184</v>
      </c>
      <c r="B185" s="779" t="s">
        <v>886</v>
      </c>
      <c r="C185" s="752" t="s">
        <v>905</v>
      </c>
      <c r="D185" s="752">
        <v>30078225</v>
      </c>
      <c r="E185" s="770" t="s">
        <v>729</v>
      </c>
      <c r="F185" s="743" t="s">
        <v>908</v>
      </c>
      <c r="G185" s="769"/>
      <c r="H185" s="769"/>
      <c r="I185" s="754"/>
      <c r="J185" s="755"/>
      <c r="K185" s="754"/>
      <c r="L185" s="755"/>
      <c r="M185" s="755">
        <v>130</v>
      </c>
      <c r="N185" s="756">
        <v>130</v>
      </c>
      <c r="O185" s="737">
        <f t="shared" si="17"/>
        <v>100</v>
      </c>
      <c r="P185" s="757"/>
      <c r="Q185" s="757"/>
      <c r="R185" s="757"/>
      <c r="S185" s="749">
        <v>0</v>
      </c>
      <c r="T185" s="758" t="s">
        <v>907</v>
      </c>
    </row>
    <row r="186" spans="1:21" outlineLevel="2">
      <c r="A186" s="782">
        <f t="shared" si="16"/>
        <v>185</v>
      </c>
      <c r="B186" s="775" t="s">
        <v>886</v>
      </c>
      <c r="C186" s="752" t="s">
        <v>905</v>
      </c>
      <c r="D186" s="735">
        <v>30078256</v>
      </c>
      <c r="E186" s="768" t="s">
        <v>729</v>
      </c>
      <c r="F186" s="743" t="s">
        <v>909</v>
      </c>
      <c r="G186" s="743"/>
      <c r="H186" s="743"/>
      <c r="I186" s="755"/>
      <c r="J186" s="755"/>
      <c r="K186" s="755"/>
      <c r="L186" s="755"/>
      <c r="M186" s="755">
        <v>850</v>
      </c>
      <c r="N186" s="755">
        <v>850</v>
      </c>
      <c r="O186" s="737">
        <f t="shared" si="17"/>
        <v>100</v>
      </c>
      <c r="P186" s="756"/>
      <c r="Q186" s="756"/>
      <c r="R186" s="756"/>
      <c r="S186" s="749"/>
      <c r="T186" s="748" t="s">
        <v>907</v>
      </c>
    </row>
    <row r="187" spans="1:21" outlineLevel="2">
      <c r="A187" s="782">
        <f t="shared" si="16"/>
        <v>186</v>
      </c>
      <c r="B187" s="783">
        <v>7400</v>
      </c>
      <c r="C187" s="752" t="s">
        <v>905</v>
      </c>
      <c r="D187" s="784">
        <v>30078299</v>
      </c>
      <c r="E187" s="785" t="s">
        <v>729</v>
      </c>
      <c r="F187" s="786" t="s">
        <v>910</v>
      </c>
      <c r="G187" s="786"/>
      <c r="H187" s="786"/>
      <c r="I187" s="786"/>
      <c r="J187" s="786"/>
      <c r="K187" s="786"/>
      <c r="L187" s="786"/>
      <c r="M187" s="786">
        <v>12</v>
      </c>
      <c r="N187" s="786">
        <v>12</v>
      </c>
      <c r="O187" s="737">
        <f t="shared" si="17"/>
        <v>100</v>
      </c>
      <c r="P187" s="786"/>
      <c r="Q187" s="786"/>
      <c r="R187" s="786"/>
      <c r="S187" s="786"/>
      <c r="T187" s="787" t="s">
        <v>907</v>
      </c>
    </row>
    <row r="188" spans="1:21" outlineLevel="2">
      <c r="A188" s="782">
        <f t="shared" si="16"/>
        <v>187</v>
      </c>
      <c r="B188" s="769" t="s">
        <v>911</v>
      </c>
      <c r="C188" s="752" t="s">
        <v>905</v>
      </c>
      <c r="D188" s="752">
        <v>5038</v>
      </c>
      <c r="E188" s="770" t="s">
        <v>729</v>
      </c>
      <c r="F188" s="753" t="s">
        <v>912</v>
      </c>
      <c r="G188" s="753" t="s">
        <v>689</v>
      </c>
      <c r="H188" s="753" t="s">
        <v>734</v>
      </c>
      <c r="I188" s="754">
        <v>184400</v>
      </c>
      <c r="J188" s="755">
        <v>97077</v>
      </c>
      <c r="K188" s="754">
        <f>2292+119526</f>
        <v>121818</v>
      </c>
      <c r="L188" s="755">
        <v>33000</v>
      </c>
      <c r="M188" s="755">
        <v>34631</v>
      </c>
      <c r="N188" s="788">
        <v>34576</v>
      </c>
      <c r="O188" s="737">
        <f t="shared" si="17"/>
        <v>99.841182755334813</v>
      </c>
      <c r="P188" s="789"/>
      <c r="Q188" s="789"/>
      <c r="R188" s="789"/>
      <c r="S188" s="746">
        <v>0</v>
      </c>
      <c r="T188" s="758" t="s">
        <v>913</v>
      </c>
      <c r="U188" s="740">
        <f t="shared" ref="U188:U198" si="27">K188+N188</f>
        <v>156394</v>
      </c>
    </row>
    <row r="189" spans="1:21" outlineLevel="2">
      <c r="A189" s="694">
        <f t="shared" si="16"/>
        <v>188</v>
      </c>
      <c r="B189" s="751" t="s">
        <v>678</v>
      </c>
      <c r="C189" s="752" t="s">
        <v>905</v>
      </c>
      <c r="D189" s="752">
        <v>5046</v>
      </c>
      <c r="E189" s="770" t="s">
        <v>729</v>
      </c>
      <c r="F189" s="753" t="s">
        <v>914</v>
      </c>
      <c r="G189" s="753" t="s">
        <v>689</v>
      </c>
      <c r="H189" s="752">
        <v>2012</v>
      </c>
      <c r="I189" s="754">
        <v>35500</v>
      </c>
      <c r="J189" s="755">
        <v>22673</v>
      </c>
      <c r="K189" s="754">
        <f>1589+12453</f>
        <v>14042</v>
      </c>
      <c r="L189" s="755">
        <v>21411</v>
      </c>
      <c r="M189" s="755">
        <v>21411</v>
      </c>
      <c r="N189" s="756">
        <v>20878</v>
      </c>
      <c r="O189" s="737">
        <f t="shared" si="17"/>
        <v>97.51062537947783</v>
      </c>
      <c r="P189" s="757"/>
      <c r="Q189" s="757"/>
      <c r="R189" s="757"/>
      <c r="S189" s="749">
        <v>0</v>
      </c>
      <c r="T189" s="758" t="s">
        <v>681</v>
      </c>
      <c r="U189" s="740">
        <f t="shared" si="27"/>
        <v>34920</v>
      </c>
    </row>
    <row r="190" spans="1:21" outlineLevel="2">
      <c r="A190" s="694">
        <f t="shared" si="16"/>
        <v>189</v>
      </c>
      <c r="B190" s="751" t="s">
        <v>678</v>
      </c>
      <c r="C190" s="752" t="s">
        <v>905</v>
      </c>
      <c r="D190" s="752">
        <v>5047</v>
      </c>
      <c r="E190" s="770" t="s">
        <v>729</v>
      </c>
      <c r="F190" s="753" t="s">
        <v>915</v>
      </c>
      <c r="G190" s="753" t="s">
        <v>689</v>
      </c>
      <c r="H190" s="752">
        <v>2013</v>
      </c>
      <c r="I190" s="754">
        <v>22300</v>
      </c>
      <c r="J190" s="755">
        <v>17432</v>
      </c>
      <c r="K190" s="754">
        <f>281+168</f>
        <v>449</v>
      </c>
      <c r="L190" s="755">
        <v>9800</v>
      </c>
      <c r="M190" s="755">
        <v>21600</v>
      </c>
      <c r="N190" s="756">
        <v>20015</v>
      </c>
      <c r="O190" s="737">
        <f t="shared" si="17"/>
        <v>92.662037037037038</v>
      </c>
      <c r="P190" s="757"/>
      <c r="Q190" s="757"/>
      <c r="R190" s="757"/>
      <c r="S190" s="749">
        <v>0</v>
      </c>
      <c r="T190" s="758" t="s">
        <v>681</v>
      </c>
      <c r="U190" s="740">
        <f t="shared" si="27"/>
        <v>20464</v>
      </c>
    </row>
    <row r="191" spans="1:21" outlineLevel="2">
      <c r="A191" s="694">
        <f t="shared" si="16"/>
        <v>190</v>
      </c>
      <c r="B191" s="751" t="s">
        <v>678</v>
      </c>
      <c r="C191" s="752" t="s">
        <v>905</v>
      </c>
      <c r="D191" s="752">
        <v>5083</v>
      </c>
      <c r="E191" s="770" t="s">
        <v>729</v>
      </c>
      <c r="F191" s="753" t="s">
        <v>916</v>
      </c>
      <c r="G191" s="753" t="s">
        <v>698</v>
      </c>
      <c r="H191" s="752">
        <v>2012</v>
      </c>
      <c r="I191" s="754">
        <v>50150</v>
      </c>
      <c r="J191" s="755">
        <v>38072</v>
      </c>
      <c r="K191" s="754">
        <f>1942+47296</f>
        <v>49238</v>
      </c>
      <c r="L191" s="755">
        <v>0</v>
      </c>
      <c r="M191" s="755">
        <v>10</v>
      </c>
      <c r="N191" s="756">
        <v>9</v>
      </c>
      <c r="O191" s="737">
        <f t="shared" si="17"/>
        <v>90</v>
      </c>
      <c r="P191" s="757"/>
      <c r="Q191" s="757"/>
      <c r="R191" s="757"/>
      <c r="S191" s="749">
        <v>0</v>
      </c>
      <c r="T191" s="758" t="s">
        <v>681</v>
      </c>
      <c r="U191" s="740">
        <f t="shared" si="27"/>
        <v>49247</v>
      </c>
    </row>
    <row r="192" spans="1:21" outlineLevel="2">
      <c r="A192" s="694">
        <f t="shared" si="16"/>
        <v>191</v>
      </c>
      <c r="B192" s="751" t="s">
        <v>678</v>
      </c>
      <c r="C192" s="752" t="s">
        <v>905</v>
      </c>
      <c r="D192" s="752">
        <v>5097</v>
      </c>
      <c r="E192" s="770" t="s">
        <v>729</v>
      </c>
      <c r="F192" s="753" t="s">
        <v>917</v>
      </c>
      <c r="G192" s="753" t="s">
        <v>698</v>
      </c>
      <c r="H192" s="752">
        <v>2013</v>
      </c>
      <c r="I192" s="754">
        <v>14259</v>
      </c>
      <c r="J192" s="755">
        <v>11100</v>
      </c>
      <c r="K192" s="754">
        <v>94</v>
      </c>
      <c r="L192" s="755">
        <v>1000</v>
      </c>
      <c r="M192" s="755">
        <v>1000</v>
      </c>
      <c r="N192" s="756">
        <v>421</v>
      </c>
      <c r="O192" s="737">
        <f t="shared" si="17"/>
        <v>42.1</v>
      </c>
      <c r="P192" s="757"/>
      <c r="Q192" s="757"/>
      <c r="R192" s="757"/>
      <c r="S192" s="749">
        <v>0</v>
      </c>
      <c r="T192" s="758" t="s">
        <v>681</v>
      </c>
      <c r="U192" s="740">
        <f t="shared" si="27"/>
        <v>515</v>
      </c>
    </row>
    <row r="193" spans="1:21" outlineLevel="2">
      <c r="A193" s="694">
        <f t="shared" si="16"/>
        <v>192</v>
      </c>
      <c r="B193" s="751" t="s">
        <v>678</v>
      </c>
      <c r="C193" s="752" t="s">
        <v>905</v>
      </c>
      <c r="D193" s="752">
        <v>5113</v>
      </c>
      <c r="E193" s="770" t="s">
        <v>729</v>
      </c>
      <c r="F193" s="753" t="s">
        <v>918</v>
      </c>
      <c r="G193" s="753" t="s">
        <v>698</v>
      </c>
      <c r="H193" s="752">
        <v>2012</v>
      </c>
      <c r="I193" s="754">
        <v>98000</v>
      </c>
      <c r="J193" s="755">
        <v>38838</v>
      </c>
      <c r="K193" s="754">
        <f>68156</f>
        <v>68156</v>
      </c>
      <c r="L193" s="755">
        <v>16000</v>
      </c>
      <c r="M193" s="755">
        <v>28200</v>
      </c>
      <c r="N193" s="756">
        <v>26334</v>
      </c>
      <c r="O193" s="737">
        <f t="shared" si="17"/>
        <v>93.38297872340425</v>
      </c>
      <c r="P193" s="757"/>
      <c r="Q193" s="757"/>
      <c r="R193" s="757"/>
      <c r="S193" s="749">
        <v>0</v>
      </c>
      <c r="T193" s="758" t="s">
        <v>681</v>
      </c>
      <c r="U193" s="740">
        <f t="shared" si="27"/>
        <v>94490</v>
      </c>
    </row>
    <row r="194" spans="1:21" outlineLevel="2">
      <c r="A194" s="694">
        <f t="shared" si="16"/>
        <v>193</v>
      </c>
      <c r="B194" s="751" t="s">
        <v>678</v>
      </c>
      <c r="C194" s="752" t="s">
        <v>905</v>
      </c>
      <c r="D194" s="752">
        <v>5114</v>
      </c>
      <c r="E194" s="770" t="s">
        <v>729</v>
      </c>
      <c r="F194" s="753" t="s">
        <v>919</v>
      </c>
      <c r="G194" s="753" t="s">
        <v>698</v>
      </c>
      <c r="H194" s="752">
        <v>2012</v>
      </c>
      <c r="I194" s="754">
        <v>45000</v>
      </c>
      <c r="J194" s="755">
        <v>24000</v>
      </c>
      <c r="K194" s="754">
        <f>41320</f>
        <v>41320</v>
      </c>
      <c r="L194" s="755">
        <v>0</v>
      </c>
      <c r="M194" s="755">
        <v>700</v>
      </c>
      <c r="N194" s="756">
        <v>696</v>
      </c>
      <c r="O194" s="737">
        <f t="shared" si="17"/>
        <v>99.428571428571431</v>
      </c>
      <c r="P194" s="757"/>
      <c r="Q194" s="757"/>
      <c r="R194" s="757"/>
      <c r="S194" s="749">
        <v>0</v>
      </c>
      <c r="T194" s="758" t="s">
        <v>681</v>
      </c>
      <c r="U194" s="740">
        <f t="shared" si="27"/>
        <v>42016</v>
      </c>
    </row>
    <row r="195" spans="1:21" outlineLevel="2">
      <c r="A195" s="694">
        <f t="shared" si="16"/>
        <v>194</v>
      </c>
      <c r="B195" s="751" t="s">
        <v>678</v>
      </c>
      <c r="C195" s="752" t="s">
        <v>905</v>
      </c>
      <c r="D195" s="752">
        <v>5115</v>
      </c>
      <c r="E195" s="770" t="s">
        <v>729</v>
      </c>
      <c r="F195" s="753" t="s">
        <v>920</v>
      </c>
      <c r="G195" s="753" t="s">
        <v>698</v>
      </c>
      <c r="H195" s="752">
        <v>2012</v>
      </c>
      <c r="I195" s="754">
        <v>74300</v>
      </c>
      <c r="J195" s="755">
        <v>26650</v>
      </c>
      <c r="K195" s="754">
        <f>69787</f>
        <v>69787</v>
      </c>
      <c r="L195" s="755">
        <v>0</v>
      </c>
      <c r="M195" s="755">
        <v>993</v>
      </c>
      <c r="N195" s="756">
        <v>991</v>
      </c>
      <c r="O195" s="737">
        <f t="shared" si="17"/>
        <v>99.798590130916423</v>
      </c>
      <c r="P195" s="757"/>
      <c r="Q195" s="757"/>
      <c r="R195" s="757"/>
      <c r="S195" s="749">
        <v>0</v>
      </c>
      <c r="T195" s="758" t="s">
        <v>681</v>
      </c>
      <c r="U195" s="740">
        <f t="shared" si="27"/>
        <v>70778</v>
      </c>
    </row>
    <row r="196" spans="1:21" outlineLevel="2">
      <c r="A196" s="694">
        <f t="shared" ref="A196:A259" si="28">A195+1</f>
        <v>195</v>
      </c>
      <c r="B196" s="751" t="s">
        <v>678</v>
      </c>
      <c r="C196" s="752" t="s">
        <v>905</v>
      </c>
      <c r="D196" s="752">
        <v>5123</v>
      </c>
      <c r="E196" s="770" t="s">
        <v>729</v>
      </c>
      <c r="F196" s="753" t="s">
        <v>921</v>
      </c>
      <c r="G196" s="753" t="s">
        <v>698</v>
      </c>
      <c r="H196" s="752">
        <v>2014</v>
      </c>
      <c r="I196" s="754">
        <v>7000</v>
      </c>
      <c r="J196" s="755"/>
      <c r="K196" s="754">
        <f>120</f>
        <v>120</v>
      </c>
      <c r="L196" s="755">
        <v>200</v>
      </c>
      <c r="M196" s="755">
        <v>200</v>
      </c>
      <c r="N196" s="756"/>
      <c r="O196" s="737">
        <f t="shared" si="17"/>
        <v>0</v>
      </c>
      <c r="P196" s="757"/>
      <c r="Q196" s="757"/>
      <c r="R196" s="757"/>
      <c r="S196" s="749">
        <v>0</v>
      </c>
      <c r="T196" s="758" t="s">
        <v>681</v>
      </c>
      <c r="U196" s="740">
        <f t="shared" si="27"/>
        <v>120</v>
      </c>
    </row>
    <row r="197" spans="1:21" outlineLevel="2">
      <c r="A197" s="694">
        <f t="shared" si="28"/>
        <v>196</v>
      </c>
      <c r="B197" s="751" t="s">
        <v>678</v>
      </c>
      <c r="C197" s="752" t="s">
        <v>905</v>
      </c>
      <c r="D197" s="752">
        <v>5124</v>
      </c>
      <c r="E197" s="770" t="s">
        <v>729</v>
      </c>
      <c r="F197" s="753" t="s">
        <v>922</v>
      </c>
      <c r="G197" s="753" t="s">
        <v>698</v>
      </c>
      <c r="H197" s="752">
        <v>2014</v>
      </c>
      <c r="I197" s="754">
        <v>10620</v>
      </c>
      <c r="J197" s="755"/>
      <c r="K197" s="754">
        <f>84</f>
        <v>84</v>
      </c>
      <c r="L197" s="755">
        <v>336</v>
      </c>
      <c r="M197" s="755">
        <v>407</v>
      </c>
      <c r="N197" s="756">
        <v>192</v>
      </c>
      <c r="O197" s="737">
        <f t="shared" si="17"/>
        <v>47.174447174447174</v>
      </c>
      <c r="P197" s="757"/>
      <c r="Q197" s="757"/>
      <c r="R197" s="757"/>
      <c r="S197" s="749">
        <v>0</v>
      </c>
      <c r="T197" s="758" t="s">
        <v>681</v>
      </c>
      <c r="U197" s="740">
        <f t="shared" si="27"/>
        <v>276</v>
      </c>
    </row>
    <row r="198" spans="1:21" outlineLevel="2">
      <c r="A198" s="694">
        <f t="shared" si="28"/>
        <v>197</v>
      </c>
      <c r="B198" s="751" t="s">
        <v>678</v>
      </c>
      <c r="C198" s="752" t="s">
        <v>905</v>
      </c>
      <c r="D198" s="752">
        <v>5125</v>
      </c>
      <c r="E198" s="770" t="s">
        <v>729</v>
      </c>
      <c r="F198" s="753" t="s">
        <v>923</v>
      </c>
      <c r="G198" s="753" t="s">
        <v>698</v>
      </c>
      <c r="H198" s="752">
        <v>2014</v>
      </c>
      <c r="I198" s="754">
        <v>17000</v>
      </c>
      <c r="J198" s="755"/>
      <c r="K198" s="754">
        <v>0</v>
      </c>
      <c r="L198" s="755">
        <v>0</v>
      </c>
      <c r="M198" s="755">
        <v>300</v>
      </c>
      <c r="N198" s="756">
        <v>192</v>
      </c>
      <c r="O198" s="737">
        <f t="shared" si="17"/>
        <v>64</v>
      </c>
      <c r="P198" s="757"/>
      <c r="Q198" s="757"/>
      <c r="R198" s="757"/>
      <c r="S198" s="749">
        <v>0</v>
      </c>
      <c r="T198" s="758" t="s">
        <v>681</v>
      </c>
      <c r="U198" s="740">
        <f t="shared" si="27"/>
        <v>192</v>
      </c>
    </row>
    <row r="199" spans="1:21" outlineLevel="2">
      <c r="A199" s="694">
        <f t="shared" si="28"/>
        <v>198</v>
      </c>
      <c r="B199" s="751" t="s">
        <v>678</v>
      </c>
      <c r="C199" s="752" t="s">
        <v>905</v>
      </c>
      <c r="D199" s="752">
        <v>5126</v>
      </c>
      <c r="E199" s="770" t="s">
        <v>729</v>
      </c>
      <c r="F199" s="753" t="s">
        <v>924</v>
      </c>
      <c r="G199" s="753" t="s">
        <v>698</v>
      </c>
      <c r="H199" s="752">
        <v>2014</v>
      </c>
      <c r="I199" s="754">
        <v>15689</v>
      </c>
      <c r="J199" s="755"/>
      <c r="K199" s="754">
        <f>119</f>
        <v>119</v>
      </c>
      <c r="L199" s="755">
        <v>0</v>
      </c>
      <c r="M199" s="755">
        <v>260</v>
      </c>
      <c r="N199" s="756">
        <v>204</v>
      </c>
      <c r="O199" s="737">
        <f t="shared" si="17"/>
        <v>78.461538461538467</v>
      </c>
      <c r="P199" s="757"/>
      <c r="Q199" s="757"/>
      <c r="R199" s="757"/>
      <c r="S199" s="749">
        <v>14969</v>
      </c>
      <c r="T199" s="758" t="s">
        <v>681</v>
      </c>
    </row>
    <row r="200" spans="1:21" outlineLevel="2">
      <c r="A200" s="694">
        <f t="shared" si="28"/>
        <v>199</v>
      </c>
      <c r="B200" s="751" t="s">
        <v>678</v>
      </c>
      <c r="C200" s="752" t="s">
        <v>905</v>
      </c>
      <c r="D200" s="752">
        <v>5127</v>
      </c>
      <c r="E200" s="770" t="s">
        <v>729</v>
      </c>
      <c r="F200" s="753" t="s">
        <v>925</v>
      </c>
      <c r="G200" s="753" t="s">
        <v>698</v>
      </c>
      <c r="H200" s="753" t="s">
        <v>742</v>
      </c>
      <c r="I200" s="754">
        <v>11700</v>
      </c>
      <c r="J200" s="755">
        <v>7161</v>
      </c>
      <c r="K200" s="754">
        <f>43</f>
        <v>43</v>
      </c>
      <c r="L200" s="755">
        <v>0</v>
      </c>
      <c r="M200" s="755">
        <v>340</v>
      </c>
      <c r="N200" s="756">
        <v>36</v>
      </c>
      <c r="O200" s="737">
        <f t="shared" si="17"/>
        <v>10.588235294117647</v>
      </c>
      <c r="P200" s="757"/>
      <c r="Q200" s="757"/>
      <c r="R200" s="757"/>
      <c r="S200" s="749">
        <v>11140</v>
      </c>
      <c r="T200" s="758" t="s">
        <v>681</v>
      </c>
    </row>
    <row r="201" spans="1:21" outlineLevel="2">
      <c r="A201" s="694">
        <f t="shared" si="28"/>
        <v>200</v>
      </c>
      <c r="B201" s="751" t="s">
        <v>678</v>
      </c>
      <c r="C201" s="752" t="s">
        <v>905</v>
      </c>
      <c r="D201" s="752">
        <v>5130</v>
      </c>
      <c r="E201" s="770" t="s">
        <v>729</v>
      </c>
      <c r="F201" s="753" t="s">
        <v>926</v>
      </c>
      <c r="G201" s="753" t="s">
        <v>698</v>
      </c>
      <c r="H201" s="752">
        <v>2014</v>
      </c>
      <c r="I201" s="754">
        <v>30000</v>
      </c>
      <c r="J201" s="755">
        <v>5760</v>
      </c>
      <c r="K201" s="754">
        <f>120</f>
        <v>120</v>
      </c>
      <c r="L201" s="755">
        <v>0</v>
      </c>
      <c r="M201" s="755">
        <v>550</v>
      </c>
      <c r="N201" s="756">
        <v>230</v>
      </c>
      <c r="O201" s="737">
        <f t="shared" si="17"/>
        <v>41.818181818181813</v>
      </c>
      <c r="P201" s="757"/>
      <c r="Q201" s="757"/>
      <c r="R201" s="757"/>
      <c r="S201" s="749">
        <v>0</v>
      </c>
      <c r="T201" s="758" t="s">
        <v>681</v>
      </c>
      <c r="U201" s="740">
        <f t="shared" ref="U201:U204" si="29">K201+N201</f>
        <v>350</v>
      </c>
    </row>
    <row r="202" spans="1:21" outlineLevel="2">
      <c r="A202" s="694">
        <f t="shared" si="28"/>
        <v>201</v>
      </c>
      <c r="B202" s="751" t="s">
        <v>678</v>
      </c>
      <c r="C202" s="752" t="s">
        <v>905</v>
      </c>
      <c r="D202" s="752">
        <v>5133</v>
      </c>
      <c r="E202" s="770" t="s">
        <v>729</v>
      </c>
      <c r="F202" s="753" t="s">
        <v>927</v>
      </c>
      <c r="G202" s="753" t="s">
        <v>698</v>
      </c>
      <c r="H202" s="752">
        <v>2014</v>
      </c>
      <c r="I202" s="754">
        <v>16800</v>
      </c>
      <c r="J202" s="755">
        <v>10491</v>
      </c>
      <c r="K202" s="754">
        <f>198</f>
        <v>198</v>
      </c>
      <c r="L202" s="755">
        <v>0</v>
      </c>
      <c r="M202" s="755">
        <v>34</v>
      </c>
      <c r="N202" s="756">
        <v>34</v>
      </c>
      <c r="O202" s="737">
        <f t="shared" si="17"/>
        <v>100</v>
      </c>
      <c r="P202" s="757"/>
      <c r="Q202" s="757"/>
      <c r="R202" s="757"/>
      <c r="S202" s="749">
        <v>0</v>
      </c>
      <c r="T202" s="758" t="s">
        <v>681</v>
      </c>
      <c r="U202" s="740">
        <f t="shared" si="29"/>
        <v>232</v>
      </c>
    </row>
    <row r="203" spans="1:21" outlineLevel="2">
      <c r="A203" s="694">
        <f t="shared" si="28"/>
        <v>202</v>
      </c>
      <c r="B203" s="751" t="s">
        <v>678</v>
      </c>
      <c r="C203" s="752" t="s">
        <v>905</v>
      </c>
      <c r="D203" s="752">
        <v>5134</v>
      </c>
      <c r="E203" s="770" t="s">
        <v>729</v>
      </c>
      <c r="F203" s="753" t="s">
        <v>928</v>
      </c>
      <c r="G203" s="753" t="s">
        <v>698</v>
      </c>
      <c r="H203" s="752">
        <v>2013</v>
      </c>
      <c r="I203" s="754">
        <v>14120</v>
      </c>
      <c r="J203" s="755">
        <v>10000</v>
      </c>
      <c r="K203" s="754">
        <f>208</f>
        <v>208</v>
      </c>
      <c r="L203" s="755">
        <v>0</v>
      </c>
      <c r="M203" s="755">
        <v>100</v>
      </c>
      <c r="N203" s="756"/>
      <c r="O203" s="737">
        <f t="shared" si="17"/>
        <v>0</v>
      </c>
      <c r="P203" s="757"/>
      <c r="Q203" s="757"/>
      <c r="R203" s="757"/>
      <c r="S203" s="749">
        <v>0</v>
      </c>
      <c r="T203" s="758" t="s">
        <v>681</v>
      </c>
      <c r="U203" s="740">
        <f t="shared" si="29"/>
        <v>208</v>
      </c>
    </row>
    <row r="204" spans="1:21" outlineLevel="2">
      <c r="A204" s="694">
        <f t="shared" si="28"/>
        <v>203</v>
      </c>
      <c r="B204" s="751" t="s">
        <v>678</v>
      </c>
      <c r="C204" s="752" t="s">
        <v>905</v>
      </c>
      <c r="D204" s="752">
        <v>5136</v>
      </c>
      <c r="E204" s="770" t="s">
        <v>729</v>
      </c>
      <c r="F204" s="753" t="s">
        <v>929</v>
      </c>
      <c r="G204" s="753" t="s">
        <v>698</v>
      </c>
      <c r="H204" s="752">
        <v>2013</v>
      </c>
      <c r="I204" s="754">
        <v>6850</v>
      </c>
      <c r="J204" s="755">
        <v>6086</v>
      </c>
      <c r="K204" s="754">
        <v>0</v>
      </c>
      <c r="L204" s="755">
        <v>5000</v>
      </c>
      <c r="M204" s="755">
        <v>1000</v>
      </c>
      <c r="N204" s="756">
        <v>1</v>
      </c>
      <c r="O204" s="737">
        <f t="shared" si="17"/>
        <v>0.1</v>
      </c>
      <c r="P204" s="757"/>
      <c r="Q204" s="757"/>
      <c r="R204" s="757"/>
      <c r="S204" s="749">
        <v>0</v>
      </c>
      <c r="T204" s="758" t="s">
        <v>681</v>
      </c>
      <c r="U204" s="740">
        <f t="shared" si="29"/>
        <v>1</v>
      </c>
    </row>
    <row r="205" spans="1:21" s="708" customFormat="1" outlineLevel="2">
      <c r="A205" s="694">
        <f t="shared" si="28"/>
        <v>204</v>
      </c>
      <c r="B205" s="759" t="s">
        <v>678</v>
      </c>
      <c r="C205" s="752" t="s">
        <v>905</v>
      </c>
      <c r="D205" s="735">
        <v>5142</v>
      </c>
      <c r="E205" s="768" t="s">
        <v>729</v>
      </c>
      <c r="F205" s="743" t="s">
        <v>930</v>
      </c>
      <c r="G205" s="735">
        <v>2011</v>
      </c>
      <c r="H205" s="743" t="s">
        <v>742</v>
      </c>
      <c r="I205" s="755">
        <v>24100</v>
      </c>
      <c r="J205" s="755">
        <v>9400</v>
      </c>
      <c r="K205" s="755"/>
      <c r="L205" s="755">
        <v>1500</v>
      </c>
      <c r="M205" s="755">
        <v>500</v>
      </c>
      <c r="N205" s="756">
        <v>252</v>
      </c>
      <c r="O205" s="737">
        <f>IF(M205&lt;=0," ",N205/M205*100)</f>
        <v>50.4</v>
      </c>
      <c r="P205" s="757"/>
      <c r="Q205" s="757"/>
      <c r="R205" s="757"/>
      <c r="S205" s="749">
        <v>0</v>
      </c>
      <c r="T205" s="748" t="s">
        <v>681</v>
      </c>
    </row>
    <row r="206" spans="1:21" outlineLevel="2">
      <c r="A206" s="694">
        <f t="shared" si="28"/>
        <v>205</v>
      </c>
      <c r="B206" s="751" t="s">
        <v>678</v>
      </c>
      <c r="C206" s="752" t="s">
        <v>905</v>
      </c>
      <c r="D206" s="752">
        <v>5146</v>
      </c>
      <c r="E206" s="770" t="s">
        <v>729</v>
      </c>
      <c r="F206" s="753" t="s">
        <v>931</v>
      </c>
      <c r="G206" s="735">
        <v>2012</v>
      </c>
      <c r="H206" s="752">
        <v>2014</v>
      </c>
      <c r="I206" s="754">
        <v>45600</v>
      </c>
      <c r="J206" s="755">
        <v>10300</v>
      </c>
      <c r="K206" s="754"/>
      <c r="L206" s="755"/>
      <c r="M206" s="755">
        <v>500</v>
      </c>
      <c r="N206" s="756"/>
      <c r="O206" s="737">
        <f t="shared" si="17"/>
        <v>0</v>
      </c>
      <c r="P206" s="757"/>
      <c r="Q206" s="757"/>
      <c r="R206" s="757"/>
      <c r="S206" s="749"/>
      <c r="T206" s="758" t="s">
        <v>681</v>
      </c>
    </row>
    <row r="207" spans="1:21" outlineLevel="2">
      <c r="A207" s="694">
        <f t="shared" si="28"/>
        <v>206</v>
      </c>
      <c r="B207" s="751" t="s">
        <v>678</v>
      </c>
      <c r="C207" s="752" t="s">
        <v>905</v>
      </c>
      <c r="D207" s="752">
        <v>5147</v>
      </c>
      <c r="E207" s="770" t="s">
        <v>729</v>
      </c>
      <c r="F207" s="753" t="s">
        <v>932</v>
      </c>
      <c r="G207" s="735">
        <v>2012</v>
      </c>
      <c r="H207" s="752">
        <v>2014</v>
      </c>
      <c r="I207" s="754">
        <v>26100</v>
      </c>
      <c r="J207" s="755">
        <v>9000</v>
      </c>
      <c r="K207" s="754"/>
      <c r="L207" s="755"/>
      <c r="M207" s="755">
        <v>500</v>
      </c>
      <c r="N207" s="756">
        <v>1</v>
      </c>
      <c r="O207" s="737">
        <f t="shared" si="17"/>
        <v>0.2</v>
      </c>
      <c r="P207" s="757"/>
      <c r="Q207" s="757"/>
      <c r="R207" s="757"/>
      <c r="S207" s="749"/>
      <c r="T207" s="758" t="s">
        <v>681</v>
      </c>
    </row>
    <row r="208" spans="1:21" outlineLevel="2">
      <c r="A208" s="694">
        <f t="shared" si="28"/>
        <v>207</v>
      </c>
      <c r="B208" s="751" t="s">
        <v>678</v>
      </c>
      <c r="C208" s="752" t="s">
        <v>905</v>
      </c>
      <c r="D208" s="752">
        <v>5150</v>
      </c>
      <c r="E208" s="770" t="s">
        <v>729</v>
      </c>
      <c r="F208" s="743" t="s">
        <v>933</v>
      </c>
      <c r="G208" s="735">
        <v>2012</v>
      </c>
      <c r="H208" s="752">
        <v>2014</v>
      </c>
      <c r="I208" s="754">
        <v>48300</v>
      </c>
      <c r="J208" s="755">
        <v>15800</v>
      </c>
      <c r="K208" s="754"/>
      <c r="L208" s="755"/>
      <c r="M208" s="755">
        <v>200</v>
      </c>
      <c r="N208" s="756"/>
      <c r="O208" s="737"/>
      <c r="P208" s="757"/>
      <c r="Q208" s="757"/>
      <c r="R208" s="757"/>
      <c r="S208" s="749"/>
      <c r="T208" s="758" t="s">
        <v>681</v>
      </c>
    </row>
    <row r="209" spans="1:21" outlineLevel="2">
      <c r="A209" s="694">
        <f t="shared" si="28"/>
        <v>208</v>
      </c>
      <c r="B209" s="751" t="s">
        <v>678</v>
      </c>
      <c r="C209" s="752" t="s">
        <v>905</v>
      </c>
      <c r="D209" s="752">
        <v>5151</v>
      </c>
      <c r="E209" s="770" t="s">
        <v>729</v>
      </c>
      <c r="F209" s="743" t="s">
        <v>934</v>
      </c>
      <c r="G209" s="735">
        <v>2012</v>
      </c>
      <c r="H209" s="752">
        <v>2014</v>
      </c>
      <c r="I209" s="754">
        <v>11600</v>
      </c>
      <c r="J209" s="755">
        <v>4700</v>
      </c>
      <c r="K209" s="754"/>
      <c r="L209" s="755"/>
      <c r="M209" s="755">
        <v>200</v>
      </c>
      <c r="N209" s="756"/>
      <c r="O209" s="737"/>
      <c r="P209" s="757"/>
      <c r="Q209" s="757"/>
      <c r="R209" s="757"/>
      <c r="S209" s="749"/>
      <c r="T209" s="758" t="s">
        <v>681</v>
      </c>
    </row>
    <row r="210" spans="1:21" outlineLevel="2">
      <c r="A210" s="694">
        <f t="shared" si="28"/>
        <v>209</v>
      </c>
      <c r="B210" s="751" t="s">
        <v>678</v>
      </c>
      <c r="C210" s="752" t="s">
        <v>905</v>
      </c>
      <c r="D210" s="752">
        <v>5152</v>
      </c>
      <c r="E210" s="770" t="s">
        <v>729</v>
      </c>
      <c r="F210" s="743" t="s">
        <v>935</v>
      </c>
      <c r="G210" s="735">
        <v>2012</v>
      </c>
      <c r="H210" s="752">
        <v>2014</v>
      </c>
      <c r="I210" s="754">
        <v>16100</v>
      </c>
      <c r="J210" s="755">
        <v>4200</v>
      </c>
      <c r="K210" s="754"/>
      <c r="L210" s="755"/>
      <c r="M210" s="755">
        <v>200</v>
      </c>
      <c r="N210" s="756"/>
      <c r="O210" s="737"/>
      <c r="P210" s="757"/>
      <c r="Q210" s="757"/>
      <c r="R210" s="757"/>
      <c r="S210" s="749"/>
      <c r="T210" s="758" t="s">
        <v>681</v>
      </c>
    </row>
    <row r="211" spans="1:21" outlineLevel="1">
      <c r="A211" s="694">
        <f t="shared" si="28"/>
        <v>210</v>
      </c>
      <c r="B211" s="760"/>
      <c r="C211" s="761" t="s">
        <v>936</v>
      </c>
      <c r="D211" s="761"/>
      <c r="E211" s="771"/>
      <c r="F211" s="762"/>
      <c r="G211" s="761"/>
      <c r="H211" s="761"/>
      <c r="I211" s="763">
        <f t="shared" ref="I211:N211" si="30">SUBTOTAL(9,I184:I210)</f>
        <v>825488</v>
      </c>
      <c r="J211" s="763">
        <f t="shared" si="30"/>
        <v>368740</v>
      </c>
      <c r="K211" s="763">
        <f t="shared" si="30"/>
        <v>365796</v>
      </c>
      <c r="L211" s="763">
        <f t="shared" si="30"/>
        <v>88247</v>
      </c>
      <c r="M211" s="763">
        <f t="shared" si="30"/>
        <v>114880</v>
      </c>
      <c r="N211" s="764">
        <f t="shared" si="30"/>
        <v>106106</v>
      </c>
      <c r="O211" s="765">
        <f>IF(M211&lt;=0," ",N211/M211*100)</f>
        <v>92.362465181058496</v>
      </c>
      <c r="P211" s="764">
        <f>SUBTOTAL(9,P184:P210)</f>
        <v>0</v>
      </c>
      <c r="Q211" s="764">
        <f>SUBTOTAL(9,Q184:Q210)</f>
        <v>0</v>
      </c>
      <c r="R211" s="764">
        <f>SUBTOTAL(9,R184:R210)</f>
        <v>0</v>
      </c>
      <c r="S211" s="766"/>
      <c r="T211" s="767"/>
    </row>
    <row r="212" spans="1:21" outlineLevel="2">
      <c r="A212" s="694">
        <f t="shared" si="28"/>
        <v>211</v>
      </c>
      <c r="B212" s="751" t="s">
        <v>886</v>
      </c>
      <c r="C212" s="752" t="s">
        <v>937</v>
      </c>
      <c r="D212" s="752">
        <v>3192</v>
      </c>
      <c r="E212" s="753"/>
      <c r="F212" s="753" t="s">
        <v>938</v>
      </c>
      <c r="G212" s="753"/>
      <c r="H212" s="753"/>
      <c r="I212" s="754"/>
      <c r="J212" s="754"/>
      <c r="K212" s="754">
        <v>0</v>
      </c>
      <c r="L212" s="755">
        <v>0</v>
      </c>
      <c r="M212" s="755">
        <v>0</v>
      </c>
      <c r="N212" s="756"/>
      <c r="O212" s="737" t="str">
        <f t="shared" si="17"/>
        <v xml:space="preserve"> </v>
      </c>
      <c r="P212" s="757"/>
      <c r="Q212" s="757"/>
      <c r="R212" s="757"/>
      <c r="S212" s="749">
        <v>0</v>
      </c>
      <c r="T212" s="758" t="s">
        <v>889</v>
      </c>
    </row>
    <row r="213" spans="1:21" outlineLevel="1">
      <c r="A213" s="694">
        <f t="shared" si="28"/>
        <v>212</v>
      </c>
      <c r="B213" s="760"/>
      <c r="C213" s="761" t="s">
        <v>939</v>
      </c>
      <c r="D213" s="761"/>
      <c r="E213" s="762"/>
      <c r="F213" s="762"/>
      <c r="G213" s="762"/>
      <c r="H213" s="762"/>
      <c r="I213" s="763">
        <f t="shared" ref="I213:N213" si="31">SUBTOTAL(9,I212:I212)</f>
        <v>0</v>
      </c>
      <c r="J213" s="763">
        <f t="shared" si="31"/>
        <v>0</v>
      </c>
      <c r="K213" s="763">
        <f t="shared" si="31"/>
        <v>0</v>
      </c>
      <c r="L213" s="763">
        <f t="shared" si="31"/>
        <v>0</v>
      </c>
      <c r="M213" s="763">
        <f t="shared" si="31"/>
        <v>0</v>
      </c>
      <c r="N213" s="764">
        <f t="shared" si="31"/>
        <v>0</v>
      </c>
      <c r="O213" s="765" t="str">
        <f t="shared" ref="O213:O277" si="32">IF(M213&lt;=0," ",N213/M213*100)</f>
        <v xml:space="preserve"> </v>
      </c>
      <c r="P213" s="764">
        <f>SUBTOTAL(9,P212:P212)</f>
        <v>0</v>
      </c>
      <c r="Q213" s="764">
        <f>SUBTOTAL(9,Q212:Q212)</f>
        <v>0</v>
      </c>
      <c r="R213" s="764">
        <f>SUBTOTAL(9,R212:R212)</f>
        <v>0</v>
      </c>
      <c r="S213" s="766"/>
      <c r="T213" s="767"/>
    </row>
    <row r="214" spans="1:21" outlineLevel="2">
      <c r="A214" s="694">
        <f t="shared" si="28"/>
        <v>213</v>
      </c>
      <c r="B214" s="779">
        <v>5600</v>
      </c>
      <c r="C214" s="752" t="s">
        <v>940</v>
      </c>
      <c r="D214" s="752">
        <v>2948</v>
      </c>
      <c r="E214" s="753"/>
      <c r="F214" s="753" t="s">
        <v>941</v>
      </c>
      <c r="G214" s="752">
        <v>2011</v>
      </c>
      <c r="H214" s="752">
        <v>2013</v>
      </c>
      <c r="I214" s="754">
        <v>2200</v>
      </c>
      <c r="J214" s="754"/>
      <c r="K214" s="754">
        <v>0</v>
      </c>
      <c r="L214" s="755">
        <v>200</v>
      </c>
      <c r="M214" s="755">
        <v>474</v>
      </c>
      <c r="N214" s="756">
        <v>474</v>
      </c>
      <c r="O214" s="737">
        <f t="shared" si="32"/>
        <v>100</v>
      </c>
      <c r="P214" s="757"/>
      <c r="Q214" s="757"/>
      <c r="R214" s="757"/>
      <c r="S214" s="749"/>
      <c r="T214" s="790" t="s">
        <v>681</v>
      </c>
    </row>
    <row r="215" spans="1:21" outlineLevel="2">
      <c r="A215" s="694">
        <f t="shared" si="28"/>
        <v>214</v>
      </c>
      <c r="B215" s="751" t="s">
        <v>942</v>
      </c>
      <c r="C215" s="752" t="s">
        <v>940</v>
      </c>
      <c r="D215" s="752">
        <v>30069121</v>
      </c>
      <c r="E215" s="743">
        <v>339</v>
      </c>
      <c r="F215" s="753" t="s">
        <v>943</v>
      </c>
      <c r="G215" s="753"/>
      <c r="H215" s="753"/>
      <c r="I215" s="754"/>
      <c r="J215" s="754"/>
      <c r="K215" s="754">
        <f>407+1572</f>
        <v>1979</v>
      </c>
      <c r="L215" s="755">
        <v>0</v>
      </c>
      <c r="M215" s="755">
        <v>150</v>
      </c>
      <c r="N215" s="756">
        <v>150</v>
      </c>
      <c r="O215" s="737">
        <f t="shared" si="32"/>
        <v>100</v>
      </c>
      <c r="P215" s="757"/>
      <c r="Q215" s="757"/>
      <c r="R215" s="757"/>
      <c r="S215" s="749">
        <v>0</v>
      </c>
      <c r="T215" s="758" t="s">
        <v>944</v>
      </c>
    </row>
    <row r="216" spans="1:21" outlineLevel="2">
      <c r="A216" s="694">
        <f t="shared" si="28"/>
        <v>215</v>
      </c>
      <c r="B216" s="751" t="s">
        <v>678</v>
      </c>
      <c r="C216" s="752" t="s">
        <v>940</v>
      </c>
      <c r="D216" s="752">
        <v>4534</v>
      </c>
      <c r="E216" s="753"/>
      <c r="F216" s="753" t="s">
        <v>945</v>
      </c>
      <c r="G216" s="753" t="s">
        <v>712</v>
      </c>
      <c r="H216" s="775">
        <v>2015</v>
      </c>
      <c r="I216" s="755">
        <v>1106000</v>
      </c>
      <c r="J216" s="755"/>
      <c r="K216" s="754">
        <f>362971+38933</f>
        <v>401904</v>
      </c>
      <c r="L216" s="755">
        <v>700</v>
      </c>
      <c r="M216" s="755">
        <v>901</v>
      </c>
      <c r="N216" s="756">
        <v>868</v>
      </c>
      <c r="O216" s="737">
        <f t="shared" si="32"/>
        <v>96.337402885682579</v>
      </c>
      <c r="P216" s="757"/>
      <c r="Q216" s="757"/>
      <c r="R216" s="757"/>
      <c r="S216" s="749">
        <v>702329</v>
      </c>
      <c r="T216" s="758" t="s">
        <v>681</v>
      </c>
    </row>
    <row r="217" spans="1:21" outlineLevel="1">
      <c r="A217" s="694">
        <f t="shared" si="28"/>
        <v>216</v>
      </c>
      <c r="B217" s="760"/>
      <c r="C217" s="761" t="s">
        <v>946</v>
      </c>
      <c r="D217" s="761"/>
      <c r="E217" s="762"/>
      <c r="F217" s="762"/>
      <c r="G217" s="762"/>
      <c r="H217" s="777"/>
      <c r="I217" s="763">
        <f t="shared" ref="I217:N217" si="33">SUBTOTAL(9,I214:I216)</f>
        <v>1108200</v>
      </c>
      <c r="J217" s="763">
        <f t="shared" si="33"/>
        <v>0</v>
      </c>
      <c r="K217" s="763">
        <f t="shared" si="33"/>
        <v>403883</v>
      </c>
      <c r="L217" s="763">
        <f t="shared" si="33"/>
        <v>900</v>
      </c>
      <c r="M217" s="763">
        <f t="shared" si="33"/>
        <v>1525</v>
      </c>
      <c r="N217" s="764">
        <f t="shared" si="33"/>
        <v>1492</v>
      </c>
      <c r="O217" s="765">
        <f t="shared" si="32"/>
        <v>97.836065573770497</v>
      </c>
      <c r="P217" s="764">
        <f>SUBTOTAL(9,P214:P216)</f>
        <v>0</v>
      </c>
      <c r="Q217" s="764">
        <f>SUBTOTAL(9,Q214:Q216)</f>
        <v>0</v>
      </c>
      <c r="R217" s="764">
        <f>SUBTOTAL(9,R214:R216)</f>
        <v>0</v>
      </c>
      <c r="S217" s="766"/>
      <c r="T217" s="767"/>
    </row>
    <row r="218" spans="1:21" outlineLevel="2">
      <c r="A218" s="694">
        <f t="shared" si="28"/>
        <v>217</v>
      </c>
      <c r="B218" s="751" t="s">
        <v>942</v>
      </c>
      <c r="C218" s="752" t="s">
        <v>947</v>
      </c>
      <c r="D218" s="752">
        <v>300699</v>
      </c>
      <c r="E218" s="753"/>
      <c r="F218" s="753" t="s">
        <v>948</v>
      </c>
      <c r="G218" s="753"/>
      <c r="H218" s="753"/>
      <c r="I218" s="754"/>
      <c r="J218" s="754"/>
      <c r="K218" s="754">
        <v>2200</v>
      </c>
      <c r="L218" s="755">
        <v>0</v>
      </c>
      <c r="M218" s="755">
        <v>0</v>
      </c>
      <c r="N218" s="756"/>
      <c r="O218" s="737" t="str">
        <f t="shared" si="32"/>
        <v xml:space="preserve"> </v>
      </c>
      <c r="P218" s="757"/>
      <c r="Q218" s="757"/>
      <c r="R218" s="757"/>
      <c r="S218" s="749">
        <v>0</v>
      </c>
      <c r="T218" s="758" t="s">
        <v>944</v>
      </c>
    </row>
    <row r="219" spans="1:21" outlineLevel="2">
      <c r="A219" s="694">
        <f t="shared" si="28"/>
        <v>218</v>
      </c>
      <c r="B219" s="751" t="s">
        <v>678</v>
      </c>
      <c r="C219" s="752" t="s">
        <v>947</v>
      </c>
      <c r="D219" s="752">
        <v>4541</v>
      </c>
      <c r="E219" s="753"/>
      <c r="F219" s="753" t="s">
        <v>949</v>
      </c>
      <c r="G219" s="753" t="s">
        <v>704</v>
      </c>
      <c r="H219" s="752">
        <v>2014</v>
      </c>
      <c r="I219" s="755">
        <v>1284998</v>
      </c>
      <c r="J219" s="755"/>
      <c r="K219" s="754">
        <v>13245</v>
      </c>
      <c r="L219" s="755">
        <v>0</v>
      </c>
      <c r="M219" s="755">
        <v>0</v>
      </c>
      <c r="N219" s="756"/>
      <c r="O219" s="737" t="str">
        <f t="shared" si="32"/>
        <v xml:space="preserve"> </v>
      </c>
      <c r="P219" s="757"/>
      <c r="Q219" s="757"/>
      <c r="R219" s="757"/>
      <c r="S219" s="749">
        <v>0</v>
      </c>
      <c r="T219" s="758" t="s">
        <v>950</v>
      </c>
    </row>
    <row r="220" spans="1:21" outlineLevel="2">
      <c r="A220" s="694">
        <f t="shared" si="28"/>
        <v>219</v>
      </c>
      <c r="B220" s="751" t="s">
        <v>951</v>
      </c>
      <c r="C220" s="752" t="s">
        <v>947</v>
      </c>
      <c r="D220" s="752">
        <v>5143</v>
      </c>
      <c r="E220" s="770" t="s">
        <v>729</v>
      </c>
      <c r="F220" s="753" t="s">
        <v>952</v>
      </c>
      <c r="G220" s="752">
        <v>2012</v>
      </c>
      <c r="H220" s="752">
        <v>2014</v>
      </c>
      <c r="I220" s="755">
        <v>8500</v>
      </c>
      <c r="J220" s="755"/>
      <c r="K220" s="754"/>
      <c r="L220" s="755"/>
      <c r="M220" s="755">
        <v>8500</v>
      </c>
      <c r="N220" s="756">
        <v>2300</v>
      </c>
      <c r="O220" s="737">
        <f t="shared" si="32"/>
        <v>27.058823529411764</v>
      </c>
      <c r="P220" s="757"/>
      <c r="Q220" s="757"/>
      <c r="R220" s="757"/>
      <c r="S220" s="749"/>
      <c r="T220" s="748" t="s">
        <v>953</v>
      </c>
    </row>
    <row r="221" spans="1:21" outlineLevel="1">
      <c r="A221" s="694">
        <f t="shared" si="28"/>
        <v>220</v>
      </c>
      <c r="B221" s="760"/>
      <c r="C221" s="761" t="s">
        <v>954</v>
      </c>
      <c r="D221" s="761"/>
      <c r="E221" s="771"/>
      <c r="F221" s="762"/>
      <c r="G221" s="761"/>
      <c r="H221" s="761"/>
      <c r="I221" s="763">
        <f t="shared" ref="I221:N221" si="34">SUBTOTAL(9,I218:I220)</f>
        <v>1293498</v>
      </c>
      <c r="J221" s="763">
        <f t="shared" si="34"/>
        <v>0</v>
      </c>
      <c r="K221" s="763">
        <f t="shared" si="34"/>
        <v>15445</v>
      </c>
      <c r="L221" s="763">
        <f t="shared" si="34"/>
        <v>0</v>
      </c>
      <c r="M221" s="763">
        <f t="shared" si="34"/>
        <v>8500</v>
      </c>
      <c r="N221" s="764">
        <f t="shared" si="34"/>
        <v>2300</v>
      </c>
      <c r="O221" s="765">
        <f t="shared" si="32"/>
        <v>27.058823529411764</v>
      </c>
      <c r="P221" s="764">
        <f>SUBTOTAL(9,P218:P220)</f>
        <v>0</v>
      </c>
      <c r="Q221" s="764">
        <f>SUBTOTAL(9,Q218:Q220)</f>
        <v>0</v>
      </c>
      <c r="R221" s="764">
        <f>SUBTOTAL(9,R218:R220)</f>
        <v>0</v>
      </c>
      <c r="S221" s="766"/>
      <c r="T221" s="767"/>
    </row>
    <row r="222" spans="1:21" outlineLevel="2">
      <c r="A222" s="694">
        <f t="shared" si="28"/>
        <v>221</v>
      </c>
      <c r="B222" s="751" t="s">
        <v>942</v>
      </c>
      <c r="C222" s="752" t="s">
        <v>955</v>
      </c>
      <c r="D222" s="752">
        <v>30069120</v>
      </c>
      <c r="E222" s="753"/>
      <c r="F222" s="753" t="s">
        <v>956</v>
      </c>
      <c r="G222" s="753"/>
      <c r="H222" s="753"/>
      <c r="I222" s="754"/>
      <c r="J222" s="754"/>
      <c r="K222" s="754">
        <v>497</v>
      </c>
      <c r="L222" s="755">
        <v>0</v>
      </c>
      <c r="M222" s="755">
        <v>0</v>
      </c>
      <c r="N222" s="756"/>
      <c r="O222" s="737" t="str">
        <f t="shared" si="32"/>
        <v xml:space="preserve"> </v>
      </c>
      <c r="P222" s="757"/>
      <c r="Q222" s="757"/>
      <c r="R222" s="757"/>
      <c r="S222" s="749">
        <v>0</v>
      </c>
      <c r="T222" s="758" t="s">
        <v>944</v>
      </c>
    </row>
    <row r="223" spans="1:21" outlineLevel="2">
      <c r="A223" s="694">
        <f t="shared" si="28"/>
        <v>222</v>
      </c>
      <c r="B223" s="751" t="s">
        <v>678</v>
      </c>
      <c r="C223" s="752" t="s">
        <v>955</v>
      </c>
      <c r="D223" s="752">
        <v>5119</v>
      </c>
      <c r="E223" s="770" t="s">
        <v>729</v>
      </c>
      <c r="F223" s="753" t="s">
        <v>957</v>
      </c>
      <c r="G223" s="753" t="s">
        <v>698</v>
      </c>
      <c r="H223" s="752">
        <v>2014</v>
      </c>
      <c r="I223" s="754">
        <v>25786</v>
      </c>
      <c r="J223" s="755">
        <v>17379</v>
      </c>
      <c r="K223" s="754">
        <f>1405</f>
        <v>1405</v>
      </c>
      <c r="L223" s="755">
        <v>700</v>
      </c>
      <c r="M223" s="755">
        <v>900</v>
      </c>
      <c r="N223" s="756">
        <v>494</v>
      </c>
      <c r="O223" s="737">
        <f t="shared" si="32"/>
        <v>54.888888888888886</v>
      </c>
      <c r="P223" s="757"/>
      <c r="Q223" s="757"/>
      <c r="R223" s="757"/>
      <c r="S223" s="749">
        <v>0</v>
      </c>
      <c r="T223" s="758" t="s">
        <v>681</v>
      </c>
      <c r="U223" s="740">
        <f>K223+N223</f>
        <v>1899</v>
      </c>
    </row>
    <row r="224" spans="1:21" outlineLevel="1">
      <c r="A224" s="694">
        <f t="shared" si="28"/>
        <v>223</v>
      </c>
      <c r="B224" s="760"/>
      <c r="C224" s="761" t="s">
        <v>958</v>
      </c>
      <c r="D224" s="761"/>
      <c r="E224" s="771"/>
      <c r="F224" s="762"/>
      <c r="G224" s="762"/>
      <c r="H224" s="762"/>
      <c r="I224" s="763">
        <f t="shared" ref="I224:N224" si="35">SUBTOTAL(9,I222:I223)</f>
        <v>25786</v>
      </c>
      <c r="J224" s="763">
        <f t="shared" si="35"/>
        <v>17379</v>
      </c>
      <c r="K224" s="763">
        <f t="shared" si="35"/>
        <v>1902</v>
      </c>
      <c r="L224" s="763">
        <f t="shared" si="35"/>
        <v>700</v>
      </c>
      <c r="M224" s="763">
        <f t="shared" si="35"/>
        <v>900</v>
      </c>
      <c r="N224" s="764">
        <f t="shared" si="35"/>
        <v>494</v>
      </c>
      <c r="O224" s="765">
        <f t="shared" si="32"/>
        <v>54.888888888888886</v>
      </c>
      <c r="P224" s="764">
        <f>SUBTOTAL(9,P222:P223)</f>
        <v>0</v>
      </c>
      <c r="Q224" s="764">
        <f>SUBTOTAL(9,Q222:Q223)</f>
        <v>0</v>
      </c>
      <c r="R224" s="764">
        <f>SUBTOTAL(9,R222:R223)</f>
        <v>0</v>
      </c>
      <c r="S224" s="766"/>
      <c r="T224" s="767"/>
    </row>
    <row r="225" spans="1:21" s="708" customFormat="1" outlineLevel="2">
      <c r="A225" s="694">
        <f t="shared" si="28"/>
        <v>224</v>
      </c>
      <c r="B225" s="742">
        <v>5600</v>
      </c>
      <c r="C225" s="735" t="s">
        <v>959</v>
      </c>
      <c r="D225" s="735">
        <v>2919</v>
      </c>
      <c r="E225" s="768"/>
      <c r="F225" s="743" t="s">
        <v>960</v>
      </c>
      <c r="G225" s="735">
        <v>2012</v>
      </c>
      <c r="H225" s="735">
        <v>2012</v>
      </c>
      <c r="I225" s="755">
        <v>2750</v>
      </c>
      <c r="J225" s="755"/>
      <c r="K225" s="755">
        <v>0</v>
      </c>
      <c r="L225" s="755"/>
      <c r="M225" s="755">
        <v>2750</v>
      </c>
      <c r="N225" s="756">
        <v>2593</v>
      </c>
      <c r="O225" s="737">
        <f t="shared" si="32"/>
        <v>94.290909090909096</v>
      </c>
      <c r="P225" s="757"/>
      <c r="Q225" s="757"/>
      <c r="R225" s="757"/>
      <c r="S225" s="749"/>
      <c r="T225" s="748" t="s">
        <v>681</v>
      </c>
      <c r="U225" s="740">
        <f t="shared" ref="U225:U226" si="36">K225+N225</f>
        <v>2593</v>
      </c>
    </row>
    <row r="226" spans="1:21" s="708" customFormat="1" outlineLevel="2">
      <c r="A226" s="694">
        <f t="shared" si="28"/>
        <v>225</v>
      </c>
      <c r="B226" s="742">
        <v>5600</v>
      </c>
      <c r="C226" s="735" t="s">
        <v>959</v>
      </c>
      <c r="D226" s="735">
        <v>2938</v>
      </c>
      <c r="E226" s="743"/>
      <c r="F226" s="743" t="s">
        <v>961</v>
      </c>
      <c r="G226" s="735">
        <v>2011</v>
      </c>
      <c r="H226" s="735">
        <v>2013</v>
      </c>
      <c r="I226" s="755">
        <v>5800</v>
      </c>
      <c r="J226" s="755"/>
      <c r="K226" s="755">
        <f>1327</f>
        <v>1327</v>
      </c>
      <c r="L226" s="755">
        <v>4500</v>
      </c>
      <c r="M226" s="755">
        <v>2500</v>
      </c>
      <c r="N226" s="756">
        <v>2285</v>
      </c>
      <c r="O226" s="737">
        <f t="shared" si="32"/>
        <v>91.4</v>
      </c>
      <c r="P226" s="757"/>
      <c r="Q226" s="757"/>
      <c r="R226" s="757"/>
      <c r="S226" s="749">
        <v>0</v>
      </c>
      <c r="T226" s="748" t="s">
        <v>681</v>
      </c>
      <c r="U226" s="740">
        <f t="shared" si="36"/>
        <v>3612</v>
      </c>
    </row>
    <row r="227" spans="1:21" outlineLevel="2">
      <c r="A227" s="694">
        <f t="shared" si="28"/>
        <v>226</v>
      </c>
      <c r="B227" s="779">
        <v>7300</v>
      </c>
      <c r="C227" s="735" t="s">
        <v>959</v>
      </c>
      <c r="D227" s="752">
        <v>30069128</v>
      </c>
      <c r="E227" s="753"/>
      <c r="F227" s="743" t="s">
        <v>962</v>
      </c>
      <c r="G227" s="769"/>
      <c r="H227" s="769"/>
      <c r="I227" s="754"/>
      <c r="J227" s="754"/>
      <c r="K227" s="754">
        <f>1236</f>
        <v>1236</v>
      </c>
      <c r="L227" s="755">
        <v>14200</v>
      </c>
      <c r="M227" s="755">
        <v>14200</v>
      </c>
      <c r="N227" s="756"/>
      <c r="O227" s="737">
        <f t="shared" si="32"/>
        <v>0</v>
      </c>
      <c r="P227" s="757"/>
      <c r="Q227" s="757"/>
      <c r="R227" s="757"/>
      <c r="S227" s="749">
        <v>0</v>
      </c>
      <c r="T227" s="758" t="s">
        <v>944</v>
      </c>
    </row>
    <row r="228" spans="1:21" outlineLevel="2">
      <c r="A228" s="694">
        <f t="shared" si="28"/>
        <v>227</v>
      </c>
      <c r="B228" s="751" t="s">
        <v>911</v>
      </c>
      <c r="C228" s="735" t="s">
        <v>959</v>
      </c>
      <c r="D228" s="752">
        <v>5078</v>
      </c>
      <c r="E228" s="770" t="s">
        <v>729</v>
      </c>
      <c r="F228" s="753" t="s">
        <v>963</v>
      </c>
      <c r="G228" s="753" t="s">
        <v>689</v>
      </c>
      <c r="H228" s="752">
        <v>2013</v>
      </c>
      <c r="I228" s="754">
        <v>176000</v>
      </c>
      <c r="J228" s="755">
        <v>147838</v>
      </c>
      <c r="K228" s="754">
        <f>12661+96504</f>
        <v>109165</v>
      </c>
      <c r="L228" s="755">
        <v>15168</v>
      </c>
      <c r="M228" s="755">
        <v>59685</v>
      </c>
      <c r="N228" s="756">
        <v>59319</v>
      </c>
      <c r="O228" s="737">
        <f t="shared" si="32"/>
        <v>99.386780598140234</v>
      </c>
      <c r="P228" s="757"/>
      <c r="Q228" s="757"/>
      <c r="R228" s="757"/>
      <c r="S228" s="749">
        <v>0</v>
      </c>
      <c r="T228" s="758" t="s">
        <v>964</v>
      </c>
      <c r="U228" s="740">
        <f>K228+N228</f>
        <v>168484</v>
      </c>
    </row>
    <row r="229" spans="1:21" outlineLevel="1">
      <c r="A229" s="694">
        <f t="shared" si="28"/>
        <v>228</v>
      </c>
      <c r="B229" s="760"/>
      <c r="C229" s="761" t="s">
        <v>965</v>
      </c>
      <c r="D229" s="761"/>
      <c r="E229" s="771"/>
      <c r="F229" s="762"/>
      <c r="G229" s="762"/>
      <c r="H229" s="761"/>
      <c r="I229" s="763">
        <f t="shared" ref="I229:N229" si="37">SUBTOTAL(9,I225:I228)</f>
        <v>184550</v>
      </c>
      <c r="J229" s="763">
        <f t="shared" si="37"/>
        <v>147838</v>
      </c>
      <c r="K229" s="763">
        <f t="shared" si="37"/>
        <v>111728</v>
      </c>
      <c r="L229" s="763">
        <f t="shared" si="37"/>
        <v>33868</v>
      </c>
      <c r="M229" s="763">
        <f t="shared" si="37"/>
        <v>79135</v>
      </c>
      <c r="N229" s="764">
        <f t="shared" si="37"/>
        <v>64197</v>
      </c>
      <c r="O229" s="765">
        <f t="shared" si="32"/>
        <v>81.123396727111896</v>
      </c>
      <c r="P229" s="764">
        <f>SUBTOTAL(9,P225:P228)</f>
        <v>0</v>
      </c>
      <c r="Q229" s="764">
        <f>SUBTOTAL(9,Q225:Q228)</f>
        <v>0</v>
      </c>
      <c r="R229" s="764">
        <f>SUBTOTAL(9,R225:R228)</f>
        <v>0</v>
      </c>
      <c r="S229" s="766"/>
      <c r="T229" s="767"/>
    </row>
    <row r="230" spans="1:21" outlineLevel="2">
      <c r="A230" s="694">
        <f t="shared" si="28"/>
        <v>229</v>
      </c>
      <c r="B230" s="751" t="s">
        <v>678</v>
      </c>
      <c r="C230" s="752" t="s">
        <v>966</v>
      </c>
      <c r="D230" s="752">
        <v>3220</v>
      </c>
      <c r="E230" s="753"/>
      <c r="F230" s="753" t="s">
        <v>967</v>
      </c>
      <c r="G230" s="753" t="s">
        <v>695</v>
      </c>
      <c r="H230" s="752">
        <v>2012</v>
      </c>
      <c r="I230" s="754">
        <v>3800</v>
      </c>
      <c r="J230" s="754"/>
      <c r="K230" s="754">
        <v>2373</v>
      </c>
      <c r="L230" s="755">
        <v>0</v>
      </c>
      <c r="M230" s="755">
        <v>0</v>
      </c>
      <c r="N230" s="756"/>
      <c r="O230" s="737" t="str">
        <f t="shared" si="32"/>
        <v xml:space="preserve"> </v>
      </c>
      <c r="P230" s="757"/>
      <c r="Q230" s="757"/>
      <c r="R230" s="757"/>
      <c r="S230" s="749">
        <v>1427</v>
      </c>
      <c r="T230" s="758" t="s">
        <v>681</v>
      </c>
      <c r="U230" s="740">
        <f>K230+N230</f>
        <v>2373</v>
      </c>
    </row>
    <row r="231" spans="1:21" outlineLevel="1">
      <c r="A231" s="694">
        <f t="shared" si="28"/>
        <v>230</v>
      </c>
      <c r="B231" s="760"/>
      <c r="C231" s="761" t="s">
        <v>968</v>
      </c>
      <c r="D231" s="761"/>
      <c r="E231" s="762"/>
      <c r="F231" s="762"/>
      <c r="G231" s="762"/>
      <c r="H231" s="761"/>
      <c r="I231" s="763">
        <f t="shared" ref="I231:N231" si="38">SUBTOTAL(9,I230:I230)</f>
        <v>3800</v>
      </c>
      <c r="J231" s="763">
        <f t="shared" si="38"/>
        <v>0</v>
      </c>
      <c r="K231" s="763">
        <f t="shared" si="38"/>
        <v>2373</v>
      </c>
      <c r="L231" s="763">
        <f t="shared" si="38"/>
        <v>0</v>
      </c>
      <c r="M231" s="763">
        <f t="shared" si="38"/>
        <v>0</v>
      </c>
      <c r="N231" s="764">
        <f t="shared" si="38"/>
        <v>0</v>
      </c>
      <c r="O231" s="765" t="str">
        <f t="shared" si="32"/>
        <v xml:space="preserve"> </v>
      </c>
      <c r="P231" s="764">
        <f>SUBTOTAL(9,P230:P230)</f>
        <v>0</v>
      </c>
      <c r="Q231" s="764">
        <f>SUBTOTAL(9,Q230:Q230)</f>
        <v>0</v>
      </c>
      <c r="R231" s="764">
        <f>SUBTOTAL(9,R230:R230)</f>
        <v>0</v>
      </c>
      <c r="S231" s="766"/>
      <c r="T231" s="767"/>
    </row>
    <row r="232" spans="1:21" outlineLevel="2">
      <c r="A232" s="694">
        <f t="shared" si="28"/>
        <v>231</v>
      </c>
      <c r="B232" s="751" t="s">
        <v>673</v>
      </c>
      <c r="C232" s="752" t="s">
        <v>969</v>
      </c>
      <c r="D232" s="735">
        <v>30129125</v>
      </c>
      <c r="E232" s="753"/>
      <c r="F232" s="753" t="s">
        <v>675</v>
      </c>
      <c r="G232" s="753"/>
      <c r="H232" s="753"/>
      <c r="I232" s="754"/>
      <c r="J232" s="754"/>
      <c r="K232" s="754">
        <f>244+3009</f>
        <v>3253</v>
      </c>
      <c r="L232" s="755">
        <v>0</v>
      </c>
      <c r="M232" s="755">
        <v>0</v>
      </c>
      <c r="N232" s="756"/>
      <c r="O232" s="737" t="str">
        <f t="shared" si="32"/>
        <v xml:space="preserve"> </v>
      </c>
      <c r="P232" s="757"/>
      <c r="Q232" s="757"/>
      <c r="R232" s="757"/>
      <c r="S232" s="749">
        <v>0</v>
      </c>
      <c r="T232" s="758" t="s">
        <v>970</v>
      </c>
    </row>
    <row r="233" spans="1:21" outlineLevel="2">
      <c r="A233" s="694">
        <f t="shared" si="28"/>
        <v>232</v>
      </c>
      <c r="B233" s="779">
        <v>7300</v>
      </c>
      <c r="C233" s="752" t="s">
        <v>969</v>
      </c>
      <c r="D233" s="752">
        <v>30069127</v>
      </c>
      <c r="E233" s="753"/>
      <c r="F233" s="753" t="s">
        <v>971</v>
      </c>
      <c r="G233" s="769"/>
      <c r="H233" s="769"/>
      <c r="I233" s="754"/>
      <c r="J233" s="754"/>
      <c r="K233" s="754">
        <f>5000</f>
        <v>5000</v>
      </c>
      <c r="L233" s="755">
        <v>0</v>
      </c>
      <c r="M233" s="755">
        <v>0</v>
      </c>
      <c r="N233" s="756"/>
      <c r="O233" s="737" t="str">
        <f t="shared" si="32"/>
        <v xml:space="preserve"> </v>
      </c>
      <c r="P233" s="757"/>
      <c r="Q233" s="757"/>
      <c r="R233" s="757"/>
      <c r="S233" s="749">
        <v>0</v>
      </c>
      <c r="T233" s="758" t="s">
        <v>944</v>
      </c>
    </row>
    <row r="234" spans="1:21" outlineLevel="2">
      <c r="A234" s="694">
        <f t="shared" si="28"/>
        <v>233</v>
      </c>
      <c r="B234" s="779" t="s">
        <v>865</v>
      </c>
      <c r="C234" s="752" t="s">
        <v>969</v>
      </c>
      <c r="D234" s="752">
        <v>301399</v>
      </c>
      <c r="E234" s="753"/>
      <c r="F234" s="753" t="s">
        <v>972</v>
      </c>
      <c r="G234" s="769"/>
      <c r="H234" s="769"/>
      <c r="I234" s="754"/>
      <c r="J234" s="754"/>
      <c r="K234" s="754">
        <f>1483</f>
        <v>1483</v>
      </c>
      <c r="L234" s="755"/>
      <c r="M234" s="755">
        <v>1500</v>
      </c>
      <c r="N234" s="756">
        <v>1500</v>
      </c>
      <c r="O234" s="737">
        <f t="shared" si="32"/>
        <v>100</v>
      </c>
      <c r="P234" s="757"/>
      <c r="Q234" s="757"/>
      <c r="R234" s="757"/>
      <c r="S234" s="749"/>
      <c r="T234" s="758" t="s">
        <v>867</v>
      </c>
    </row>
    <row r="235" spans="1:21" outlineLevel="2">
      <c r="A235" s="694">
        <f t="shared" si="28"/>
        <v>234</v>
      </c>
      <c r="B235" s="779">
        <v>7300</v>
      </c>
      <c r="C235" s="752" t="s">
        <v>969</v>
      </c>
      <c r="D235" s="752">
        <v>3132</v>
      </c>
      <c r="E235" s="753"/>
      <c r="F235" s="753" t="s">
        <v>973</v>
      </c>
      <c r="G235" s="769" t="s">
        <v>767</v>
      </c>
      <c r="H235" s="769" t="s">
        <v>760</v>
      </c>
      <c r="I235" s="754">
        <v>10750</v>
      </c>
      <c r="J235" s="754"/>
      <c r="K235" s="754">
        <v>1200</v>
      </c>
      <c r="L235" s="755">
        <v>500</v>
      </c>
      <c r="M235" s="755">
        <v>500</v>
      </c>
      <c r="N235" s="756">
        <v>343</v>
      </c>
      <c r="O235" s="737">
        <f t="shared" si="32"/>
        <v>68.600000000000009</v>
      </c>
      <c r="P235" s="757"/>
      <c r="Q235" s="757"/>
      <c r="R235" s="757"/>
      <c r="S235" s="749">
        <v>9050</v>
      </c>
      <c r="T235" s="758" t="s">
        <v>944</v>
      </c>
    </row>
    <row r="236" spans="1:21" outlineLevel="2">
      <c r="A236" s="694">
        <f t="shared" si="28"/>
        <v>235</v>
      </c>
      <c r="B236" s="751" t="s">
        <v>951</v>
      </c>
      <c r="C236" s="752" t="s">
        <v>969</v>
      </c>
      <c r="D236" s="752">
        <v>5095</v>
      </c>
      <c r="E236" s="770" t="s">
        <v>729</v>
      </c>
      <c r="F236" s="753" t="s">
        <v>974</v>
      </c>
      <c r="G236" s="753" t="s">
        <v>698</v>
      </c>
      <c r="H236" s="753" t="s">
        <v>734</v>
      </c>
      <c r="I236" s="754">
        <v>3631</v>
      </c>
      <c r="J236" s="755">
        <v>2432</v>
      </c>
      <c r="K236" s="754">
        <v>2630</v>
      </c>
      <c r="L236" s="755">
        <v>0</v>
      </c>
      <c r="M236" s="755">
        <v>0</v>
      </c>
      <c r="N236" s="756"/>
      <c r="O236" s="737" t="str">
        <f t="shared" si="32"/>
        <v xml:space="preserve"> </v>
      </c>
      <c r="P236" s="757"/>
      <c r="Q236" s="757"/>
      <c r="R236" s="757"/>
      <c r="S236" s="749">
        <v>0</v>
      </c>
      <c r="T236" s="758" t="s">
        <v>953</v>
      </c>
      <c r="U236" s="740">
        <f t="shared" ref="U236:U237" si="39">K236+N236</f>
        <v>2630</v>
      </c>
    </row>
    <row r="237" spans="1:21" outlineLevel="2">
      <c r="A237" s="694">
        <f t="shared" si="28"/>
        <v>236</v>
      </c>
      <c r="B237" s="751" t="s">
        <v>911</v>
      </c>
      <c r="C237" s="752" t="s">
        <v>969</v>
      </c>
      <c r="D237" s="752">
        <v>5120</v>
      </c>
      <c r="E237" s="770" t="s">
        <v>729</v>
      </c>
      <c r="F237" s="753" t="s">
        <v>975</v>
      </c>
      <c r="G237" s="753" t="s">
        <v>698</v>
      </c>
      <c r="H237" s="753" t="s">
        <v>734</v>
      </c>
      <c r="I237" s="754">
        <v>50339</v>
      </c>
      <c r="J237" s="755">
        <v>49958</v>
      </c>
      <c r="K237" s="754">
        <v>0</v>
      </c>
      <c r="L237" s="755">
        <v>0</v>
      </c>
      <c r="M237" s="755">
        <v>45020</v>
      </c>
      <c r="N237" s="756">
        <v>265</v>
      </c>
      <c r="O237" s="737">
        <f t="shared" si="32"/>
        <v>0.58862727676588178</v>
      </c>
      <c r="P237" s="757"/>
      <c r="Q237" s="757"/>
      <c r="R237" s="757"/>
      <c r="S237" s="749">
        <v>0</v>
      </c>
      <c r="T237" s="758" t="s">
        <v>681</v>
      </c>
      <c r="U237" s="740">
        <f t="shared" si="39"/>
        <v>265</v>
      </c>
    </row>
    <row r="238" spans="1:21" outlineLevel="1">
      <c r="A238" s="694">
        <f t="shared" si="28"/>
        <v>237</v>
      </c>
      <c r="B238" s="760"/>
      <c r="C238" s="761" t="s">
        <v>976</v>
      </c>
      <c r="D238" s="761"/>
      <c r="E238" s="771"/>
      <c r="F238" s="762"/>
      <c r="G238" s="762"/>
      <c r="H238" s="762"/>
      <c r="I238" s="763">
        <f t="shared" ref="I238:N238" si="40">SUBTOTAL(9,I232:I237)</f>
        <v>64720</v>
      </c>
      <c r="J238" s="763">
        <f t="shared" si="40"/>
        <v>52390</v>
      </c>
      <c r="K238" s="763">
        <f t="shared" si="40"/>
        <v>13566</v>
      </c>
      <c r="L238" s="763">
        <f t="shared" si="40"/>
        <v>500</v>
      </c>
      <c r="M238" s="763">
        <f t="shared" si="40"/>
        <v>47020</v>
      </c>
      <c r="N238" s="764">
        <f t="shared" si="40"/>
        <v>2108</v>
      </c>
      <c r="O238" s="765">
        <f t="shared" si="32"/>
        <v>4.4831986388770737</v>
      </c>
      <c r="P238" s="764">
        <f>SUBTOTAL(9,P232:P237)</f>
        <v>0</v>
      </c>
      <c r="Q238" s="764">
        <f>SUBTOTAL(9,Q232:Q237)</f>
        <v>0</v>
      </c>
      <c r="R238" s="764">
        <f>SUBTOTAL(9,R232:R237)</f>
        <v>0</v>
      </c>
      <c r="S238" s="766"/>
      <c r="T238" s="767"/>
    </row>
    <row r="239" spans="1:21" s="708" customFormat="1" outlineLevel="2">
      <c r="A239" s="694">
        <f t="shared" si="28"/>
        <v>238</v>
      </c>
      <c r="B239" s="759" t="s">
        <v>977</v>
      </c>
      <c r="C239" s="735" t="s">
        <v>978</v>
      </c>
      <c r="D239" s="735">
        <v>3258</v>
      </c>
      <c r="E239" s="743"/>
      <c r="F239" s="743" t="s">
        <v>979</v>
      </c>
      <c r="G239" s="743"/>
      <c r="H239" s="743"/>
      <c r="I239" s="755"/>
      <c r="J239" s="755"/>
      <c r="K239" s="755">
        <f>4000+1000</f>
        <v>5000</v>
      </c>
      <c r="L239" s="755">
        <v>0</v>
      </c>
      <c r="M239" s="755">
        <v>0</v>
      </c>
      <c r="N239" s="756"/>
      <c r="O239" s="737" t="str">
        <f t="shared" si="32"/>
        <v xml:space="preserve"> </v>
      </c>
      <c r="P239" s="756"/>
      <c r="Q239" s="756"/>
      <c r="R239" s="756"/>
      <c r="S239" s="749">
        <v>0</v>
      </c>
      <c r="T239" s="748" t="s">
        <v>980</v>
      </c>
    </row>
    <row r="240" spans="1:21" s="708" customFormat="1" outlineLevel="2">
      <c r="A240" s="694">
        <f t="shared" si="28"/>
        <v>239</v>
      </c>
      <c r="B240" s="742">
        <v>5600</v>
      </c>
      <c r="C240" s="735" t="s">
        <v>978</v>
      </c>
      <c r="D240" s="735">
        <v>4530</v>
      </c>
      <c r="E240" s="743"/>
      <c r="F240" s="743" t="s">
        <v>981</v>
      </c>
      <c r="G240" s="791">
        <v>2001</v>
      </c>
      <c r="H240" s="735">
        <v>2015</v>
      </c>
      <c r="I240" s="755">
        <v>317310</v>
      </c>
      <c r="J240" s="755"/>
      <c r="K240" s="755">
        <v>174746</v>
      </c>
      <c r="L240" s="755"/>
      <c r="M240" s="755">
        <v>10000</v>
      </c>
      <c r="N240" s="756">
        <v>9870</v>
      </c>
      <c r="O240" s="737">
        <f t="shared" si="32"/>
        <v>98.7</v>
      </c>
      <c r="P240" s="756"/>
      <c r="Q240" s="756"/>
      <c r="R240" s="756"/>
      <c r="S240" s="749">
        <v>0</v>
      </c>
      <c r="T240" s="748" t="s">
        <v>681</v>
      </c>
    </row>
    <row r="241" spans="1:21" s="708" customFormat="1" outlineLevel="2">
      <c r="A241" s="694">
        <f t="shared" si="28"/>
        <v>240</v>
      </c>
      <c r="B241" s="759" t="s">
        <v>678</v>
      </c>
      <c r="C241" s="735" t="s">
        <v>978</v>
      </c>
      <c r="D241" s="735">
        <v>5082</v>
      </c>
      <c r="E241" s="768" t="s">
        <v>729</v>
      </c>
      <c r="F241" s="743" t="s">
        <v>982</v>
      </c>
      <c r="G241" s="743" t="s">
        <v>698</v>
      </c>
      <c r="H241" s="735">
        <v>2013</v>
      </c>
      <c r="I241" s="755">
        <v>165000</v>
      </c>
      <c r="J241" s="755">
        <v>42131</v>
      </c>
      <c r="K241" s="755">
        <f>22614</f>
        <v>22614</v>
      </c>
      <c r="L241" s="755">
        <v>10000</v>
      </c>
      <c r="M241" s="755">
        <v>94000</v>
      </c>
      <c r="N241" s="756">
        <v>83423</v>
      </c>
      <c r="O241" s="737">
        <f t="shared" si="32"/>
        <v>88.747872340425531</v>
      </c>
      <c r="P241" s="756"/>
      <c r="Q241" s="756"/>
      <c r="R241" s="756"/>
      <c r="S241" s="749">
        <v>0</v>
      </c>
      <c r="T241" s="748" t="s">
        <v>681</v>
      </c>
      <c r="U241" s="740">
        <f>K241+N241</f>
        <v>106037</v>
      </c>
    </row>
    <row r="242" spans="1:21" outlineLevel="1">
      <c r="A242" s="694">
        <f t="shared" si="28"/>
        <v>241</v>
      </c>
      <c r="B242" s="760"/>
      <c r="C242" s="761" t="s">
        <v>983</v>
      </c>
      <c r="D242" s="761"/>
      <c r="E242" s="771"/>
      <c r="F242" s="762"/>
      <c r="G242" s="762"/>
      <c r="H242" s="762"/>
      <c r="I242" s="763">
        <f t="shared" ref="I242:N242" si="41">SUBTOTAL(9,I239:I241)</f>
        <v>482310</v>
      </c>
      <c r="J242" s="763">
        <f t="shared" si="41"/>
        <v>42131</v>
      </c>
      <c r="K242" s="763">
        <f t="shared" si="41"/>
        <v>202360</v>
      </c>
      <c r="L242" s="763">
        <f t="shared" si="41"/>
        <v>10000</v>
      </c>
      <c r="M242" s="763">
        <f t="shared" si="41"/>
        <v>104000</v>
      </c>
      <c r="N242" s="764">
        <f t="shared" si="41"/>
        <v>93293</v>
      </c>
      <c r="O242" s="765">
        <f t="shared" si="32"/>
        <v>89.704807692307696</v>
      </c>
      <c r="P242" s="764">
        <f>SUBTOTAL(9,P239:P241)</f>
        <v>0</v>
      </c>
      <c r="Q242" s="764">
        <f>SUBTOTAL(9,Q239:Q241)</f>
        <v>0</v>
      </c>
      <c r="R242" s="764">
        <f>SUBTOTAL(9,R239:R241)</f>
        <v>0</v>
      </c>
      <c r="S242" s="766"/>
      <c r="T242" s="767"/>
    </row>
    <row r="243" spans="1:21" outlineLevel="2">
      <c r="A243" s="694">
        <f t="shared" si="28"/>
        <v>242</v>
      </c>
      <c r="B243" s="759" t="s">
        <v>942</v>
      </c>
      <c r="C243" s="752" t="s">
        <v>984</v>
      </c>
      <c r="D243" s="752">
        <v>2985</v>
      </c>
      <c r="E243" s="753"/>
      <c r="F243" s="753" t="s">
        <v>985</v>
      </c>
      <c r="G243" s="753" t="s">
        <v>698</v>
      </c>
      <c r="H243" s="735">
        <v>2014</v>
      </c>
      <c r="I243" s="754">
        <v>5300</v>
      </c>
      <c r="J243" s="754"/>
      <c r="K243" s="754">
        <v>369</v>
      </c>
      <c r="L243" s="755">
        <v>500</v>
      </c>
      <c r="M243" s="755">
        <v>500</v>
      </c>
      <c r="N243" s="756">
        <v>322</v>
      </c>
      <c r="O243" s="737">
        <f t="shared" si="32"/>
        <v>64.400000000000006</v>
      </c>
      <c r="P243" s="757"/>
      <c r="Q243" s="757"/>
      <c r="R243" s="757"/>
      <c r="S243" s="749">
        <v>3561</v>
      </c>
      <c r="T243" s="758" t="s">
        <v>944</v>
      </c>
    </row>
    <row r="244" spans="1:21" outlineLevel="2">
      <c r="A244" s="694">
        <f t="shared" si="28"/>
        <v>243</v>
      </c>
      <c r="B244" s="751" t="s">
        <v>942</v>
      </c>
      <c r="C244" s="752" t="s">
        <v>984</v>
      </c>
      <c r="D244" s="752">
        <v>300600</v>
      </c>
      <c r="E244" s="753"/>
      <c r="F244" s="753" t="s">
        <v>986</v>
      </c>
      <c r="G244" s="753"/>
      <c r="H244" s="735"/>
      <c r="I244" s="754"/>
      <c r="J244" s="754"/>
      <c r="K244" s="754"/>
      <c r="L244" s="755"/>
      <c r="M244" s="755">
        <v>150</v>
      </c>
      <c r="N244" s="756">
        <v>145</v>
      </c>
      <c r="O244" s="737">
        <f t="shared" si="32"/>
        <v>96.666666666666671</v>
      </c>
      <c r="P244" s="757"/>
      <c r="Q244" s="757"/>
      <c r="R244" s="757"/>
      <c r="S244" s="749"/>
      <c r="T244" s="758" t="s">
        <v>944</v>
      </c>
    </row>
    <row r="245" spans="1:21" outlineLevel="2">
      <c r="A245" s="694">
        <f t="shared" si="28"/>
        <v>244</v>
      </c>
      <c r="B245" s="751" t="s">
        <v>942</v>
      </c>
      <c r="C245" s="752" t="s">
        <v>984</v>
      </c>
      <c r="D245" s="752">
        <v>3242</v>
      </c>
      <c r="E245" s="753"/>
      <c r="F245" s="753" t="s">
        <v>987</v>
      </c>
      <c r="G245" s="753" t="s">
        <v>695</v>
      </c>
      <c r="H245" s="753" t="s">
        <v>699</v>
      </c>
      <c r="I245" s="754">
        <v>20000</v>
      </c>
      <c r="J245" s="754"/>
      <c r="K245" s="754">
        <f>4210+1400</f>
        <v>5610</v>
      </c>
      <c r="L245" s="755"/>
      <c r="M245" s="755"/>
      <c r="N245" s="756"/>
      <c r="O245" s="737" t="str">
        <f t="shared" si="32"/>
        <v xml:space="preserve"> </v>
      </c>
      <c r="P245" s="757"/>
      <c r="Q245" s="757"/>
      <c r="R245" s="757"/>
      <c r="S245" s="749">
        <v>14290</v>
      </c>
      <c r="T245" s="758" t="s">
        <v>944</v>
      </c>
    </row>
    <row r="246" spans="1:21" outlineLevel="2">
      <c r="A246" s="694">
        <f t="shared" si="28"/>
        <v>245</v>
      </c>
      <c r="B246" s="751" t="s">
        <v>678</v>
      </c>
      <c r="C246" s="752" t="s">
        <v>984</v>
      </c>
      <c r="D246" s="752">
        <v>5060</v>
      </c>
      <c r="E246" s="770" t="s">
        <v>729</v>
      </c>
      <c r="F246" s="753" t="s">
        <v>988</v>
      </c>
      <c r="G246" s="753" t="s">
        <v>689</v>
      </c>
      <c r="H246" s="735">
        <v>2012</v>
      </c>
      <c r="I246" s="754">
        <v>38511</v>
      </c>
      <c r="J246" s="755">
        <v>12565</v>
      </c>
      <c r="K246" s="754">
        <f>1098+15589</f>
        <v>16687</v>
      </c>
      <c r="L246" s="755">
        <v>21813</v>
      </c>
      <c r="M246" s="755">
        <v>21813</v>
      </c>
      <c r="N246" s="756">
        <v>19256</v>
      </c>
      <c r="O246" s="737">
        <f t="shared" si="32"/>
        <v>88.277632604410215</v>
      </c>
      <c r="P246" s="757"/>
      <c r="Q246" s="757"/>
      <c r="R246" s="757"/>
      <c r="S246" s="749">
        <v>0</v>
      </c>
      <c r="T246" s="758" t="s">
        <v>681</v>
      </c>
      <c r="U246" s="740">
        <f>K246+N246</f>
        <v>35943</v>
      </c>
    </row>
    <row r="247" spans="1:21" outlineLevel="1">
      <c r="A247" s="694">
        <f t="shared" si="28"/>
        <v>246</v>
      </c>
      <c r="B247" s="760"/>
      <c r="C247" s="761" t="s">
        <v>989</v>
      </c>
      <c r="D247" s="761"/>
      <c r="E247" s="771"/>
      <c r="F247" s="762"/>
      <c r="G247" s="762"/>
      <c r="H247" s="761"/>
      <c r="I247" s="763">
        <f t="shared" ref="I247:N247" si="42">SUBTOTAL(9,I243:I246)</f>
        <v>63811</v>
      </c>
      <c r="J247" s="763">
        <f t="shared" si="42"/>
        <v>12565</v>
      </c>
      <c r="K247" s="763">
        <f t="shared" si="42"/>
        <v>22666</v>
      </c>
      <c r="L247" s="763">
        <f t="shared" si="42"/>
        <v>22313</v>
      </c>
      <c r="M247" s="763">
        <f t="shared" si="42"/>
        <v>22463</v>
      </c>
      <c r="N247" s="764">
        <f t="shared" si="42"/>
        <v>19723</v>
      </c>
      <c r="O247" s="765">
        <f t="shared" si="32"/>
        <v>87.80216355785069</v>
      </c>
      <c r="P247" s="764">
        <f>SUBTOTAL(9,P243:P246)</f>
        <v>0</v>
      </c>
      <c r="Q247" s="764">
        <f>SUBTOTAL(9,Q243:Q246)</f>
        <v>0</v>
      </c>
      <c r="R247" s="764">
        <f>SUBTOTAL(9,R243:R246)</f>
        <v>0</v>
      </c>
      <c r="S247" s="766"/>
      <c r="T247" s="767"/>
    </row>
    <row r="248" spans="1:21" outlineLevel="2">
      <c r="A248" s="694">
        <f t="shared" si="28"/>
        <v>247</v>
      </c>
      <c r="B248" s="751" t="s">
        <v>678</v>
      </c>
      <c r="C248" s="735" t="s">
        <v>990</v>
      </c>
      <c r="D248" s="752">
        <v>5041</v>
      </c>
      <c r="E248" s="770" t="s">
        <v>729</v>
      </c>
      <c r="F248" s="753" t="s">
        <v>991</v>
      </c>
      <c r="G248" s="753" t="s">
        <v>689</v>
      </c>
      <c r="H248" s="752">
        <v>2013</v>
      </c>
      <c r="I248" s="754">
        <v>16500</v>
      </c>
      <c r="J248" s="755">
        <v>11100</v>
      </c>
      <c r="K248" s="754">
        <f>860+168</f>
        <v>1028</v>
      </c>
      <c r="L248" s="755">
        <v>4800</v>
      </c>
      <c r="M248" s="755">
        <v>800</v>
      </c>
      <c r="N248" s="756">
        <v>24</v>
      </c>
      <c r="O248" s="737">
        <f t="shared" si="32"/>
        <v>3</v>
      </c>
      <c r="P248" s="757"/>
      <c r="Q248" s="757"/>
      <c r="R248" s="757"/>
      <c r="S248" s="749">
        <v>0</v>
      </c>
      <c r="T248" s="758" t="s">
        <v>681</v>
      </c>
      <c r="U248" s="740">
        <f t="shared" ref="U248:U249" si="43">K248+N248</f>
        <v>1052</v>
      </c>
    </row>
    <row r="249" spans="1:21" outlineLevel="2">
      <c r="A249" s="694">
        <f t="shared" si="28"/>
        <v>248</v>
      </c>
      <c r="B249" s="751" t="s">
        <v>678</v>
      </c>
      <c r="C249" s="735" t="s">
        <v>990</v>
      </c>
      <c r="D249" s="752">
        <v>5102</v>
      </c>
      <c r="E249" s="770" t="s">
        <v>729</v>
      </c>
      <c r="F249" s="753" t="s">
        <v>992</v>
      </c>
      <c r="G249" s="753" t="s">
        <v>698</v>
      </c>
      <c r="H249" s="752">
        <v>2013</v>
      </c>
      <c r="I249" s="754">
        <v>67300</v>
      </c>
      <c r="J249" s="755">
        <v>20955</v>
      </c>
      <c r="K249" s="754">
        <f>740+742</f>
        <v>1482</v>
      </c>
      <c r="L249" s="755">
        <v>3000</v>
      </c>
      <c r="M249" s="755">
        <v>3000</v>
      </c>
      <c r="N249" s="756"/>
      <c r="O249" s="737">
        <f t="shared" si="32"/>
        <v>0</v>
      </c>
      <c r="P249" s="757"/>
      <c r="Q249" s="757"/>
      <c r="R249" s="757"/>
      <c r="S249" s="749">
        <v>0</v>
      </c>
      <c r="T249" s="758" t="s">
        <v>681</v>
      </c>
      <c r="U249" s="740">
        <f t="shared" si="43"/>
        <v>1482</v>
      </c>
    </row>
    <row r="250" spans="1:21" outlineLevel="2">
      <c r="A250" s="694">
        <f t="shared" si="28"/>
        <v>249</v>
      </c>
      <c r="B250" s="751" t="s">
        <v>678</v>
      </c>
      <c r="C250" s="735" t="s">
        <v>990</v>
      </c>
      <c r="D250" s="752">
        <v>5121</v>
      </c>
      <c r="E250" s="770" t="s">
        <v>729</v>
      </c>
      <c r="F250" s="753" t="s">
        <v>993</v>
      </c>
      <c r="G250" s="753" t="s">
        <v>698</v>
      </c>
      <c r="H250" s="753" t="s">
        <v>742</v>
      </c>
      <c r="I250" s="754">
        <v>28000</v>
      </c>
      <c r="J250" s="755"/>
      <c r="K250" s="754">
        <v>0</v>
      </c>
      <c r="L250" s="755">
        <v>700</v>
      </c>
      <c r="M250" s="755">
        <v>700</v>
      </c>
      <c r="N250" s="756"/>
      <c r="O250" s="737">
        <f t="shared" si="32"/>
        <v>0</v>
      </c>
      <c r="P250" s="757"/>
      <c r="Q250" s="757"/>
      <c r="R250" s="757"/>
      <c r="S250" s="749">
        <v>27300</v>
      </c>
      <c r="T250" s="758" t="s">
        <v>681</v>
      </c>
    </row>
    <row r="251" spans="1:21" outlineLevel="1">
      <c r="A251" s="694">
        <f t="shared" si="28"/>
        <v>250</v>
      </c>
      <c r="B251" s="760"/>
      <c r="C251" s="761" t="s">
        <v>994</v>
      </c>
      <c r="D251" s="761"/>
      <c r="E251" s="771"/>
      <c r="F251" s="762"/>
      <c r="G251" s="762"/>
      <c r="H251" s="762"/>
      <c r="I251" s="763">
        <f t="shared" ref="I251:N251" si="44">SUBTOTAL(9,I248:I250)</f>
        <v>111800</v>
      </c>
      <c r="J251" s="763">
        <f t="shared" si="44"/>
        <v>32055</v>
      </c>
      <c r="K251" s="763">
        <f t="shared" si="44"/>
        <v>2510</v>
      </c>
      <c r="L251" s="763">
        <f t="shared" si="44"/>
        <v>8500</v>
      </c>
      <c r="M251" s="763">
        <f t="shared" si="44"/>
        <v>4500</v>
      </c>
      <c r="N251" s="764">
        <f t="shared" si="44"/>
        <v>24</v>
      </c>
      <c r="O251" s="765">
        <f t="shared" si="32"/>
        <v>0.53333333333333333</v>
      </c>
      <c r="P251" s="764">
        <f>SUBTOTAL(9,P248:P250)</f>
        <v>0</v>
      </c>
      <c r="Q251" s="764">
        <f>SUBTOTAL(9,Q248:Q250)</f>
        <v>0</v>
      </c>
      <c r="R251" s="764">
        <f>SUBTOTAL(9,R248:R250)</f>
        <v>0</v>
      </c>
      <c r="S251" s="766"/>
      <c r="T251" s="767"/>
    </row>
    <row r="252" spans="1:21" ht="25.5" outlineLevel="2">
      <c r="A252" s="694">
        <f t="shared" si="28"/>
        <v>251</v>
      </c>
      <c r="B252" s="759" t="s">
        <v>886</v>
      </c>
      <c r="C252" s="752" t="s">
        <v>995</v>
      </c>
      <c r="D252" s="735">
        <v>2907</v>
      </c>
      <c r="E252" s="768"/>
      <c r="F252" s="792" t="s">
        <v>996</v>
      </c>
      <c r="G252" s="735">
        <v>2012</v>
      </c>
      <c r="H252" s="735">
        <v>2012</v>
      </c>
      <c r="I252" s="755">
        <v>1840</v>
      </c>
      <c r="J252" s="755"/>
      <c r="K252" s="755"/>
      <c r="L252" s="755"/>
      <c r="M252" s="755">
        <v>1540</v>
      </c>
      <c r="N252" s="756">
        <v>1522</v>
      </c>
      <c r="O252" s="793">
        <f t="shared" si="32"/>
        <v>98.831168831168839</v>
      </c>
      <c r="P252" s="756"/>
      <c r="Q252" s="756"/>
      <c r="R252" s="756"/>
      <c r="S252" s="749"/>
      <c r="T252" s="758" t="s">
        <v>889</v>
      </c>
      <c r="U252" s="740">
        <f>K252+N252</f>
        <v>1522</v>
      </c>
    </row>
    <row r="253" spans="1:21" outlineLevel="2">
      <c r="A253" s="694">
        <f t="shared" si="28"/>
        <v>252</v>
      </c>
      <c r="B253" s="759" t="s">
        <v>886</v>
      </c>
      <c r="C253" s="752" t="s">
        <v>995</v>
      </c>
      <c r="D253" s="735">
        <v>300700</v>
      </c>
      <c r="E253" s="768"/>
      <c r="F253" s="743" t="s">
        <v>997</v>
      </c>
      <c r="G253" s="743"/>
      <c r="H253" s="743"/>
      <c r="I253" s="755"/>
      <c r="J253" s="755"/>
      <c r="K253" s="755"/>
      <c r="L253" s="755"/>
      <c r="M253" s="755">
        <v>2160</v>
      </c>
      <c r="N253" s="756">
        <v>2144</v>
      </c>
      <c r="O253" s="737">
        <f t="shared" si="32"/>
        <v>99.259259259259252</v>
      </c>
      <c r="P253" s="756"/>
      <c r="Q253" s="756"/>
      <c r="R253" s="756"/>
      <c r="S253" s="749"/>
      <c r="T253" s="758" t="s">
        <v>889</v>
      </c>
    </row>
    <row r="254" spans="1:21" outlineLevel="2">
      <c r="A254" s="694">
        <f t="shared" si="28"/>
        <v>253</v>
      </c>
      <c r="B254" s="751" t="s">
        <v>886</v>
      </c>
      <c r="C254" s="752" t="s">
        <v>995</v>
      </c>
      <c r="D254" s="752">
        <v>300799</v>
      </c>
      <c r="E254" s="753"/>
      <c r="F254" s="753" t="s">
        <v>998</v>
      </c>
      <c r="G254" s="753"/>
      <c r="H254" s="753"/>
      <c r="I254" s="754"/>
      <c r="J254" s="754"/>
      <c r="K254" s="754">
        <f>160+470</f>
        <v>630</v>
      </c>
      <c r="L254" s="755">
        <v>0</v>
      </c>
      <c r="M254" s="755">
        <v>2991</v>
      </c>
      <c r="N254" s="756">
        <v>2991</v>
      </c>
      <c r="O254" s="737">
        <f t="shared" si="32"/>
        <v>100</v>
      </c>
      <c r="P254" s="757"/>
      <c r="Q254" s="757"/>
      <c r="R254" s="757"/>
      <c r="S254" s="749">
        <v>0</v>
      </c>
      <c r="T254" s="758" t="s">
        <v>889</v>
      </c>
    </row>
    <row r="255" spans="1:21" outlineLevel="2">
      <c r="A255" s="694">
        <f t="shared" si="28"/>
        <v>254</v>
      </c>
      <c r="B255" s="751" t="s">
        <v>886</v>
      </c>
      <c r="C255" s="752" t="s">
        <v>995</v>
      </c>
      <c r="D255" s="752">
        <v>3200</v>
      </c>
      <c r="E255" s="753"/>
      <c r="F255" s="753" t="s">
        <v>999</v>
      </c>
      <c r="G255" s="753"/>
      <c r="H255" s="753"/>
      <c r="I255" s="754"/>
      <c r="J255" s="754"/>
      <c r="K255" s="754">
        <v>20000</v>
      </c>
      <c r="L255" s="755">
        <v>0</v>
      </c>
      <c r="M255" s="755">
        <v>0</v>
      </c>
      <c r="N255" s="756"/>
      <c r="O255" s="737" t="str">
        <f t="shared" si="32"/>
        <v xml:space="preserve"> </v>
      </c>
      <c r="P255" s="757"/>
      <c r="Q255" s="757"/>
      <c r="R255" s="757"/>
      <c r="S255" s="749">
        <v>0</v>
      </c>
      <c r="T255" s="758" t="s">
        <v>889</v>
      </c>
    </row>
    <row r="256" spans="1:21" outlineLevel="2">
      <c r="A256" s="694">
        <f t="shared" si="28"/>
        <v>255</v>
      </c>
      <c r="B256" s="751" t="s">
        <v>886</v>
      </c>
      <c r="C256" s="752" t="s">
        <v>995</v>
      </c>
      <c r="D256" s="752">
        <v>3255</v>
      </c>
      <c r="E256" s="753"/>
      <c r="F256" s="753" t="s">
        <v>1000</v>
      </c>
      <c r="G256" s="753"/>
      <c r="H256" s="753"/>
      <c r="I256" s="754"/>
      <c r="J256" s="754"/>
      <c r="K256" s="754">
        <v>108405</v>
      </c>
      <c r="L256" s="755">
        <v>0</v>
      </c>
      <c r="M256" s="755">
        <v>0</v>
      </c>
      <c r="N256" s="756"/>
      <c r="O256" s="737" t="str">
        <f t="shared" si="32"/>
        <v xml:space="preserve"> </v>
      </c>
      <c r="P256" s="757"/>
      <c r="Q256" s="757"/>
      <c r="R256" s="757"/>
      <c r="S256" s="749">
        <v>0</v>
      </c>
      <c r="T256" s="758" t="s">
        <v>889</v>
      </c>
    </row>
    <row r="257" spans="1:21" outlineLevel="2">
      <c r="A257" s="694">
        <f t="shared" si="28"/>
        <v>256</v>
      </c>
      <c r="B257" s="751" t="s">
        <v>886</v>
      </c>
      <c r="C257" s="752" t="s">
        <v>995</v>
      </c>
      <c r="D257" s="752">
        <v>3265</v>
      </c>
      <c r="E257" s="753"/>
      <c r="F257" s="753" t="s">
        <v>1001</v>
      </c>
      <c r="G257" s="781"/>
      <c r="H257" s="781"/>
      <c r="I257" s="754"/>
      <c r="J257" s="754"/>
      <c r="K257" s="754">
        <v>49857</v>
      </c>
      <c r="L257" s="755">
        <v>0</v>
      </c>
      <c r="M257" s="755">
        <v>0</v>
      </c>
      <c r="N257" s="756"/>
      <c r="O257" s="737" t="str">
        <f t="shared" si="32"/>
        <v xml:space="preserve"> </v>
      </c>
      <c r="P257" s="757"/>
      <c r="Q257" s="757"/>
      <c r="R257" s="757"/>
      <c r="S257" s="749">
        <v>0</v>
      </c>
      <c r="T257" s="758" t="s">
        <v>889</v>
      </c>
    </row>
    <row r="258" spans="1:21" outlineLevel="2">
      <c r="A258" s="694">
        <f t="shared" si="28"/>
        <v>257</v>
      </c>
      <c r="B258" s="751" t="s">
        <v>886</v>
      </c>
      <c r="C258" s="752" t="s">
        <v>995</v>
      </c>
      <c r="D258" s="752">
        <v>3308</v>
      </c>
      <c r="E258" s="753"/>
      <c r="F258" s="753" t="s">
        <v>1002</v>
      </c>
      <c r="G258" s="752">
        <v>2005</v>
      </c>
      <c r="H258" s="752">
        <v>2011</v>
      </c>
      <c r="I258" s="754">
        <v>479000</v>
      </c>
      <c r="J258" s="754"/>
      <c r="K258" s="754">
        <f>470000+9000</f>
        <v>479000</v>
      </c>
      <c r="L258" s="755">
        <v>0</v>
      </c>
      <c r="M258" s="755">
        <v>0</v>
      </c>
      <c r="N258" s="756"/>
      <c r="O258" s="737" t="str">
        <f t="shared" si="32"/>
        <v xml:space="preserve"> </v>
      </c>
      <c r="P258" s="757"/>
      <c r="Q258" s="757"/>
      <c r="R258" s="757"/>
      <c r="S258" s="749">
        <v>0</v>
      </c>
      <c r="T258" s="758" t="s">
        <v>889</v>
      </c>
    </row>
    <row r="259" spans="1:21" outlineLevel="2">
      <c r="A259" s="694">
        <f t="shared" si="28"/>
        <v>258</v>
      </c>
      <c r="B259" s="751" t="s">
        <v>678</v>
      </c>
      <c r="C259" s="752" t="s">
        <v>995</v>
      </c>
      <c r="D259" s="752">
        <v>3433</v>
      </c>
      <c r="E259" s="753"/>
      <c r="F259" s="753" t="s">
        <v>1003</v>
      </c>
      <c r="G259" s="753" t="s">
        <v>714</v>
      </c>
      <c r="H259" s="752">
        <v>2016</v>
      </c>
      <c r="I259" s="755">
        <v>1977550</v>
      </c>
      <c r="J259" s="755"/>
      <c r="K259" s="754">
        <v>24177</v>
      </c>
      <c r="L259" s="755">
        <v>0</v>
      </c>
      <c r="M259" s="755">
        <v>0</v>
      </c>
      <c r="N259" s="756"/>
      <c r="O259" s="737" t="str">
        <f t="shared" si="32"/>
        <v xml:space="preserve"> </v>
      </c>
      <c r="P259" s="757"/>
      <c r="Q259" s="757"/>
      <c r="R259" s="757"/>
      <c r="S259" s="749">
        <v>0</v>
      </c>
      <c r="T259" s="758" t="s">
        <v>681</v>
      </c>
    </row>
    <row r="260" spans="1:21" outlineLevel="1">
      <c r="A260" s="694">
        <f t="shared" ref="A260:A323" si="45">A259+1</f>
        <v>259</v>
      </c>
      <c r="B260" s="760"/>
      <c r="C260" s="761" t="s">
        <v>1004</v>
      </c>
      <c r="D260" s="761"/>
      <c r="E260" s="762"/>
      <c r="F260" s="762"/>
      <c r="G260" s="762"/>
      <c r="H260" s="762"/>
      <c r="I260" s="763">
        <f t="shared" ref="I260:N260" si="46">SUBTOTAL(9,I252:I259)</f>
        <v>2458390</v>
      </c>
      <c r="J260" s="763">
        <f t="shared" si="46"/>
        <v>0</v>
      </c>
      <c r="K260" s="763">
        <f t="shared" si="46"/>
        <v>682069</v>
      </c>
      <c r="L260" s="763">
        <f t="shared" si="46"/>
        <v>0</v>
      </c>
      <c r="M260" s="763">
        <f t="shared" si="46"/>
        <v>6691</v>
      </c>
      <c r="N260" s="763">
        <f t="shared" si="46"/>
        <v>6657</v>
      </c>
      <c r="O260" s="765">
        <f t="shared" si="32"/>
        <v>99.491854730234635</v>
      </c>
      <c r="P260" s="764">
        <f>SUBTOTAL(9,P252:P259)</f>
        <v>0</v>
      </c>
      <c r="Q260" s="764">
        <f>SUBTOTAL(9,Q252:Q259)</f>
        <v>0</v>
      </c>
      <c r="R260" s="764">
        <f>SUBTOTAL(9,R252:R259)</f>
        <v>0</v>
      </c>
      <c r="S260" s="766"/>
      <c r="T260" s="767"/>
    </row>
    <row r="261" spans="1:21" outlineLevel="2">
      <c r="A261" s="694">
        <f t="shared" si="45"/>
        <v>260</v>
      </c>
      <c r="B261" s="759" t="s">
        <v>886</v>
      </c>
      <c r="C261" s="752" t="s">
        <v>1005</v>
      </c>
      <c r="D261" s="735">
        <v>300799</v>
      </c>
      <c r="E261" s="743"/>
      <c r="F261" s="753" t="s">
        <v>998</v>
      </c>
      <c r="G261" s="743"/>
      <c r="H261" s="743"/>
      <c r="I261" s="755"/>
      <c r="J261" s="755"/>
      <c r="K261" s="755"/>
      <c r="L261" s="755"/>
      <c r="M261" s="755">
        <v>260</v>
      </c>
      <c r="N261" s="755">
        <v>260</v>
      </c>
      <c r="O261" s="737">
        <f t="shared" si="32"/>
        <v>100</v>
      </c>
      <c r="P261" s="757"/>
      <c r="Q261" s="757"/>
      <c r="R261" s="757"/>
      <c r="S261" s="749"/>
      <c r="T261" s="748" t="s">
        <v>889</v>
      </c>
    </row>
    <row r="262" spans="1:21" outlineLevel="2">
      <c r="A262" s="694">
        <f t="shared" si="45"/>
        <v>261</v>
      </c>
      <c r="B262" s="751" t="s">
        <v>678</v>
      </c>
      <c r="C262" s="752" t="s">
        <v>1005</v>
      </c>
      <c r="D262" s="752">
        <v>5042</v>
      </c>
      <c r="E262" s="770" t="s">
        <v>729</v>
      </c>
      <c r="F262" s="753" t="s">
        <v>1006</v>
      </c>
      <c r="G262" s="753" t="s">
        <v>689</v>
      </c>
      <c r="H262" s="753" t="s">
        <v>742</v>
      </c>
      <c r="I262" s="754">
        <v>101500</v>
      </c>
      <c r="J262" s="755">
        <v>81000</v>
      </c>
      <c r="K262" s="754">
        <f>1</f>
        <v>1</v>
      </c>
      <c r="L262" s="755">
        <v>3500</v>
      </c>
      <c r="M262" s="755">
        <v>4892</v>
      </c>
      <c r="N262" s="756">
        <v>2173</v>
      </c>
      <c r="O262" s="737">
        <f t="shared" si="32"/>
        <v>44.419460343417825</v>
      </c>
      <c r="P262" s="757"/>
      <c r="Q262" s="757"/>
      <c r="R262" s="757"/>
      <c r="S262" s="749">
        <v>59500</v>
      </c>
      <c r="T262" s="758" t="s">
        <v>681</v>
      </c>
    </row>
    <row r="263" spans="1:21" outlineLevel="2">
      <c r="A263" s="694">
        <f t="shared" si="45"/>
        <v>262</v>
      </c>
      <c r="B263" s="751" t="s">
        <v>678</v>
      </c>
      <c r="C263" s="752" t="s">
        <v>1005</v>
      </c>
      <c r="D263" s="752">
        <v>5051</v>
      </c>
      <c r="E263" s="770" t="s">
        <v>729</v>
      </c>
      <c r="F263" s="753" t="s">
        <v>1007</v>
      </c>
      <c r="G263" s="753" t="s">
        <v>689</v>
      </c>
      <c r="H263" s="752">
        <v>2012</v>
      </c>
      <c r="I263" s="754">
        <v>32738</v>
      </c>
      <c r="J263" s="755">
        <v>20564</v>
      </c>
      <c r="K263" s="754">
        <f>30956+700</f>
        <v>31656</v>
      </c>
      <c r="L263" s="755"/>
      <c r="M263" s="755">
        <v>27</v>
      </c>
      <c r="N263" s="756">
        <v>25</v>
      </c>
      <c r="O263" s="737">
        <f t="shared" si="32"/>
        <v>92.592592592592595</v>
      </c>
      <c r="P263" s="757"/>
      <c r="Q263" s="757"/>
      <c r="R263" s="757"/>
      <c r="S263" s="749"/>
      <c r="T263" s="758" t="s">
        <v>681</v>
      </c>
      <c r="U263" s="740">
        <f t="shared" ref="U263:U266" si="47">K263+N263</f>
        <v>31681</v>
      </c>
    </row>
    <row r="264" spans="1:21" outlineLevel="2">
      <c r="A264" s="694">
        <f t="shared" si="45"/>
        <v>263</v>
      </c>
      <c r="B264" s="751" t="s">
        <v>678</v>
      </c>
      <c r="C264" s="752" t="s">
        <v>1005</v>
      </c>
      <c r="D264" s="752">
        <v>5054</v>
      </c>
      <c r="E264" s="770" t="s">
        <v>729</v>
      </c>
      <c r="F264" s="753" t="s">
        <v>1008</v>
      </c>
      <c r="G264" s="753" t="s">
        <v>689</v>
      </c>
      <c r="H264" s="752">
        <v>2012</v>
      </c>
      <c r="I264" s="754">
        <v>18500</v>
      </c>
      <c r="J264" s="755">
        <v>13762</v>
      </c>
      <c r="K264" s="754">
        <v>582</v>
      </c>
      <c r="L264" s="755">
        <v>5000</v>
      </c>
      <c r="M264" s="755">
        <v>17000</v>
      </c>
      <c r="N264" s="756">
        <v>16792</v>
      </c>
      <c r="O264" s="737">
        <f t="shared" si="32"/>
        <v>98.776470588235298</v>
      </c>
      <c r="P264" s="757"/>
      <c r="Q264" s="757"/>
      <c r="R264" s="757"/>
      <c r="S264" s="749">
        <v>0</v>
      </c>
      <c r="T264" s="758" t="s">
        <v>681</v>
      </c>
      <c r="U264" s="740">
        <f t="shared" si="47"/>
        <v>17374</v>
      </c>
    </row>
    <row r="265" spans="1:21" outlineLevel="2">
      <c r="A265" s="694">
        <f t="shared" si="45"/>
        <v>264</v>
      </c>
      <c r="B265" s="751" t="s">
        <v>678</v>
      </c>
      <c r="C265" s="752" t="s">
        <v>1005</v>
      </c>
      <c r="D265" s="752">
        <v>5055</v>
      </c>
      <c r="E265" s="770" t="s">
        <v>729</v>
      </c>
      <c r="F265" s="753" t="s">
        <v>1009</v>
      </c>
      <c r="G265" s="753" t="s">
        <v>689</v>
      </c>
      <c r="H265" s="752">
        <v>2013</v>
      </c>
      <c r="I265" s="754">
        <v>3900</v>
      </c>
      <c r="J265" s="755">
        <v>3480</v>
      </c>
      <c r="K265" s="754">
        <v>218</v>
      </c>
      <c r="L265" s="755">
        <v>0</v>
      </c>
      <c r="M265" s="755">
        <v>3</v>
      </c>
      <c r="N265" s="756"/>
      <c r="O265" s="737">
        <f t="shared" si="32"/>
        <v>0</v>
      </c>
      <c r="P265" s="757"/>
      <c r="Q265" s="757"/>
      <c r="R265" s="757"/>
      <c r="S265" s="749">
        <v>0</v>
      </c>
      <c r="T265" s="758" t="s">
        <v>681</v>
      </c>
      <c r="U265" s="740">
        <f t="shared" si="47"/>
        <v>218</v>
      </c>
    </row>
    <row r="266" spans="1:21" outlineLevel="2">
      <c r="A266" s="694">
        <f t="shared" si="45"/>
        <v>265</v>
      </c>
      <c r="B266" s="751" t="s">
        <v>678</v>
      </c>
      <c r="C266" s="752" t="s">
        <v>1005</v>
      </c>
      <c r="D266" s="752">
        <v>5057</v>
      </c>
      <c r="E266" s="770" t="s">
        <v>729</v>
      </c>
      <c r="F266" s="753" t="s">
        <v>1010</v>
      </c>
      <c r="G266" s="753" t="s">
        <v>689</v>
      </c>
      <c r="H266" s="752">
        <v>2012</v>
      </c>
      <c r="I266" s="754">
        <v>6922</v>
      </c>
      <c r="J266" s="755">
        <v>3044</v>
      </c>
      <c r="K266" s="754">
        <f>96+35</f>
        <v>131</v>
      </c>
      <c r="L266" s="755">
        <v>6181</v>
      </c>
      <c r="M266" s="755">
        <v>6791</v>
      </c>
      <c r="N266" s="756">
        <v>5060</v>
      </c>
      <c r="O266" s="737">
        <f t="shared" si="32"/>
        <v>74.510381387130025</v>
      </c>
      <c r="P266" s="757"/>
      <c r="Q266" s="757"/>
      <c r="R266" s="757"/>
      <c r="S266" s="749">
        <v>0</v>
      </c>
      <c r="T266" s="758" t="s">
        <v>681</v>
      </c>
      <c r="U266" s="740">
        <f t="shared" si="47"/>
        <v>5191</v>
      </c>
    </row>
    <row r="267" spans="1:21" outlineLevel="2">
      <c r="A267" s="694">
        <f t="shared" si="45"/>
        <v>266</v>
      </c>
      <c r="B267" s="751" t="s">
        <v>678</v>
      </c>
      <c r="C267" s="752" t="s">
        <v>1005</v>
      </c>
      <c r="D267" s="752">
        <v>5157</v>
      </c>
      <c r="E267" s="770" t="s">
        <v>729</v>
      </c>
      <c r="F267" s="743" t="s">
        <v>1011</v>
      </c>
      <c r="G267" s="752">
        <v>2012</v>
      </c>
      <c r="H267" s="752">
        <v>2014</v>
      </c>
      <c r="I267" s="754">
        <v>6700</v>
      </c>
      <c r="J267" s="755">
        <v>2300</v>
      </c>
      <c r="K267" s="754"/>
      <c r="L267" s="755"/>
      <c r="M267" s="755">
        <v>200</v>
      </c>
      <c r="N267" s="756"/>
      <c r="O267" s="737"/>
      <c r="P267" s="757"/>
      <c r="Q267" s="757"/>
      <c r="R267" s="757"/>
      <c r="S267" s="749"/>
      <c r="T267" s="758" t="s">
        <v>681</v>
      </c>
    </row>
    <row r="268" spans="1:21" outlineLevel="1">
      <c r="A268" s="694">
        <f t="shared" si="45"/>
        <v>267</v>
      </c>
      <c r="B268" s="760"/>
      <c r="C268" s="761" t="s">
        <v>1012</v>
      </c>
      <c r="D268" s="761"/>
      <c r="E268" s="771"/>
      <c r="F268" s="762"/>
      <c r="G268" s="762"/>
      <c r="H268" s="761"/>
      <c r="I268" s="763">
        <f t="shared" ref="I268:N268" si="48">SUBTOTAL(9,I261:I267)</f>
        <v>170260</v>
      </c>
      <c r="J268" s="763">
        <f t="shared" si="48"/>
        <v>124150</v>
      </c>
      <c r="K268" s="763">
        <f t="shared" si="48"/>
        <v>32588</v>
      </c>
      <c r="L268" s="763">
        <f t="shared" si="48"/>
        <v>14681</v>
      </c>
      <c r="M268" s="763">
        <f t="shared" si="48"/>
        <v>29173</v>
      </c>
      <c r="N268" s="764">
        <f t="shared" si="48"/>
        <v>24310</v>
      </c>
      <c r="O268" s="765">
        <f>IF(M268&lt;=0," ",N268/M268*100)</f>
        <v>83.330476810749659</v>
      </c>
      <c r="P268" s="764">
        <f>SUBTOTAL(9,P261:P267)</f>
        <v>0</v>
      </c>
      <c r="Q268" s="764">
        <f>SUBTOTAL(9,Q261:Q267)</f>
        <v>0</v>
      </c>
      <c r="R268" s="764">
        <f>SUBTOTAL(9,R261:R267)</f>
        <v>0</v>
      </c>
      <c r="S268" s="766"/>
      <c r="T268" s="767"/>
    </row>
    <row r="269" spans="1:21" s="708" customFormat="1" outlineLevel="2">
      <c r="A269" s="694">
        <f t="shared" si="45"/>
        <v>268</v>
      </c>
      <c r="B269" s="759" t="s">
        <v>678</v>
      </c>
      <c r="C269" s="735" t="s">
        <v>1013</v>
      </c>
      <c r="D269" s="735">
        <v>5144</v>
      </c>
      <c r="E269" s="768" t="s">
        <v>729</v>
      </c>
      <c r="F269" s="743" t="s">
        <v>1014</v>
      </c>
      <c r="G269" s="775" t="s">
        <v>734</v>
      </c>
      <c r="H269" s="775" t="s">
        <v>760</v>
      </c>
      <c r="I269" s="755">
        <v>14080</v>
      </c>
      <c r="J269" s="755">
        <v>9899</v>
      </c>
      <c r="K269" s="794"/>
      <c r="L269" s="794"/>
      <c r="M269" s="755">
        <v>1200</v>
      </c>
      <c r="N269" s="756">
        <v>132</v>
      </c>
      <c r="O269" s="737">
        <f t="shared" si="32"/>
        <v>11</v>
      </c>
      <c r="P269" s="795"/>
      <c r="Q269" s="795"/>
      <c r="R269" s="795"/>
      <c r="S269" s="796"/>
      <c r="T269" s="748" t="s">
        <v>681</v>
      </c>
    </row>
    <row r="270" spans="1:21" s="708" customFormat="1" outlineLevel="1">
      <c r="A270" s="694">
        <f t="shared" si="45"/>
        <v>269</v>
      </c>
      <c r="B270" s="760"/>
      <c r="C270" s="761" t="s">
        <v>1015</v>
      </c>
      <c r="D270" s="761"/>
      <c r="E270" s="771"/>
      <c r="F270" s="762"/>
      <c r="G270" s="777"/>
      <c r="H270" s="777"/>
      <c r="I270" s="763">
        <f t="shared" ref="I270:N270" si="49">SUBTOTAL(9,I269:I269)</f>
        <v>14080</v>
      </c>
      <c r="J270" s="763">
        <f t="shared" si="49"/>
        <v>9899</v>
      </c>
      <c r="K270" s="763">
        <f t="shared" si="49"/>
        <v>0</v>
      </c>
      <c r="L270" s="763">
        <f t="shared" si="49"/>
        <v>0</v>
      </c>
      <c r="M270" s="763">
        <f t="shared" si="49"/>
        <v>1200</v>
      </c>
      <c r="N270" s="764">
        <f t="shared" si="49"/>
        <v>132</v>
      </c>
      <c r="O270" s="765">
        <f t="shared" si="32"/>
        <v>11</v>
      </c>
      <c r="P270" s="764">
        <f>SUBTOTAL(9,P269:P269)</f>
        <v>0</v>
      </c>
      <c r="Q270" s="764">
        <f>SUBTOTAL(9,Q269:Q269)</f>
        <v>0</v>
      </c>
      <c r="R270" s="764">
        <f>SUBTOTAL(9,R269:R269)</f>
        <v>0</v>
      </c>
      <c r="S270" s="766"/>
      <c r="T270" s="767"/>
    </row>
    <row r="271" spans="1:21" outlineLevel="2">
      <c r="A271" s="694">
        <f t="shared" si="45"/>
        <v>270</v>
      </c>
      <c r="B271" s="751" t="s">
        <v>1016</v>
      </c>
      <c r="C271" s="752" t="s">
        <v>1017</v>
      </c>
      <c r="D271" s="752">
        <v>30049108</v>
      </c>
      <c r="E271" s="753"/>
      <c r="F271" s="753" t="s">
        <v>1018</v>
      </c>
      <c r="G271" s="753"/>
      <c r="H271" s="753"/>
      <c r="I271" s="754"/>
      <c r="J271" s="754"/>
      <c r="K271" s="754">
        <f>863+78</f>
        <v>941</v>
      </c>
      <c r="L271" s="755">
        <v>0</v>
      </c>
      <c r="M271" s="755">
        <v>0</v>
      </c>
      <c r="N271" s="756"/>
      <c r="O271" s="737" t="str">
        <f t="shared" si="32"/>
        <v xml:space="preserve"> </v>
      </c>
      <c r="P271" s="757"/>
      <c r="Q271" s="757"/>
      <c r="R271" s="757"/>
      <c r="S271" s="749">
        <v>0</v>
      </c>
      <c r="T271" s="758" t="s">
        <v>1019</v>
      </c>
    </row>
    <row r="272" spans="1:21" outlineLevel="2">
      <c r="A272" s="694">
        <f t="shared" si="45"/>
        <v>271</v>
      </c>
      <c r="B272" s="751" t="s">
        <v>678</v>
      </c>
      <c r="C272" s="752" t="s">
        <v>1017</v>
      </c>
      <c r="D272" s="752">
        <v>3075</v>
      </c>
      <c r="E272" s="753"/>
      <c r="F272" s="753" t="s">
        <v>1020</v>
      </c>
      <c r="G272" s="753" t="s">
        <v>689</v>
      </c>
      <c r="H272" s="752">
        <v>2016</v>
      </c>
      <c r="I272" s="754">
        <v>98900</v>
      </c>
      <c r="J272" s="754"/>
      <c r="K272" s="754">
        <f>2203+2685</f>
        <v>4888</v>
      </c>
      <c r="L272" s="755">
        <v>3515</v>
      </c>
      <c r="M272" s="755"/>
      <c r="N272" s="756"/>
      <c r="O272" s="737" t="str">
        <f t="shared" si="32"/>
        <v xml:space="preserve"> </v>
      </c>
      <c r="P272" s="757"/>
      <c r="Q272" s="757"/>
      <c r="R272" s="757"/>
      <c r="S272" s="749">
        <v>90496</v>
      </c>
      <c r="T272" s="758" t="s">
        <v>681</v>
      </c>
    </row>
    <row r="273" spans="1:21" outlineLevel="2">
      <c r="A273" s="694">
        <f t="shared" si="45"/>
        <v>272</v>
      </c>
      <c r="B273" s="751" t="s">
        <v>678</v>
      </c>
      <c r="C273" s="752" t="s">
        <v>1017</v>
      </c>
      <c r="D273" s="752">
        <v>3439</v>
      </c>
      <c r="E273" s="753"/>
      <c r="F273" s="753" t="s">
        <v>1021</v>
      </c>
      <c r="G273" s="753" t="s">
        <v>775</v>
      </c>
      <c r="H273" s="753" t="s">
        <v>699</v>
      </c>
      <c r="I273" s="754">
        <v>61774</v>
      </c>
      <c r="J273" s="754"/>
      <c r="K273" s="754">
        <v>9388</v>
      </c>
      <c r="L273" s="755">
        <v>0</v>
      </c>
      <c r="M273" s="755">
        <v>0</v>
      </c>
      <c r="N273" s="756"/>
      <c r="O273" s="737" t="str">
        <f t="shared" si="32"/>
        <v xml:space="preserve"> </v>
      </c>
      <c r="P273" s="757"/>
      <c r="Q273" s="757"/>
      <c r="R273" s="757"/>
      <c r="S273" s="749">
        <v>52386</v>
      </c>
      <c r="T273" s="758" t="s">
        <v>681</v>
      </c>
    </row>
    <row r="274" spans="1:21" outlineLevel="1">
      <c r="A274" s="694">
        <f t="shared" si="45"/>
        <v>273</v>
      </c>
      <c r="B274" s="797"/>
      <c r="C274" s="761" t="s">
        <v>1022</v>
      </c>
      <c r="D274" s="798"/>
      <c r="E274" s="799"/>
      <c r="F274" s="799"/>
      <c r="G274" s="799"/>
      <c r="H274" s="799"/>
      <c r="I274" s="763">
        <f t="shared" ref="I274:N274" si="50">SUBTOTAL(9,I271:I273)</f>
        <v>160674</v>
      </c>
      <c r="J274" s="763">
        <f t="shared" si="50"/>
        <v>0</v>
      </c>
      <c r="K274" s="763">
        <f t="shared" si="50"/>
        <v>15217</v>
      </c>
      <c r="L274" s="763">
        <f t="shared" si="50"/>
        <v>3515</v>
      </c>
      <c r="M274" s="763">
        <f t="shared" si="50"/>
        <v>0</v>
      </c>
      <c r="N274" s="764">
        <f t="shared" si="50"/>
        <v>0</v>
      </c>
      <c r="O274" s="765" t="str">
        <f t="shared" si="32"/>
        <v xml:space="preserve"> </v>
      </c>
      <c r="P274" s="764">
        <f>SUBTOTAL(9,P271:P273)</f>
        <v>0</v>
      </c>
      <c r="Q274" s="764">
        <f>SUBTOTAL(9,Q271:Q273)</f>
        <v>0</v>
      </c>
      <c r="R274" s="764">
        <f>SUBTOTAL(9,R271:R273)</f>
        <v>0</v>
      </c>
      <c r="S274" s="766"/>
      <c r="T274" s="767"/>
    </row>
    <row r="275" spans="1:21" outlineLevel="2">
      <c r="A275" s="694">
        <f t="shared" si="45"/>
        <v>274</v>
      </c>
      <c r="B275" s="742">
        <v>5600</v>
      </c>
      <c r="C275" s="735" t="s">
        <v>1023</v>
      </c>
      <c r="D275" s="735">
        <v>2921</v>
      </c>
      <c r="E275" s="743"/>
      <c r="F275" s="743" t="s">
        <v>1024</v>
      </c>
      <c r="G275" s="735">
        <v>2011</v>
      </c>
      <c r="H275" s="735">
        <v>2013</v>
      </c>
      <c r="I275" s="755">
        <v>3400</v>
      </c>
      <c r="J275" s="755"/>
      <c r="K275" s="755">
        <f>3400</f>
        <v>3400</v>
      </c>
      <c r="L275" s="755"/>
      <c r="M275" s="755"/>
      <c r="N275" s="756"/>
      <c r="O275" s="737" t="str">
        <f t="shared" si="32"/>
        <v xml:space="preserve"> </v>
      </c>
      <c r="P275" s="757"/>
      <c r="Q275" s="757"/>
      <c r="R275" s="757"/>
      <c r="S275" s="749">
        <v>0</v>
      </c>
      <c r="T275" s="748" t="s">
        <v>681</v>
      </c>
    </row>
    <row r="276" spans="1:21" s="708" customFormat="1" outlineLevel="2">
      <c r="A276" s="694">
        <f t="shared" si="45"/>
        <v>275</v>
      </c>
      <c r="B276" s="742">
        <v>5600</v>
      </c>
      <c r="C276" s="735" t="s">
        <v>1023</v>
      </c>
      <c r="D276" s="735">
        <v>2923</v>
      </c>
      <c r="E276" s="743"/>
      <c r="F276" s="743" t="s">
        <v>1025</v>
      </c>
      <c r="G276" s="735">
        <v>2012</v>
      </c>
      <c r="H276" s="735">
        <v>2013</v>
      </c>
      <c r="I276" s="755">
        <v>17000</v>
      </c>
      <c r="J276" s="755"/>
      <c r="K276" s="755"/>
      <c r="L276" s="755">
        <v>5000</v>
      </c>
      <c r="M276" s="755">
        <v>17000</v>
      </c>
      <c r="N276" s="756">
        <v>17000</v>
      </c>
      <c r="O276" s="737">
        <f t="shared" si="32"/>
        <v>100</v>
      </c>
      <c r="P276" s="757"/>
      <c r="Q276" s="757"/>
      <c r="R276" s="757"/>
      <c r="S276" s="749">
        <v>0</v>
      </c>
      <c r="T276" s="748" t="s">
        <v>1026</v>
      </c>
    </row>
    <row r="277" spans="1:21" s="708" customFormat="1" outlineLevel="2">
      <c r="A277" s="694">
        <f t="shared" si="45"/>
        <v>276</v>
      </c>
      <c r="B277" s="742" t="s">
        <v>1016</v>
      </c>
      <c r="C277" s="735" t="s">
        <v>1023</v>
      </c>
      <c r="D277" s="735">
        <v>30049147</v>
      </c>
      <c r="E277" s="743">
        <v>352</v>
      </c>
      <c r="F277" s="743" t="s">
        <v>1027</v>
      </c>
      <c r="G277" s="735"/>
      <c r="H277" s="735"/>
      <c r="I277" s="755"/>
      <c r="J277" s="755"/>
      <c r="K277" s="755"/>
      <c r="L277" s="755"/>
      <c r="M277" s="755">
        <v>500</v>
      </c>
      <c r="N277" s="756">
        <v>500</v>
      </c>
      <c r="O277" s="737"/>
      <c r="P277" s="757"/>
      <c r="Q277" s="757"/>
      <c r="R277" s="757"/>
      <c r="S277" s="749"/>
      <c r="T277" s="748" t="s">
        <v>1019</v>
      </c>
    </row>
    <row r="278" spans="1:21" s="708" customFormat="1" outlineLevel="1">
      <c r="A278" s="694">
        <f t="shared" si="45"/>
        <v>277</v>
      </c>
      <c r="B278" s="800"/>
      <c r="C278" s="761" t="s">
        <v>1028</v>
      </c>
      <c r="D278" s="798"/>
      <c r="E278" s="799"/>
      <c r="F278" s="799"/>
      <c r="G278" s="798"/>
      <c r="H278" s="798"/>
      <c r="I278" s="763">
        <f t="shared" ref="I278:N278" si="51">SUBTOTAL(9,I275:I277)</f>
        <v>20400</v>
      </c>
      <c r="J278" s="763">
        <f t="shared" si="51"/>
        <v>0</v>
      </c>
      <c r="K278" s="763">
        <f t="shared" si="51"/>
        <v>3400</v>
      </c>
      <c r="L278" s="763">
        <f t="shared" si="51"/>
        <v>5000</v>
      </c>
      <c r="M278" s="763">
        <f t="shared" si="51"/>
        <v>17500</v>
      </c>
      <c r="N278" s="763">
        <f t="shared" si="51"/>
        <v>17500</v>
      </c>
      <c r="O278" s="765">
        <f>IF(M278&lt;=0," ",N278/M278*100)</f>
        <v>100</v>
      </c>
      <c r="P278" s="764">
        <f>SUBTOTAL(9,P275:P276)</f>
        <v>0</v>
      </c>
      <c r="Q278" s="764">
        <f>SUBTOTAL(9,Q275:Q276)</f>
        <v>0</v>
      </c>
      <c r="R278" s="764">
        <f>SUBTOTAL(9,R275:R276)</f>
        <v>0</v>
      </c>
      <c r="S278" s="766"/>
      <c r="T278" s="767"/>
    </row>
    <row r="279" spans="1:21" s="708" customFormat="1" outlineLevel="2">
      <c r="A279" s="694">
        <f t="shared" si="45"/>
        <v>278</v>
      </c>
      <c r="B279" s="742">
        <v>5600</v>
      </c>
      <c r="C279" s="735" t="s">
        <v>1029</v>
      </c>
      <c r="D279" s="735">
        <v>2939</v>
      </c>
      <c r="E279" s="743"/>
      <c r="F279" s="743" t="s">
        <v>1030</v>
      </c>
      <c r="G279" s="775"/>
      <c r="H279" s="775"/>
      <c r="I279" s="755"/>
      <c r="J279" s="755"/>
      <c r="K279" s="755">
        <f>1098</f>
        <v>1098</v>
      </c>
      <c r="L279" s="755">
        <v>0</v>
      </c>
      <c r="M279" s="755"/>
      <c r="N279" s="756"/>
      <c r="O279" s="737" t="str">
        <f t="shared" ref="O279:O342" si="52">IF(M279&lt;=0," ",N279/M279*100)</f>
        <v xml:space="preserve"> </v>
      </c>
      <c r="P279" s="756"/>
      <c r="Q279" s="756"/>
      <c r="R279" s="756"/>
      <c r="S279" s="749">
        <v>0</v>
      </c>
      <c r="T279" s="748" t="s">
        <v>681</v>
      </c>
    </row>
    <row r="280" spans="1:21" s="708" customFormat="1" outlineLevel="2">
      <c r="A280" s="694">
        <f t="shared" si="45"/>
        <v>279</v>
      </c>
      <c r="B280" s="742">
        <v>7100</v>
      </c>
      <c r="C280" s="735" t="s">
        <v>1029</v>
      </c>
      <c r="D280" s="735">
        <v>30049119</v>
      </c>
      <c r="E280" s="743"/>
      <c r="F280" s="743" t="s">
        <v>1031</v>
      </c>
      <c r="G280" s="775"/>
      <c r="H280" s="775"/>
      <c r="I280" s="755"/>
      <c r="J280" s="755"/>
      <c r="K280" s="755">
        <f>13900</f>
        <v>13900</v>
      </c>
      <c r="L280" s="755"/>
      <c r="M280" s="755"/>
      <c r="N280" s="756"/>
      <c r="O280" s="737" t="str">
        <f t="shared" si="52"/>
        <v xml:space="preserve"> </v>
      </c>
      <c r="P280" s="756"/>
      <c r="Q280" s="756"/>
      <c r="R280" s="756"/>
      <c r="S280" s="749"/>
      <c r="T280" s="748" t="s">
        <v>1019</v>
      </c>
    </row>
    <row r="281" spans="1:21" s="708" customFormat="1" outlineLevel="1">
      <c r="A281" s="694">
        <f t="shared" si="45"/>
        <v>280</v>
      </c>
      <c r="B281" s="801"/>
      <c r="C281" s="761" t="s">
        <v>1032</v>
      </c>
      <c r="D281" s="761"/>
      <c r="E281" s="762"/>
      <c r="F281" s="762"/>
      <c r="G281" s="777"/>
      <c r="H281" s="777"/>
      <c r="I281" s="763">
        <f t="shared" ref="I281:N281" si="53">SUBTOTAL(9,I279:I280)</f>
        <v>0</v>
      </c>
      <c r="J281" s="763">
        <f t="shared" si="53"/>
        <v>0</v>
      </c>
      <c r="K281" s="763">
        <f t="shared" si="53"/>
        <v>14998</v>
      </c>
      <c r="L281" s="763">
        <f t="shared" si="53"/>
        <v>0</v>
      </c>
      <c r="M281" s="763">
        <f t="shared" si="53"/>
        <v>0</v>
      </c>
      <c r="N281" s="764">
        <f t="shared" si="53"/>
        <v>0</v>
      </c>
      <c r="O281" s="765" t="str">
        <f t="shared" si="52"/>
        <v xml:space="preserve"> </v>
      </c>
      <c r="P281" s="764">
        <f>SUBTOTAL(9,P279:P280)</f>
        <v>0</v>
      </c>
      <c r="Q281" s="764">
        <f>SUBTOTAL(9,Q279:Q280)</f>
        <v>0</v>
      </c>
      <c r="R281" s="764">
        <f>SUBTOTAL(9,R279:R280)</f>
        <v>0</v>
      </c>
      <c r="S281" s="766"/>
      <c r="T281" s="767"/>
    </row>
    <row r="282" spans="1:21" outlineLevel="2">
      <c r="A282" s="694">
        <f t="shared" si="45"/>
        <v>281</v>
      </c>
      <c r="B282" s="751" t="s">
        <v>678</v>
      </c>
      <c r="C282" s="752" t="s">
        <v>1033</v>
      </c>
      <c r="D282" s="752">
        <v>3223</v>
      </c>
      <c r="E282" s="753"/>
      <c r="F282" s="753" t="s">
        <v>1034</v>
      </c>
      <c r="G282" s="753" t="s">
        <v>695</v>
      </c>
      <c r="H282" s="752">
        <v>2012</v>
      </c>
      <c r="I282" s="754">
        <v>149000</v>
      </c>
      <c r="J282" s="754"/>
      <c r="K282" s="754">
        <f>29957+114991</f>
        <v>144948</v>
      </c>
      <c r="L282" s="755">
        <v>4000</v>
      </c>
      <c r="M282" s="755">
        <v>3501</v>
      </c>
      <c r="N282" s="756">
        <v>2922</v>
      </c>
      <c r="O282" s="737">
        <f t="shared" si="52"/>
        <v>83.46186803770351</v>
      </c>
      <c r="P282" s="757"/>
      <c r="Q282" s="757"/>
      <c r="R282" s="757"/>
      <c r="S282" s="749">
        <v>0</v>
      </c>
      <c r="T282" s="758" t="s">
        <v>681</v>
      </c>
      <c r="U282" s="740">
        <f>K282+N282</f>
        <v>147870</v>
      </c>
    </row>
    <row r="283" spans="1:21" outlineLevel="1">
      <c r="A283" s="694">
        <f t="shared" si="45"/>
        <v>282</v>
      </c>
      <c r="B283" s="760"/>
      <c r="C283" s="761" t="s">
        <v>1035</v>
      </c>
      <c r="D283" s="761"/>
      <c r="E283" s="762"/>
      <c r="F283" s="762"/>
      <c r="G283" s="762"/>
      <c r="H283" s="761"/>
      <c r="I283" s="763">
        <f t="shared" ref="I283:N283" si="54">SUBTOTAL(9,I282:I282)</f>
        <v>149000</v>
      </c>
      <c r="J283" s="763">
        <f t="shared" si="54"/>
        <v>0</v>
      </c>
      <c r="K283" s="763">
        <f t="shared" si="54"/>
        <v>144948</v>
      </c>
      <c r="L283" s="763">
        <f t="shared" si="54"/>
        <v>4000</v>
      </c>
      <c r="M283" s="763">
        <f t="shared" si="54"/>
        <v>3501</v>
      </c>
      <c r="N283" s="764">
        <f t="shared" si="54"/>
        <v>2922</v>
      </c>
      <c r="O283" s="765">
        <f t="shared" si="52"/>
        <v>83.46186803770351</v>
      </c>
      <c r="P283" s="764">
        <f>SUBTOTAL(9,P282:P282)</f>
        <v>0</v>
      </c>
      <c r="Q283" s="764">
        <f>SUBTOTAL(9,Q282:Q282)</f>
        <v>0</v>
      </c>
      <c r="R283" s="764">
        <f>SUBTOTAL(9,R282:R282)</f>
        <v>0</v>
      </c>
      <c r="S283" s="766"/>
      <c r="T283" s="767"/>
    </row>
    <row r="284" spans="1:21" outlineLevel="2">
      <c r="A284" s="694">
        <f t="shared" si="45"/>
        <v>283</v>
      </c>
      <c r="B284" s="751" t="s">
        <v>1016</v>
      </c>
      <c r="C284" s="752" t="s">
        <v>1036</v>
      </c>
      <c r="D284" s="752">
        <v>3078</v>
      </c>
      <c r="E284" s="753"/>
      <c r="F284" s="753" t="s">
        <v>1037</v>
      </c>
      <c r="G284" s="753" t="s">
        <v>689</v>
      </c>
      <c r="H284" s="752">
        <v>2013</v>
      </c>
      <c r="I284" s="754">
        <v>2540</v>
      </c>
      <c r="J284" s="754"/>
      <c r="K284" s="754">
        <f>540+771</f>
        <v>1311</v>
      </c>
      <c r="L284" s="755">
        <v>1000</v>
      </c>
      <c r="M284" s="755"/>
      <c r="N284" s="756"/>
      <c r="O284" s="737" t="str">
        <f t="shared" si="52"/>
        <v xml:space="preserve"> </v>
      </c>
      <c r="P284" s="757"/>
      <c r="Q284" s="757"/>
      <c r="R284" s="757"/>
      <c r="S284" s="749">
        <v>0</v>
      </c>
      <c r="T284" s="758" t="s">
        <v>1019</v>
      </c>
    </row>
    <row r="285" spans="1:21" outlineLevel="1">
      <c r="A285" s="694">
        <f t="shared" si="45"/>
        <v>284</v>
      </c>
      <c r="B285" s="760"/>
      <c r="C285" s="761" t="s">
        <v>1038</v>
      </c>
      <c r="D285" s="761"/>
      <c r="E285" s="762"/>
      <c r="F285" s="762"/>
      <c r="G285" s="762"/>
      <c r="H285" s="761"/>
      <c r="I285" s="763">
        <f t="shared" ref="I285:N285" si="55">SUBTOTAL(9,I284:I284)</f>
        <v>2540</v>
      </c>
      <c r="J285" s="763">
        <f t="shared" si="55"/>
        <v>0</v>
      </c>
      <c r="K285" s="763">
        <f t="shared" si="55"/>
        <v>1311</v>
      </c>
      <c r="L285" s="763">
        <f t="shared" si="55"/>
        <v>1000</v>
      </c>
      <c r="M285" s="763">
        <f t="shared" si="55"/>
        <v>0</v>
      </c>
      <c r="N285" s="764">
        <f t="shared" si="55"/>
        <v>0</v>
      </c>
      <c r="O285" s="765" t="str">
        <f t="shared" si="52"/>
        <v xml:space="preserve"> </v>
      </c>
      <c r="P285" s="764">
        <f>SUBTOTAL(9,P284:P284)</f>
        <v>0</v>
      </c>
      <c r="Q285" s="764">
        <f>SUBTOTAL(9,Q284:Q284)</f>
        <v>0</v>
      </c>
      <c r="R285" s="764">
        <f>SUBTOTAL(9,R284:R284)</f>
        <v>0</v>
      </c>
      <c r="S285" s="766"/>
      <c r="T285" s="767"/>
    </row>
    <row r="286" spans="1:21" ht="25.5" outlineLevel="2">
      <c r="A286" s="694">
        <f t="shared" si="45"/>
        <v>285</v>
      </c>
      <c r="B286" s="759" t="s">
        <v>180</v>
      </c>
      <c r="C286" s="735" t="s">
        <v>1039</v>
      </c>
      <c r="D286" s="735">
        <v>2905</v>
      </c>
      <c r="E286" s="743">
        <v>41</v>
      </c>
      <c r="F286" s="792" t="s">
        <v>1040</v>
      </c>
      <c r="G286" s="735">
        <v>2012</v>
      </c>
      <c r="H286" s="735">
        <v>2014</v>
      </c>
      <c r="I286" s="755">
        <v>8000</v>
      </c>
      <c r="J286" s="755"/>
      <c r="K286" s="755"/>
      <c r="L286" s="755"/>
      <c r="M286" s="755">
        <v>400</v>
      </c>
      <c r="N286" s="756">
        <v>70</v>
      </c>
      <c r="O286" s="737">
        <f t="shared" si="52"/>
        <v>17.5</v>
      </c>
      <c r="P286" s="756"/>
      <c r="Q286" s="756"/>
      <c r="R286" s="756"/>
      <c r="S286" s="749"/>
      <c r="T286" s="748" t="s">
        <v>1041</v>
      </c>
    </row>
    <row r="287" spans="1:21" s="708" customFormat="1" outlineLevel="2">
      <c r="A287" s="694">
        <f t="shared" si="45"/>
        <v>286</v>
      </c>
      <c r="B287" s="742">
        <v>6600</v>
      </c>
      <c r="C287" s="735" t="s">
        <v>1039</v>
      </c>
      <c r="D287" s="735">
        <v>2925</v>
      </c>
      <c r="E287" s="743">
        <v>41</v>
      </c>
      <c r="F287" s="743" t="s">
        <v>1042</v>
      </c>
      <c r="G287" s="735">
        <v>2012</v>
      </c>
      <c r="H287" s="735">
        <v>2015</v>
      </c>
      <c r="I287" s="755">
        <v>15000</v>
      </c>
      <c r="J287" s="755"/>
      <c r="K287" s="755"/>
      <c r="L287" s="755">
        <v>5000</v>
      </c>
      <c r="M287" s="755">
        <v>5000</v>
      </c>
      <c r="N287" s="756">
        <v>112</v>
      </c>
      <c r="O287" s="737">
        <f t="shared" si="52"/>
        <v>2.2399999999999998</v>
      </c>
      <c r="P287" s="757"/>
      <c r="Q287" s="757"/>
      <c r="R287" s="757"/>
      <c r="S287" s="749">
        <v>10000</v>
      </c>
      <c r="T287" s="802" t="s">
        <v>1043</v>
      </c>
    </row>
    <row r="288" spans="1:21" s="708" customFormat="1" outlineLevel="2">
      <c r="A288" s="694">
        <f t="shared" si="45"/>
        <v>287</v>
      </c>
      <c r="B288" s="742" t="s">
        <v>180</v>
      </c>
      <c r="C288" s="735" t="s">
        <v>1039</v>
      </c>
      <c r="D288" s="735">
        <v>2932</v>
      </c>
      <c r="E288" s="743">
        <v>41</v>
      </c>
      <c r="F288" s="743" t="s">
        <v>1044</v>
      </c>
      <c r="G288" s="735">
        <v>2011</v>
      </c>
      <c r="H288" s="735">
        <v>2015</v>
      </c>
      <c r="I288" s="755">
        <v>240000</v>
      </c>
      <c r="J288" s="755"/>
      <c r="K288" s="755"/>
      <c r="L288" s="755"/>
      <c r="M288" s="755">
        <v>600</v>
      </c>
      <c r="N288" s="756">
        <v>322</v>
      </c>
      <c r="O288" s="737">
        <f t="shared" si="52"/>
        <v>53.666666666666664</v>
      </c>
      <c r="P288" s="757"/>
      <c r="Q288" s="757"/>
      <c r="R288" s="757"/>
      <c r="S288" s="749"/>
      <c r="T288" s="802" t="s">
        <v>1041</v>
      </c>
    </row>
    <row r="289" spans="1:21" outlineLevel="2">
      <c r="A289" s="694">
        <f t="shared" si="45"/>
        <v>288</v>
      </c>
      <c r="B289" s="751" t="s">
        <v>180</v>
      </c>
      <c r="C289" s="735" t="s">
        <v>1039</v>
      </c>
      <c r="D289" s="752">
        <v>2978</v>
      </c>
      <c r="E289" s="753">
        <v>41</v>
      </c>
      <c r="F289" s="753" t="s">
        <v>1045</v>
      </c>
      <c r="G289" s="753" t="s">
        <v>698</v>
      </c>
      <c r="H289" s="752">
        <v>2014</v>
      </c>
      <c r="I289" s="754">
        <v>300000</v>
      </c>
      <c r="J289" s="754"/>
      <c r="K289" s="754">
        <f>96</f>
        <v>96</v>
      </c>
      <c r="L289" s="755">
        <v>200000</v>
      </c>
      <c r="M289" s="755">
        <v>104</v>
      </c>
      <c r="N289" s="756"/>
      <c r="O289" s="737">
        <f t="shared" si="52"/>
        <v>0</v>
      </c>
      <c r="P289" s="757"/>
      <c r="Q289" s="757"/>
      <c r="R289" s="757"/>
      <c r="S289" s="749">
        <v>99800</v>
      </c>
      <c r="T289" s="758" t="s">
        <v>1041</v>
      </c>
    </row>
    <row r="290" spans="1:21" outlineLevel="2">
      <c r="A290" s="694">
        <f t="shared" si="45"/>
        <v>289</v>
      </c>
      <c r="B290" s="751" t="s">
        <v>180</v>
      </c>
      <c r="C290" s="735" t="s">
        <v>1039</v>
      </c>
      <c r="D290" s="752">
        <v>301499</v>
      </c>
      <c r="E290" s="753">
        <v>41</v>
      </c>
      <c r="F290" s="743" t="s">
        <v>1046</v>
      </c>
      <c r="G290" s="753"/>
      <c r="H290" s="753"/>
      <c r="I290" s="754"/>
      <c r="J290" s="754"/>
      <c r="K290" s="754"/>
      <c r="L290" s="755"/>
      <c r="M290" s="755">
        <v>761</v>
      </c>
      <c r="N290" s="756">
        <v>760</v>
      </c>
      <c r="O290" s="737">
        <f t="shared" si="52"/>
        <v>99.868593955321955</v>
      </c>
      <c r="P290" s="757"/>
      <c r="Q290" s="757"/>
      <c r="R290" s="757"/>
      <c r="S290" s="749"/>
      <c r="T290" s="758" t="s">
        <v>1041</v>
      </c>
    </row>
    <row r="291" spans="1:21" outlineLevel="2">
      <c r="A291" s="694">
        <f t="shared" si="45"/>
        <v>290</v>
      </c>
      <c r="B291" s="751" t="s">
        <v>180</v>
      </c>
      <c r="C291" s="735" t="s">
        <v>1039</v>
      </c>
      <c r="D291" s="752">
        <v>3022</v>
      </c>
      <c r="E291" s="753">
        <v>41</v>
      </c>
      <c r="F291" s="753" t="s">
        <v>1047</v>
      </c>
      <c r="G291" s="753" t="s">
        <v>698</v>
      </c>
      <c r="H291" s="753" t="s">
        <v>734</v>
      </c>
      <c r="I291" s="755">
        <v>68200</v>
      </c>
      <c r="J291" s="754"/>
      <c r="K291" s="754">
        <f>312+2944</f>
        <v>3256</v>
      </c>
      <c r="L291" s="755">
        <v>40000</v>
      </c>
      <c r="M291" s="755">
        <v>64943</v>
      </c>
      <c r="N291" s="756">
        <v>64822</v>
      </c>
      <c r="O291" s="737">
        <f t="shared" si="52"/>
        <v>99.813682767965744</v>
      </c>
      <c r="P291" s="757"/>
      <c r="Q291" s="757"/>
      <c r="R291" s="757"/>
      <c r="S291" s="749">
        <v>0</v>
      </c>
      <c r="T291" s="758" t="s">
        <v>1041</v>
      </c>
      <c r="U291" s="740">
        <f t="shared" ref="U291:U292" si="56">K291+N291</f>
        <v>68078</v>
      </c>
    </row>
    <row r="292" spans="1:21" outlineLevel="2">
      <c r="A292" s="694">
        <f t="shared" si="45"/>
        <v>291</v>
      </c>
      <c r="B292" s="751" t="s">
        <v>219</v>
      </c>
      <c r="C292" s="735" t="s">
        <v>1039</v>
      </c>
      <c r="D292" s="752">
        <v>3036</v>
      </c>
      <c r="E292" s="753">
        <v>41</v>
      </c>
      <c r="F292" s="753" t="s">
        <v>1048</v>
      </c>
      <c r="G292" s="753" t="s">
        <v>698</v>
      </c>
      <c r="H292" s="735">
        <v>2013</v>
      </c>
      <c r="I292" s="755">
        <v>46590</v>
      </c>
      <c r="J292" s="754"/>
      <c r="K292" s="754">
        <f>15390+12856</f>
        <v>28246</v>
      </c>
      <c r="L292" s="755">
        <v>6000</v>
      </c>
      <c r="M292" s="755">
        <v>13343</v>
      </c>
      <c r="N292" s="756">
        <v>11707</v>
      </c>
      <c r="O292" s="737">
        <f t="shared" si="52"/>
        <v>87.738889305253693</v>
      </c>
      <c r="P292" s="757"/>
      <c r="Q292" s="757"/>
      <c r="R292" s="757"/>
      <c r="S292" s="749">
        <v>0</v>
      </c>
      <c r="T292" s="758" t="s">
        <v>1043</v>
      </c>
      <c r="U292" s="740">
        <f t="shared" si="56"/>
        <v>39953</v>
      </c>
    </row>
    <row r="293" spans="1:21" outlineLevel="2">
      <c r="A293" s="694">
        <f t="shared" si="45"/>
        <v>292</v>
      </c>
      <c r="B293" s="751" t="s">
        <v>180</v>
      </c>
      <c r="C293" s="735" t="s">
        <v>1039</v>
      </c>
      <c r="D293" s="752">
        <v>3129</v>
      </c>
      <c r="E293" s="753">
        <v>41</v>
      </c>
      <c r="F293" s="753" t="s">
        <v>1049</v>
      </c>
      <c r="G293" s="753" t="s">
        <v>767</v>
      </c>
      <c r="H293" s="735">
        <v>2013</v>
      </c>
      <c r="I293" s="754">
        <v>81200</v>
      </c>
      <c r="J293" s="754"/>
      <c r="K293" s="754">
        <v>0</v>
      </c>
      <c r="L293" s="755">
        <v>80500</v>
      </c>
      <c r="M293" s="755">
        <v>500</v>
      </c>
      <c r="N293" s="756"/>
      <c r="O293" s="737">
        <f t="shared" si="52"/>
        <v>0</v>
      </c>
      <c r="P293" s="757"/>
      <c r="Q293" s="757"/>
      <c r="R293" s="757"/>
      <c r="S293" s="749">
        <v>0</v>
      </c>
      <c r="T293" s="758" t="s">
        <v>1041</v>
      </c>
    </row>
    <row r="294" spans="1:21" outlineLevel="2">
      <c r="A294" s="694">
        <f t="shared" si="45"/>
        <v>293</v>
      </c>
      <c r="B294" s="751" t="s">
        <v>180</v>
      </c>
      <c r="C294" s="735" t="s">
        <v>1039</v>
      </c>
      <c r="D294" s="752">
        <v>3196</v>
      </c>
      <c r="E294" s="753">
        <v>41</v>
      </c>
      <c r="F294" s="753" t="s">
        <v>1050</v>
      </c>
      <c r="G294" s="753" t="s">
        <v>695</v>
      </c>
      <c r="H294" s="735">
        <v>2013</v>
      </c>
      <c r="I294" s="754">
        <v>37000</v>
      </c>
      <c r="J294" s="754"/>
      <c r="K294" s="754">
        <f>660+360</f>
        <v>1020</v>
      </c>
      <c r="L294" s="755">
        <v>35000</v>
      </c>
      <c r="M294" s="755">
        <v>980</v>
      </c>
      <c r="N294" s="756"/>
      <c r="O294" s="737">
        <f t="shared" si="52"/>
        <v>0</v>
      </c>
      <c r="P294" s="757"/>
      <c r="Q294" s="757"/>
      <c r="R294" s="757"/>
      <c r="S294" s="749">
        <v>0</v>
      </c>
      <c r="T294" s="758" t="s">
        <v>1041</v>
      </c>
    </row>
    <row r="295" spans="1:21" outlineLevel="2">
      <c r="A295" s="694">
        <f t="shared" si="45"/>
        <v>294</v>
      </c>
      <c r="B295" s="751" t="s">
        <v>180</v>
      </c>
      <c r="C295" s="735" t="s">
        <v>1039</v>
      </c>
      <c r="D295" s="752">
        <v>5063</v>
      </c>
      <c r="E295" s="770" t="s">
        <v>729</v>
      </c>
      <c r="F295" s="753" t="s">
        <v>1051</v>
      </c>
      <c r="G295" s="753" t="s">
        <v>689</v>
      </c>
      <c r="H295" s="753" t="s">
        <v>734</v>
      </c>
      <c r="I295" s="754">
        <v>26206</v>
      </c>
      <c r="J295" s="755">
        <v>6329</v>
      </c>
      <c r="K295" s="754">
        <f>709+12201</f>
        <v>12910</v>
      </c>
      <c r="L295" s="755">
        <v>6000</v>
      </c>
      <c r="M295" s="755">
        <v>5500</v>
      </c>
      <c r="N295" s="756">
        <v>3836</v>
      </c>
      <c r="O295" s="737">
        <f t="shared" si="52"/>
        <v>69.74545454545455</v>
      </c>
      <c r="P295" s="757"/>
      <c r="Q295" s="757"/>
      <c r="R295" s="757"/>
      <c r="S295" s="749">
        <v>0</v>
      </c>
      <c r="T295" s="758" t="s">
        <v>1041</v>
      </c>
      <c r="U295" s="740">
        <f t="shared" ref="U295:U304" si="57">K295+N295</f>
        <v>16746</v>
      </c>
    </row>
    <row r="296" spans="1:21" outlineLevel="2">
      <c r="A296" s="694">
        <f t="shared" si="45"/>
        <v>295</v>
      </c>
      <c r="B296" s="751" t="s">
        <v>180</v>
      </c>
      <c r="C296" s="735" t="s">
        <v>1039</v>
      </c>
      <c r="D296" s="752">
        <v>5064</v>
      </c>
      <c r="E296" s="770" t="s">
        <v>729</v>
      </c>
      <c r="F296" s="753" t="s">
        <v>1052</v>
      </c>
      <c r="G296" s="753" t="s">
        <v>689</v>
      </c>
      <c r="H296" s="735">
        <v>2012</v>
      </c>
      <c r="I296" s="754">
        <v>27631</v>
      </c>
      <c r="J296" s="755">
        <v>6728</v>
      </c>
      <c r="K296" s="754">
        <f>1117+10943</f>
        <v>12060</v>
      </c>
      <c r="L296" s="755">
        <v>7500</v>
      </c>
      <c r="M296" s="755">
        <v>7500</v>
      </c>
      <c r="N296" s="756">
        <v>7125</v>
      </c>
      <c r="O296" s="737">
        <f t="shared" si="52"/>
        <v>95</v>
      </c>
      <c r="P296" s="757"/>
      <c r="Q296" s="757"/>
      <c r="R296" s="757"/>
      <c r="S296" s="749">
        <v>0</v>
      </c>
      <c r="T296" s="758" t="s">
        <v>1041</v>
      </c>
      <c r="U296" s="740">
        <f t="shared" si="57"/>
        <v>19185</v>
      </c>
    </row>
    <row r="297" spans="1:21" outlineLevel="2">
      <c r="A297" s="694">
        <f t="shared" si="45"/>
        <v>296</v>
      </c>
      <c r="B297" s="751" t="s">
        <v>180</v>
      </c>
      <c r="C297" s="735" t="s">
        <v>1039</v>
      </c>
      <c r="D297" s="752">
        <v>5065</v>
      </c>
      <c r="E297" s="770" t="s">
        <v>729</v>
      </c>
      <c r="F297" s="753" t="s">
        <v>1053</v>
      </c>
      <c r="G297" s="753" t="s">
        <v>689</v>
      </c>
      <c r="H297" s="753" t="s">
        <v>734</v>
      </c>
      <c r="I297" s="754">
        <v>36103</v>
      </c>
      <c r="J297" s="755">
        <v>9100</v>
      </c>
      <c r="K297" s="754">
        <f>2139+8855</f>
        <v>10994</v>
      </c>
      <c r="L297" s="755">
        <v>10000</v>
      </c>
      <c r="M297" s="755">
        <v>14000</v>
      </c>
      <c r="N297" s="756">
        <v>13585</v>
      </c>
      <c r="O297" s="737">
        <f t="shared" si="52"/>
        <v>97.035714285714278</v>
      </c>
      <c r="P297" s="757"/>
      <c r="Q297" s="757"/>
      <c r="R297" s="757"/>
      <c r="S297" s="749">
        <v>0</v>
      </c>
      <c r="T297" s="758" t="s">
        <v>1041</v>
      </c>
      <c r="U297" s="740">
        <f t="shared" si="57"/>
        <v>24579</v>
      </c>
    </row>
    <row r="298" spans="1:21" outlineLevel="2">
      <c r="A298" s="694">
        <f t="shared" si="45"/>
        <v>297</v>
      </c>
      <c r="B298" s="751" t="s">
        <v>180</v>
      </c>
      <c r="C298" s="735" t="s">
        <v>1039</v>
      </c>
      <c r="D298" s="752">
        <v>5066</v>
      </c>
      <c r="E298" s="770" t="s">
        <v>729</v>
      </c>
      <c r="F298" s="753" t="s">
        <v>1054</v>
      </c>
      <c r="G298" s="753" t="s">
        <v>689</v>
      </c>
      <c r="H298" s="753" t="s">
        <v>734</v>
      </c>
      <c r="I298" s="755">
        <v>32281</v>
      </c>
      <c r="J298" s="755">
        <v>7470</v>
      </c>
      <c r="K298" s="754">
        <f>1004+980</f>
        <v>1984</v>
      </c>
      <c r="L298" s="755">
        <v>6513</v>
      </c>
      <c r="M298" s="755">
        <v>30297</v>
      </c>
      <c r="N298" s="756">
        <v>29818</v>
      </c>
      <c r="O298" s="737">
        <f t="shared" si="52"/>
        <v>98.418985378090241</v>
      </c>
      <c r="P298" s="757"/>
      <c r="Q298" s="757"/>
      <c r="R298" s="757"/>
      <c r="S298" s="749">
        <v>0</v>
      </c>
      <c r="T298" s="758" t="s">
        <v>1041</v>
      </c>
      <c r="U298" s="740">
        <f t="shared" si="57"/>
        <v>31802</v>
      </c>
    </row>
    <row r="299" spans="1:21" outlineLevel="2">
      <c r="A299" s="694">
        <f t="shared" si="45"/>
        <v>298</v>
      </c>
      <c r="B299" s="751" t="s">
        <v>180</v>
      </c>
      <c r="C299" s="735" t="s">
        <v>1039</v>
      </c>
      <c r="D299" s="752">
        <v>5067</v>
      </c>
      <c r="E299" s="770" t="s">
        <v>729</v>
      </c>
      <c r="F299" s="753" t="s">
        <v>1055</v>
      </c>
      <c r="G299" s="753" t="s">
        <v>689</v>
      </c>
      <c r="H299" s="752">
        <v>2013</v>
      </c>
      <c r="I299" s="754">
        <v>45302</v>
      </c>
      <c r="J299" s="755">
        <v>11676</v>
      </c>
      <c r="K299" s="754">
        <f>1066+1156</f>
        <v>2222</v>
      </c>
      <c r="L299" s="755">
        <v>2000</v>
      </c>
      <c r="M299" s="755">
        <v>30000</v>
      </c>
      <c r="N299" s="756">
        <v>28218</v>
      </c>
      <c r="O299" s="737">
        <f t="shared" si="52"/>
        <v>94.06</v>
      </c>
      <c r="P299" s="757"/>
      <c r="Q299" s="757"/>
      <c r="R299" s="757"/>
      <c r="S299" s="749">
        <v>0</v>
      </c>
      <c r="T299" s="758" t="s">
        <v>1041</v>
      </c>
      <c r="U299" s="740">
        <f t="shared" si="57"/>
        <v>30440</v>
      </c>
    </row>
    <row r="300" spans="1:21" outlineLevel="2">
      <c r="A300" s="694">
        <f t="shared" si="45"/>
        <v>299</v>
      </c>
      <c r="B300" s="751" t="s">
        <v>180</v>
      </c>
      <c r="C300" s="735" t="s">
        <v>1039</v>
      </c>
      <c r="D300" s="752">
        <v>5068</v>
      </c>
      <c r="E300" s="770" t="s">
        <v>729</v>
      </c>
      <c r="F300" s="753" t="s">
        <v>1056</v>
      </c>
      <c r="G300" s="753" t="s">
        <v>689</v>
      </c>
      <c r="H300" s="752">
        <v>2014</v>
      </c>
      <c r="I300" s="754">
        <v>35000</v>
      </c>
      <c r="J300" s="755"/>
      <c r="K300" s="754">
        <f>273+396</f>
        <v>669</v>
      </c>
      <c r="L300" s="755">
        <v>3000</v>
      </c>
      <c r="M300" s="755">
        <v>2000</v>
      </c>
      <c r="N300" s="756">
        <v>1715</v>
      </c>
      <c r="O300" s="737">
        <f t="shared" si="52"/>
        <v>85.75</v>
      </c>
      <c r="P300" s="757"/>
      <c r="Q300" s="757"/>
      <c r="R300" s="757"/>
      <c r="S300" s="749">
        <v>0</v>
      </c>
      <c r="T300" s="758" t="s">
        <v>1041</v>
      </c>
      <c r="U300" s="740">
        <f t="shared" si="57"/>
        <v>2384</v>
      </c>
    </row>
    <row r="301" spans="1:21" outlineLevel="2">
      <c r="A301" s="694">
        <f t="shared" si="45"/>
        <v>300</v>
      </c>
      <c r="B301" s="751" t="s">
        <v>180</v>
      </c>
      <c r="C301" s="735" t="s">
        <v>1039</v>
      </c>
      <c r="D301" s="752">
        <v>5070</v>
      </c>
      <c r="E301" s="770" t="s">
        <v>729</v>
      </c>
      <c r="F301" s="753" t="s">
        <v>1057</v>
      </c>
      <c r="G301" s="753" t="s">
        <v>689</v>
      </c>
      <c r="H301" s="752">
        <v>2013</v>
      </c>
      <c r="I301" s="754">
        <v>35865</v>
      </c>
      <c r="J301" s="755">
        <v>9034</v>
      </c>
      <c r="K301" s="754">
        <f>2217+21</f>
        <v>2238</v>
      </c>
      <c r="L301" s="755">
        <v>4000</v>
      </c>
      <c r="M301" s="755">
        <v>20500</v>
      </c>
      <c r="N301" s="756">
        <v>20325</v>
      </c>
      <c r="O301" s="737">
        <f t="shared" si="52"/>
        <v>99.146341463414629</v>
      </c>
      <c r="P301" s="757"/>
      <c r="Q301" s="757"/>
      <c r="R301" s="757"/>
      <c r="S301" s="749">
        <v>0</v>
      </c>
      <c r="T301" s="758" t="s">
        <v>1041</v>
      </c>
      <c r="U301" s="740">
        <f t="shared" si="57"/>
        <v>22563</v>
      </c>
    </row>
    <row r="302" spans="1:21" outlineLevel="2">
      <c r="A302" s="694">
        <f t="shared" si="45"/>
        <v>301</v>
      </c>
      <c r="B302" s="751" t="s">
        <v>180</v>
      </c>
      <c r="C302" s="735" t="s">
        <v>1039</v>
      </c>
      <c r="D302" s="752">
        <v>5071</v>
      </c>
      <c r="E302" s="770" t="s">
        <v>729</v>
      </c>
      <c r="F302" s="753" t="s">
        <v>1058</v>
      </c>
      <c r="G302" s="753" t="s">
        <v>689</v>
      </c>
      <c r="H302" s="752">
        <v>2014</v>
      </c>
      <c r="I302" s="754">
        <v>45000</v>
      </c>
      <c r="J302" s="755"/>
      <c r="K302" s="754">
        <f>302+298</f>
        <v>600</v>
      </c>
      <c r="L302" s="755">
        <v>1500</v>
      </c>
      <c r="M302" s="755">
        <v>2600</v>
      </c>
      <c r="N302" s="756">
        <v>2422</v>
      </c>
      <c r="O302" s="737">
        <f t="shared" si="52"/>
        <v>93.15384615384616</v>
      </c>
      <c r="P302" s="757"/>
      <c r="Q302" s="757"/>
      <c r="R302" s="757"/>
      <c r="S302" s="749">
        <v>0</v>
      </c>
      <c r="T302" s="758" t="s">
        <v>1041</v>
      </c>
      <c r="U302" s="740">
        <f t="shared" si="57"/>
        <v>3022</v>
      </c>
    </row>
    <row r="303" spans="1:21" outlineLevel="2">
      <c r="A303" s="694">
        <f t="shared" si="45"/>
        <v>302</v>
      </c>
      <c r="B303" s="751" t="s">
        <v>180</v>
      </c>
      <c r="C303" s="735" t="s">
        <v>1039</v>
      </c>
      <c r="D303" s="752">
        <v>5072</v>
      </c>
      <c r="E303" s="770" t="s">
        <v>729</v>
      </c>
      <c r="F303" s="753" t="s">
        <v>1059</v>
      </c>
      <c r="G303" s="753" t="s">
        <v>689</v>
      </c>
      <c r="H303" s="752">
        <v>2013</v>
      </c>
      <c r="I303" s="754">
        <v>32000</v>
      </c>
      <c r="J303" s="755"/>
      <c r="K303" s="754">
        <f>230+300</f>
        <v>530</v>
      </c>
      <c r="L303" s="755">
        <v>1500</v>
      </c>
      <c r="M303" s="755">
        <v>1500</v>
      </c>
      <c r="N303" s="756">
        <v>1110</v>
      </c>
      <c r="O303" s="737">
        <f t="shared" si="52"/>
        <v>74</v>
      </c>
      <c r="P303" s="757"/>
      <c r="Q303" s="757"/>
      <c r="R303" s="757"/>
      <c r="S303" s="749">
        <v>0</v>
      </c>
      <c r="T303" s="758" t="s">
        <v>1041</v>
      </c>
      <c r="U303" s="740">
        <f t="shared" si="57"/>
        <v>1640</v>
      </c>
    </row>
    <row r="304" spans="1:21" outlineLevel="2">
      <c r="A304" s="694">
        <f t="shared" si="45"/>
        <v>303</v>
      </c>
      <c r="B304" s="751" t="s">
        <v>180</v>
      </c>
      <c r="C304" s="735" t="s">
        <v>1039</v>
      </c>
      <c r="D304" s="752">
        <v>5073</v>
      </c>
      <c r="E304" s="770" t="s">
        <v>729</v>
      </c>
      <c r="F304" s="753" t="s">
        <v>1060</v>
      </c>
      <c r="G304" s="753" t="s">
        <v>689</v>
      </c>
      <c r="H304" s="752">
        <v>2013</v>
      </c>
      <c r="I304" s="754">
        <v>29000</v>
      </c>
      <c r="J304" s="755"/>
      <c r="K304" s="754">
        <f>255+681</f>
        <v>936</v>
      </c>
      <c r="L304" s="755">
        <v>1500</v>
      </c>
      <c r="M304" s="755">
        <v>800</v>
      </c>
      <c r="N304" s="756">
        <v>599</v>
      </c>
      <c r="O304" s="737">
        <f t="shared" si="52"/>
        <v>74.875</v>
      </c>
      <c r="P304" s="757"/>
      <c r="Q304" s="757"/>
      <c r="R304" s="757"/>
      <c r="S304" s="749">
        <v>0</v>
      </c>
      <c r="T304" s="758" t="s">
        <v>1041</v>
      </c>
      <c r="U304" s="740">
        <f t="shared" si="57"/>
        <v>1535</v>
      </c>
    </row>
    <row r="305" spans="1:21" outlineLevel="2">
      <c r="A305" s="694">
        <f t="shared" si="45"/>
        <v>304</v>
      </c>
      <c r="B305" s="751" t="s">
        <v>678</v>
      </c>
      <c r="C305" s="735" t="s">
        <v>1039</v>
      </c>
      <c r="D305" s="752">
        <v>5145</v>
      </c>
      <c r="E305" s="770" t="s">
        <v>729</v>
      </c>
      <c r="F305" s="753" t="s">
        <v>1061</v>
      </c>
      <c r="G305" s="753" t="s">
        <v>734</v>
      </c>
      <c r="H305" s="752">
        <v>2013</v>
      </c>
      <c r="I305" s="754">
        <v>454</v>
      </c>
      <c r="J305" s="755">
        <v>254</v>
      </c>
      <c r="K305" s="754"/>
      <c r="L305" s="755"/>
      <c r="M305" s="755"/>
      <c r="N305" s="756"/>
      <c r="O305" s="737" t="str">
        <f t="shared" si="52"/>
        <v xml:space="preserve"> </v>
      </c>
      <c r="P305" s="757"/>
      <c r="Q305" s="757"/>
      <c r="R305" s="757"/>
      <c r="S305" s="749"/>
      <c r="T305" s="758" t="s">
        <v>681</v>
      </c>
    </row>
    <row r="306" spans="1:21" outlineLevel="1">
      <c r="A306" s="694">
        <f t="shared" si="45"/>
        <v>305</v>
      </c>
      <c r="B306" s="760"/>
      <c r="C306" s="761" t="s">
        <v>1062</v>
      </c>
      <c r="D306" s="761"/>
      <c r="E306" s="771"/>
      <c r="F306" s="762"/>
      <c r="G306" s="762"/>
      <c r="H306" s="762"/>
      <c r="I306" s="763">
        <f t="shared" ref="I306:N306" si="58">SUBTOTAL(9,I286:I305)</f>
        <v>1140832</v>
      </c>
      <c r="J306" s="763">
        <f t="shared" si="58"/>
        <v>50591</v>
      </c>
      <c r="K306" s="763">
        <f t="shared" si="58"/>
        <v>77761</v>
      </c>
      <c r="L306" s="763">
        <f t="shared" si="58"/>
        <v>410013</v>
      </c>
      <c r="M306" s="763">
        <f t="shared" si="58"/>
        <v>201328</v>
      </c>
      <c r="N306" s="764">
        <f t="shared" si="58"/>
        <v>186546</v>
      </c>
      <c r="O306" s="765">
        <f t="shared" si="52"/>
        <v>92.657752523245648</v>
      </c>
      <c r="P306" s="764">
        <f>SUBTOTAL(9,P286:P305)</f>
        <v>0</v>
      </c>
      <c r="Q306" s="764">
        <f>SUBTOTAL(9,Q286:Q305)</f>
        <v>0</v>
      </c>
      <c r="R306" s="764">
        <f>SUBTOTAL(9,R286:R305)</f>
        <v>0</v>
      </c>
      <c r="S306" s="766"/>
      <c r="T306" s="767"/>
    </row>
    <row r="307" spans="1:21" outlineLevel="2">
      <c r="A307" s="694">
        <f t="shared" si="45"/>
        <v>306</v>
      </c>
      <c r="B307" s="742">
        <v>6200</v>
      </c>
      <c r="C307" s="752" t="s">
        <v>1063</v>
      </c>
      <c r="D307" s="752">
        <v>3496</v>
      </c>
      <c r="E307" s="753">
        <v>40</v>
      </c>
      <c r="F307" s="753" t="s">
        <v>1064</v>
      </c>
      <c r="G307" s="769"/>
      <c r="H307" s="769"/>
      <c r="I307" s="754">
        <v>0</v>
      </c>
      <c r="J307" s="754">
        <f>I307</f>
        <v>0</v>
      </c>
      <c r="K307" s="754">
        <f>2600</f>
        <v>2600</v>
      </c>
      <c r="L307" s="755">
        <v>0</v>
      </c>
      <c r="M307" s="755">
        <v>3410</v>
      </c>
      <c r="N307" s="756">
        <v>1250</v>
      </c>
      <c r="O307" s="737">
        <f t="shared" si="52"/>
        <v>36.656891495601172</v>
      </c>
      <c r="P307" s="757"/>
      <c r="Q307" s="757"/>
      <c r="R307" s="757"/>
      <c r="S307" s="749">
        <v>0</v>
      </c>
      <c r="T307" s="758" t="s">
        <v>1041</v>
      </c>
    </row>
    <row r="308" spans="1:21" outlineLevel="1">
      <c r="A308" s="694">
        <f t="shared" si="45"/>
        <v>307</v>
      </c>
      <c r="B308" s="801"/>
      <c r="C308" s="761" t="s">
        <v>1065</v>
      </c>
      <c r="D308" s="761"/>
      <c r="E308" s="762"/>
      <c r="F308" s="762"/>
      <c r="G308" s="777"/>
      <c r="H308" s="777"/>
      <c r="I308" s="763">
        <f t="shared" ref="I308:N308" si="59">SUBTOTAL(9,I307:I307)</f>
        <v>0</v>
      </c>
      <c r="J308" s="763">
        <f t="shared" si="59"/>
        <v>0</v>
      </c>
      <c r="K308" s="763">
        <f t="shared" si="59"/>
        <v>2600</v>
      </c>
      <c r="L308" s="763">
        <f t="shared" si="59"/>
        <v>0</v>
      </c>
      <c r="M308" s="763">
        <f t="shared" si="59"/>
        <v>3410</v>
      </c>
      <c r="N308" s="764">
        <f t="shared" si="59"/>
        <v>1250</v>
      </c>
      <c r="O308" s="765">
        <f t="shared" si="52"/>
        <v>36.656891495601172</v>
      </c>
      <c r="P308" s="764">
        <f>SUBTOTAL(9,P307:P307)</f>
        <v>0</v>
      </c>
      <c r="Q308" s="764">
        <f>SUBTOTAL(9,Q307:Q307)</f>
        <v>0</v>
      </c>
      <c r="R308" s="764">
        <f>SUBTOTAL(9,R307:R307)</f>
        <v>0</v>
      </c>
      <c r="S308" s="766"/>
      <c r="T308" s="767"/>
    </row>
    <row r="309" spans="1:21" outlineLevel="2">
      <c r="A309" s="694">
        <f t="shared" si="45"/>
        <v>308</v>
      </c>
      <c r="B309" s="742" t="s">
        <v>1066</v>
      </c>
      <c r="C309" s="752" t="s">
        <v>1067</v>
      </c>
      <c r="D309" s="735">
        <v>30019106</v>
      </c>
      <c r="E309" s="743"/>
      <c r="F309" s="803" t="s">
        <v>1068</v>
      </c>
      <c r="G309" s="775"/>
      <c r="H309" s="775"/>
      <c r="I309" s="755"/>
      <c r="J309" s="755"/>
      <c r="K309" s="755"/>
      <c r="L309" s="755"/>
      <c r="M309" s="755">
        <v>853</v>
      </c>
      <c r="N309" s="756">
        <v>852</v>
      </c>
      <c r="O309" s="737">
        <f t="shared" si="52"/>
        <v>99.88276670574443</v>
      </c>
      <c r="P309" s="756"/>
      <c r="Q309" s="756"/>
      <c r="R309" s="756"/>
      <c r="S309" s="749"/>
      <c r="T309" s="748" t="s">
        <v>1069</v>
      </c>
    </row>
    <row r="310" spans="1:21" outlineLevel="2">
      <c r="A310" s="694">
        <f t="shared" si="45"/>
        <v>309</v>
      </c>
      <c r="B310" s="751" t="s">
        <v>678</v>
      </c>
      <c r="C310" s="752" t="s">
        <v>1067</v>
      </c>
      <c r="D310" s="752">
        <v>4859</v>
      </c>
      <c r="E310" s="753"/>
      <c r="F310" s="753" t="s">
        <v>1070</v>
      </c>
      <c r="G310" s="753" t="s">
        <v>704</v>
      </c>
      <c r="H310" s="752">
        <v>2016</v>
      </c>
      <c r="I310" s="754">
        <v>4560</v>
      </c>
      <c r="J310" s="754"/>
      <c r="K310" s="754">
        <v>0</v>
      </c>
      <c r="L310" s="755">
        <v>0</v>
      </c>
      <c r="M310" s="755">
        <v>0</v>
      </c>
      <c r="N310" s="756"/>
      <c r="O310" s="737" t="str">
        <f t="shared" si="52"/>
        <v xml:space="preserve"> </v>
      </c>
      <c r="P310" s="757"/>
      <c r="Q310" s="757"/>
      <c r="R310" s="757"/>
      <c r="S310" s="749">
        <v>4560</v>
      </c>
      <c r="T310" s="758" t="s">
        <v>681</v>
      </c>
    </row>
    <row r="311" spans="1:21" outlineLevel="2">
      <c r="A311" s="694">
        <f t="shared" si="45"/>
        <v>310</v>
      </c>
      <c r="B311" s="751" t="s">
        <v>678</v>
      </c>
      <c r="C311" s="752" t="s">
        <v>1067</v>
      </c>
      <c r="D311" s="752">
        <v>4870</v>
      </c>
      <c r="E311" s="753"/>
      <c r="F311" s="753" t="s">
        <v>1071</v>
      </c>
      <c r="G311" s="753" t="s">
        <v>704</v>
      </c>
      <c r="H311" s="752">
        <v>2016</v>
      </c>
      <c r="I311" s="754">
        <v>17300</v>
      </c>
      <c r="J311" s="754"/>
      <c r="K311" s="754">
        <v>14100</v>
      </c>
      <c r="L311" s="755">
        <v>0</v>
      </c>
      <c r="M311" s="755">
        <v>0</v>
      </c>
      <c r="N311" s="756"/>
      <c r="O311" s="737" t="str">
        <f t="shared" si="52"/>
        <v xml:space="preserve"> </v>
      </c>
      <c r="P311" s="757"/>
      <c r="Q311" s="757"/>
      <c r="R311" s="757"/>
      <c r="S311" s="749">
        <v>3200</v>
      </c>
      <c r="T311" s="758" t="s">
        <v>681</v>
      </c>
    </row>
    <row r="312" spans="1:21" outlineLevel="1">
      <c r="A312" s="694">
        <f t="shared" si="45"/>
        <v>311</v>
      </c>
      <c r="B312" s="760"/>
      <c r="C312" s="761" t="s">
        <v>1072</v>
      </c>
      <c r="D312" s="761"/>
      <c r="E312" s="762"/>
      <c r="F312" s="762"/>
      <c r="G312" s="762"/>
      <c r="H312" s="761"/>
      <c r="I312" s="763">
        <f t="shared" ref="I312:N312" si="60">SUBTOTAL(9,I309:I311)</f>
        <v>21860</v>
      </c>
      <c r="J312" s="763">
        <f t="shared" si="60"/>
        <v>0</v>
      </c>
      <c r="K312" s="763">
        <f t="shared" si="60"/>
        <v>14100</v>
      </c>
      <c r="L312" s="763">
        <f t="shared" si="60"/>
        <v>0</v>
      </c>
      <c r="M312" s="763">
        <f t="shared" si="60"/>
        <v>853</v>
      </c>
      <c r="N312" s="764">
        <f t="shared" si="60"/>
        <v>852</v>
      </c>
      <c r="O312" s="765">
        <f t="shared" si="52"/>
        <v>99.88276670574443</v>
      </c>
      <c r="P312" s="764">
        <f>SUBTOTAL(9,P309:P311)</f>
        <v>0</v>
      </c>
      <c r="Q312" s="764">
        <f>SUBTOTAL(9,Q309:Q311)</f>
        <v>0</v>
      </c>
      <c r="R312" s="764">
        <f>SUBTOTAL(9,R309:R311)</f>
        <v>0</v>
      </c>
      <c r="S312" s="766"/>
      <c r="T312" s="767"/>
    </row>
    <row r="313" spans="1:21" outlineLevel="2">
      <c r="A313" s="694">
        <f t="shared" si="45"/>
        <v>312</v>
      </c>
      <c r="B313" s="751" t="s">
        <v>678</v>
      </c>
      <c r="C313" s="752" t="s">
        <v>1073</v>
      </c>
      <c r="D313" s="752">
        <v>2958</v>
      </c>
      <c r="E313" s="753"/>
      <c r="F313" s="753" t="s">
        <v>1074</v>
      </c>
      <c r="G313" s="752">
        <v>2012</v>
      </c>
      <c r="H313" s="752">
        <v>2016</v>
      </c>
      <c r="I313" s="754">
        <v>113521</v>
      </c>
      <c r="J313" s="754"/>
      <c r="K313" s="754">
        <v>0</v>
      </c>
      <c r="L313" s="755">
        <v>0</v>
      </c>
      <c r="M313" s="755">
        <v>0</v>
      </c>
      <c r="N313" s="756"/>
      <c r="O313" s="737" t="str">
        <f t="shared" si="52"/>
        <v xml:space="preserve"> </v>
      </c>
      <c r="P313" s="757"/>
      <c r="Q313" s="757"/>
      <c r="R313" s="757"/>
      <c r="S313" s="749">
        <v>113521</v>
      </c>
      <c r="T313" s="758" t="s">
        <v>681</v>
      </c>
    </row>
    <row r="314" spans="1:21" outlineLevel="1">
      <c r="A314" s="694">
        <f t="shared" si="45"/>
        <v>313</v>
      </c>
      <c r="B314" s="760"/>
      <c r="C314" s="761" t="s">
        <v>1075</v>
      </c>
      <c r="D314" s="761"/>
      <c r="E314" s="762"/>
      <c r="F314" s="762"/>
      <c r="G314" s="761"/>
      <c r="H314" s="762"/>
      <c r="I314" s="763">
        <f t="shared" ref="I314:N314" si="61">SUBTOTAL(9,I313:I313)</f>
        <v>113521</v>
      </c>
      <c r="J314" s="763">
        <f t="shared" si="61"/>
        <v>0</v>
      </c>
      <c r="K314" s="763">
        <f t="shared" si="61"/>
        <v>0</v>
      </c>
      <c r="L314" s="763">
        <f t="shared" si="61"/>
        <v>0</v>
      </c>
      <c r="M314" s="763">
        <f t="shared" si="61"/>
        <v>0</v>
      </c>
      <c r="N314" s="764">
        <f t="shared" si="61"/>
        <v>0</v>
      </c>
      <c r="O314" s="765" t="str">
        <f t="shared" si="52"/>
        <v xml:space="preserve"> </v>
      </c>
      <c r="P314" s="764">
        <f>SUBTOTAL(9,P313:P313)</f>
        <v>0</v>
      </c>
      <c r="Q314" s="764">
        <f>SUBTOTAL(9,Q313:Q313)</f>
        <v>0</v>
      </c>
      <c r="R314" s="764">
        <f>SUBTOTAL(9,R313:R313)</f>
        <v>0</v>
      </c>
      <c r="S314" s="766"/>
      <c r="T314" s="767"/>
    </row>
    <row r="315" spans="1:21" outlineLevel="2">
      <c r="A315" s="694">
        <f t="shared" si="45"/>
        <v>314</v>
      </c>
      <c r="B315" s="759" t="s">
        <v>219</v>
      </c>
      <c r="C315" s="735" t="s">
        <v>1076</v>
      </c>
      <c r="D315" s="735">
        <v>2902</v>
      </c>
      <c r="E315" s="773">
        <v>41</v>
      </c>
      <c r="F315" s="743" t="s">
        <v>1077</v>
      </c>
      <c r="G315" s="735">
        <v>2012</v>
      </c>
      <c r="H315" s="735">
        <v>2013</v>
      </c>
      <c r="I315" s="755">
        <v>1600</v>
      </c>
      <c r="J315" s="755"/>
      <c r="K315" s="755"/>
      <c r="L315" s="755"/>
      <c r="M315" s="755">
        <v>1600</v>
      </c>
      <c r="N315" s="756">
        <v>1059</v>
      </c>
      <c r="O315" s="737">
        <f t="shared" si="52"/>
        <v>66.1875</v>
      </c>
      <c r="P315" s="756"/>
      <c r="Q315" s="756"/>
      <c r="R315" s="756"/>
      <c r="S315" s="749"/>
      <c r="T315" s="748" t="s">
        <v>1043</v>
      </c>
    </row>
    <row r="316" spans="1:21" s="708" customFormat="1" outlineLevel="2">
      <c r="A316" s="694">
        <f t="shared" si="45"/>
        <v>315</v>
      </c>
      <c r="B316" s="742">
        <v>5600</v>
      </c>
      <c r="C316" s="735" t="s">
        <v>1076</v>
      </c>
      <c r="D316" s="735">
        <v>2926</v>
      </c>
      <c r="E316" s="768"/>
      <c r="F316" s="743" t="s">
        <v>1078</v>
      </c>
      <c r="G316" s="735">
        <v>2012</v>
      </c>
      <c r="H316" s="735">
        <v>2013</v>
      </c>
      <c r="I316" s="755">
        <v>6960</v>
      </c>
      <c r="J316" s="755"/>
      <c r="K316" s="755"/>
      <c r="L316" s="755">
        <v>500</v>
      </c>
      <c r="M316" s="755"/>
      <c r="N316" s="756"/>
      <c r="O316" s="737" t="str">
        <f t="shared" si="52"/>
        <v xml:space="preserve"> </v>
      </c>
      <c r="P316" s="757"/>
      <c r="Q316" s="757"/>
      <c r="R316" s="757"/>
      <c r="S316" s="749">
        <v>6460</v>
      </c>
      <c r="T316" s="748" t="s">
        <v>681</v>
      </c>
    </row>
    <row r="317" spans="1:21" outlineLevel="2">
      <c r="A317" s="694">
        <f t="shared" si="45"/>
        <v>316</v>
      </c>
      <c r="B317" s="751" t="s">
        <v>678</v>
      </c>
      <c r="C317" s="735" t="s">
        <v>1076</v>
      </c>
      <c r="D317" s="752">
        <v>2960</v>
      </c>
      <c r="E317" s="753"/>
      <c r="F317" s="753" t="s">
        <v>1079</v>
      </c>
      <c r="G317" s="753" t="s">
        <v>687</v>
      </c>
      <c r="H317" s="752">
        <v>2013</v>
      </c>
      <c r="I317" s="754">
        <v>2000</v>
      </c>
      <c r="J317" s="754"/>
      <c r="K317" s="754">
        <f>23</f>
        <v>23</v>
      </c>
      <c r="L317" s="755">
        <v>477</v>
      </c>
      <c r="M317" s="755">
        <v>360</v>
      </c>
      <c r="N317" s="756">
        <v>359</v>
      </c>
      <c r="O317" s="737">
        <f t="shared" si="52"/>
        <v>99.722222222222229</v>
      </c>
      <c r="P317" s="757"/>
      <c r="Q317" s="757"/>
      <c r="R317" s="757"/>
      <c r="S317" s="749">
        <v>1500</v>
      </c>
      <c r="T317" s="758" t="s">
        <v>681</v>
      </c>
    </row>
    <row r="318" spans="1:21" outlineLevel="2">
      <c r="A318" s="694">
        <f t="shared" si="45"/>
        <v>317</v>
      </c>
      <c r="B318" s="751" t="s">
        <v>219</v>
      </c>
      <c r="C318" s="735" t="s">
        <v>1076</v>
      </c>
      <c r="D318" s="735">
        <v>300399</v>
      </c>
      <c r="E318" s="753"/>
      <c r="F318" s="743" t="s">
        <v>1080</v>
      </c>
      <c r="G318" s="753"/>
      <c r="H318" s="752"/>
      <c r="I318" s="754"/>
      <c r="J318" s="754"/>
      <c r="K318" s="754"/>
      <c r="L318" s="755"/>
      <c r="M318" s="755">
        <v>700</v>
      </c>
      <c r="N318" s="756">
        <v>699</v>
      </c>
      <c r="O318" s="737"/>
      <c r="P318" s="757"/>
      <c r="Q318" s="757"/>
      <c r="R318" s="757"/>
      <c r="S318" s="749"/>
      <c r="T318" s="758" t="s">
        <v>1043</v>
      </c>
    </row>
    <row r="319" spans="1:21" outlineLevel="2">
      <c r="A319" s="694">
        <f t="shared" si="45"/>
        <v>318</v>
      </c>
      <c r="B319" s="751" t="s">
        <v>678</v>
      </c>
      <c r="C319" s="735" t="s">
        <v>1076</v>
      </c>
      <c r="D319" s="752">
        <v>3130</v>
      </c>
      <c r="E319" s="753"/>
      <c r="F319" s="753" t="s">
        <v>1081</v>
      </c>
      <c r="G319" s="753"/>
      <c r="H319" s="753"/>
      <c r="I319" s="754"/>
      <c r="J319" s="754"/>
      <c r="K319" s="754">
        <v>10481</v>
      </c>
      <c r="L319" s="755">
        <v>2000</v>
      </c>
      <c r="M319" s="755"/>
      <c r="N319" s="756"/>
      <c r="O319" s="737" t="str">
        <f t="shared" si="52"/>
        <v xml:space="preserve"> </v>
      </c>
      <c r="P319" s="757"/>
      <c r="Q319" s="757"/>
      <c r="R319" s="757"/>
      <c r="S319" s="749">
        <v>0</v>
      </c>
      <c r="T319" s="758" t="s">
        <v>681</v>
      </c>
    </row>
    <row r="320" spans="1:21" outlineLevel="2">
      <c r="A320" s="694">
        <f t="shared" si="45"/>
        <v>319</v>
      </c>
      <c r="B320" s="751" t="s">
        <v>219</v>
      </c>
      <c r="C320" s="735" t="s">
        <v>1076</v>
      </c>
      <c r="D320" s="752">
        <v>3283</v>
      </c>
      <c r="E320" s="753"/>
      <c r="F320" s="753" t="s">
        <v>1082</v>
      </c>
      <c r="G320" s="753" t="s">
        <v>725</v>
      </c>
      <c r="H320" s="752">
        <v>2012</v>
      </c>
      <c r="I320" s="755">
        <v>29457</v>
      </c>
      <c r="J320" s="754"/>
      <c r="K320" s="754">
        <f>19457+2665</f>
        <v>22122</v>
      </c>
      <c r="L320" s="755">
        <v>3000</v>
      </c>
      <c r="M320" s="755">
        <v>5000</v>
      </c>
      <c r="N320" s="756">
        <v>3147</v>
      </c>
      <c r="O320" s="737">
        <f t="shared" si="52"/>
        <v>62.94</v>
      </c>
      <c r="P320" s="757"/>
      <c r="Q320" s="757"/>
      <c r="R320" s="757"/>
      <c r="S320" s="749">
        <v>0</v>
      </c>
      <c r="T320" s="758" t="s">
        <v>1043</v>
      </c>
      <c r="U320" s="740">
        <f>K320+N320</f>
        <v>25269</v>
      </c>
    </row>
    <row r="321" spans="1:21" outlineLevel="2">
      <c r="A321" s="694">
        <f t="shared" si="45"/>
        <v>320</v>
      </c>
      <c r="B321" s="751" t="s">
        <v>290</v>
      </c>
      <c r="C321" s="735" t="s">
        <v>1076</v>
      </c>
      <c r="D321" s="752">
        <v>3437</v>
      </c>
      <c r="E321" s="753"/>
      <c r="F321" s="753" t="s">
        <v>1083</v>
      </c>
      <c r="G321" s="753"/>
      <c r="H321" s="753"/>
      <c r="I321" s="754"/>
      <c r="J321" s="754"/>
      <c r="K321" s="754">
        <f>198140+18830</f>
        <v>216970</v>
      </c>
      <c r="L321" s="755">
        <v>26000</v>
      </c>
      <c r="M321" s="755">
        <v>14123</v>
      </c>
      <c r="N321" s="756">
        <v>12751</v>
      </c>
      <c r="O321" s="737">
        <f t="shared" si="52"/>
        <v>90.285350138072644</v>
      </c>
      <c r="P321" s="757"/>
      <c r="Q321" s="757"/>
      <c r="R321" s="757"/>
      <c r="S321" s="749">
        <v>0</v>
      </c>
      <c r="T321" s="758" t="s">
        <v>1084</v>
      </c>
    </row>
    <row r="322" spans="1:21" outlineLevel="2">
      <c r="A322" s="694">
        <f t="shared" si="45"/>
        <v>321</v>
      </c>
      <c r="B322" s="751" t="s">
        <v>951</v>
      </c>
      <c r="C322" s="735" t="s">
        <v>1076</v>
      </c>
      <c r="D322" s="752">
        <v>4914</v>
      </c>
      <c r="E322" s="753"/>
      <c r="F322" s="753" t="s">
        <v>1085</v>
      </c>
      <c r="G322" s="753"/>
      <c r="H322" s="753"/>
      <c r="I322" s="754"/>
      <c r="J322" s="754"/>
      <c r="K322" s="754">
        <f>78719+5450</f>
        <v>84169</v>
      </c>
      <c r="L322" s="755">
        <v>9930</v>
      </c>
      <c r="M322" s="755">
        <v>6930</v>
      </c>
      <c r="N322" s="756">
        <v>3938</v>
      </c>
      <c r="O322" s="737">
        <f t="shared" si="52"/>
        <v>56.825396825396822</v>
      </c>
      <c r="P322" s="757"/>
      <c r="Q322" s="757"/>
      <c r="R322" s="757"/>
      <c r="S322" s="749">
        <v>0</v>
      </c>
      <c r="T322" s="758" t="s">
        <v>953</v>
      </c>
    </row>
    <row r="323" spans="1:21" outlineLevel="2">
      <c r="A323" s="694">
        <f t="shared" si="45"/>
        <v>322</v>
      </c>
      <c r="B323" s="751" t="s">
        <v>290</v>
      </c>
      <c r="C323" s="735" t="s">
        <v>1076</v>
      </c>
      <c r="D323" s="752">
        <v>4915</v>
      </c>
      <c r="E323" s="753"/>
      <c r="F323" s="753" t="s">
        <v>1086</v>
      </c>
      <c r="G323" s="753"/>
      <c r="H323" s="753"/>
      <c r="I323" s="754"/>
      <c r="J323" s="754"/>
      <c r="K323" s="754">
        <f>331473+18891</f>
        <v>350364</v>
      </c>
      <c r="L323" s="755">
        <v>0</v>
      </c>
      <c r="M323" s="755">
        <v>0</v>
      </c>
      <c r="N323" s="756"/>
      <c r="O323" s="737" t="str">
        <f t="shared" si="52"/>
        <v xml:space="preserve"> </v>
      </c>
      <c r="P323" s="757"/>
      <c r="Q323" s="757"/>
      <c r="R323" s="757"/>
      <c r="S323" s="749">
        <v>0</v>
      </c>
      <c r="T323" s="758" t="s">
        <v>1084</v>
      </c>
    </row>
    <row r="324" spans="1:21" outlineLevel="2">
      <c r="A324" s="694">
        <f t="shared" ref="A324:A387" si="62">A323+1</f>
        <v>323</v>
      </c>
      <c r="B324" s="751" t="s">
        <v>180</v>
      </c>
      <c r="C324" s="735" t="s">
        <v>1076</v>
      </c>
      <c r="D324" s="752">
        <v>4925</v>
      </c>
      <c r="E324" s="753">
        <v>41</v>
      </c>
      <c r="F324" s="753" t="s">
        <v>1087</v>
      </c>
      <c r="G324" s="753"/>
      <c r="H324" s="753"/>
      <c r="I324" s="754"/>
      <c r="J324" s="754"/>
      <c r="K324" s="754">
        <v>0</v>
      </c>
      <c r="L324" s="755">
        <v>287000</v>
      </c>
      <c r="M324" s="755">
        <v>124295</v>
      </c>
      <c r="N324" s="756"/>
      <c r="O324" s="737">
        <f t="shared" si="52"/>
        <v>0</v>
      </c>
      <c r="P324" s="757"/>
      <c r="Q324" s="757"/>
      <c r="R324" s="757"/>
      <c r="S324" s="749">
        <v>34060</v>
      </c>
      <c r="T324" s="758" t="s">
        <v>1041</v>
      </c>
    </row>
    <row r="325" spans="1:21" outlineLevel="2">
      <c r="A325" s="694">
        <f t="shared" si="62"/>
        <v>324</v>
      </c>
      <c r="B325" s="751" t="s">
        <v>219</v>
      </c>
      <c r="C325" s="735" t="s">
        <v>1076</v>
      </c>
      <c r="D325" s="752">
        <v>5101</v>
      </c>
      <c r="E325" s="770" t="s">
        <v>729</v>
      </c>
      <c r="F325" s="753" t="s">
        <v>1088</v>
      </c>
      <c r="G325" s="753" t="s">
        <v>698</v>
      </c>
      <c r="H325" s="753" t="s">
        <v>734</v>
      </c>
      <c r="I325" s="754">
        <v>21500</v>
      </c>
      <c r="J325" s="755"/>
      <c r="K325" s="754">
        <v>300</v>
      </c>
      <c r="L325" s="755">
        <v>0</v>
      </c>
      <c r="M325" s="755">
        <v>0</v>
      </c>
      <c r="N325" s="756"/>
      <c r="O325" s="737" t="str">
        <f t="shared" si="52"/>
        <v xml:space="preserve"> </v>
      </c>
      <c r="P325" s="757"/>
      <c r="Q325" s="757"/>
      <c r="R325" s="757"/>
      <c r="S325" s="749">
        <v>0</v>
      </c>
      <c r="T325" s="758" t="s">
        <v>1043</v>
      </c>
      <c r="U325" s="740">
        <f t="shared" ref="U325:U326" si="63">K325+N325</f>
        <v>300</v>
      </c>
    </row>
    <row r="326" spans="1:21" outlineLevel="2">
      <c r="A326" s="694">
        <f t="shared" si="62"/>
        <v>325</v>
      </c>
      <c r="B326" s="751" t="s">
        <v>219</v>
      </c>
      <c r="C326" s="735" t="s">
        <v>1076</v>
      </c>
      <c r="D326" s="752">
        <v>5109</v>
      </c>
      <c r="E326" s="770" t="s">
        <v>729</v>
      </c>
      <c r="F326" s="753" t="s">
        <v>1089</v>
      </c>
      <c r="G326" s="753" t="s">
        <v>698</v>
      </c>
      <c r="H326" s="752">
        <v>2012</v>
      </c>
      <c r="I326" s="754">
        <v>2020</v>
      </c>
      <c r="J326" s="755">
        <v>1391</v>
      </c>
      <c r="K326" s="754">
        <f>1864</f>
        <v>1864</v>
      </c>
      <c r="L326" s="755">
        <v>0</v>
      </c>
      <c r="M326" s="755">
        <v>155</v>
      </c>
      <c r="N326" s="756">
        <v>144</v>
      </c>
      <c r="O326" s="737">
        <f t="shared" si="52"/>
        <v>92.903225806451616</v>
      </c>
      <c r="P326" s="757"/>
      <c r="Q326" s="757"/>
      <c r="R326" s="757"/>
      <c r="S326" s="749">
        <v>0</v>
      </c>
      <c r="T326" s="758" t="s">
        <v>1043</v>
      </c>
      <c r="U326" s="740">
        <f t="shared" si="63"/>
        <v>2008</v>
      </c>
    </row>
    <row r="327" spans="1:21" outlineLevel="1">
      <c r="A327" s="694">
        <f t="shared" si="62"/>
        <v>326</v>
      </c>
      <c r="B327" s="760"/>
      <c r="C327" s="761" t="s">
        <v>1090</v>
      </c>
      <c r="D327" s="761"/>
      <c r="E327" s="771"/>
      <c r="F327" s="762"/>
      <c r="G327" s="762"/>
      <c r="H327" s="761"/>
      <c r="I327" s="763">
        <f t="shared" ref="I327:N327" si="64">SUBTOTAL(9,I315:I326)</f>
        <v>63537</v>
      </c>
      <c r="J327" s="763">
        <f t="shared" si="64"/>
        <v>1391</v>
      </c>
      <c r="K327" s="763">
        <f t="shared" si="64"/>
        <v>686293</v>
      </c>
      <c r="L327" s="763">
        <f t="shared" si="64"/>
        <v>328907</v>
      </c>
      <c r="M327" s="763">
        <f t="shared" si="64"/>
        <v>153163</v>
      </c>
      <c r="N327" s="764">
        <f t="shared" si="64"/>
        <v>22097</v>
      </c>
      <c r="O327" s="765">
        <f t="shared" si="52"/>
        <v>14.427113597931616</v>
      </c>
      <c r="P327" s="764">
        <f>SUBTOTAL(9,P315:P326)</f>
        <v>0</v>
      </c>
      <c r="Q327" s="764">
        <f>SUBTOTAL(9,Q315:Q326)</f>
        <v>0</v>
      </c>
      <c r="R327" s="764">
        <f>SUBTOTAL(9,R315:R326)</f>
        <v>0</v>
      </c>
      <c r="S327" s="766"/>
      <c r="T327" s="767"/>
    </row>
    <row r="328" spans="1:21" outlineLevel="2">
      <c r="A328" s="694">
        <f t="shared" si="62"/>
        <v>327</v>
      </c>
      <c r="B328" s="751" t="s">
        <v>865</v>
      </c>
      <c r="C328" s="752" t="s">
        <v>1091</v>
      </c>
      <c r="D328" s="752">
        <v>3120</v>
      </c>
      <c r="E328" s="753"/>
      <c r="F328" s="753" t="s">
        <v>1092</v>
      </c>
      <c r="G328" s="753"/>
      <c r="H328" s="753"/>
      <c r="I328" s="754"/>
      <c r="J328" s="754"/>
      <c r="K328" s="754">
        <f>71000+25000</f>
        <v>96000</v>
      </c>
      <c r="L328" s="755">
        <v>20000</v>
      </c>
      <c r="M328" s="755">
        <v>20000</v>
      </c>
      <c r="N328" s="756">
        <v>20000</v>
      </c>
      <c r="O328" s="737">
        <f t="shared" si="52"/>
        <v>100</v>
      </c>
      <c r="P328" s="757"/>
      <c r="Q328" s="757"/>
      <c r="R328" s="757"/>
      <c r="S328" s="749">
        <v>0</v>
      </c>
      <c r="T328" s="758" t="s">
        <v>867</v>
      </c>
    </row>
    <row r="329" spans="1:21" outlineLevel="1">
      <c r="A329" s="694">
        <f t="shared" si="62"/>
        <v>328</v>
      </c>
      <c r="B329" s="797"/>
      <c r="C329" s="761" t="s">
        <v>1093</v>
      </c>
      <c r="D329" s="761"/>
      <c r="E329" s="762"/>
      <c r="F329" s="762"/>
      <c r="G329" s="762"/>
      <c r="H329" s="762"/>
      <c r="I329" s="763">
        <f t="shared" ref="I329:N329" si="65">SUBTOTAL(9,I328:I328)</f>
        <v>0</v>
      </c>
      <c r="J329" s="763">
        <f t="shared" si="65"/>
        <v>0</v>
      </c>
      <c r="K329" s="763">
        <f t="shared" si="65"/>
        <v>96000</v>
      </c>
      <c r="L329" s="763">
        <f t="shared" si="65"/>
        <v>20000</v>
      </c>
      <c r="M329" s="763">
        <f t="shared" si="65"/>
        <v>20000</v>
      </c>
      <c r="N329" s="764">
        <f t="shared" si="65"/>
        <v>20000</v>
      </c>
      <c r="O329" s="765">
        <f t="shared" si="52"/>
        <v>100</v>
      </c>
      <c r="P329" s="764">
        <f>SUBTOTAL(9,P328:P328)</f>
        <v>0</v>
      </c>
      <c r="Q329" s="764">
        <f>SUBTOTAL(9,Q328:Q328)</f>
        <v>0</v>
      </c>
      <c r="R329" s="764">
        <f>SUBTOTAL(9,R328:R328)</f>
        <v>0</v>
      </c>
      <c r="S329" s="766"/>
      <c r="T329" s="767"/>
    </row>
    <row r="330" spans="1:21" ht="25.5" outlineLevel="2">
      <c r="A330" s="694">
        <f t="shared" si="62"/>
        <v>329</v>
      </c>
      <c r="B330" s="759" t="s">
        <v>678</v>
      </c>
      <c r="C330" s="752" t="s">
        <v>1094</v>
      </c>
      <c r="D330" s="752">
        <v>5149</v>
      </c>
      <c r="E330" s="770" t="s">
        <v>729</v>
      </c>
      <c r="F330" s="804" t="s">
        <v>1095</v>
      </c>
      <c r="G330" s="752">
        <v>2012</v>
      </c>
      <c r="H330" s="753" t="s">
        <v>742</v>
      </c>
      <c r="I330" s="754">
        <v>7098</v>
      </c>
      <c r="J330" s="755">
        <v>5569</v>
      </c>
      <c r="K330" s="754">
        <v>0</v>
      </c>
      <c r="L330" s="755">
        <v>0</v>
      </c>
      <c r="M330" s="755">
        <v>3</v>
      </c>
      <c r="N330" s="756">
        <v>1</v>
      </c>
      <c r="O330" s="793">
        <f t="shared" si="52"/>
        <v>33.333333333333329</v>
      </c>
      <c r="P330" s="757"/>
      <c r="Q330" s="757"/>
      <c r="R330" s="757"/>
      <c r="S330" s="749"/>
      <c r="T330" s="758" t="s">
        <v>681</v>
      </c>
    </row>
    <row r="331" spans="1:21" outlineLevel="1">
      <c r="A331" s="694">
        <f t="shared" si="62"/>
        <v>330</v>
      </c>
      <c r="B331" s="760"/>
      <c r="C331" s="761" t="s">
        <v>1096</v>
      </c>
      <c r="D331" s="761"/>
      <c r="E331" s="771"/>
      <c r="F331" s="805"/>
      <c r="G331" s="761"/>
      <c r="H331" s="762"/>
      <c r="I331" s="763">
        <f t="shared" ref="I331:N331" si="66">SUBTOTAL(9,I330:I330)</f>
        <v>7098</v>
      </c>
      <c r="J331" s="763">
        <f t="shared" si="66"/>
        <v>5569</v>
      </c>
      <c r="K331" s="763">
        <f t="shared" si="66"/>
        <v>0</v>
      </c>
      <c r="L331" s="763">
        <f t="shared" si="66"/>
        <v>0</v>
      </c>
      <c r="M331" s="763">
        <f t="shared" si="66"/>
        <v>3</v>
      </c>
      <c r="N331" s="764">
        <f t="shared" si="66"/>
        <v>1</v>
      </c>
      <c r="O331" s="806">
        <f t="shared" si="52"/>
        <v>33.333333333333329</v>
      </c>
      <c r="P331" s="764">
        <f>SUBTOTAL(9,P330:P330)</f>
        <v>0</v>
      </c>
      <c r="Q331" s="764">
        <f>SUBTOTAL(9,Q330:Q330)</f>
        <v>0</v>
      </c>
      <c r="R331" s="764">
        <f>SUBTOTAL(9,R330:R330)</f>
        <v>0</v>
      </c>
      <c r="S331" s="766"/>
      <c r="T331" s="767"/>
    </row>
    <row r="332" spans="1:21" outlineLevel="2">
      <c r="A332" s="694">
        <f t="shared" si="62"/>
        <v>331</v>
      </c>
      <c r="B332" s="759" t="s">
        <v>1066</v>
      </c>
      <c r="C332" s="735" t="s">
        <v>1097</v>
      </c>
      <c r="D332" s="735">
        <v>3232</v>
      </c>
      <c r="E332" s="743"/>
      <c r="F332" s="743" t="s">
        <v>1098</v>
      </c>
      <c r="G332" s="807"/>
      <c r="H332" s="807"/>
      <c r="I332" s="794"/>
      <c r="J332" s="794"/>
      <c r="K332" s="755">
        <f>217</f>
        <v>217</v>
      </c>
      <c r="L332" s="755"/>
      <c r="M332" s="755"/>
      <c r="N332" s="756"/>
      <c r="O332" s="737" t="str">
        <f t="shared" si="52"/>
        <v xml:space="preserve"> </v>
      </c>
      <c r="P332" s="757"/>
      <c r="Q332" s="757"/>
      <c r="R332" s="757"/>
      <c r="S332" s="749"/>
      <c r="T332" s="748" t="s">
        <v>1069</v>
      </c>
    </row>
    <row r="333" spans="1:21" outlineLevel="1">
      <c r="A333" s="694">
        <f t="shared" si="62"/>
        <v>332</v>
      </c>
      <c r="B333" s="760"/>
      <c r="C333" s="761" t="s">
        <v>1099</v>
      </c>
      <c r="D333" s="761"/>
      <c r="E333" s="762"/>
      <c r="F333" s="762"/>
      <c r="G333" s="762"/>
      <c r="H333" s="762"/>
      <c r="I333" s="763">
        <f t="shared" ref="I333:N333" si="67">SUBTOTAL(9,I332:I332)</f>
        <v>0</v>
      </c>
      <c r="J333" s="763">
        <f t="shared" si="67"/>
        <v>0</v>
      </c>
      <c r="K333" s="763">
        <f t="shared" si="67"/>
        <v>217</v>
      </c>
      <c r="L333" s="763">
        <f t="shared" si="67"/>
        <v>0</v>
      </c>
      <c r="M333" s="763">
        <f t="shared" si="67"/>
        <v>0</v>
      </c>
      <c r="N333" s="764">
        <f t="shared" si="67"/>
        <v>0</v>
      </c>
      <c r="O333" s="765" t="str">
        <f t="shared" si="52"/>
        <v xml:space="preserve"> </v>
      </c>
      <c r="P333" s="764">
        <f>SUBTOTAL(9,P332:P332)</f>
        <v>0</v>
      </c>
      <c r="Q333" s="764">
        <f>SUBTOTAL(9,Q332:Q332)</f>
        <v>0</v>
      </c>
      <c r="R333" s="764">
        <f>SUBTOTAL(9,R332:R332)</f>
        <v>0</v>
      </c>
      <c r="S333" s="766"/>
      <c r="T333" s="767"/>
    </row>
    <row r="334" spans="1:21" outlineLevel="2">
      <c r="A334" s="694">
        <f t="shared" si="62"/>
        <v>333</v>
      </c>
      <c r="B334" s="759" t="s">
        <v>1066</v>
      </c>
      <c r="C334" s="735" t="s">
        <v>1100</v>
      </c>
      <c r="D334" s="735">
        <v>2901</v>
      </c>
      <c r="E334" s="743"/>
      <c r="F334" s="743" t="s">
        <v>1101</v>
      </c>
      <c r="G334" s="735">
        <v>2012</v>
      </c>
      <c r="H334" s="735">
        <v>2016</v>
      </c>
      <c r="I334" s="755">
        <v>1875</v>
      </c>
      <c r="J334" s="755"/>
      <c r="K334" s="755"/>
      <c r="L334" s="755"/>
      <c r="M334" s="755">
        <v>1875</v>
      </c>
      <c r="N334" s="756">
        <v>1874</v>
      </c>
      <c r="O334" s="737">
        <f t="shared" si="52"/>
        <v>99.946666666666658</v>
      </c>
      <c r="P334" s="756"/>
      <c r="Q334" s="756"/>
      <c r="R334" s="756"/>
      <c r="S334" s="749"/>
      <c r="T334" s="748" t="s">
        <v>1069</v>
      </c>
      <c r="U334" s="740">
        <f>K334+N334</f>
        <v>1874</v>
      </c>
    </row>
    <row r="335" spans="1:21" outlineLevel="2">
      <c r="A335" s="694">
        <f t="shared" si="62"/>
        <v>334</v>
      </c>
      <c r="B335" s="759" t="s">
        <v>1066</v>
      </c>
      <c r="C335" s="735" t="s">
        <v>1100</v>
      </c>
      <c r="D335" s="735">
        <v>2920</v>
      </c>
      <c r="E335" s="743"/>
      <c r="F335" s="743" t="s">
        <v>1102</v>
      </c>
      <c r="G335" s="743"/>
      <c r="H335" s="743"/>
      <c r="I335" s="755"/>
      <c r="J335" s="755"/>
      <c r="K335" s="755"/>
      <c r="L335" s="755"/>
      <c r="M335" s="755">
        <v>375</v>
      </c>
      <c r="N335" s="756"/>
      <c r="O335" s="737">
        <f t="shared" si="52"/>
        <v>0</v>
      </c>
      <c r="P335" s="756"/>
      <c r="Q335" s="756"/>
      <c r="R335" s="756"/>
      <c r="S335" s="749"/>
      <c r="T335" s="748" t="s">
        <v>1069</v>
      </c>
    </row>
    <row r="336" spans="1:21" outlineLevel="2">
      <c r="A336" s="694">
        <f t="shared" si="62"/>
        <v>335</v>
      </c>
      <c r="B336" s="759" t="s">
        <v>1066</v>
      </c>
      <c r="C336" s="735" t="s">
        <v>1100</v>
      </c>
      <c r="D336" s="735">
        <v>300199</v>
      </c>
      <c r="E336" s="743"/>
      <c r="F336" s="743" t="s">
        <v>1103</v>
      </c>
      <c r="G336" s="743"/>
      <c r="H336" s="743"/>
      <c r="I336" s="755"/>
      <c r="J336" s="755"/>
      <c r="K336" s="755"/>
      <c r="L336" s="755"/>
      <c r="M336" s="755">
        <v>14000</v>
      </c>
      <c r="N336" s="756">
        <v>14000</v>
      </c>
      <c r="O336" s="737"/>
      <c r="P336" s="756"/>
      <c r="Q336" s="756"/>
      <c r="R336" s="756"/>
      <c r="S336" s="749"/>
      <c r="T336" s="748" t="s">
        <v>1069</v>
      </c>
    </row>
    <row r="337" spans="1:21" outlineLevel="1">
      <c r="A337" s="694">
        <f t="shared" si="62"/>
        <v>336</v>
      </c>
      <c r="B337" s="760"/>
      <c r="C337" s="761" t="s">
        <v>1104</v>
      </c>
      <c r="D337" s="761"/>
      <c r="E337" s="762"/>
      <c r="F337" s="762"/>
      <c r="G337" s="762"/>
      <c r="H337" s="762"/>
      <c r="I337" s="763">
        <f t="shared" ref="I337:N337" si="68">SUBTOTAL(9,I334:I336)</f>
        <v>1875</v>
      </c>
      <c r="J337" s="763">
        <f t="shared" si="68"/>
        <v>0</v>
      </c>
      <c r="K337" s="763">
        <f t="shared" si="68"/>
        <v>0</v>
      </c>
      <c r="L337" s="763">
        <f t="shared" si="68"/>
        <v>0</v>
      </c>
      <c r="M337" s="763">
        <f t="shared" si="68"/>
        <v>16250</v>
      </c>
      <c r="N337" s="764">
        <f t="shared" si="68"/>
        <v>15874</v>
      </c>
      <c r="O337" s="765">
        <f>IF(M337&lt;=0," ",N337/M337*100)</f>
        <v>97.686153846153843</v>
      </c>
      <c r="P337" s="764">
        <f>SUBTOTAL(9,P334:P336)</f>
        <v>0</v>
      </c>
      <c r="Q337" s="764">
        <f>SUBTOTAL(9,Q334:Q336)</f>
        <v>0</v>
      </c>
      <c r="R337" s="764">
        <f>SUBTOTAL(9,R334:R336)</f>
        <v>0</v>
      </c>
      <c r="S337" s="766"/>
      <c r="T337" s="767"/>
    </row>
    <row r="338" spans="1:21" outlineLevel="2">
      <c r="A338" s="694">
        <f t="shared" si="62"/>
        <v>337</v>
      </c>
      <c r="B338" s="751" t="s">
        <v>678</v>
      </c>
      <c r="C338" s="752" t="s">
        <v>1105</v>
      </c>
      <c r="D338" s="752">
        <v>3119</v>
      </c>
      <c r="E338" s="753"/>
      <c r="F338" s="753" t="s">
        <v>1106</v>
      </c>
      <c r="G338" s="753" t="s">
        <v>767</v>
      </c>
      <c r="H338" s="752">
        <v>2016</v>
      </c>
      <c r="I338" s="754">
        <v>1525</v>
      </c>
      <c r="J338" s="754"/>
      <c r="K338" s="754">
        <v>52</v>
      </c>
      <c r="L338" s="755">
        <v>0</v>
      </c>
      <c r="M338" s="755">
        <v>0</v>
      </c>
      <c r="N338" s="756"/>
      <c r="O338" s="737" t="str">
        <f t="shared" si="52"/>
        <v xml:space="preserve"> </v>
      </c>
      <c r="P338" s="757"/>
      <c r="Q338" s="757"/>
      <c r="R338" s="757"/>
      <c r="S338" s="749">
        <v>1473</v>
      </c>
      <c r="T338" s="758" t="s">
        <v>681</v>
      </c>
      <c r="U338" s="740">
        <f>K338+N338</f>
        <v>52</v>
      </c>
    </row>
    <row r="339" spans="1:21" outlineLevel="2">
      <c r="A339" s="694">
        <f t="shared" si="62"/>
        <v>338</v>
      </c>
      <c r="B339" s="751" t="s">
        <v>678</v>
      </c>
      <c r="C339" s="752" t="s">
        <v>1105</v>
      </c>
      <c r="D339" s="752">
        <v>3256</v>
      </c>
      <c r="E339" s="753"/>
      <c r="F339" s="753" t="s">
        <v>1107</v>
      </c>
      <c r="G339" s="753" t="s">
        <v>695</v>
      </c>
      <c r="H339" s="735">
        <v>2014</v>
      </c>
      <c r="I339" s="754">
        <v>52000</v>
      </c>
      <c r="J339" s="754"/>
      <c r="K339" s="754">
        <v>31159</v>
      </c>
      <c r="L339" s="755">
        <v>0</v>
      </c>
      <c r="M339" s="755">
        <v>700</v>
      </c>
      <c r="N339" s="756">
        <v>700</v>
      </c>
      <c r="O339" s="737">
        <f t="shared" si="52"/>
        <v>100</v>
      </c>
      <c r="P339" s="757"/>
      <c r="Q339" s="757"/>
      <c r="R339" s="757"/>
      <c r="S339" s="749">
        <v>10841</v>
      </c>
      <c r="T339" s="758" t="s">
        <v>681</v>
      </c>
    </row>
    <row r="340" spans="1:21" outlineLevel="2">
      <c r="A340" s="694">
        <f t="shared" si="62"/>
        <v>339</v>
      </c>
      <c r="B340" s="751" t="s">
        <v>678</v>
      </c>
      <c r="C340" s="752" t="s">
        <v>1105</v>
      </c>
      <c r="D340" s="752">
        <v>4877</v>
      </c>
      <c r="E340" s="753"/>
      <c r="F340" s="753" t="s">
        <v>1108</v>
      </c>
      <c r="G340" s="753" t="s">
        <v>704</v>
      </c>
      <c r="H340" s="753" t="s">
        <v>705</v>
      </c>
      <c r="I340" s="754">
        <v>20000</v>
      </c>
      <c r="J340" s="754"/>
      <c r="K340" s="754">
        <v>0</v>
      </c>
      <c r="L340" s="755">
        <v>0</v>
      </c>
      <c r="M340" s="755">
        <v>0</v>
      </c>
      <c r="N340" s="756"/>
      <c r="O340" s="737" t="str">
        <f t="shared" si="52"/>
        <v xml:space="preserve"> </v>
      </c>
      <c r="P340" s="757"/>
      <c r="Q340" s="757"/>
      <c r="R340" s="757"/>
      <c r="S340" s="749">
        <v>20000</v>
      </c>
      <c r="T340" s="758" t="s">
        <v>681</v>
      </c>
    </row>
    <row r="341" spans="1:21" outlineLevel="2">
      <c r="A341" s="694">
        <f t="shared" si="62"/>
        <v>340</v>
      </c>
      <c r="B341" s="751" t="s">
        <v>678</v>
      </c>
      <c r="C341" s="752" t="s">
        <v>1105</v>
      </c>
      <c r="D341" s="752">
        <v>4878</v>
      </c>
      <c r="E341" s="753"/>
      <c r="F341" s="753" t="s">
        <v>1109</v>
      </c>
      <c r="G341" s="753" t="s">
        <v>704</v>
      </c>
      <c r="H341" s="753" t="s">
        <v>760</v>
      </c>
      <c r="I341" s="754">
        <v>54400</v>
      </c>
      <c r="J341" s="754"/>
      <c r="K341" s="754">
        <v>13303</v>
      </c>
      <c r="L341" s="755">
        <v>0</v>
      </c>
      <c r="M341" s="755">
        <v>0</v>
      </c>
      <c r="N341" s="756"/>
      <c r="O341" s="737" t="str">
        <f t="shared" si="52"/>
        <v xml:space="preserve"> </v>
      </c>
      <c r="P341" s="757"/>
      <c r="Q341" s="757"/>
      <c r="R341" s="757"/>
      <c r="S341" s="749">
        <v>41097</v>
      </c>
      <c r="T341" s="758" t="s">
        <v>681</v>
      </c>
    </row>
    <row r="342" spans="1:21" outlineLevel="2">
      <c r="A342" s="694">
        <f t="shared" si="62"/>
        <v>341</v>
      </c>
      <c r="B342" s="751" t="s">
        <v>678</v>
      </c>
      <c r="C342" s="752" t="s">
        <v>1105</v>
      </c>
      <c r="D342" s="752">
        <v>5005</v>
      </c>
      <c r="E342" s="770" t="s">
        <v>729</v>
      </c>
      <c r="F342" s="753" t="s">
        <v>1110</v>
      </c>
      <c r="G342" s="753" t="s">
        <v>767</v>
      </c>
      <c r="H342" s="735">
        <v>2012</v>
      </c>
      <c r="I342" s="754">
        <v>80827</v>
      </c>
      <c r="J342" s="755">
        <v>45000</v>
      </c>
      <c r="K342" s="754">
        <f>78320+709</f>
        <v>79029</v>
      </c>
      <c r="L342" s="755">
        <v>0</v>
      </c>
      <c r="M342" s="755">
        <v>1700</v>
      </c>
      <c r="N342" s="756">
        <v>612</v>
      </c>
      <c r="O342" s="737">
        <f t="shared" si="52"/>
        <v>36</v>
      </c>
      <c r="P342" s="757"/>
      <c r="Q342" s="757"/>
      <c r="R342" s="757"/>
      <c r="S342" s="749">
        <v>0</v>
      </c>
      <c r="T342" s="758" t="s">
        <v>681</v>
      </c>
      <c r="U342" s="740">
        <f>K342+N342</f>
        <v>79641</v>
      </c>
    </row>
    <row r="343" spans="1:21" outlineLevel="2">
      <c r="A343" s="694">
        <f t="shared" si="62"/>
        <v>342</v>
      </c>
      <c r="B343" s="779">
        <v>5600</v>
      </c>
      <c r="C343" s="752" t="s">
        <v>1105</v>
      </c>
      <c r="D343" s="752">
        <v>5139</v>
      </c>
      <c r="E343" s="770" t="s">
        <v>729</v>
      </c>
      <c r="F343" s="753" t="s">
        <v>1111</v>
      </c>
      <c r="G343" s="752">
        <v>2011</v>
      </c>
      <c r="H343" s="752">
        <v>2013</v>
      </c>
      <c r="I343" s="754">
        <v>7439</v>
      </c>
      <c r="J343" s="755">
        <v>6000</v>
      </c>
      <c r="K343" s="754">
        <v>0</v>
      </c>
      <c r="L343" s="755">
        <v>1000</v>
      </c>
      <c r="M343" s="755">
        <v>1000</v>
      </c>
      <c r="N343" s="756">
        <v>185</v>
      </c>
      <c r="O343" s="737">
        <f t="shared" ref="O343:O408" si="69">IF(M343&lt;=0," ",N343/M343*100)</f>
        <v>18.5</v>
      </c>
      <c r="P343" s="757"/>
      <c r="Q343" s="757"/>
      <c r="R343" s="757"/>
      <c r="S343" s="749">
        <v>2289</v>
      </c>
      <c r="T343" s="758" t="s">
        <v>681</v>
      </c>
    </row>
    <row r="344" spans="1:21" outlineLevel="2">
      <c r="A344" s="694">
        <f t="shared" si="62"/>
        <v>343</v>
      </c>
      <c r="B344" s="779">
        <v>5600</v>
      </c>
      <c r="C344" s="752" t="s">
        <v>1105</v>
      </c>
      <c r="D344" s="752">
        <v>5140</v>
      </c>
      <c r="E344" s="770" t="s">
        <v>729</v>
      </c>
      <c r="F344" s="753" t="s">
        <v>1112</v>
      </c>
      <c r="G344" s="752">
        <v>2011</v>
      </c>
      <c r="H344" s="752">
        <v>2013</v>
      </c>
      <c r="I344" s="754">
        <v>25446</v>
      </c>
      <c r="J344" s="755">
        <v>20703</v>
      </c>
      <c r="K344" s="754">
        <v>0</v>
      </c>
      <c r="L344" s="755">
        <v>1000</v>
      </c>
      <c r="M344" s="755">
        <v>2000</v>
      </c>
      <c r="N344" s="756">
        <v>11</v>
      </c>
      <c r="O344" s="737">
        <f t="shared" si="69"/>
        <v>0.54999999999999993</v>
      </c>
      <c r="P344" s="757"/>
      <c r="Q344" s="757"/>
      <c r="R344" s="757"/>
      <c r="S344" s="749">
        <v>19446</v>
      </c>
      <c r="T344" s="758" t="s">
        <v>681</v>
      </c>
    </row>
    <row r="345" spans="1:21" outlineLevel="2">
      <c r="A345" s="694">
        <f t="shared" si="62"/>
        <v>344</v>
      </c>
      <c r="B345" s="779">
        <v>5600</v>
      </c>
      <c r="C345" s="752" t="s">
        <v>1105</v>
      </c>
      <c r="D345" s="752">
        <v>5141</v>
      </c>
      <c r="E345" s="770" t="s">
        <v>729</v>
      </c>
      <c r="F345" s="753" t="s">
        <v>1113</v>
      </c>
      <c r="G345" s="752">
        <v>2011</v>
      </c>
      <c r="H345" s="752">
        <v>2013</v>
      </c>
      <c r="I345" s="754">
        <v>32900</v>
      </c>
      <c r="J345" s="755">
        <v>23872</v>
      </c>
      <c r="K345" s="754">
        <v>0</v>
      </c>
      <c r="L345" s="755">
        <v>1000</v>
      </c>
      <c r="M345" s="755">
        <v>3000</v>
      </c>
      <c r="N345" s="756">
        <v>726</v>
      </c>
      <c r="O345" s="737">
        <f t="shared" si="69"/>
        <v>24.2</v>
      </c>
      <c r="P345" s="757"/>
      <c r="Q345" s="757"/>
      <c r="R345" s="757"/>
      <c r="S345" s="749">
        <v>25900</v>
      </c>
      <c r="T345" s="758" t="s">
        <v>681</v>
      </c>
    </row>
    <row r="346" spans="1:21" outlineLevel="1">
      <c r="A346" s="694">
        <f t="shared" si="62"/>
        <v>345</v>
      </c>
      <c r="B346" s="801"/>
      <c r="C346" s="761" t="s">
        <v>1114</v>
      </c>
      <c r="D346" s="761"/>
      <c r="E346" s="771"/>
      <c r="F346" s="762"/>
      <c r="G346" s="761"/>
      <c r="H346" s="761"/>
      <c r="I346" s="763">
        <f t="shared" ref="I346:N346" si="70">SUBTOTAL(9,I338:I345)</f>
        <v>274537</v>
      </c>
      <c r="J346" s="763">
        <f t="shared" si="70"/>
        <v>95575</v>
      </c>
      <c r="K346" s="763">
        <f t="shared" si="70"/>
        <v>123543</v>
      </c>
      <c r="L346" s="763">
        <f t="shared" si="70"/>
        <v>3000</v>
      </c>
      <c r="M346" s="763">
        <f t="shared" si="70"/>
        <v>8400</v>
      </c>
      <c r="N346" s="764">
        <f t="shared" si="70"/>
        <v>2234</v>
      </c>
      <c r="O346" s="765">
        <f t="shared" si="69"/>
        <v>26.595238095238095</v>
      </c>
      <c r="P346" s="764">
        <f>SUBTOTAL(9,P338:P345)</f>
        <v>0</v>
      </c>
      <c r="Q346" s="764">
        <f>SUBTOTAL(9,Q338:Q345)</f>
        <v>0</v>
      </c>
      <c r="R346" s="764">
        <f>SUBTOTAL(9,R338:R345)</f>
        <v>0</v>
      </c>
      <c r="S346" s="766"/>
      <c r="T346" s="767"/>
    </row>
    <row r="347" spans="1:21" s="708" customFormat="1" outlineLevel="2">
      <c r="A347" s="694">
        <f t="shared" si="62"/>
        <v>346</v>
      </c>
      <c r="B347" s="742">
        <v>5600</v>
      </c>
      <c r="C347" s="735" t="s">
        <v>1115</v>
      </c>
      <c r="D347" s="735">
        <v>3166</v>
      </c>
      <c r="E347" s="743"/>
      <c r="F347" s="743" t="s">
        <v>1116</v>
      </c>
      <c r="G347" s="735">
        <v>2007</v>
      </c>
      <c r="H347" s="735">
        <v>2013</v>
      </c>
      <c r="I347" s="755">
        <v>3503</v>
      </c>
      <c r="J347" s="755"/>
      <c r="K347" s="755">
        <v>135</v>
      </c>
      <c r="L347" s="755"/>
      <c r="M347" s="755"/>
      <c r="N347" s="756"/>
      <c r="O347" s="737" t="str">
        <f t="shared" si="69"/>
        <v xml:space="preserve"> </v>
      </c>
      <c r="P347" s="757"/>
      <c r="Q347" s="757"/>
      <c r="R347" s="757"/>
      <c r="S347" s="749">
        <v>3368</v>
      </c>
      <c r="T347" s="748" t="s">
        <v>681</v>
      </c>
    </row>
    <row r="348" spans="1:21" s="708" customFormat="1" outlineLevel="1">
      <c r="A348" s="694">
        <f t="shared" si="62"/>
        <v>347</v>
      </c>
      <c r="B348" s="801"/>
      <c r="C348" s="761" t="s">
        <v>1117</v>
      </c>
      <c r="D348" s="761"/>
      <c r="E348" s="762"/>
      <c r="F348" s="762"/>
      <c r="G348" s="761"/>
      <c r="H348" s="761"/>
      <c r="I348" s="763">
        <f t="shared" ref="I348:N348" si="71">SUBTOTAL(9,I347:I347)</f>
        <v>3503</v>
      </c>
      <c r="J348" s="763">
        <f t="shared" si="71"/>
        <v>0</v>
      </c>
      <c r="K348" s="763">
        <f t="shared" si="71"/>
        <v>135</v>
      </c>
      <c r="L348" s="763">
        <f t="shared" si="71"/>
        <v>0</v>
      </c>
      <c r="M348" s="763">
        <f t="shared" si="71"/>
        <v>0</v>
      </c>
      <c r="N348" s="764">
        <f t="shared" si="71"/>
        <v>0</v>
      </c>
      <c r="O348" s="765" t="str">
        <f t="shared" si="69"/>
        <v xml:space="preserve"> </v>
      </c>
      <c r="P348" s="764">
        <f>SUBTOTAL(9,P347:P347)</f>
        <v>0</v>
      </c>
      <c r="Q348" s="764">
        <f>SUBTOTAL(9,Q347:Q347)</f>
        <v>0</v>
      </c>
      <c r="R348" s="764">
        <f>SUBTOTAL(9,R347:R347)</f>
        <v>0</v>
      </c>
      <c r="S348" s="766"/>
      <c r="T348" s="767"/>
    </row>
    <row r="349" spans="1:21" outlineLevel="2">
      <c r="A349" s="694">
        <f t="shared" si="62"/>
        <v>348</v>
      </c>
      <c r="B349" s="751" t="s">
        <v>678</v>
      </c>
      <c r="C349" s="752" t="s">
        <v>1118</v>
      </c>
      <c r="D349" s="752">
        <v>5016</v>
      </c>
      <c r="E349" s="770" t="s">
        <v>729</v>
      </c>
      <c r="F349" s="753" t="s">
        <v>1119</v>
      </c>
      <c r="G349" s="753" t="s">
        <v>689</v>
      </c>
      <c r="H349" s="753" t="s">
        <v>760</v>
      </c>
      <c r="I349" s="754">
        <v>4615</v>
      </c>
      <c r="J349" s="755"/>
      <c r="K349" s="754">
        <v>1750</v>
      </c>
      <c r="L349" s="755">
        <v>2300</v>
      </c>
      <c r="M349" s="755">
        <v>2300</v>
      </c>
      <c r="N349" s="756">
        <v>1068</v>
      </c>
      <c r="O349" s="737">
        <f t="shared" si="69"/>
        <v>46.434782608695649</v>
      </c>
      <c r="P349" s="757"/>
      <c r="Q349" s="757"/>
      <c r="R349" s="757"/>
      <c r="S349" s="749">
        <v>0</v>
      </c>
      <c r="T349" s="758" t="s">
        <v>681</v>
      </c>
    </row>
    <row r="350" spans="1:21" outlineLevel="1">
      <c r="A350" s="694">
        <f t="shared" si="62"/>
        <v>349</v>
      </c>
      <c r="B350" s="760"/>
      <c r="C350" s="761" t="s">
        <v>1120</v>
      </c>
      <c r="D350" s="761"/>
      <c r="E350" s="771"/>
      <c r="F350" s="762"/>
      <c r="G350" s="762"/>
      <c r="H350" s="762"/>
      <c r="I350" s="763">
        <f t="shared" ref="I350:N350" si="72">SUBTOTAL(9,I349:I349)</f>
        <v>4615</v>
      </c>
      <c r="J350" s="763">
        <f t="shared" si="72"/>
        <v>0</v>
      </c>
      <c r="K350" s="763">
        <f t="shared" si="72"/>
        <v>1750</v>
      </c>
      <c r="L350" s="763">
        <f t="shared" si="72"/>
        <v>2300</v>
      </c>
      <c r="M350" s="763">
        <f t="shared" si="72"/>
        <v>2300</v>
      </c>
      <c r="N350" s="764">
        <f t="shared" si="72"/>
        <v>1068</v>
      </c>
      <c r="O350" s="765">
        <f t="shared" si="69"/>
        <v>46.434782608695649</v>
      </c>
      <c r="P350" s="764">
        <f>SUBTOTAL(9,P349:P349)</f>
        <v>0</v>
      </c>
      <c r="Q350" s="764">
        <f>SUBTOTAL(9,Q349:Q349)</f>
        <v>0</v>
      </c>
      <c r="R350" s="764">
        <f>SUBTOTAL(9,R349:R349)</f>
        <v>0</v>
      </c>
      <c r="S350" s="766"/>
      <c r="T350" s="767"/>
    </row>
    <row r="351" spans="1:21" outlineLevel="2">
      <c r="A351" s="694">
        <f t="shared" si="62"/>
        <v>350</v>
      </c>
      <c r="B351" s="751" t="s">
        <v>678</v>
      </c>
      <c r="C351" s="752" t="s">
        <v>1121</v>
      </c>
      <c r="D351" s="752">
        <v>3065</v>
      </c>
      <c r="E351" s="753"/>
      <c r="F351" s="753" t="s">
        <v>1122</v>
      </c>
      <c r="G351" s="753" t="s">
        <v>689</v>
      </c>
      <c r="H351" s="753" t="s">
        <v>1123</v>
      </c>
      <c r="I351" s="754">
        <v>6900</v>
      </c>
      <c r="J351" s="754"/>
      <c r="K351" s="754">
        <f>224+382</f>
        <v>606</v>
      </c>
      <c r="L351" s="755">
        <v>0</v>
      </c>
      <c r="M351" s="755">
        <v>0</v>
      </c>
      <c r="N351" s="756"/>
      <c r="O351" s="737" t="str">
        <f t="shared" si="69"/>
        <v xml:space="preserve"> </v>
      </c>
      <c r="P351" s="757"/>
      <c r="Q351" s="757"/>
      <c r="R351" s="757"/>
      <c r="S351" s="749">
        <v>6294</v>
      </c>
      <c r="T351" s="758" t="s">
        <v>681</v>
      </c>
      <c r="U351" s="708"/>
    </row>
    <row r="352" spans="1:21" outlineLevel="1">
      <c r="A352" s="694">
        <f t="shared" si="62"/>
        <v>351</v>
      </c>
      <c r="B352" s="760"/>
      <c r="C352" s="761" t="s">
        <v>1124</v>
      </c>
      <c r="D352" s="761"/>
      <c r="E352" s="762"/>
      <c r="F352" s="762"/>
      <c r="G352" s="762"/>
      <c r="H352" s="762"/>
      <c r="I352" s="763">
        <f t="shared" ref="I352:N352" si="73">SUBTOTAL(9,I351:I351)</f>
        <v>6900</v>
      </c>
      <c r="J352" s="763">
        <f t="shared" si="73"/>
        <v>0</v>
      </c>
      <c r="K352" s="763">
        <f t="shared" si="73"/>
        <v>606</v>
      </c>
      <c r="L352" s="763">
        <f t="shared" si="73"/>
        <v>0</v>
      </c>
      <c r="M352" s="763">
        <f t="shared" si="73"/>
        <v>0</v>
      </c>
      <c r="N352" s="764">
        <f t="shared" si="73"/>
        <v>0</v>
      </c>
      <c r="O352" s="765" t="str">
        <f t="shared" si="69"/>
        <v xml:space="preserve"> </v>
      </c>
      <c r="P352" s="764">
        <f>SUBTOTAL(9,P351:P351)</f>
        <v>0</v>
      </c>
      <c r="Q352" s="764">
        <f>SUBTOTAL(9,Q351:Q351)</f>
        <v>0</v>
      </c>
      <c r="R352" s="764">
        <f>SUBTOTAL(9,R351:R351)</f>
        <v>0</v>
      </c>
      <c r="S352" s="766"/>
      <c r="T352" s="767"/>
      <c r="U352" s="708"/>
    </row>
    <row r="353" spans="1:21" outlineLevel="2">
      <c r="A353" s="694">
        <f t="shared" si="62"/>
        <v>352</v>
      </c>
      <c r="B353" s="751" t="s">
        <v>678</v>
      </c>
      <c r="C353" s="752" t="s">
        <v>1125</v>
      </c>
      <c r="D353" s="752">
        <v>2945</v>
      </c>
      <c r="E353" s="753"/>
      <c r="F353" s="753" t="s">
        <v>1126</v>
      </c>
      <c r="G353" s="752">
        <v>2011</v>
      </c>
      <c r="H353" s="752">
        <v>2013</v>
      </c>
      <c r="I353" s="754">
        <v>2400</v>
      </c>
      <c r="J353" s="754"/>
      <c r="K353" s="754">
        <f>86</f>
        <v>86</v>
      </c>
      <c r="L353" s="755">
        <v>3115</v>
      </c>
      <c r="M353" s="755">
        <v>108</v>
      </c>
      <c r="N353" s="756">
        <v>108</v>
      </c>
      <c r="O353" s="737">
        <f t="shared" si="69"/>
        <v>100</v>
      </c>
      <c r="P353" s="757"/>
      <c r="Q353" s="757"/>
      <c r="R353" s="757"/>
      <c r="S353" s="749">
        <v>0</v>
      </c>
      <c r="T353" s="758" t="s">
        <v>681</v>
      </c>
      <c r="U353" s="740">
        <f>K353+N353</f>
        <v>194</v>
      </c>
    </row>
    <row r="354" spans="1:21" outlineLevel="2">
      <c r="A354" s="694">
        <f t="shared" si="62"/>
        <v>353</v>
      </c>
      <c r="B354" s="751" t="s">
        <v>678</v>
      </c>
      <c r="C354" s="752" t="s">
        <v>1125</v>
      </c>
      <c r="D354" s="752">
        <v>4889</v>
      </c>
      <c r="E354" s="753"/>
      <c r="F354" s="753" t="s">
        <v>1127</v>
      </c>
      <c r="G354" s="753" t="s">
        <v>712</v>
      </c>
      <c r="H354" s="735">
        <v>2013</v>
      </c>
      <c r="I354" s="754">
        <v>132950</v>
      </c>
      <c r="J354" s="754"/>
      <c r="K354" s="754">
        <v>88000</v>
      </c>
      <c r="L354" s="755">
        <v>0</v>
      </c>
      <c r="M354" s="755">
        <v>0</v>
      </c>
      <c r="N354" s="756"/>
      <c r="O354" s="737" t="str">
        <f t="shared" si="69"/>
        <v xml:space="preserve"> </v>
      </c>
      <c r="P354" s="757"/>
      <c r="Q354" s="757"/>
      <c r="R354" s="757"/>
      <c r="S354" s="749">
        <v>44950</v>
      </c>
      <c r="T354" s="758" t="s">
        <v>681</v>
      </c>
    </row>
    <row r="355" spans="1:21" outlineLevel="2">
      <c r="A355" s="694">
        <f t="shared" si="62"/>
        <v>354</v>
      </c>
      <c r="B355" s="751" t="s">
        <v>678</v>
      </c>
      <c r="C355" s="752" t="s">
        <v>1125</v>
      </c>
      <c r="D355" s="752">
        <v>5015</v>
      </c>
      <c r="E355" s="770" t="s">
        <v>729</v>
      </c>
      <c r="F355" s="753" t="s">
        <v>1128</v>
      </c>
      <c r="G355" s="753" t="s">
        <v>689</v>
      </c>
      <c r="H355" s="753" t="s">
        <v>742</v>
      </c>
      <c r="I355" s="754">
        <v>38803</v>
      </c>
      <c r="J355" s="755">
        <v>13767</v>
      </c>
      <c r="K355" s="754">
        <f>2141+17997</f>
        <v>20138</v>
      </c>
      <c r="L355" s="755">
        <v>17000</v>
      </c>
      <c r="M355" s="755">
        <v>18000</v>
      </c>
      <c r="N355" s="756">
        <v>17711</v>
      </c>
      <c r="O355" s="737">
        <f t="shared" si="69"/>
        <v>98.394444444444446</v>
      </c>
      <c r="P355" s="757"/>
      <c r="Q355" s="757"/>
      <c r="R355" s="757"/>
      <c r="S355" s="749">
        <v>400</v>
      </c>
      <c r="T355" s="758" t="s">
        <v>681</v>
      </c>
    </row>
    <row r="356" spans="1:21" outlineLevel="2">
      <c r="A356" s="694">
        <f t="shared" si="62"/>
        <v>355</v>
      </c>
      <c r="B356" s="751" t="s">
        <v>678</v>
      </c>
      <c r="C356" s="752" t="s">
        <v>1125</v>
      </c>
      <c r="D356" s="752">
        <v>5017</v>
      </c>
      <c r="E356" s="770" t="s">
        <v>729</v>
      </c>
      <c r="F356" s="753" t="s">
        <v>1129</v>
      </c>
      <c r="G356" s="753" t="s">
        <v>689</v>
      </c>
      <c r="H356" s="752">
        <v>2012</v>
      </c>
      <c r="I356" s="754">
        <v>98558</v>
      </c>
      <c r="J356" s="755">
        <v>63000</v>
      </c>
      <c r="K356" s="754">
        <f>16946+44127</f>
        <v>61073</v>
      </c>
      <c r="L356" s="755">
        <v>15000</v>
      </c>
      <c r="M356" s="755">
        <v>37000</v>
      </c>
      <c r="N356" s="756">
        <v>34722</v>
      </c>
      <c r="O356" s="737">
        <f t="shared" si="69"/>
        <v>93.843243243243251</v>
      </c>
      <c r="P356" s="757"/>
      <c r="Q356" s="757"/>
      <c r="R356" s="757"/>
      <c r="S356" s="749">
        <v>0</v>
      </c>
      <c r="T356" s="758" t="s">
        <v>681</v>
      </c>
      <c r="U356" s="740">
        <f>K356+N356</f>
        <v>95795</v>
      </c>
    </row>
    <row r="357" spans="1:21" outlineLevel="2">
      <c r="A357" s="694">
        <f t="shared" si="62"/>
        <v>356</v>
      </c>
      <c r="B357" s="751" t="s">
        <v>678</v>
      </c>
      <c r="C357" s="752" t="s">
        <v>1125</v>
      </c>
      <c r="D357" s="752">
        <v>5094</v>
      </c>
      <c r="E357" s="770" t="s">
        <v>729</v>
      </c>
      <c r="F357" s="753" t="s">
        <v>1130</v>
      </c>
      <c r="G357" s="753" t="s">
        <v>698</v>
      </c>
      <c r="H357" s="753" t="s">
        <v>742</v>
      </c>
      <c r="I357" s="754">
        <v>53000</v>
      </c>
      <c r="J357" s="755">
        <v>35729</v>
      </c>
      <c r="K357" s="754">
        <f>649+1205</f>
        <v>1854</v>
      </c>
      <c r="L357" s="755">
        <v>5000</v>
      </c>
      <c r="M357" s="755">
        <v>10000</v>
      </c>
      <c r="N357" s="756">
        <v>3367</v>
      </c>
      <c r="O357" s="737">
        <f t="shared" si="69"/>
        <v>33.67</v>
      </c>
      <c r="P357" s="757"/>
      <c r="Q357" s="757"/>
      <c r="R357" s="757"/>
      <c r="S357" s="749">
        <v>41146</v>
      </c>
      <c r="T357" s="758" t="s">
        <v>681</v>
      </c>
    </row>
    <row r="358" spans="1:21" outlineLevel="2">
      <c r="A358" s="694">
        <f t="shared" si="62"/>
        <v>357</v>
      </c>
      <c r="B358" s="751" t="s">
        <v>678</v>
      </c>
      <c r="C358" s="752" t="s">
        <v>1125</v>
      </c>
      <c r="D358" s="752">
        <v>5098</v>
      </c>
      <c r="E358" s="770" t="s">
        <v>729</v>
      </c>
      <c r="F358" s="753" t="s">
        <v>1131</v>
      </c>
      <c r="G358" s="753" t="s">
        <v>698</v>
      </c>
      <c r="H358" s="753" t="s">
        <v>760</v>
      </c>
      <c r="I358" s="754">
        <v>23240</v>
      </c>
      <c r="J358" s="755">
        <v>19753</v>
      </c>
      <c r="K358" s="754">
        <f>587+881</f>
        <v>1468</v>
      </c>
      <c r="L358" s="755">
        <v>0</v>
      </c>
      <c r="M358" s="755">
        <v>0</v>
      </c>
      <c r="N358" s="756"/>
      <c r="O358" s="737" t="str">
        <f t="shared" si="69"/>
        <v xml:space="preserve"> </v>
      </c>
      <c r="P358" s="757"/>
      <c r="Q358" s="757"/>
      <c r="R358" s="757"/>
      <c r="S358" s="749"/>
      <c r="T358" s="758" t="s">
        <v>681</v>
      </c>
    </row>
    <row r="359" spans="1:21" outlineLevel="2">
      <c r="A359" s="694">
        <f t="shared" si="62"/>
        <v>358</v>
      </c>
      <c r="B359" s="751" t="s">
        <v>678</v>
      </c>
      <c r="C359" s="752" t="s">
        <v>1125</v>
      </c>
      <c r="D359" s="752">
        <v>5103</v>
      </c>
      <c r="E359" s="770" t="s">
        <v>729</v>
      </c>
      <c r="F359" s="753" t="s">
        <v>1132</v>
      </c>
      <c r="G359" s="753" t="s">
        <v>698</v>
      </c>
      <c r="H359" s="753" t="s">
        <v>734</v>
      </c>
      <c r="I359" s="754">
        <v>1107</v>
      </c>
      <c r="J359" s="755">
        <v>916</v>
      </c>
      <c r="K359" s="754">
        <v>120</v>
      </c>
      <c r="L359" s="755">
        <v>0</v>
      </c>
      <c r="M359" s="755">
        <v>0</v>
      </c>
      <c r="N359" s="756"/>
      <c r="O359" s="737" t="str">
        <f t="shared" si="69"/>
        <v xml:space="preserve"> </v>
      </c>
      <c r="P359" s="757"/>
      <c r="Q359" s="757"/>
      <c r="R359" s="757"/>
      <c r="S359" s="749">
        <v>0</v>
      </c>
      <c r="T359" s="758" t="s">
        <v>681</v>
      </c>
      <c r="U359" s="740">
        <f t="shared" ref="U359:U361" si="74">K359+N359</f>
        <v>120</v>
      </c>
    </row>
    <row r="360" spans="1:21" outlineLevel="2">
      <c r="A360" s="694">
        <f t="shared" si="62"/>
        <v>359</v>
      </c>
      <c r="B360" s="751" t="s">
        <v>678</v>
      </c>
      <c r="C360" s="752" t="s">
        <v>1125</v>
      </c>
      <c r="D360" s="752">
        <v>5105</v>
      </c>
      <c r="E360" s="770" t="s">
        <v>729</v>
      </c>
      <c r="F360" s="753" t="s">
        <v>1133</v>
      </c>
      <c r="G360" s="753" t="s">
        <v>698</v>
      </c>
      <c r="H360" s="753" t="s">
        <v>734</v>
      </c>
      <c r="I360" s="754">
        <v>11792</v>
      </c>
      <c r="J360" s="755">
        <v>2798</v>
      </c>
      <c r="K360" s="754">
        <f>2560</f>
        <v>2560</v>
      </c>
      <c r="L360" s="755">
        <v>7342</v>
      </c>
      <c r="M360" s="755">
        <v>8842</v>
      </c>
      <c r="N360" s="756">
        <v>8433</v>
      </c>
      <c r="O360" s="737">
        <f t="shared" si="69"/>
        <v>95.374349694639221</v>
      </c>
      <c r="P360" s="757"/>
      <c r="Q360" s="757"/>
      <c r="R360" s="757"/>
      <c r="S360" s="749">
        <v>0</v>
      </c>
      <c r="T360" s="758" t="s">
        <v>681</v>
      </c>
      <c r="U360" s="740">
        <f t="shared" si="74"/>
        <v>10993</v>
      </c>
    </row>
    <row r="361" spans="1:21" outlineLevel="2">
      <c r="A361" s="694">
        <f t="shared" si="62"/>
        <v>360</v>
      </c>
      <c r="B361" s="751" t="s">
        <v>678</v>
      </c>
      <c r="C361" s="752" t="s">
        <v>1125</v>
      </c>
      <c r="D361" s="752">
        <v>5108</v>
      </c>
      <c r="E361" s="770" t="s">
        <v>729</v>
      </c>
      <c r="F361" s="753" t="s">
        <v>1134</v>
      </c>
      <c r="G361" s="753" t="s">
        <v>698</v>
      </c>
      <c r="H361" s="753" t="s">
        <v>734</v>
      </c>
      <c r="I361" s="754">
        <v>18159</v>
      </c>
      <c r="J361" s="755">
        <v>4918</v>
      </c>
      <c r="K361" s="754">
        <f>1+16056</f>
        <v>16057</v>
      </c>
      <c r="L361" s="755">
        <v>1858</v>
      </c>
      <c r="M361" s="755">
        <v>1637</v>
      </c>
      <c r="N361" s="756">
        <v>61</v>
      </c>
      <c r="O361" s="737">
        <f t="shared" si="69"/>
        <v>3.7263286499694561</v>
      </c>
      <c r="P361" s="757"/>
      <c r="Q361" s="757"/>
      <c r="R361" s="757"/>
      <c r="S361" s="749">
        <v>0</v>
      </c>
      <c r="T361" s="758" t="s">
        <v>681</v>
      </c>
      <c r="U361" s="740">
        <f t="shared" si="74"/>
        <v>16118</v>
      </c>
    </row>
    <row r="362" spans="1:21" outlineLevel="2">
      <c r="A362" s="694">
        <f t="shared" si="62"/>
        <v>361</v>
      </c>
      <c r="B362" s="751" t="s">
        <v>678</v>
      </c>
      <c r="C362" s="752" t="s">
        <v>1125</v>
      </c>
      <c r="D362" s="752">
        <v>5148</v>
      </c>
      <c r="E362" s="770" t="s">
        <v>729</v>
      </c>
      <c r="F362" s="753" t="s">
        <v>1135</v>
      </c>
      <c r="G362" s="752">
        <v>2012</v>
      </c>
      <c r="H362" s="752">
        <v>2014</v>
      </c>
      <c r="I362" s="754">
        <v>18300</v>
      </c>
      <c r="J362" s="755">
        <v>18300</v>
      </c>
      <c r="K362" s="754"/>
      <c r="L362" s="755"/>
      <c r="M362" s="755">
        <v>3</v>
      </c>
      <c r="N362" s="756"/>
      <c r="O362" s="737">
        <f t="shared" si="69"/>
        <v>0</v>
      </c>
      <c r="P362" s="757"/>
      <c r="Q362" s="757"/>
      <c r="R362" s="757"/>
      <c r="S362" s="749"/>
      <c r="T362" s="758" t="s">
        <v>681</v>
      </c>
    </row>
    <row r="363" spans="1:21" outlineLevel="1">
      <c r="A363" s="694">
        <f t="shared" si="62"/>
        <v>362</v>
      </c>
      <c r="B363" s="760"/>
      <c r="C363" s="761" t="s">
        <v>1136</v>
      </c>
      <c r="D363" s="761"/>
      <c r="E363" s="771"/>
      <c r="F363" s="762"/>
      <c r="G363" s="761"/>
      <c r="H363" s="762"/>
      <c r="I363" s="763">
        <f t="shared" ref="I363:N363" si="75">SUBTOTAL(9,I353:I362)</f>
        <v>398309</v>
      </c>
      <c r="J363" s="763">
        <f t="shared" si="75"/>
        <v>159181</v>
      </c>
      <c r="K363" s="763">
        <f t="shared" si="75"/>
        <v>191356</v>
      </c>
      <c r="L363" s="763">
        <f t="shared" si="75"/>
        <v>49315</v>
      </c>
      <c r="M363" s="763">
        <f t="shared" si="75"/>
        <v>75590</v>
      </c>
      <c r="N363" s="764">
        <f t="shared" si="75"/>
        <v>64402</v>
      </c>
      <c r="O363" s="765">
        <f t="shared" si="69"/>
        <v>85.19910041010715</v>
      </c>
      <c r="P363" s="764">
        <f>SUBTOTAL(9,P353:P362)</f>
        <v>0</v>
      </c>
      <c r="Q363" s="764">
        <f>SUBTOTAL(9,Q353:Q362)</f>
        <v>0</v>
      </c>
      <c r="R363" s="764">
        <f>SUBTOTAL(9,R353:R362)</f>
        <v>0</v>
      </c>
      <c r="S363" s="766"/>
      <c r="T363" s="767"/>
    </row>
    <row r="364" spans="1:21" outlineLevel="2">
      <c r="A364" s="694">
        <f t="shared" si="62"/>
        <v>363</v>
      </c>
      <c r="B364" s="751" t="s">
        <v>678</v>
      </c>
      <c r="C364" s="752" t="s">
        <v>1137</v>
      </c>
      <c r="D364" s="752">
        <v>5096</v>
      </c>
      <c r="E364" s="770" t="s">
        <v>729</v>
      </c>
      <c r="F364" s="753" t="s">
        <v>1138</v>
      </c>
      <c r="G364" s="753" t="s">
        <v>698</v>
      </c>
      <c r="H364" s="752">
        <v>2013</v>
      </c>
      <c r="I364" s="755">
        <v>35705</v>
      </c>
      <c r="J364" s="755">
        <v>31595</v>
      </c>
      <c r="K364" s="754">
        <f>327+578</f>
        <v>905</v>
      </c>
      <c r="L364" s="755">
        <v>5000</v>
      </c>
      <c r="M364" s="755">
        <v>6000</v>
      </c>
      <c r="N364" s="756">
        <v>3906</v>
      </c>
      <c r="O364" s="737">
        <f t="shared" si="69"/>
        <v>65.100000000000009</v>
      </c>
      <c r="P364" s="757"/>
      <c r="Q364" s="757"/>
      <c r="R364" s="757"/>
      <c r="S364" s="749">
        <v>0</v>
      </c>
      <c r="T364" s="758" t="s">
        <v>681</v>
      </c>
      <c r="U364" s="740">
        <f>K364+N364</f>
        <v>4811</v>
      </c>
    </row>
    <row r="365" spans="1:21" outlineLevel="1">
      <c r="A365" s="694">
        <f t="shared" si="62"/>
        <v>364</v>
      </c>
      <c r="B365" s="760"/>
      <c r="C365" s="761" t="s">
        <v>1139</v>
      </c>
      <c r="D365" s="761"/>
      <c r="E365" s="771"/>
      <c r="F365" s="762"/>
      <c r="G365" s="762"/>
      <c r="H365" s="761"/>
      <c r="I365" s="763">
        <f t="shared" ref="I365:N365" si="76">SUBTOTAL(9,I364:I364)</f>
        <v>35705</v>
      </c>
      <c r="J365" s="763">
        <f t="shared" si="76"/>
        <v>31595</v>
      </c>
      <c r="K365" s="763">
        <f t="shared" si="76"/>
        <v>905</v>
      </c>
      <c r="L365" s="763">
        <f t="shared" si="76"/>
        <v>5000</v>
      </c>
      <c r="M365" s="763">
        <f t="shared" si="76"/>
        <v>6000</v>
      </c>
      <c r="N365" s="764">
        <f t="shared" si="76"/>
        <v>3906</v>
      </c>
      <c r="O365" s="765">
        <f t="shared" si="69"/>
        <v>65.100000000000009</v>
      </c>
      <c r="P365" s="764">
        <f>SUBTOTAL(9,P364:P364)</f>
        <v>0</v>
      </c>
      <c r="Q365" s="764">
        <f>SUBTOTAL(9,Q364:Q364)</f>
        <v>0</v>
      </c>
      <c r="R365" s="764">
        <f>SUBTOTAL(9,R364:R364)</f>
        <v>0</v>
      </c>
      <c r="S365" s="766"/>
      <c r="T365" s="767"/>
    </row>
    <row r="366" spans="1:21" outlineLevel="2">
      <c r="A366" s="694">
        <f t="shared" si="62"/>
        <v>365</v>
      </c>
      <c r="B366" s="751" t="s">
        <v>1140</v>
      </c>
      <c r="C366" s="735" t="s">
        <v>1141</v>
      </c>
      <c r="D366" s="752">
        <v>3499</v>
      </c>
      <c r="E366" s="753"/>
      <c r="F366" s="753" t="s">
        <v>1142</v>
      </c>
      <c r="G366" s="753"/>
      <c r="H366" s="753"/>
      <c r="I366" s="754"/>
      <c r="J366" s="754"/>
      <c r="K366" s="754">
        <f>280</f>
        <v>280</v>
      </c>
      <c r="L366" s="755">
        <v>0</v>
      </c>
      <c r="M366" s="755">
        <v>0</v>
      </c>
      <c r="N366" s="756"/>
      <c r="O366" s="737" t="str">
        <f t="shared" si="69"/>
        <v xml:space="preserve"> </v>
      </c>
      <c r="P366" s="757"/>
      <c r="Q366" s="757"/>
      <c r="R366" s="757"/>
      <c r="S366" s="749">
        <v>0</v>
      </c>
      <c r="T366" s="758" t="s">
        <v>1143</v>
      </c>
    </row>
    <row r="367" spans="1:21" outlineLevel="2">
      <c r="A367" s="694">
        <f t="shared" si="62"/>
        <v>366</v>
      </c>
      <c r="B367" s="751" t="s">
        <v>678</v>
      </c>
      <c r="C367" s="735" t="s">
        <v>1141</v>
      </c>
      <c r="D367" s="752">
        <v>5044</v>
      </c>
      <c r="E367" s="770" t="s">
        <v>729</v>
      </c>
      <c r="F367" s="753" t="s">
        <v>1144</v>
      </c>
      <c r="G367" s="752">
        <v>2009</v>
      </c>
      <c r="H367" s="752">
        <v>2012</v>
      </c>
      <c r="I367" s="754">
        <v>9180</v>
      </c>
      <c r="J367" s="754">
        <v>8902</v>
      </c>
      <c r="K367" s="754">
        <f>1327</f>
        <v>1327</v>
      </c>
      <c r="L367" s="755">
        <v>10820</v>
      </c>
      <c r="M367" s="755">
        <v>7820</v>
      </c>
      <c r="N367" s="756">
        <v>7452</v>
      </c>
      <c r="O367" s="737">
        <f t="shared" si="69"/>
        <v>95.294117647058812</v>
      </c>
      <c r="P367" s="757"/>
      <c r="Q367" s="757"/>
      <c r="R367" s="757"/>
      <c r="S367" s="749"/>
      <c r="T367" s="758" t="s">
        <v>681</v>
      </c>
      <c r="U367" s="740">
        <f t="shared" ref="U367:U368" si="77">K367+N367</f>
        <v>8779</v>
      </c>
    </row>
    <row r="368" spans="1:21" outlineLevel="2">
      <c r="A368" s="694">
        <f t="shared" si="62"/>
        <v>367</v>
      </c>
      <c r="B368" s="751" t="s">
        <v>678</v>
      </c>
      <c r="C368" s="735" t="s">
        <v>1141</v>
      </c>
      <c r="D368" s="752">
        <v>5080</v>
      </c>
      <c r="E368" s="770" t="s">
        <v>729</v>
      </c>
      <c r="F368" s="753" t="s">
        <v>1145</v>
      </c>
      <c r="G368" s="753" t="s">
        <v>689</v>
      </c>
      <c r="H368" s="752">
        <v>2012</v>
      </c>
      <c r="I368" s="754">
        <v>21352</v>
      </c>
      <c r="J368" s="755">
        <v>14360</v>
      </c>
      <c r="K368" s="754">
        <f>1225+18141</f>
        <v>19366</v>
      </c>
      <c r="L368" s="755">
        <v>1975</v>
      </c>
      <c r="M368" s="755">
        <v>1975</v>
      </c>
      <c r="N368" s="756">
        <v>1431</v>
      </c>
      <c r="O368" s="737">
        <f t="shared" si="69"/>
        <v>72.455696202531655</v>
      </c>
      <c r="P368" s="757"/>
      <c r="Q368" s="757"/>
      <c r="R368" s="757"/>
      <c r="S368" s="749">
        <v>0</v>
      </c>
      <c r="T368" s="758" t="s">
        <v>681</v>
      </c>
      <c r="U368" s="740">
        <f t="shared" si="77"/>
        <v>20797</v>
      </c>
    </row>
    <row r="369" spans="1:21" outlineLevel="1">
      <c r="A369" s="694">
        <f t="shared" si="62"/>
        <v>368</v>
      </c>
      <c r="B369" s="760"/>
      <c r="C369" s="761" t="s">
        <v>1146</v>
      </c>
      <c r="D369" s="761"/>
      <c r="E369" s="771"/>
      <c r="F369" s="762"/>
      <c r="G369" s="762"/>
      <c r="H369" s="761"/>
      <c r="I369" s="763">
        <f t="shared" ref="I369:N369" si="78">SUBTOTAL(9,I366:I368)</f>
        <v>30532</v>
      </c>
      <c r="J369" s="763">
        <f t="shared" si="78"/>
        <v>23262</v>
      </c>
      <c r="K369" s="763">
        <f t="shared" si="78"/>
        <v>20973</v>
      </c>
      <c r="L369" s="763">
        <f t="shared" si="78"/>
        <v>12795</v>
      </c>
      <c r="M369" s="763">
        <f t="shared" si="78"/>
        <v>9795</v>
      </c>
      <c r="N369" s="764">
        <f t="shared" si="78"/>
        <v>8883</v>
      </c>
      <c r="O369" s="765">
        <f t="shared" si="69"/>
        <v>90.689127105666159</v>
      </c>
      <c r="P369" s="764">
        <f>SUBTOTAL(9,P366:P368)</f>
        <v>0</v>
      </c>
      <c r="Q369" s="764">
        <f>SUBTOTAL(9,Q366:Q368)</f>
        <v>0</v>
      </c>
      <c r="R369" s="764">
        <f>SUBTOTAL(9,R366:R368)</f>
        <v>0</v>
      </c>
      <c r="S369" s="766"/>
      <c r="T369" s="767"/>
    </row>
    <row r="370" spans="1:21" s="708" customFormat="1" outlineLevel="2">
      <c r="A370" s="694">
        <f t="shared" si="62"/>
        <v>369</v>
      </c>
      <c r="B370" s="742">
        <v>6200</v>
      </c>
      <c r="C370" s="735" t="s">
        <v>1147</v>
      </c>
      <c r="D370" s="735">
        <v>2936</v>
      </c>
      <c r="E370" s="743">
        <v>41</v>
      </c>
      <c r="F370" s="743" t="s">
        <v>1148</v>
      </c>
      <c r="G370" s="735">
        <v>2011</v>
      </c>
      <c r="H370" s="735">
        <v>2014</v>
      </c>
      <c r="I370" s="755">
        <v>33000</v>
      </c>
      <c r="J370" s="755"/>
      <c r="K370" s="755"/>
      <c r="L370" s="755">
        <v>15000</v>
      </c>
      <c r="M370" s="755">
        <v>1100</v>
      </c>
      <c r="N370" s="756">
        <v>143</v>
      </c>
      <c r="O370" s="737">
        <f t="shared" si="69"/>
        <v>13</v>
      </c>
      <c r="P370" s="757"/>
      <c r="Q370" s="757"/>
      <c r="R370" s="757"/>
      <c r="S370" s="749">
        <v>17500</v>
      </c>
      <c r="T370" s="802" t="s">
        <v>1041</v>
      </c>
    </row>
    <row r="371" spans="1:21" s="708" customFormat="1" outlineLevel="2">
      <c r="A371" s="694">
        <f t="shared" si="62"/>
        <v>370</v>
      </c>
      <c r="B371" s="742">
        <v>6200</v>
      </c>
      <c r="C371" s="735" t="s">
        <v>1147</v>
      </c>
      <c r="D371" s="735">
        <v>2937</v>
      </c>
      <c r="E371" s="743">
        <v>41</v>
      </c>
      <c r="F371" s="743" t="s">
        <v>1149</v>
      </c>
      <c r="G371" s="735">
        <v>2011</v>
      </c>
      <c r="H371" s="735">
        <v>2014</v>
      </c>
      <c r="I371" s="755">
        <v>30000</v>
      </c>
      <c r="J371" s="755"/>
      <c r="K371" s="755"/>
      <c r="L371" s="755">
        <v>15000</v>
      </c>
      <c r="M371" s="755">
        <v>1100</v>
      </c>
      <c r="N371" s="756">
        <v>396</v>
      </c>
      <c r="O371" s="737">
        <f t="shared" si="69"/>
        <v>36</v>
      </c>
      <c r="P371" s="757"/>
      <c r="Q371" s="757"/>
      <c r="R371" s="757"/>
      <c r="S371" s="749">
        <v>14500</v>
      </c>
      <c r="T371" s="802" t="s">
        <v>1041</v>
      </c>
    </row>
    <row r="372" spans="1:21" outlineLevel="2">
      <c r="A372" s="694">
        <f t="shared" si="62"/>
        <v>371</v>
      </c>
      <c r="B372" s="751" t="s">
        <v>180</v>
      </c>
      <c r="C372" s="735" t="s">
        <v>1147</v>
      </c>
      <c r="D372" s="752">
        <v>3157</v>
      </c>
      <c r="E372" s="753">
        <v>41</v>
      </c>
      <c r="F372" s="753" t="s">
        <v>1150</v>
      </c>
      <c r="G372" s="753" t="s">
        <v>693</v>
      </c>
      <c r="H372" s="735">
        <v>2012</v>
      </c>
      <c r="I372" s="755">
        <v>41000</v>
      </c>
      <c r="J372" s="754">
        <f>I372</f>
        <v>41000</v>
      </c>
      <c r="K372" s="754">
        <f>3051+18640</f>
        <v>21691</v>
      </c>
      <c r="L372" s="755">
        <v>15000</v>
      </c>
      <c r="M372" s="755">
        <v>19207</v>
      </c>
      <c r="N372" s="756">
        <v>18011</v>
      </c>
      <c r="O372" s="737">
        <f t="shared" si="69"/>
        <v>93.773103555995206</v>
      </c>
      <c r="P372" s="757"/>
      <c r="Q372" s="757"/>
      <c r="R372" s="757"/>
      <c r="S372" s="749">
        <v>0</v>
      </c>
      <c r="T372" s="758" t="s">
        <v>1041</v>
      </c>
      <c r="U372" s="740">
        <f>K372+N372</f>
        <v>39702</v>
      </c>
    </row>
    <row r="373" spans="1:21" outlineLevel="1">
      <c r="A373" s="694">
        <f t="shared" si="62"/>
        <v>372</v>
      </c>
      <c r="B373" s="760"/>
      <c r="C373" s="761" t="s">
        <v>1151</v>
      </c>
      <c r="D373" s="761"/>
      <c r="E373" s="762"/>
      <c r="F373" s="762"/>
      <c r="G373" s="762"/>
      <c r="H373" s="761"/>
      <c r="I373" s="763">
        <f t="shared" ref="I373:N373" si="79">SUBTOTAL(9,I370:I372)</f>
        <v>104000</v>
      </c>
      <c r="J373" s="763">
        <f t="shared" si="79"/>
        <v>41000</v>
      </c>
      <c r="K373" s="763">
        <f t="shared" si="79"/>
        <v>21691</v>
      </c>
      <c r="L373" s="763">
        <f t="shared" si="79"/>
        <v>45000</v>
      </c>
      <c r="M373" s="763">
        <f t="shared" si="79"/>
        <v>21407</v>
      </c>
      <c r="N373" s="764">
        <f t="shared" si="79"/>
        <v>18550</v>
      </c>
      <c r="O373" s="765">
        <f t="shared" si="69"/>
        <v>86.6538982575793</v>
      </c>
      <c r="P373" s="764">
        <f>SUBTOTAL(9,P370:P372)</f>
        <v>0</v>
      </c>
      <c r="Q373" s="764">
        <f>SUBTOTAL(9,Q370:Q372)</f>
        <v>0</v>
      </c>
      <c r="R373" s="764">
        <f>SUBTOTAL(9,R370:R372)</f>
        <v>0</v>
      </c>
      <c r="S373" s="766"/>
      <c r="T373" s="767"/>
    </row>
    <row r="374" spans="1:21" outlineLevel="2">
      <c r="A374" s="694">
        <f t="shared" si="62"/>
        <v>373</v>
      </c>
      <c r="B374" s="751" t="s">
        <v>678</v>
      </c>
      <c r="C374" s="752" t="s">
        <v>1152</v>
      </c>
      <c r="D374" s="752">
        <v>5086</v>
      </c>
      <c r="E374" s="770" t="s">
        <v>729</v>
      </c>
      <c r="F374" s="753" t="s">
        <v>1153</v>
      </c>
      <c r="G374" s="753" t="s">
        <v>698</v>
      </c>
      <c r="H374" s="735">
        <v>2013</v>
      </c>
      <c r="I374" s="754">
        <v>18740</v>
      </c>
      <c r="J374" s="755">
        <v>11500</v>
      </c>
      <c r="K374" s="754">
        <v>82</v>
      </c>
      <c r="L374" s="755">
        <v>5000</v>
      </c>
      <c r="M374" s="755">
        <v>100</v>
      </c>
      <c r="N374" s="756">
        <v>50</v>
      </c>
      <c r="O374" s="737">
        <f t="shared" si="69"/>
        <v>50</v>
      </c>
      <c r="P374" s="757"/>
      <c r="Q374" s="757"/>
      <c r="R374" s="757"/>
      <c r="S374" s="749">
        <v>0</v>
      </c>
      <c r="T374" s="758" t="s">
        <v>681</v>
      </c>
      <c r="U374" s="740">
        <f>K374+N374</f>
        <v>132</v>
      </c>
    </row>
    <row r="375" spans="1:21" outlineLevel="1">
      <c r="A375" s="694">
        <f t="shared" si="62"/>
        <v>374</v>
      </c>
      <c r="B375" s="760"/>
      <c r="C375" s="761" t="s">
        <v>1154</v>
      </c>
      <c r="D375" s="761"/>
      <c r="E375" s="771"/>
      <c r="F375" s="762"/>
      <c r="G375" s="762"/>
      <c r="H375" s="761"/>
      <c r="I375" s="763">
        <f t="shared" ref="I375:N375" si="80">SUBTOTAL(9,I374:I374)</f>
        <v>18740</v>
      </c>
      <c r="J375" s="763">
        <f t="shared" si="80"/>
        <v>11500</v>
      </c>
      <c r="K375" s="763">
        <f t="shared" si="80"/>
        <v>82</v>
      </c>
      <c r="L375" s="763">
        <f t="shared" si="80"/>
        <v>5000</v>
      </c>
      <c r="M375" s="763">
        <f t="shared" si="80"/>
        <v>100</v>
      </c>
      <c r="N375" s="764">
        <f t="shared" si="80"/>
        <v>50</v>
      </c>
      <c r="O375" s="765">
        <f t="shared" si="69"/>
        <v>50</v>
      </c>
      <c r="P375" s="764">
        <f>SUBTOTAL(9,P374:P374)</f>
        <v>0</v>
      </c>
      <c r="Q375" s="764">
        <f>SUBTOTAL(9,Q374:Q374)</f>
        <v>0</v>
      </c>
      <c r="R375" s="764">
        <f>SUBTOTAL(9,R374:R374)</f>
        <v>0</v>
      </c>
      <c r="S375" s="766"/>
      <c r="T375" s="767"/>
    </row>
    <row r="376" spans="1:21" outlineLevel="2">
      <c r="A376" s="694">
        <f t="shared" si="62"/>
        <v>375</v>
      </c>
      <c r="B376" s="751" t="s">
        <v>1140</v>
      </c>
      <c r="C376" s="752" t="s">
        <v>1155</v>
      </c>
      <c r="D376" s="752">
        <v>30059145</v>
      </c>
      <c r="E376" s="753"/>
      <c r="F376" s="753" t="s">
        <v>1156</v>
      </c>
      <c r="G376" s="753"/>
      <c r="H376" s="753"/>
      <c r="I376" s="754"/>
      <c r="J376" s="754"/>
      <c r="K376" s="754">
        <v>1355</v>
      </c>
      <c r="L376" s="755">
        <v>0</v>
      </c>
      <c r="M376" s="755">
        <v>0</v>
      </c>
      <c r="N376" s="756"/>
      <c r="O376" s="737" t="str">
        <f t="shared" si="69"/>
        <v xml:space="preserve"> </v>
      </c>
      <c r="P376" s="757"/>
      <c r="Q376" s="757"/>
      <c r="R376" s="757"/>
      <c r="S376" s="749">
        <v>0</v>
      </c>
      <c r="T376" s="758" t="s">
        <v>1143</v>
      </c>
    </row>
    <row r="377" spans="1:21" outlineLevel="2">
      <c r="A377" s="694">
        <f t="shared" si="62"/>
        <v>376</v>
      </c>
      <c r="B377" s="751" t="s">
        <v>678</v>
      </c>
      <c r="C377" s="752" t="s">
        <v>1155</v>
      </c>
      <c r="D377" s="752">
        <v>5122</v>
      </c>
      <c r="E377" s="770" t="s">
        <v>729</v>
      </c>
      <c r="F377" s="753" t="s">
        <v>1157</v>
      </c>
      <c r="G377" s="753" t="s">
        <v>698</v>
      </c>
      <c r="H377" s="753" t="s">
        <v>742</v>
      </c>
      <c r="I377" s="754">
        <v>16440</v>
      </c>
      <c r="J377" s="755">
        <v>13974</v>
      </c>
      <c r="K377" s="754">
        <f>216</f>
        <v>216</v>
      </c>
      <c r="L377" s="755">
        <v>800</v>
      </c>
      <c r="M377" s="755">
        <v>1600</v>
      </c>
      <c r="N377" s="756">
        <v>715</v>
      </c>
      <c r="O377" s="737">
        <f t="shared" si="69"/>
        <v>44.6875</v>
      </c>
      <c r="P377" s="757"/>
      <c r="Q377" s="757"/>
      <c r="R377" s="757"/>
      <c r="S377" s="749">
        <v>14540</v>
      </c>
      <c r="T377" s="758" t="s">
        <v>681</v>
      </c>
    </row>
    <row r="378" spans="1:21" outlineLevel="1">
      <c r="A378" s="694">
        <f t="shared" si="62"/>
        <v>377</v>
      </c>
      <c r="B378" s="760"/>
      <c r="C378" s="761" t="s">
        <v>1158</v>
      </c>
      <c r="D378" s="761"/>
      <c r="E378" s="771"/>
      <c r="F378" s="762"/>
      <c r="G378" s="762"/>
      <c r="H378" s="762"/>
      <c r="I378" s="763">
        <f t="shared" ref="I378:N378" si="81">SUBTOTAL(9,I376:I377)</f>
        <v>16440</v>
      </c>
      <c r="J378" s="763">
        <f t="shared" si="81"/>
        <v>13974</v>
      </c>
      <c r="K378" s="763">
        <f t="shared" si="81"/>
        <v>1571</v>
      </c>
      <c r="L378" s="763">
        <f t="shared" si="81"/>
        <v>800</v>
      </c>
      <c r="M378" s="763">
        <f t="shared" si="81"/>
        <v>1600</v>
      </c>
      <c r="N378" s="764">
        <f t="shared" si="81"/>
        <v>715</v>
      </c>
      <c r="O378" s="765">
        <f t="shared" si="69"/>
        <v>44.6875</v>
      </c>
      <c r="P378" s="764">
        <f>SUBTOTAL(9,P376:P377)</f>
        <v>0</v>
      </c>
      <c r="Q378" s="764">
        <f>SUBTOTAL(9,Q376:Q377)</f>
        <v>0</v>
      </c>
      <c r="R378" s="764">
        <f>SUBTOTAL(9,R376:R377)</f>
        <v>0</v>
      </c>
      <c r="S378" s="766"/>
      <c r="T378" s="767"/>
    </row>
    <row r="379" spans="1:21" outlineLevel="2">
      <c r="A379" s="694">
        <f t="shared" si="62"/>
        <v>378</v>
      </c>
      <c r="B379" s="751" t="s">
        <v>678</v>
      </c>
      <c r="C379" s="752" t="s">
        <v>1159</v>
      </c>
      <c r="D379" s="752">
        <v>5043</v>
      </c>
      <c r="E379" s="770" t="s">
        <v>729</v>
      </c>
      <c r="F379" s="753" t="s">
        <v>1160</v>
      </c>
      <c r="G379" s="753" t="s">
        <v>689</v>
      </c>
      <c r="H379" s="752">
        <v>2013</v>
      </c>
      <c r="I379" s="754">
        <v>13200</v>
      </c>
      <c r="J379" s="755">
        <v>10844</v>
      </c>
      <c r="K379" s="754">
        <f>441+5631</f>
        <v>6072</v>
      </c>
      <c r="L379" s="755">
        <v>0</v>
      </c>
      <c r="M379" s="755">
        <v>5600</v>
      </c>
      <c r="N379" s="756">
        <v>5274</v>
      </c>
      <c r="O379" s="737">
        <f t="shared" si="69"/>
        <v>94.178571428571431</v>
      </c>
      <c r="P379" s="757"/>
      <c r="Q379" s="757"/>
      <c r="R379" s="757"/>
      <c r="S379" s="749">
        <v>0</v>
      </c>
      <c r="T379" s="758" t="s">
        <v>681</v>
      </c>
      <c r="U379" s="740">
        <f>K379+N379</f>
        <v>11346</v>
      </c>
    </row>
    <row r="380" spans="1:21" outlineLevel="1">
      <c r="A380" s="694">
        <f t="shared" si="62"/>
        <v>379</v>
      </c>
      <c r="B380" s="760"/>
      <c r="C380" s="761" t="s">
        <v>1161</v>
      </c>
      <c r="D380" s="761"/>
      <c r="E380" s="771"/>
      <c r="F380" s="762"/>
      <c r="G380" s="762"/>
      <c r="H380" s="761"/>
      <c r="I380" s="763">
        <f t="shared" ref="I380:N380" si="82">SUBTOTAL(9,I379:I379)</f>
        <v>13200</v>
      </c>
      <c r="J380" s="763">
        <f t="shared" si="82"/>
        <v>10844</v>
      </c>
      <c r="K380" s="763">
        <f t="shared" si="82"/>
        <v>6072</v>
      </c>
      <c r="L380" s="763">
        <f t="shared" si="82"/>
        <v>0</v>
      </c>
      <c r="M380" s="763">
        <f t="shared" si="82"/>
        <v>5600</v>
      </c>
      <c r="N380" s="764">
        <f t="shared" si="82"/>
        <v>5274</v>
      </c>
      <c r="O380" s="765">
        <f t="shared" si="69"/>
        <v>94.178571428571431</v>
      </c>
      <c r="P380" s="764">
        <f>SUBTOTAL(9,P379:P379)</f>
        <v>0</v>
      </c>
      <c r="Q380" s="764">
        <f>SUBTOTAL(9,Q379:Q379)</f>
        <v>0</v>
      </c>
      <c r="R380" s="764">
        <f>SUBTOTAL(9,R379:R379)</f>
        <v>0</v>
      </c>
      <c r="S380" s="766"/>
      <c r="T380" s="767"/>
    </row>
    <row r="381" spans="1:21" s="708" customFormat="1" outlineLevel="2">
      <c r="A381" s="694">
        <f t="shared" si="62"/>
        <v>380</v>
      </c>
      <c r="B381" s="759" t="s">
        <v>668</v>
      </c>
      <c r="C381" s="752" t="s">
        <v>1162</v>
      </c>
      <c r="D381" s="735">
        <v>2888</v>
      </c>
      <c r="E381" s="768"/>
      <c r="F381" s="743" t="s">
        <v>1163</v>
      </c>
      <c r="G381" s="735">
        <v>2012</v>
      </c>
      <c r="H381" s="735">
        <v>2012</v>
      </c>
      <c r="I381" s="755">
        <v>1780</v>
      </c>
      <c r="J381" s="755"/>
      <c r="K381" s="755"/>
      <c r="L381" s="755"/>
      <c r="M381" s="755">
        <v>1780</v>
      </c>
      <c r="N381" s="756">
        <v>879</v>
      </c>
      <c r="O381" s="737"/>
      <c r="P381" s="756"/>
      <c r="Q381" s="756"/>
      <c r="R381" s="756"/>
      <c r="S381" s="749"/>
      <c r="T381" s="748" t="s">
        <v>671</v>
      </c>
      <c r="U381" s="740">
        <f>K381+N381</f>
        <v>879</v>
      </c>
    </row>
    <row r="382" spans="1:21" outlineLevel="2">
      <c r="A382" s="694">
        <f t="shared" si="62"/>
        <v>381</v>
      </c>
      <c r="B382" s="751" t="s">
        <v>668</v>
      </c>
      <c r="C382" s="752" t="s">
        <v>1162</v>
      </c>
      <c r="D382" s="735">
        <v>2924</v>
      </c>
      <c r="E382" s="753"/>
      <c r="F382" s="743" t="s">
        <v>1164</v>
      </c>
      <c r="G382" s="752">
        <v>2012</v>
      </c>
      <c r="H382" s="752">
        <v>2015</v>
      </c>
      <c r="I382" s="754">
        <v>81451</v>
      </c>
      <c r="J382" s="754"/>
      <c r="K382" s="754"/>
      <c r="L382" s="755">
        <v>19971</v>
      </c>
      <c r="M382" s="755">
        <v>19971</v>
      </c>
      <c r="N382" s="756">
        <v>19543</v>
      </c>
      <c r="O382" s="737">
        <f>IF(M382&lt;=0," ",N382/M382*100)</f>
        <v>97.856892494116465</v>
      </c>
      <c r="P382" s="757"/>
      <c r="Q382" s="757"/>
      <c r="R382" s="757"/>
      <c r="S382" s="749">
        <v>61480</v>
      </c>
      <c r="T382" s="758" t="s">
        <v>671</v>
      </c>
    </row>
    <row r="383" spans="1:21" outlineLevel="2">
      <c r="A383" s="694">
        <f t="shared" si="62"/>
        <v>382</v>
      </c>
      <c r="B383" s="751" t="s">
        <v>668</v>
      </c>
      <c r="C383" s="752" t="s">
        <v>1162</v>
      </c>
      <c r="D383" s="752">
        <v>2977</v>
      </c>
      <c r="E383" s="753">
        <v>82</v>
      </c>
      <c r="F383" s="753" t="s">
        <v>1165</v>
      </c>
      <c r="G383" s="753" t="s">
        <v>698</v>
      </c>
      <c r="H383" s="752">
        <v>2012</v>
      </c>
      <c r="I383" s="754">
        <v>1131</v>
      </c>
      <c r="J383" s="754"/>
      <c r="K383" s="754">
        <f>81+423</f>
        <v>504</v>
      </c>
      <c r="L383" s="755">
        <v>0</v>
      </c>
      <c r="M383" s="755">
        <v>620</v>
      </c>
      <c r="N383" s="756">
        <v>614</v>
      </c>
      <c r="O383" s="737">
        <f t="shared" si="69"/>
        <v>99.032258064516128</v>
      </c>
      <c r="P383" s="757"/>
      <c r="Q383" s="757"/>
      <c r="R383" s="757"/>
      <c r="S383" s="749">
        <v>0</v>
      </c>
      <c r="T383" s="758" t="s">
        <v>671</v>
      </c>
      <c r="U383" s="740">
        <f>K383+N383</f>
        <v>1118</v>
      </c>
    </row>
    <row r="384" spans="1:21" outlineLevel="2">
      <c r="A384" s="694">
        <f t="shared" si="62"/>
        <v>383</v>
      </c>
      <c r="B384" s="751" t="s">
        <v>668</v>
      </c>
      <c r="C384" s="752" t="s">
        <v>1162</v>
      </c>
      <c r="D384" s="752">
        <v>300800</v>
      </c>
      <c r="E384" s="753"/>
      <c r="F384" s="753" t="s">
        <v>670</v>
      </c>
      <c r="G384" s="753"/>
      <c r="H384" s="753"/>
      <c r="I384" s="754"/>
      <c r="J384" s="754"/>
      <c r="K384" s="754">
        <f>16197+8250</f>
        <v>24447</v>
      </c>
      <c r="L384" s="755">
        <v>0</v>
      </c>
      <c r="M384" s="755">
        <v>5654</v>
      </c>
      <c r="N384" s="756">
        <v>5601</v>
      </c>
      <c r="O384" s="737">
        <f t="shared" si="69"/>
        <v>99.062610541209764</v>
      </c>
      <c r="P384" s="757"/>
      <c r="Q384" s="757"/>
      <c r="R384" s="757"/>
      <c r="S384" s="749">
        <v>0</v>
      </c>
      <c r="T384" s="758" t="s">
        <v>671</v>
      </c>
    </row>
    <row r="385" spans="1:21" outlineLevel="2">
      <c r="A385" s="694">
        <f t="shared" si="62"/>
        <v>384</v>
      </c>
      <c r="B385" s="751" t="s">
        <v>678</v>
      </c>
      <c r="C385" s="752" t="s">
        <v>1162</v>
      </c>
      <c r="D385" s="752">
        <v>3060</v>
      </c>
      <c r="E385" s="753"/>
      <c r="F385" s="743" t="s">
        <v>1166</v>
      </c>
      <c r="G385" s="753" t="s">
        <v>689</v>
      </c>
      <c r="H385" s="753" t="s">
        <v>687</v>
      </c>
      <c r="I385" s="755">
        <v>18875</v>
      </c>
      <c r="J385" s="755"/>
      <c r="K385" s="754">
        <f>1729+16985</f>
        <v>18714</v>
      </c>
      <c r="L385" s="755">
        <v>0</v>
      </c>
      <c r="M385" s="755">
        <v>0</v>
      </c>
      <c r="N385" s="756"/>
      <c r="O385" s="737" t="str">
        <f t="shared" si="69"/>
        <v xml:space="preserve"> </v>
      </c>
      <c r="P385" s="757"/>
      <c r="Q385" s="757"/>
      <c r="R385" s="757"/>
      <c r="S385" s="749">
        <v>0</v>
      </c>
      <c r="T385" s="758" t="s">
        <v>681</v>
      </c>
    </row>
    <row r="386" spans="1:21" outlineLevel="1">
      <c r="A386" s="694">
        <f t="shared" si="62"/>
        <v>385</v>
      </c>
      <c r="B386" s="760"/>
      <c r="C386" s="761" t="s">
        <v>1167</v>
      </c>
      <c r="D386" s="761"/>
      <c r="E386" s="762"/>
      <c r="F386" s="762"/>
      <c r="G386" s="762"/>
      <c r="H386" s="762"/>
      <c r="I386" s="763">
        <f t="shared" ref="I386:N386" si="83">SUBTOTAL(9,I381:I385)</f>
        <v>103237</v>
      </c>
      <c r="J386" s="763">
        <f t="shared" si="83"/>
        <v>0</v>
      </c>
      <c r="K386" s="763">
        <f t="shared" si="83"/>
        <v>43665</v>
      </c>
      <c r="L386" s="763">
        <f t="shared" si="83"/>
        <v>19971</v>
      </c>
      <c r="M386" s="763">
        <f t="shared" si="83"/>
        <v>28025</v>
      </c>
      <c r="N386" s="764">
        <f t="shared" si="83"/>
        <v>26637</v>
      </c>
      <c r="O386" s="765">
        <f t="shared" si="69"/>
        <v>95.047279214986631</v>
      </c>
      <c r="P386" s="764">
        <f>SUBTOTAL(9,P381:P385)</f>
        <v>0</v>
      </c>
      <c r="Q386" s="764">
        <f>SUBTOTAL(9,Q381:Q385)</f>
        <v>0</v>
      </c>
      <c r="R386" s="764">
        <f>SUBTOTAL(9,R381:R385)</f>
        <v>0</v>
      </c>
      <c r="S386" s="766"/>
      <c r="T386" s="767"/>
    </row>
    <row r="387" spans="1:21" outlineLevel="2">
      <c r="A387" s="694">
        <f t="shared" si="62"/>
        <v>386</v>
      </c>
      <c r="B387" s="759" t="s">
        <v>1140</v>
      </c>
      <c r="C387" s="735" t="s">
        <v>1168</v>
      </c>
      <c r="D387" s="735">
        <v>300599</v>
      </c>
      <c r="E387" s="743"/>
      <c r="F387" s="743" t="s">
        <v>1169</v>
      </c>
      <c r="G387" s="735"/>
      <c r="H387" s="735"/>
      <c r="I387" s="755"/>
      <c r="J387" s="755"/>
      <c r="K387" s="755"/>
      <c r="L387" s="755"/>
      <c r="M387" s="755">
        <v>150</v>
      </c>
      <c r="N387" s="756">
        <v>150</v>
      </c>
      <c r="O387" s="737">
        <f t="shared" si="69"/>
        <v>100</v>
      </c>
      <c r="P387" s="756"/>
      <c r="Q387" s="756"/>
      <c r="R387" s="756"/>
      <c r="S387" s="749"/>
      <c r="T387" s="748" t="s">
        <v>1143</v>
      </c>
    </row>
    <row r="388" spans="1:21" s="708" customFormat="1" outlineLevel="2">
      <c r="A388" s="694">
        <f t="shared" ref="A388:A418" si="84">A387+1</f>
        <v>387</v>
      </c>
      <c r="B388" s="759" t="s">
        <v>668</v>
      </c>
      <c r="C388" s="735" t="s">
        <v>1168</v>
      </c>
      <c r="D388" s="735">
        <v>300800</v>
      </c>
      <c r="E388" s="743">
        <v>342</v>
      </c>
      <c r="F388" s="743" t="s">
        <v>670</v>
      </c>
      <c r="G388" s="735"/>
      <c r="H388" s="735"/>
      <c r="I388" s="755"/>
      <c r="J388" s="755"/>
      <c r="K388" s="755">
        <f>94</f>
        <v>94</v>
      </c>
      <c r="L388" s="755"/>
      <c r="M388" s="755">
        <v>92</v>
      </c>
      <c r="N388" s="756"/>
      <c r="O388" s="737">
        <f t="shared" si="69"/>
        <v>0</v>
      </c>
      <c r="P388" s="757"/>
      <c r="Q388" s="757"/>
      <c r="R388" s="757"/>
      <c r="S388" s="749"/>
      <c r="T388" s="748" t="s">
        <v>671</v>
      </c>
    </row>
    <row r="389" spans="1:21" s="708" customFormat="1" outlineLevel="1">
      <c r="A389" s="694">
        <f t="shared" si="84"/>
        <v>388</v>
      </c>
      <c r="B389" s="760"/>
      <c r="C389" s="761" t="s">
        <v>1170</v>
      </c>
      <c r="D389" s="761"/>
      <c r="E389" s="762"/>
      <c r="F389" s="762"/>
      <c r="G389" s="761"/>
      <c r="H389" s="761"/>
      <c r="I389" s="763">
        <f t="shared" ref="I389:N389" si="85">SUBTOTAL(9,I387:I388)</f>
        <v>0</v>
      </c>
      <c r="J389" s="763">
        <f t="shared" si="85"/>
        <v>0</v>
      </c>
      <c r="K389" s="763">
        <f t="shared" si="85"/>
        <v>94</v>
      </c>
      <c r="L389" s="763">
        <f t="shared" si="85"/>
        <v>0</v>
      </c>
      <c r="M389" s="763">
        <f t="shared" si="85"/>
        <v>242</v>
      </c>
      <c r="N389" s="764">
        <f t="shared" si="85"/>
        <v>150</v>
      </c>
      <c r="O389" s="765">
        <f t="shared" si="69"/>
        <v>61.983471074380169</v>
      </c>
      <c r="P389" s="764">
        <f>SUBTOTAL(9,P387:P388)</f>
        <v>0</v>
      </c>
      <c r="Q389" s="764">
        <f>SUBTOTAL(9,Q387:Q388)</f>
        <v>0</v>
      </c>
      <c r="R389" s="764">
        <f>SUBTOTAL(9,R387:R388)</f>
        <v>0</v>
      </c>
      <c r="S389" s="766"/>
      <c r="T389" s="767"/>
    </row>
    <row r="390" spans="1:21" outlineLevel="2">
      <c r="A390" s="694">
        <f t="shared" si="84"/>
        <v>389</v>
      </c>
      <c r="B390" s="751" t="s">
        <v>678</v>
      </c>
      <c r="C390" s="752" t="s">
        <v>1171</v>
      </c>
      <c r="D390" s="752">
        <v>3090</v>
      </c>
      <c r="E390" s="753"/>
      <c r="F390" s="753" t="s">
        <v>1172</v>
      </c>
      <c r="G390" s="753" t="s">
        <v>689</v>
      </c>
      <c r="H390" s="753" t="s">
        <v>734</v>
      </c>
      <c r="I390" s="754">
        <v>11950</v>
      </c>
      <c r="J390" s="754"/>
      <c r="K390" s="754">
        <v>894</v>
      </c>
      <c r="L390" s="755">
        <v>0</v>
      </c>
      <c r="M390" s="755">
        <v>0</v>
      </c>
      <c r="N390" s="756"/>
      <c r="O390" s="737" t="str">
        <f t="shared" si="69"/>
        <v xml:space="preserve"> </v>
      </c>
      <c r="P390" s="757"/>
      <c r="Q390" s="757"/>
      <c r="R390" s="757"/>
      <c r="S390" s="749">
        <v>11056</v>
      </c>
      <c r="T390" s="758" t="s">
        <v>681</v>
      </c>
      <c r="U390" s="740">
        <f t="shared" ref="U390:U391" si="86">K390+N390</f>
        <v>894</v>
      </c>
    </row>
    <row r="391" spans="1:21" outlineLevel="2">
      <c r="A391" s="694">
        <f t="shared" si="84"/>
        <v>390</v>
      </c>
      <c r="B391" s="751" t="s">
        <v>678</v>
      </c>
      <c r="C391" s="752" t="s">
        <v>1171</v>
      </c>
      <c r="D391" s="752">
        <v>3091</v>
      </c>
      <c r="E391" s="753"/>
      <c r="F391" s="753" t="s">
        <v>1173</v>
      </c>
      <c r="G391" s="753" t="s">
        <v>689</v>
      </c>
      <c r="H391" s="753" t="s">
        <v>734</v>
      </c>
      <c r="I391" s="754">
        <v>9250</v>
      </c>
      <c r="J391" s="754"/>
      <c r="K391" s="754">
        <v>848</v>
      </c>
      <c r="L391" s="755">
        <v>0</v>
      </c>
      <c r="M391" s="755">
        <v>0</v>
      </c>
      <c r="N391" s="756"/>
      <c r="O391" s="737" t="str">
        <f t="shared" si="69"/>
        <v xml:space="preserve"> </v>
      </c>
      <c r="P391" s="757"/>
      <c r="Q391" s="757"/>
      <c r="R391" s="757"/>
      <c r="S391" s="749">
        <v>8402</v>
      </c>
      <c r="T391" s="758" t="s">
        <v>681</v>
      </c>
      <c r="U391" s="740">
        <f t="shared" si="86"/>
        <v>848</v>
      </c>
    </row>
    <row r="392" spans="1:21" outlineLevel="1">
      <c r="A392" s="694">
        <f t="shared" si="84"/>
        <v>391</v>
      </c>
      <c r="B392" s="760"/>
      <c r="C392" s="761" t="s">
        <v>1174</v>
      </c>
      <c r="D392" s="761"/>
      <c r="E392" s="762"/>
      <c r="F392" s="762"/>
      <c r="G392" s="762"/>
      <c r="H392" s="762"/>
      <c r="I392" s="763">
        <f t="shared" ref="I392:N392" si="87">SUBTOTAL(9,I390:I391)</f>
        <v>21200</v>
      </c>
      <c r="J392" s="763">
        <f t="shared" si="87"/>
        <v>0</v>
      </c>
      <c r="K392" s="763">
        <f t="shared" si="87"/>
        <v>1742</v>
      </c>
      <c r="L392" s="763">
        <f t="shared" si="87"/>
        <v>0</v>
      </c>
      <c r="M392" s="763">
        <f t="shared" si="87"/>
        <v>0</v>
      </c>
      <c r="N392" s="764">
        <f t="shared" si="87"/>
        <v>0</v>
      </c>
      <c r="O392" s="765" t="str">
        <f t="shared" si="69"/>
        <v xml:space="preserve"> </v>
      </c>
      <c r="P392" s="764">
        <f>SUBTOTAL(9,P390:P391)</f>
        <v>0</v>
      </c>
      <c r="Q392" s="764">
        <f>SUBTOTAL(9,Q390:Q391)</f>
        <v>0</v>
      </c>
      <c r="R392" s="764">
        <f>SUBTOTAL(9,R390:R391)</f>
        <v>0</v>
      </c>
      <c r="S392" s="766"/>
      <c r="T392" s="767"/>
    </row>
    <row r="393" spans="1:21" outlineLevel="2">
      <c r="A393" s="694">
        <f t="shared" si="84"/>
        <v>392</v>
      </c>
      <c r="B393" s="779">
        <v>5600</v>
      </c>
      <c r="C393" s="752" t="s">
        <v>1175</v>
      </c>
      <c r="D393" s="752">
        <v>2957</v>
      </c>
      <c r="E393" s="753"/>
      <c r="F393" s="753" t="s">
        <v>1176</v>
      </c>
      <c r="G393" s="752">
        <v>2011</v>
      </c>
      <c r="H393" s="735">
        <v>2013</v>
      </c>
      <c r="I393" s="755">
        <v>6800</v>
      </c>
      <c r="J393" s="755"/>
      <c r="K393" s="754">
        <f>510</f>
        <v>510</v>
      </c>
      <c r="L393" s="755">
        <v>0</v>
      </c>
      <c r="M393" s="755">
        <v>0</v>
      </c>
      <c r="N393" s="756"/>
      <c r="O393" s="737" t="str">
        <f t="shared" si="69"/>
        <v xml:space="preserve"> </v>
      </c>
      <c r="P393" s="757"/>
      <c r="Q393" s="757"/>
      <c r="R393" s="757"/>
      <c r="S393" s="749">
        <v>6290</v>
      </c>
      <c r="T393" s="758" t="s">
        <v>1177</v>
      </c>
    </row>
    <row r="394" spans="1:21" outlineLevel="2">
      <c r="A394" s="694">
        <f t="shared" si="84"/>
        <v>393</v>
      </c>
      <c r="B394" s="751" t="s">
        <v>1178</v>
      </c>
      <c r="C394" s="752" t="s">
        <v>1175</v>
      </c>
      <c r="D394" s="752">
        <v>300000</v>
      </c>
      <c r="E394" s="753"/>
      <c r="F394" s="753" t="s">
        <v>1179</v>
      </c>
      <c r="G394" s="753"/>
      <c r="H394" s="753"/>
      <c r="I394" s="754"/>
      <c r="J394" s="754"/>
      <c r="K394" s="754">
        <f>1860</f>
        <v>1860</v>
      </c>
      <c r="L394" s="755">
        <v>0</v>
      </c>
      <c r="M394" s="755">
        <v>960</v>
      </c>
      <c r="N394" s="756">
        <v>755</v>
      </c>
      <c r="O394" s="737">
        <f t="shared" si="69"/>
        <v>78.645833333333343</v>
      </c>
      <c r="P394" s="757"/>
      <c r="Q394" s="757"/>
      <c r="R394" s="757"/>
      <c r="S394" s="749">
        <v>0</v>
      </c>
      <c r="T394" s="758" t="s">
        <v>1180</v>
      </c>
    </row>
    <row r="395" spans="1:21" outlineLevel="2">
      <c r="A395" s="694">
        <f t="shared" si="84"/>
        <v>394</v>
      </c>
      <c r="B395" s="751" t="s">
        <v>678</v>
      </c>
      <c r="C395" s="752" t="s">
        <v>1175</v>
      </c>
      <c r="D395" s="752">
        <v>3035</v>
      </c>
      <c r="E395" s="753"/>
      <c r="F395" s="753" t="s">
        <v>1181</v>
      </c>
      <c r="G395" s="753" t="s">
        <v>698</v>
      </c>
      <c r="H395" s="735">
        <v>2013</v>
      </c>
      <c r="I395" s="754">
        <v>22900</v>
      </c>
      <c r="J395" s="754"/>
      <c r="K395" s="754">
        <f>1440+750</f>
        <v>2190</v>
      </c>
      <c r="L395" s="755">
        <v>20210</v>
      </c>
      <c r="M395" s="755">
        <v>20210</v>
      </c>
      <c r="N395" s="756">
        <v>20208</v>
      </c>
      <c r="O395" s="737">
        <f t="shared" si="69"/>
        <v>99.990103908955959</v>
      </c>
      <c r="P395" s="757"/>
      <c r="Q395" s="757"/>
      <c r="R395" s="757"/>
      <c r="S395" s="749">
        <v>0</v>
      </c>
      <c r="T395" s="758" t="s">
        <v>681</v>
      </c>
      <c r="U395" s="740">
        <f>K395+N395</f>
        <v>22398</v>
      </c>
    </row>
    <row r="396" spans="1:21" outlineLevel="2">
      <c r="A396" s="694">
        <f t="shared" si="84"/>
        <v>395</v>
      </c>
      <c r="B396" s="751" t="s">
        <v>1182</v>
      </c>
      <c r="C396" s="752" t="s">
        <v>1175</v>
      </c>
      <c r="D396" s="752">
        <v>3102</v>
      </c>
      <c r="E396" s="753"/>
      <c r="F396" s="753" t="s">
        <v>1183</v>
      </c>
      <c r="G396" s="769"/>
      <c r="H396" s="769"/>
      <c r="I396" s="754"/>
      <c r="J396" s="754"/>
      <c r="K396" s="754">
        <f>13499</f>
        <v>13499</v>
      </c>
      <c r="L396" s="755">
        <v>13500</v>
      </c>
      <c r="M396" s="755">
        <v>13500</v>
      </c>
      <c r="N396" s="756">
        <v>13499</v>
      </c>
      <c r="O396" s="737">
        <f t="shared" si="69"/>
        <v>99.992592592592587</v>
      </c>
      <c r="P396" s="757"/>
      <c r="Q396" s="757"/>
      <c r="R396" s="757"/>
      <c r="S396" s="749">
        <v>0</v>
      </c>
      <c r="T396" s="758" t="s">
        <v>1184</v>
      </c>
    </row>
    <row r="397" spans="1:21" outlineLevel="2">
      <c r="A397" s="694">
        <f t="shared" si="84"/>
        <v>396</v>
      </c>
      <c r="B397" s="751" t="s">
        <v>678</v>
      </c>
      <c r="C397" s="752" t="s">
        <v>1175</v>
      </c>
      <c r="D397" s="752">
        <v>3150</v>
      </c>
      <c r="E397" s="753"/>
      <c r="F397" s="753" t="s">
        <v>1185</v>
      </c>
      <c r="G397" s="753" t="s">
        <v>767</v>
      </c>
      <c r="H397" s="753" t="s">
        <v>734</v>
      </c>
      <c r="I397" s="754">
        <v>27500</v>
      </c>
      <c r="J397" s="754"/>
      <c r="K397" s="754">
        <v>1561</v>
      </c>
      <c r="L397" s="755">
        <v>0</v>
      </c>
      <c r="M397" s="755">
        <v>0</v>
      </c>
      <c r="N397" s="756"/>
      <c r="O397" s="737" t="str">
        <f t="shared" si="69"/>
        <v xml:space="preserve"> </v>
      </c>
      <c r="P397" s="757"/>
      <c r="Q397" s="757"/>
      <c r="R397" s="757"/>
      <c r="S397" s="749">
        <v>25939</v>
      </c>
      <c r="T397" s="758" t="s">
        <v>681</v>
      </c>
      <c r="U397" s="740">
        <f t="shared" ref="U397:U398" si="88">K397+N397</f>
        <v>1561</v>
      </c>
    </row>
    <row r="398" spans="1:21" outlineLevel="2">
      <c r="A398" s="694">
        <f t="shared" si="84"/>
        <v>397</v>
      </c>
      <c r="B398" s="751" t="s">
        <v>219</v>
      </c>
      <c r="C398" s="752" t="s">
        <v>1175</v>
      </c>
      <c r="D398" s="752">
        <v>3282</v>
      </c>
      <c r="E398" s="753"/>
      <c r="F398" s="753" t="s">
        <v>1186</v>
      </c>
      <c r="G398" s="753" t="s">
        <v>725</v>
      </c>
      <c r="H398" s="752">
        <v>2012</v>
      </c>
      <c r="I398" s="755">
        <v>15834</v>
      </c>
      <c r="J398" s="755"/>
      <c r="K398" s="754">
        <f>10534+3295</f>
        <v>13829</v>
      </c>
      <c r="L398" s="755">
        <v>2000</v>
      </c>
      <c r="M398" s="755">
        <v>2000</v>
      </c>
      <c r="N398" s="756">
        <v>1449</v>
      </c>
      <c r="O398" s="737">
        <f t="shared" si="69"/>
        <v>72.45</v>
      </c>
      <c r="P398" s="757"/>
      <c r="Q398" s="757"/>
      <c r="R398" s="757"/>
      <c r="S398" s="749">
        <v>0</v>
      </c>
      <c r="T398" s="758" t="s">
        <v>1043</v>
      </c>
      <c r="U398" s="740">
        <f t="shared" si="88"/>
        <v>15278</v>
      </c>
    </row>
    <row r="399" spans="1:21" outlineLevel="2">
      <c r="A399" s="694">
        <f t="shared" si="84"/>
        <v>398</v>
      </c>
      <c r="B399" s="751" t="s">
        <v>1182</v>
      </c>
      <c r="C399" s="752" t="s">
        <v>1175</v>
      </c>
      <c r="D399" s="752">
        <v>3432</v>
      </c>
      <c r="E399" s="753"/>
      <c r="F399" s="753" t="s">
        <v>1187</v>
      </c>
      <c r="G399" s="769"/>
      <c r="H399" s="769"/>
      <c r="I399" s="754"/>
      <c r="J399" s="754"/>
      <c r="K399" s="754">
        <f>182960+18566</f>
        <v>201526</v>
      </c>
      <c r="L399" s="755">
        <v>23600</v>
      </c>
      <c r="M399" s="755">
        <v>23600</v>
      </c>
      <c r="N399" s="756">
        <v>23472</v>
      </c>
      <c r="O399" s="737">
        <f t="shared" si="69"/>
        <v>99.457627118644069</v>
      </c>
      <c r="P399" s="757"/>
      <c r="Q399" s="757"/>
      <c r="R399" s="757"/>
      <c r="S399" s="749">
        <v>0</v>
      </c>
      <c r="T399" s="758" t="s">
        <v>1184</v>
      </c>
    </row>
    <row r="400" spans="1:21" outlineLevel="2">
      <c r="A400" s="694">
        <f t="shared" si="84"/>
        <v>399</v>
      </c>
      <c r="B400" s="751" t="s">
        <v>1182</v>
      </c>
      <c r="C400" s="752" t="s">
        <v>1175</v>
      </c>
      <c r="D400" s="752">
        <v>3476</v>
      </c>
      <c r="E400" s="753"/>
      <c r="F400" s="753" t="s">
        <v>1188</v>
      </c>
      <c r="G400" s="769"/>
      <c r="H400" s="769"/>
      <c r="I400" s="754"/>
      <c r="J400" s="754"/>
      <c r="K400" s="754">
        <f>186000+20798</f>
        <v>206798</v>
      </c>
      <c r="L400" s="755">
        <v>16000</v>
      </c>
      <c r="M400" s="755">
        <v>14226</v>
      </c>
      <c r="N400" s="756">
        <v>13685</v>
      </c>
      <c r="O400" s="737">
        <f t="shared" si="69"/>
        <v>96.197103894278086</v>
      </c>
      <c r="P400" s="757"/>
      <c r="Q400" s="757"/>
      <c r="R400" s="757"/>
      <c r="S400" s="749">
        <v>0</v>
      </c>
      <c r="T400" s="758" t="s">
        <v>1184</v>
      </c>
    </row>
    <row r="401" spans="1:21" outlineLevel="2">
      <c r="A401" s="694">
        <f t="shared" si="84"/>
        <v>400</v>
      </c>
      <c r="B401" s="779">
        <v>4100</v>
      </c>
      <c r="C401" s="752" t="s">
        <v>1175</v>
      </c>
      <c r="D401" s="752">
        <v>5036</v>
      </c>
      <c r="E401" s="770" t="s">
        <v>729</v>
      </c>
      <c r="F401" s="753" t="s">
        <v>1189</v>
      </c>
      <c r="G401" s="753" t="s">
        <v>689</v>
      </c>
      <c r="H401" s="753" t="s">
        <v>760</v>
      </c>
      <c r="I401" s="755">
        <v>72000</v>
      </c>
      <c r="J401" s="755">
        <v>61262</v>
      </c>
      <c r="K401" s="754">
        <v>1389</v>
      </c>
      <c r="L401" s="755">
        <v>72000</v>
      </c>
      <c r="M401" s="755">
        <v>72000</v>
      </c>
      <c r="N401" s="756">
        <v>71160</v>
      </c>
      <c r="O401" s="737">
        <f t="shared" si="69"/>
        <v>98.833333333333329</v>
      </c>
      <c r="P401" s="757"/>
      <c r="Q401" s="757"/>
      <c r="R401" s="757"/>
      <c r="S401" s="749">
        <v>0</v>
      </c>
      <c r="T401" s="758" t="s">
        <v>953</v>
      </c>
    </row>
    <row r="402" spans="1:21" outlineLevel="2">
      <c r="A402" s="694">
        <f t="shared" si="84"/>
        <v>401</v>
      </c>
      <c r="B402" s="751" t="s">
        <v>1182</v>
      </c>
      <c r="C402" s="752" t="s">
        <v>1175</v>
      </c>
      <c r="D402" s="752">
        <v>5090</v>
      </c>
      <c r="E402" s="770" t="s">
        <v>729</v>
      </c>
      <c r="F402" s="753" t="s">
        <v>1190</v>
      </c>
      <c r="G402" s="753" t="s">
        <v>698</v>
      </c>
      <c r="H402" s="753" t="s">
        <v>734</v>
      </c>
      <c r="I402" s="754">
        <v>1300</v>
      </c>
      <c r="J402" s="755">
        <v>1105</v>
      </c>
      <c r="K402" s="754">
        <v>0</v>
      </c>
      <c r="L402" s="755">
        <v>1300</v>
      </c>
      <c r="M402" s="755">
        <v>1300</v>
      </c>
      <c r="N402" s="756"/>
      <c r="O402" s="737">
        <f t="shared" si="69"/>
        <v>0</v>
      </c>
      <c r="P402" s="757"/>
      <c r="Q402" s="757"/>
      <c r="R402" s="757"/>
      <c r="S402" s="749">
        <v>0</v>
      </c>
      <c r="T402" s="758" t="s">
        <v>1184</v>
      </c>
      <c r="U402" s="740">
        <f t="shared" ref="U402:U403" si="89">K402+N402</f>
        <v>0</v>
      </c>
    </row>
    <row r="403" spans="1:21" outlineLevel="2">
      <c r="A403" s="694">
        <f t="shared" si="84"/>
        <v>402</v>
      </c>
      <c r="B403" s="751" t="s">
        <v>1182</v>
      </c>
      <c r="C403" s="752" t="s">
        <v>1175</v>
      </c>
      <c r="D403" s="752">
        <v>5100</v>
      </c>
      <c r="E403" s="770" t="s">
        <v>729</v>
      </c>
      <c r="F403" s="753" t="s">
        <v>1191</v>
      </c>
      <c r="G403" s="753" t="s">
        <v>698</v>
      </c>
      <c r="H403" s="753" t="s">
        <v>734</v>
      </c>
      <c r="I403" s="754">
        <v>1070</v>
      </c>
      <c r="J403" s="755">
        <v>969</v>
      </c>
      <c r="K403" s="754">
        <v>0</v>
      </c>
      <c r="L403" s="755">
        <v>1070</v>
      </c>
      <c r="M403" s="755">
        <v>1119</v>
      </c>
      <c r="N403" s="756">
        <v>990</v>
      </c>
      <c r="O403" s="737">
        <f t="shared" si="69"/>
        <v>88.471849865951739</v>
      </c>
      <c r="P403" s="757"/>
      <c r="Q403" s="757"/>
      <c r="R403" s="757"/>
      <c r="S403" s="749">
        <v>0</v>
      </c>
      <c r="T403" s="758" t="s">
        <v>1184</v>
      </c>
      <c r="U403" s="740">
        <f t="shared" si="89"/>
        <v>990</v>
      </c>
    </row>
    <row r="404" spans="1:21" outlineLevel="2">
      <c r="A404" s="694">
        <f t="shared" si="84"/>
        <v>403</v>
      </c>
      <c r="B404" s="808" t="s">
        <v>1182</v>
      </c>
      <c r="C404" s="784" t="s">
        <v>1175</v>
      </c>
      <c r="D404" s="784">
        <v>5112</v>
      </c>
      <c r="E404" s="785" t="s">
        <v>729</v>
      </c>
      <c r="F404" s="786" t="s">
        <v>1192</v>
      </c>
      <c r="G404" s="786" t="s">
        <v>698</v>
      </c>
      <c r="H404" s="786" t="s">
        <v>742</v>
      </c>
      <c r="I404" s="809">
        <v>30685</v>
      </c>
      <c r="J404" s="756">
        <v>35229</v>
      </c>
      <c r="K404" s="809">
        <v>0</v>
      </c>
      <c r="L404" s="756">
        <v>0</v>
      </c>
      <c r="M404" s="756">
        <v>25190</v>
      </c>
      <c r="N404" s="756">
        <v>24956</v>
      </c>
      <c r="O404" s="737">
        <f t="shared" si="69"/>
        <v>99.071059944422387</v>
      </c>
      <c r="P404" s="757"/>
      <c r="Q404" s="757"/>
      <c r="R404" s="757"/>
      <c r="S404" s="749">
        <v>0</v>
      </c>
      <c r="T404" s="787" t="s">
        <v>1184</v>
      </c>
    </row>
    <row r="405" spans="1:21" outlineLevel="1">
      <c r="A405" s="694">
        <f t="shared" si="84"/>
        <v>404</v>
      </c>
      <c r="B405" s="810"/>
      <c r="C405" s="811" t="s">
        <v>1193</v>
      </c>
      <c r="D405" s="811"/>
      <c r="E405" s="812"/>
      <c r="F405" s="813"/>
      <c r="G405" s="813"/>
      <c r="H405" s="813"/>
      <c r="I405" s="764">
        <f t="shared" ref="I405:N405" si="90">SUBTOTAL(9,I393:I404)</f>
        <v>178089</v>
      </c>
      <c r="J405" s="764">
        <f t="shared" si="90"/>
        <v>98565</v>
      </c>
      <c r="K405" s="764">
        <f t="shared" si="90"/>
        <v>443162</v>
      </c>
      <c r="L405" s="764">
        <f t="shared" si="90"/>
        <v>149680</v>
      </c>
      <c r="M405" s="764">
        <f t="shared" si="90"/>
        <v>174105</v>
      </c>
      <c r="N405" s="764">
        <f t="shared" si="90"/>
        <v>170174</v>
      </c>
      <c r="O405" s="765">
        <f t="shared" si="69"/>
        <v>97.742167083082037</v>
      </c>
      <c r="P405" s="764">
        <f>SUBTOTAL(9,P393:P404)</f>
        <v>0</v>
      </c>
      <c r="Q405" s="764">
        <f>SUBTOTAL(9,Q393:Q404)</f>
        <v>0</v>
      </c>
      <c r="R405" s="764">
        <f>SUBTOTAL(9,R393:R404)</f>
        <v>0</v>
      </c>
      <c r="S405" s="766"/>
      <c r="T405" s="814"/>
    </row>
    <row r="406" spans="1:21" outlineLevel="2">
      <c r="A406" s="694">
        <f t="shared" si="84"/>
        <v>405</v>
      </c>
      <c r="B406" s="808" t="s">
        <v>1194</v>
      </c>
      <c r="C406" s="784" t="s">
        <v>1195</v>
      </c>
      <c r="D406" s="784">
        <v>301100</v>
      </c>
      <c r="E406" s="786"/>
      <c r="F406" s="786" t="s">
        <v>1196</v>
      </c>
      <c r="G406" s="786"/>
      <c r="H406" s="786"/>
      <c r="I406" s="809"/>
      <c r="J406" s="809"/>
      <c r="K406" s="809">
        <f>126</f>
        <v>126</v>
      </c>
      <c r="L406" s="756">
        <v>0</v>
      </c>
      <c r="M406" s="756">
        <v>0</v>
      </c>
      <c r="N406" s="756"/>
      <c r="O406" s="737" t="str">
        <f t="shared" si="69"/>
        <v xml:space="preserve"> </v>
      </c>
      <c r="P406" s="757"/>
      <c r="Q406" s="757"/>
      <c r="R406" s="757"/>
      <c r="S406" s="749">
        <v>0</v>
      </c>
      <c r="T406" s="787" t="s">
        <v>1197</v>
      </c>
    </row>
    <row r="407" spans="1:21" outlineLevel="2">
      <c r="A407" s="694">
        <f t="shared" si="84"/>
        <v>406</v>
      </c>
      <c r="B407" s="808" t="s">
        <v>1194</v>
      </c>
      <c r="C407" s="784" t="s">
        <v>1195</v>
      </c>
      <c r="D407" s="784">
        <v>3074</v>
      </c>
      <c r="E407" s="786"/>
      <c r="F407" s="786" t="s">
        <v>1198</v>
      </c>
      <c r="G407" s="786" t="s">
        <v>689</v>
      </c>
      <c r="H407" s="786" t="s">
        <v>1199</v>
      </c>
      <c r="I407" s="809">
        <v>15000</v>
      </c>
      <c r="J407" s="809"/>
      <c r="K407" s="809">
        <f>685+768</f>
        <v>1453</v>
      </c>
      <c r="L407" s="756">
        <v>2000</v>
      </c>
      <c r="M407" s="756">
        <v>2000</v>
      </c>
      <c r="N407" s="756">
        <v>641</v>
      </c>
      <c r="O407" s="737">
        <f t="shared" si="69"/>
        <v>32.049999999999997</v>
      </c>
      <c r="P407" s="757"/>
      <c r="Q407" s="757"/>
      <c r="R407" s="757"/>
      <c r="S407" s="749">
        <v>11015</v>
      </c>
      <c r="T407" s="787" t="s">
        <v>1197</v>
      </c>
    </row>
    <row r="408" spans="1:21" outlineLevel="1">
      <c r="A408" s="694">
        <f t="shared" si="84"/>
        <v>407</v>
      </c>
      <c r="B408" s="810"/>
      <c r="C408" s="811" t="s">
        <v>1200</v>
      </c>
      <c r="D408" s="811"/>
      <c r="E408" s="813"/>
      <c r="F408" s="813"/>
      <c r="G408" s="813"/>
      <c r="H408" s="813"/>
      <c r="I408" s="764">
        <f t="shared" ref="I408:N408" si="91">SUBTOTAL(9,I406:I407)</f>
        <v>15000</v>
      </c>
      <c r="J408" s="764">
        <f t="shared" si="91"/>
        <v>0</v>
      </c>
      <c r="K408" s="764">
        <f t="shared" si="91"/>
        <v>1579</v>
      </c>
      <c r="L408" s="764">
        <f t="shared" si="91"/>
        <v>2000</v>
      </c>
      <c r="M408" s="764">
        <f t="shared" si="91"/>
        <v>2000</v>
      </c>
      <c r="N408" s="764">
        <f t="shared" si="91"/>
        <v>641</v>
      </c>
      <c r="O408" s="765">
        <f t="shared" si="69"/>
        <v>32.049999999999997</v>
      </c>
      <c r="P408" s="764">
        <f>SUBTOTAL(9,P406:P407)</f>
        <v>0</v>
      </c>
      <c r="Q408" s="764">
        <f>SUBTOTAL(9,Q406:Q407)</f>
        <v>0</v>
      </c>
      <c r="R408" s="764">
        <f>SUBTOTAL(9,R406:R407)</f>
        <v>0</v>
      </c>
      <c r="S408" s="766"/>
      <c r="T408" s="814"/>
    </row>
    <row r="409" spans="1:21" outlineLevel="2">
      <c r="A409" s="694">
        <f t="shared" si="84"/>
        <v>408</v>
      </c>
      <c r="B409" s="815" t="s">
        <v>241</v>
      </c>
      <c r="C409" s="816" t="s">
        <v>1201</v>
      </c>
      <c r="D409" s="816" t="s">
        <v>1202</v>
      </c>
      <c r="E409" s="817"/>
      <c r="F409" s="817" t="s">
        <v>1203</v>
      </c>
      <c r="G409" s="817"/>
      <c r="H409" s="817"/>
      <c r="I409" s="756"/>
      <c r="J409" s="756"/>
      <c r="K409" s="756">
        <f>9000</f>
        <v>9000</v>
      </c>
      <c r="L409" s="795"/>
      <c r="M409" s="795"/>
      <c r="N409" s="795"/>
      <c r="O409" s="737" t="str">
        <f t="shared" ref="O409:O429" si="92">IF(M409&lt;=0," ",N409/M409*100)</f>
        <v xml:space="preserve"> </v>
      </c>
      <c r="P409" s="818"/>
      <c r="Q409" s="818"/>
      <c r="R409" s="818"/>
      <c r="S409" s="796"/>
      <c r="T409" s="819" t="s">
        <v>1177</v>
      </c>
    </row>
    <row r="410" spans="1:21" outlineLevel="2">
      <c r="A410" s="694">
        <f t="shared" si="84"/>
        <v>409</v>
      </c>
      <c r="B410" s="815" t="s">
        <v>241</v>
      </c>
      <c r="C410" s="816" t="s">
        <v>1201</v>
      </c>
      <c r="D410" s="816" t="s">
        <v>1202</v>
      </c>
      <c r="E410" s="817">
        <v>41</v>
      </c>
      <c r="F410" s="817" t="s">
        <v>1204</v>
      </c>
      <c r="G410" s="817"/>
      <c r="H410" s="817"/>
      <c r="I410" s="756"/>
      <c r="J410" s="756"/>
      <c r="K410" s="756">
        <f>71730</f>
        <v>71730</v>
      </c>
      <c r="L410" s="795"/>
      <c r="M410" s="756">
        <v>80796</v>
      </c>
      <c r="N410" s="756">
        <v>80796</v>
      </c>
      <c r="O410" s="737">
        <f t="shared" si="92"/>
        <v>100</v>
      </c>
      <c r="P410" s="818"/>
      <c r="Q410" s="818"/>
      <c r="R410" s="818"/>
      <c r="S410" s="796"/>
      <c r="T410" s="819" t="s">
        <v>1177</v>
      </c>
    </row>
    <row r="411" spans="1:21" outlineLevel="2">
      <c r="A411" s="694">
        <f t="shared" si="84"/>
        <v>410</v>
      </c>
      <c r="B411" s="815" t="s">
        <v>1178</v>
      </c>
      <c r="C411" s="816" t="s">
        <v>1201</v>
      </c>
      <c r="D411" s="816" t="s">
        <v>1202</v>
      </c>
      <c r="E411" s="817"/>
      <c r="F411" s="817" t="s">
        <v>1205</v>
      </c>
      <c r="G411" s="817"/>
      <c r="H411" s="817"/>
      <c r="I411" s="756"/>
      <c r="J411" s="756"/>
      <c r="K411" s="756">
        <f>213</f>
        <v>213</v>
      </c>
      <c r="L411" s="795"/>
      <c r="M411" s="795"/>
      <c r="N411" s="795"/>
      <c r="O411" s="737" t="str">
        <f t="shared" si="92"/>
        <v xml:space="preserve"> </v>
      </c>
      <c r="P411" s="818"/>
      <c r="Q411" s="818"/>
      <c r="R411" s="818"/>
      <c r="S411" s="796"/>
      <c r="T411" s="819" t="s">
        <v>1177</v>
      </c>
    </row>
    <row r="412" spans="1:21" outlineLevel="2">
      <c r="A412" s="694">
        <f t="shared" si="84"/>
        <v>411</v>
      </c>
      <c r="B412" s="815" t="s">
        <v>1066</v>
      </c>
      <c r="C412" s="816" t="s">
        <v>1201</v>
      </c>
      <c r="D412" s="816" t="s">
        <v>1202</v>
      </c>
      <c r="E412" s="817"/>
      <c r="F412" s="817" t="s">
        <v>1206</v>
      </c>
      <c r="G412" s="817"/>
      <c r="H412" s="817"/>
      <c r="I412" s="756"/>
      <c r="J412" s="756"/>
      <c r="K412" s="756"/>
      <c r="L412" s="795"/>
      <c r="M412" s="756">
        <v>2000</v>
      </c>
      <c r="N412" s="756">
        <v>2000</v>
      </c>
      <c r="O412" s="737">
        <f t="shared" si="92"/>
        <v>100</v>
      </c>
      <c r="P412" s="818"/>
      <c r="Q412" s="818"/>
      <c r="R412" s="818"/>
      <c r="S412" s="796"/>
      <c r="T412" s="819" t="s">
        <v>1177</v>
      </c>
    </row>
    <row r="413" spans="1:21" outlineLevel="2">
      <c r="A413" s="694">
        <f t="shared" si="84"/>
        <v>412</v>
      </c>
      <c r="B413" s="815" t="s">
        <v>1140</v>
      </c>
      <c r="C413" s="816" t="s">
        <v>1201</v>
      </c>
      <c r="D413" s="816" t="s">
        <v>1202</v>
      </c>
      <c r="E413" s="817"/>
      <c r="F413" s="817" t="s">
        <v>1207</v>
      </c>
      <c r="G413" s="817"/>
      <c r="H413" s="817"/>
      <c r="I413" s="756"/>
      <c r="J413" s="756"/>
      <c r="K413" s="756">
        <f>84</f>
        <v>84</v>
      </c>
      <c r="L413" s="795"/>
      <c r="M413" s="795"/>
      <c r="N413" s="795"/>
      <c r="O413" s="737" t="str">
        <f t="shared" si="92"/>
        <v xml:space="preserve"> </v>
      </c>
      <c r="P413" s="818"/>
      <c r="Q413" s="818"/>
      <c r="R413" s="818"/>
      <c r="S413" s="796"/>
      <c r="T413" s="819" t="s">
        <v>1177</v>
      </c>
    </row>
    <row r="414" spans="1:21" outlineLevel="2">
      <c r="A414" s="694">
        <f t="shared" si="84"/>
        <v>413</v>
      </c>
      <c r="B414" s="815" t="s">
        <v>886</v>
      </c>
      <c r="C414" s="816" t="s">
        <v>1201</v>
      </c>
      <c r="D414" s="816" t="s">
        <v>1202</v>
      </c>
      <c r="E414" s="817"/>
      <c r="F414" s="817" t="s">
        <v>1208</v>
      </c>
      <c r="G414" s="817"/>
      <c r="H414" s="817"/>
      <c r="I414" s="756"/>
      <c r="J414" s="756"/>
      <c r="K414" s="756">
        <f>79855</f>
        <v>79855</v>
      </c>
      <c r="L414" s="795"/>
      <c r="M414" s="756">
        <v>1550</v>
      </c>
      <c r="N414" s="756">
        <v>1550</v>
      </c>
      <c r="O414" s="737">
        <f t="shared" si="92"/>
        <v>100</v>
      </c>
      <c r="P414" s="818"/>
      <c r="Q414" s="818"/>
      <c r="R414" s="818"/>
      <c r="S414" s="796"/>
      <c r="T414" s="819" t="s">
        <v>1177</v>
      </c>
    </row>
    <row r="415" spans="1:21" outlineLevel="2">
      <c r="A415" s="694">
        <f t="shared" si="84"/>
        <v>414</v>
      </c>
      <c r="B415" s="815" t="s">
        <v>886</v>
      </c>
      <c r="C415" s="816" t="s">
        <v>1201</v>
      </c>
      <c r="D415" s="816" t="s">
        <v>1202</v>
      </c>
      <c r="E415" s="817">
        <v>41</v>
      </c>
      <c r="F415" s="817" t="s">
        <v>1209</v>
      </c>
      <c r="G415" s="817"/>
      <c r="H415" s="817"/>
      <c r="I415" s="756"/>
      <c r="J415" s="756"/>
      <c r="K415" s="756">
        <f>9000</f>
        <v>9000</v>
      </c>
      <c r="L415" s="795"/>
      <c r="M415" s="756">
        <v>59750</v>
      </c>
      <c r="N415" s="756">
        <v>59750</v>
      </c>
      <c r="O415" s="737">
        <f t="shared" si="92"/>
        <v>100</v>
      </c>
      <c r="P415" s="818"/>
      <c r="Q415" s="818"/>
      <c r="R415" s="818"/>
      <c r="S415" s="796"/>
      <c r="T415" s="819" t="s">
        <v>1177</v>
      </c>
    </row>
    <row r="416" spans="1:21" outlineLevel="2">
      <c r="A416" s="694">
        <f t="shared" si="84"/>
        <v>415</v>
      </c>
      <c r="B416" s="815" t="s">
        <v>241</v>
      </c>
      <c r="C416" s="816" t="s">
        <v>1201</v>
      </c>
      <c r="D416" s="816" t="s">
        <v>1202</v>
      </c>
      <c r="E416" s="817">
        <v>41</v>
      </c>
      <c r="F416" s="817" t="s">
        <v>1210</v>
      </c>
      <c r="G416" s="817"/>
      <c r="H416" s="817"/>
      <c r="I416" s="756"/>
      <c r="J416" s="756"/>
      <c r="K416" s="756">
        <f>7140</f>
        <v>7140</v>
      </c>
      <c r="L416" s="795"/>
      <c r="M416" s="795"/>
      <c r="N416" s="795"/>
      <c r="O416" s="737" t="str">
        <f t="shared" si="92"/>
        <v xml:space="preserve"> </v>
      </c>
      <c r="P416" s="818"/>
      <c r="Q416" s="818"/>
      <c r="R416" s="818"/>
      <c r="S416" s="796"/>
      <c r="T416" s="819" t="s">
        <v>1177</v>
      </c>
    </row>
    <row r="417" spans="1:20" ht="13.5" outlineLevel="1" thickBot="1">
      <c r="A417" s="694">
        <f t="shared" si="84"/>
        <v>416</v>
      </c>
      <c r="B417" s="820"/>
      <c r="C417" s="821" t="s">
        <v>1211</v>
      </c>
      <c r="D417" s="821"/>
      <c r="E417" s="822"/>
      <c r="F417" s="822"/>
      <c r="G417" s="822"/>
      <c r="H417" s="822"/>
      <c r="I417" s="823">
        <f t="shared" ref="I417:N417" si="93">SUBTOTAL(9,I409:I416)</f>
        <v>0</v>
      </c>
      <c r="J417" s="823">
        <f t="shared" si="93"/>
        <v>0</v>
      </c>
      <c r="K417" s="823">
        <f t="shared" si="93"/>
        <v>177022</v>
      </c>
      <c r="L417" s="823">
        <f t="shared" si="93"/>
        <v>0</v>
      </c>
      <c r="M417" s="823">
        <f t="shared" si="93"/>
        <v>144096</v>
      </c>
      <c r="N417" s="823">
        <f t="shared" si="93"/>
        <v>144096</v>
      </c>
      <c r="O417" s="824">
        <f t="shared" si="92"/>
        <v>100</v>
      </c>
      <c r="P417" s="823">
        <f>SUBTOTAL(9,P409:P416)</f>
        <v>0</v>
      </c>
      <c r="Q417" s="823">
        <f>SUBTOTAL(9,Q409:Q416)</f>
        <v>0</v>
      </c>
      <c r="R417" s="823">
        <f>SUBTOTAL(9,R409:R416)</f>
        <v>0</v>
      </c>
      <c r="S417" s="825"/>
      <c r="T417" s="826"/>
    </row>
    <row r="418" spans="1:20" ht="13.5" thickBot="1">
      <c r="A418" s="694">
        <f t="shared" si="84"/>
        <v>417</v>
      </c>
      <c r="B418" s="827"/>
      <c r="C418" s="828" t="s">
        <v>1212</v>
      </c>
      <c r="D418" s="828"/>
      <c r="E418" s="829"/>
      <c r="F418" s="829"/>
      <c r="G418" s="829"/>
      <c r="H418" s="829"/>
      <c r="I418" s="830">
        <f t="shared" ref="I418:N418" si="94">SUBTOTAL(9,I2:I416)</f>
        <v>25628379</v>
      </c>
      <c r="J418" s="830">
        <f t="shared" si="94"/>
        <v>2467408</v>
      </c>
      <c r="K418" s="830">
        <f t="shared" si="94"/>
        <v>6961169</v>
      </c>
      <c r="L418" s="830">
        <f t="shared" si="94"/>
        <v>2896038</v>
      </c>
      <c r="M418" s="830">
        <f t="shared" si="94"/>
        <v>2641832</v>
      </c>
      <c r="N418" s="830">
        <f t="shared" si="94"/>
        <v>2306310</v>
      </c>
      <c r="O418" s="831">
        <f t="shared" si="92"/>
        <v>87.299646608868386</v>
      </c>
      <c r="P418" s="830">
        <f>SUBTOTAL(9,P2:P416)</f>
        <v>516896</v>
      </c>
      <c r="Q418" s="830">
        <f>SUBTOTAL(9,Q2:Q416)</f>
        <v>313457</v>
      </c>
      <c r="R418" s="830">
        <f>SUBTOTAL(9,R2:R416)</f>
        <v>48747</v>
      </c>
      <c r="S418" s="832"/>
      <c r="T418" s="833"/>
    </row>
    <row r="419" spans="1:20">
      <c r="A419" s="708"/>
      <c r="B419" s="834"/>
      <c r="C419" s="835"/>
      <c r="D419" s="836"/>
      <c r="E419" s="837"/>
      <c r="F419" s="837"/>
      <c r="G419" s="837"/>
      <c r="H419" s="837"/>
      <c r="I419" s="838"/>
      <c r="J419" s="838"/>
      <c r="K419" s="838"/>
      <c r="L419" s="839"/>
      <c r="M419" s="839"/>
      <c r="N419" s="839"/>
      <c r="O419" s="840"/>
      <c r="P419" s="839"/>
      <c r="Q419" s="839"/>
      <c r="R419" s="839"/>
      <c r="S419" s="841"/>
      <c r="T419" s="837"/>
    </row>
    <row r="420" spans="1:20">
      <c r="A420" s="708"/>
      <c r="B420" s="834"/>
      <c r="C420" s="835"/>
      <c r="D420" s="836"/>
      <c r="E420" s="837"/>
      <c r="F420" s="837"/>
      <c r="G420" s="837"/>
      <c r="H420" s="837"/>
      <c r="I420" s="838"/>
      <c r="J420" s="838"/>
      <c r="K420" s="838"/>
      <c r="L420" s="839"/>
      <c r="M420" s="839"/>
      <c r="N420" s="839"/>
      <c r="O420" s="840"/>
      <c r="P420" s="839"/>
      <c r="Q420" s="839"/>
      <c r="R420" s="839"/>
      <c r="S420" s="841"/>
      <c r="T420" s="837"/>
    </row>
    <row r="423" spans="1:20" ht="42.75">
      <c r="E423" s="844" t="s">
        <v>1213</v>
      </c>
      <c r="F423" s="845"/>
      <c r="G423" s="844"/>
      <c r="H423" s="844"/>
      <c r="I423" s="844"/>
      <c r="J423" s="844"/>
      <c r="K423" s="844"/>
      <c r="L423" s="846" t="s">
        <v>1214</v>
      </c>
      <c r="M423" s="846" t="s">
        <v>1215</v>
      </c>
      <c r="N423" s="846" t="s">
        <v>664</v>
      </c>
      <c r="O423" s="846" t="s">
        <v>665</v>
      </c>
      <c r="P423" s="846"/>
      <c r="Q423" s="846"/>
      <c r="R423" s="846"/>
      <c r="S423" s="847"/>
      <c r="T423" s="848"/>
    </row>
    <row r="424" spans="1:20" ht="12.75" customHeight="1">
      <c r="E424" s="849"/>
      <c r="F424" s="849"/>
      <c r="G424" s="849"/>
      <c r="H424" s="849"/>
      <c r="I424" s="849"/>
      <c r="J424" s="849"/>
      <c r="K424" s="849"/>
      <c r="L424" s="850"/>
      <c r="M424" s="850"/>
      <c r="N424" s="850"/>
      <c r="O424" s="850"/>
      <c r="P424" s="850"/>
      <c r="Q424" s="850"/>
      <c r="R424" s="850"/>
      <c r="S424" s="850"/>
    </row>
    <row r="425" spans="1:20" ht="15">
      <c r="E425" s="849" t="s">
        <v>1216</v>
      </c>
      <c r="F425" s="849"/>
      <c r="G425" s="849"/>
      <c r="H425" s="849"/>
      <c r="I425" s="849"/>
      <c r="J425" s="851"/>
      <c r="K425" s="849"/>
      <c r="L425" s="851">
        <f>L418-L426-L427-L428-L429-L430</f>
        <v>1323848</v>
      </c>
      <c r="M425" s="851">
        <f>M418-M426-M427-M428-M429-M430</f>
        <v>1014525</v>
      </c>
      <c r="N425" s="851">
        <f>N418-N426-N427-N428-N429-N430</f>
        <v>970463</v>
      </c>
      <c r="O425" s="852">
        <f t="shared" ref="O425:O431" si="95">N425/M425*100</f>
        <v>95.656883763337518</v>
      </c>
      <c r="P425" s="851"/>
      <c r="Q425" s="851"/>
      <c r="R425" s="851"/>
      <c r="S425" s="850"/>
    </row>
    <row r="426" spans="1:20" ht="15">
      <c r="E426" s="849" t="s">
        <v>1217</v>
      </c>
      <c r="F426" s="849"/>
      <c r="G426" s="849"/>
      <c r="H426" s="849"/>
      <c r="I426" s="849"/>
      <c r="J426" s="853"/>
      <c r="K426" s="849"/>
      <c r="L426" s="851">
        <f>L51+L52+L53+L54+L55+L56+L57+L58+L59+L60+L61+L62+L63+L64+L65+L66+L67+L68+L69+L70+L71+L72+L73+L74+L76+L77+L78+L79+L80+L81+L82+L83+L84+L85+L86+L87+L88+L89+L90+L91+L93+L94+L95+L97+L98+L99+L100+L101+L102+L103+L104+L105+L106+L107+L108+L109+L110+L111+L112+L113+L114+L115+L116+L117+L118+L119+L121+L122+L123+L125+L127+L128+L129+L131+L132+L133+L134+L136+L137+L138+L139+L140+L142+L143+L144+L146+L147+L148+L151+L152+L157</f>
        <v>421000</v>
      </c>
      <c r="M426" s="851">
        <f>M51+M52+M53+M54+M55+M56+M57+M58+M59+M60+M61+M62+M63+M64+M65+M66+M67+M68+M69+M70+M71+M72+M73+M74+M76+M77+M78+M79+M80+M81+M82+M83+M84+M85+M86+M87+M88+M89+M90+M91+M93+M94+M95+M97+M98+M99+M100+M101+M102+M103+M104+M105+M106+M107+M108+M109+M110+M111+M112+M113+M114+M115+M116+M117+M118+M119+M121+M122+M123+M125+M127+M128+M129+M131+M132+M133+M134+M136+M137+M138+M139+M140+M142+M143+M144+M146+M147+M148+M151+M152+M157</f>
        <v>421000</v>
      </c>
      <c r="N426" s="851">
        <f>N51+N52+N53+N54+N55+N56+N57+N58+N59+N60+N61+N62+N63+N64+N65+N66+N67+N68+N69+N70+N71+N72+N73+N74+N76+N77+N78+N79+N80+N81+N82+N83+N84+N85+N86+N87+N88+N89+N90+N91+N93+N94+N95+N97+N98+N99+N100+N101+N102+N103+N104+N105+N106+N107+N108+N109+N110+N111+N112+N113+N114+N115+N116+N117+N118+N119+N121+N122+N123+N125+N127+N128+N129+N131+N132+N133+N134+N136+N137+N138+N139+N140+N142+N143+N144+N146+N147+N148+N151+N152+N157</f>
        <v>417765</v>
      </c>
      <c r="O426" s="852">
        <f t="shared" si="95"/>
        <v>99.231591448931113</v>
      </c>
      <c r="P426" s="851"/>
      <c r="Q426" s="851"/>
      <c r="R426" s="851"/>
      <c r="S426" s="850"/>
    </row>
    <row r="427" spans="1:20" ht="15">
      <c r="E427" s="849" t="s">
        <v>1218</v>
      </c>
      <c r="F427" s="849"/>
      <c r="G427" s="849"/>
      <c r="H427" s="849"/>
      <c r="I427" s="849"/>
      <c r="J427" s="851"/>
      <c r="K427" s="849"/>
      <c r="L427" s="851">
        <f>L40+L41+L42+L43+L45+L47+L174+L175+L176+L177+L178+L179+L180+L181+L182+L188+L189+L190+L191+L192+L193+L194+L195+L196+L197+L198+L199+L200+L201+L202+L203+L204+L206+L207+L205+L208+L209+L210+L220+L223+L228+L236+L237+L241+L246+L248+L249+L250+L262+L263+L264+L265+L266+L267+L269+L295+L296+L297+L298+L299+L300+L301+L302+L303+L304+L305+L325+L326+L330+L342+L343+L344+L345+L349+L355+L356+L357+L358+L359+L360+L361+L362+L364+L367+L368+L374+L377+L379+L401+L402+L403+L404</f>
        <v>391187</v>
      </c>
      <c r="M427" s="851">
        <f>M40+M41+M42+M43+M45+M47+M174+M175+M176+M177+M178+M179+M180+M181+M182+M188+M189+M190+M191+M192+M193+M194+M195+M196+M197+M198+M199+M200+M201+M202+M203+M204+M206+M207+M205+M208+M209+M210+M220+M223+M228+M236+M237+M241+M246+M248+M249+M250+M262+M263+M264+M265+M266+M267+M269+M295+M296+M297+M298+M299+M300+M301+M302+M303+M304+M305+M325+M326+M330+M342+M343+M344+M345+M349+M355+M356+M357+M358+M359+M360+M361+M362+M364+M367+M368+M374+M377+M379+M401+M402+M403+M404</f>
        <v>760912</v>
      </c>
      <c r="N427" s="851">
        <f>N40+N41+N42+N43+N45+N47+N174+N175+N176+N177+N178+N179+N180+N181+N182+N188+N189+N190+N191+N192+N193+N194+N195+N196+N197+N198+N199+N200+N201+N202+N203+N204+N206+N207+N205+N208+N209+N210+N220+N223+N228+N236+N237+N241+N246+N248+N249+N250+N262+N263+N264+N265+N266+N267+N269+N295+N296+N297+N298+N299+N300+N301+N302+N303+N304+N305+N325+N326+N330+N342+N343+N344+N345+N349+N355+N356+N357+N358+N359+N360+N361+N362+N364+N367+N368+N374+N377+N379+N401+N402+N403+N404</f>
        <v>636930</v>
      </c>
      <c r="O427" s="852">
        <f t="shared" si="95"/>
        <v>83.706131589461066</v>
      </c>
      <c r="P427" s="851"/>
      <c r="Q427" s="851"/>
      <c r="R427" s="851"/>
      <c r="S427" s="854"/>
      <c r="T427" s="855"/>
    </row>
    <row r="428" spans="1:20" ht="15">
      <c r="E428" s="849" t="s">
        <v>1219</v>
      </c>
      <c r="F428" s="849"/>
      <c r="G428" s="849"/>
      <c r="H428" s="849"/>
      <c r="I428" s="849"/>
      <c r="J428" s="851"/>
      <c r="K428" s="849"/>
      <c r="L428" s="851">
        <f>L307</f>
        <v>0</v>
      </c>
      <c r="M428" s="851">
        <f>M307</f>
        <v>3410</v>
      </c>
      <c r="N428" s="851">
        <f>N307</f>
        <v>1250</v>
      </c>
      <c r="O428" s="852">
        <f t="shared" si="95"/>
        <v>36.656891495601172</v>
      </c>
      <c r="P428" s="851"/>
      <c r="Q428" s="851"/>
      <c r="R428" s="851"/>
      <c r="S428" s="854"/>
      <c r="T428" s="855"/>
    </row>
    <row r="429" spans="1:20" ht="15">
      <c r="E429" s="849" t="s">
        <v>1220</v>
      </c>
      <c r="F429" s="849"/>
      <c r="G429" s="849"/>
      <c r="H429" s="849"/>
      <c r="I429" s="849"/>
      <c r="J429" s="853"/>
      <c r="K429" s="849"/>
      <c r="L429" s="851">
        <f>L166+L170+L171+L173+L286+L287+L288+L289+L290+L291+L292+L293+L294+L315+L324+L370+L371+L372+L410+L415+L416</f>
        <v>760003</v>
      </c>
      <c r="M429" s="851">
        <f>M166+M170+M171+M173+M286+M287+M288+M289+M290+M291+M292+M293+M294+M315+M324+M370+M371+M372+M410+M415+M416</f>
        <v>441365</v>
      </c>
      <c r="N429" s="851">
        <f>N166+N170+N171+N173+N286+N287+N288+N289+N290+N291+N292+N293+N294+N315+N324+N370+N371+N372+N410+N415+N416</f>
        <v>279288</v>
      </c>
      <c r="O429" s="852">
        <f t="shared" si="95"/>
        <v>63.278239099158299</v>
      </c>
      <c r="P429" s="851"/>
      <c r="Q429" s="851"/>
      <c r="R429" s="851"/>
      <c r="S429" s="850"/>
    </row>
    <row r="430" spans="1:20" ht="15.75" thickBot="1">
      <c r="E430" s="849" t="s">
        <v>1221</v>
      </c>
      <c r="F430" s="849"/>
      <c r="G430" s="849"/>
      <c r="H430" s="849"/>
      <c r="I430" s="849"/>
      <c r="J430" s="853"/>
      <c r="K430" s="849"/>
      <c r="L430" s="851">
        <f>L383</f>
        <v>0</v>
      </c>
      <c r="M430" s="851">
        <f>M383</f>
        <v>620</v>
      </c>
      <c r="N430" s="851">
        <f>N383</f>
        <v>614</v>
      </c>
      <c r="O430" s="852">
        <f t="shared" si="95"/>
        <v>99.032258064516128</v>
      </c>
      <c r="P430" s="851"/>
      <c r="Q430" s="851"/>
      <c r="R430" s="851"/>
      <c r="S430" s="850"/>
    </row>
    <row r="431" spans="1:20" ht="15.75" thickBot="1">
      <c r="E431" s="856" t="s">
        <v>1222</v>
      </c>
      <c r="F431" s="857"/>
      <c r="G431" s="857"/>
      <c r="H431" s="857"/>
      <c r="I431" s="857"/>
      <c r="J431" s="858">
        <f>SUM(J425:J429)</f>
        <v>0</v>
      </c>
      <c r="K431" s="857"/>
      <c r="L431" s="859">
        <f>SUM(L425:L430)</f>
        <v>2896038</v>
      </c>
      <c r="M431" s="859">
        <f>SUM(M425:M430)</f>
        <v>2641832</v>
      </c>
      <c r="N431" s="859">
        <f>SUM(N425:N430)</f>
        <v>2306310</v>
      </c>
      <c r="O431" s="860">
        <f t="shared" si="95"/>
        <v>87.299646608868386</v>
      </c>
      <c r="P431" s="861"/>
      <c r="Q431" s="861"/>
      <c r="R431" s="861"/>
      <c r="S431" s="850"/>
    </row>
    <row r="433" spans="6:10" ht="15.75">
      <c r="F433" s="862"/>
      <c r="G433" s="863"/>
      <c r="H433" s="863"/>
      <c r="I433" s="863"/>
      <c r="J433" s="863"/>
    </row>
    <row r="434" spans="6:10" ht="18.75">
      <c r="F434" s="862"/>
      <c r="G434" s="864"/>
      <c r="H434" s="864"/>
      <c r="I434" s="864"/>
      <c r="J434" s="863"/>
    </row>
    <row r="436" spans="6:10">
      <c r="J436" s="740"/>
    </row>
  </sheetData>
  <autoFilter ref="A1:U417"/>
  <printOptions horizontalCentered="1"/>
  <pageMargins left="0.31496062992125984" right="0.70866141732283472" top="0.74803149606299213" bottom="0.63" header="0.39370078740157483" footer="0.31496062992125984"/>
  <pageSetup paperSize="9" scale="70" fitToWidth="7" fitToHeight="7" orientation="landscape" r:id="rId1"/>
  <headerFooter>
    <oddHeader>&amp;C&amp;"Times New Roman,Tučné"&amp;18Čerpání rozpočtu kapitálových výdajů města k 31.12.2012 - závazný plán (v tis. Kč)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F75207-4964-4D8A-B271-5D7052CE8F5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E511567-5E48-435B-9376-DD4F8A610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E0A4C1-6C0F-4D26-8B93-7ECDAA1933A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E13A9C4-D06A-423F-A667-7D34E6A9B2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Daňové</vt:lpstr>
      <vt:lpstr>Nedaňové</vt:lpstr>
      <vt:lpstr>Kapitálové</vt:lpstr>
      <vt:lpstr>Transfery</vt:lpstr>
      <vt:lpstr>Provozní_výd</vt:lpstr>
      <vt:lpstr>PV-položky</vt:lpstr>
      <vt:lpstr>Kapitálové_výd</vt:lpstr>
      <vt:lpstr>Investice</vt:lpstr>
      <vt:lpstr>Daňové!Názvy_tisku</vt:lpstr>
      <vt:lpstr>Investice!Názvy_tisku</vt:lpstr>
      <vt:lpstr>Kapitálové!Názvy_tisku</vt:lpstr>
      <vt:lpstr>Kapitálové_výd!Názvy_tisku</vt:lpstr>
      <vt:lpstr>Nedaňové!Názvy_tisku</vt:lpstr>
      <vt:lpstr>Provozní_výd!Názvy_tisku</vt:lpstr>
      <vt:lpstr>'PV-položky'!Názvy_tisku</vt:lpstr>
      <vt:lpstr>Transfery!Názvy_tisku</vt:lpstr>
      <vt:lpstr>Daňové!Oblast_tisku</vt:lpstr>
      <vt:lpstr>Investice!Oblast_tisku</vt:lpstr>
      <vt:lpstr>Kapitálové!Oblast_tisku</vt:lpstr>
      <vt:lpstr>Kapitálové_výd!Oblast_tisku</vt:lpstr>
      <vt:lpstr>Nedaňové!Oblast_tisku</vt:lpstr>
      <vt:lpstr>Provozní_výd!Oblast_tisku</vt:lpstr>
      <vt:lpstr>'PV-položky'!Oblast_tisku</vt:lpstr>
      <vt:lpstr>Transfery!Oblast_tisku</vt:lpstr>
    </vt:vector>
  </TitlesOfParts>
  <Company>MMB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MMB</dc:creator>
  <cp:lastModifiedBy>Jiří Trnečka</cp:lastModifiedBy>
  <cp:lastPrinted>2013-04-15T07:44:00Z</cp:lastPrinted>
  <dcterms:created xsi:type="dcterms:W3CDTF">2001-09-17T09:09:31Z</dcterms:created>
  <dcterms:modified xsi:type="dcterms:W3CDTF">2013-05-16T10:48:44Z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K6F56YJ4D42X-540-137</vt:lpwstr>
  </property>
  <property fmtid="{D5CDD505-2E9C-101B-9397-08002B2CF9AE}" pid="3" name="_dlc_DocIdItemGuid">
    <vt:lpwstr>4372ae4a-430e-4ec1-b5d9-e455c7a2cefb</vt:lpwstr>
  </property>
  <property fmtid="{D5CDD505-2E9C-101B-9397-08002B2CF9AE}" pid="4" name="_dlc_DocIdUrl">
    <vt:lpwstr>http://project.brno.cz/ORF/RI/_layouts/DocIdRedir.aspx?ID=K6F56YJ4D42X-540-137, K6F56YJ4D42X-540-137</vt:lpwstr>
  </property>
</Properties>
</file>