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codeName="ThisWorkbook" defaultThemeVersion="124226"/>
  <bookViews>
    <workbookView xWindow="5130" yWindow="555" windowWidth="7680" windowHeight="8340" tabRatio="960"/>
  </bookViews>
  <sheets>
    <sheet name="Příjmy a Výdaje " sheetId="4" r:id="rId1"/>
    <sheet name="Příjmy " sheetId="2" r:id="rId2"/>
    <sheet name="Daňové příjmy" sheetId="5" r:id="rId3"/>
    <sheet name="Ost.daně=Místní popl." sheetId="6" r:id="rId4"/>
    <sheet name="Nedaňové příjmy" sheetId="7" r:id="rId5"/>
    <sheet name="Kapitálové příjmy" sheetId="9" r:id="rId6"/>
    <sheet name="Transfery neinvestiční 2.5" sheetId="10" r:id="rId7"/>
    <sheet name="Transfery nein.2.5a" sheetId="11" r:id="rId8"/>
    <sheet name="Transfery investiční" sheetId="12" r:id="rId9"/>
    <sheet name="Výdaje " sheetId="3" r:id="rId10"/>
    <sheet name="Provozní výdaje" sheetId="13" r:id="rId11"/>
    <sheet name="Kapitálové výdaje" sheetId="14" r:id="rId12"/>
    <sheet name="Financování" sheetId="16" r:id="rId13"/>
  </sheets>
  <definedNames>
    <definedName name="_xlnm.Print_Area" localSheetId="2">'Daňové příjmy'!$A$1:$Q$42</definedName>
    <definedName name="_xlnm.Print_Area" localSheetId="12">Financování!$A$1:$Y$45</definedName>
    <definedName name="_xlnm.Print_Area" localSheetId="5">'Kapitálové příjmy'!$A$1:$I$42</definedName>
    <definedName name="_xlnm.Print_Area" localSheetId="11">'Kapitálové výdaje'!$A$1:$T$44</definedName>
    <definedName name="_xlnm.Print_Area" localSheetId="4">'Nedaňové příjmy'!$A$1:$Y$44</definedName>
    <definedName name="_xlnm.Print_Area" localSheetId="3">'Ost.daně=Místní popl.'!$A$1:$Q$92</definedName>
    <definedName name="_xlnm.Print_Area" localSheetId="10">'Provozní výdaje'!$A$1:$Y$45</definedName>
    <definedName name="_xlnm.Print_Area" localSheetId="1">'Příjmy '!$A$1:$S$41</definedName>
    <definedName name="_xlnm.Print_Area" localSheetId="0">'Příjmy a Výdaje '!$A$1:$T$41</definedName>
    <definedName name="_xlnm.Print_Area" localSheetId="8">'Transfery investiční'!$A$1:$AB$43</definedName>
    <definedName name="_xlnm.Print_Area" localSheetId="7">'Transfery nein.2.5a'!$A$1:$AC$44</definedName>
    <definedName name="_xlnm.Print_Area" localSheetId="6">'Transfery neinvestiční 2.5'!$A$1:$U$43</definedName>
    <definedName name="_xlnm.Print_Area" localSheetId="9">'Výdaje '!$A$1:$K$42</definedName>
  </definedNames>
  <calcPr calcId="125725"/>
</workbook>
</file>

<file path=xl/calcChain.xml><?xml version="1.0" encoding="utf-8"?>
<calcChain xmlns="http://schemas.openxmlformats.org/spreadsheetml/2006/main">
  <c r="X11" i="4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V41"/>
  <c r="W41"/>
  <c r="X41"/>
  <c r="X44" s="1"/>
  <c r="X42"/>
  <c r="X43"/>
  <c r="P30" i="12"/>
  <c r="Y41" i="7"/>
  <c r="D31" i="3"/>
  <c r="T31" i="10" l="1"/>
  <c r="Q14"/>
  <c r="Q13"/>
  <c r="Q15"/>
  <c r="AA16" i="16"/>
  <c r="AB16"/>
  <c r="AC16"/>
  <c r="AA17"/>
  <c r="AB17"/>
  <c r="AC17"/>
  <c r="AA18"/>
  <c r="AB18"/>
  <c r="AC18"/>
  <c r="AA19"/>
  <c r="AB19"/>
  <c r="AC19"/>
  <c r="AA20"/>
  <c r="AB20"/>
  <c r="AC20"/>
  <c r="AA21"/>
  <c r="AB21"/>
  <c r="AC21"/>
  <c r="AA22"/>
  <c r="AB22"/>
  <c r="AC22"/>
  <c r="AA23"/>
  <c r="AB23"/>
  <c r="AC23"/>
  <c r="AA24"/>
  <c r="AB24"/>
  <c r="AC24"/>
  <c r="AA25"/>
  <c r="AB25"/>
  <c r="AC25"/>
  <c r="AA26"/>
  <c r="AB26"/>
  <c r="AC26"/>
  <c r="AA27"/>
  <c r="AB27"/>
  <c r="AC27"/>
  <c r="AA28"/>
  <c r="AB28"/>
  <c r="AC28"/>
  <c r="AA29"/>
  <c r="AB29"/>
  <c r="AC29"/>
  <c r="AA30"/>
  <c r="AB30"/>
  <c r="AC30"/>
  <c r="AA31"/>
  <c r="AB31"/>
  <c r="AC31"/>
  <c r="AA32"/>
  <c r="AB32"/>
  <c r="AC32"/>
  <c r="AA33"/>
  <c r="AB33"/>
  <c r="AC33"/>
  <c r="AA34"/>
  <c r="AB34"/>
  <c r="AC34"/>
  <c r="AA35"/>
  <c r="AB35"/>
  <c r="AC35"/>
  <c r="AA36"/>
  <c r="AB36"/>
  <c r="AC36"/>
  <c r="AA37"/>
  <c r="AB37"/>
  <c r="AC37"/>
  <c r="AA38"/>
  <c r="AB38"/>
  <c r="AC38"/>
  <c r="AA39"/>
  <c r="AB39"/>
  <c r="AC39"/>
  <c r="AA40"/>
  <c r="AB40"/>
  <c r="AC40"/>
  <c r="AA41"/>
  <c r="AB41"/>
  <c r="AC41"/>
  <c r="AA42"/>
  <c r="AB42"/>
  <c r="AC42"/>
  <c r="AA43"/>
  <c r="AB43"/>
  <c r="AC43"/>
  <c r="AA44"/>
  <c r="AB44"/>
  <c r="AC44"/>
  <c r="AC15"/>
  <c r="AB15"/>
  <c r="AA15"/>
  <c r="X49" i="13"/>
  <c r="W49"/>
  <c r="V49"/>
  <c r="X46"/>
  <c r="W46"/>
  <c r="V46"/>
  <c r="V16"/>
  <c r="W16"/>
  <c r="X16"/>
  <c r="V17"/>
  <c r="W17"/>
  <c r="X17"/>
  <c r="V18"/>
  <c r="W18"/>
  <c r="X18"/>
  <c r="V19"/>
  <c r="W19"/>
  <c r="X19"/>
  <c r="V20"/>
  <c r="W20"/>
  <c r="X20"/>
  <c r="V21"/>
  <c r="W21"/>
  <c r="X21"/>
  <c r="V22"/>
  <c r="W22"/>
  <c r="X22"/>
  <c r="V23"/>
  <c r="W23"/>
  <c r="X23"/>
  <c r="V24"/>
  <c r="W24"/>
  <c r="X24"/>
  <c r="V25"/>
  <c r="W25"/>
  <c r="X25"/>
  <c r="V26"/>
  <c r="W26"/>
  <c r="X26"/>
  <c r="V27"/>
  <c r="W27"/>
  <c r="X27"/>
  <c r="V28"/>
  <c r="W28"/>
  <c r="X28"/>
  <c r="V29"/>
  <c r="W29"/>
  <c r="X29"/>
  <c r="V30"/>
  <c r="W30"/>
  <c r="X30"/>
  <c r="V31"/>
  <c r="W31"/>
  <c r="X31"/>
  <c r="V32"/>
  <c r="W32"/>
  <c r="X32"/>
  <c r="V33"/>
  <c r="W33"/>
  <c r="X33"/>
  <c r="V34"/>
  <c r="W34"/>
  <c r="V35"/>
  <c r="W35"/>
  <c r="X35"/>
  <c r="V36"/>
  <c r="W36"/>
  <c r="X36"/>
  <c r="V37"/>
  <c r="W37"/>
  <c r="X37"/>
  <c r="V38"/>
  <c r="W38"/>
  <c r="X38"/>
  <c r="V39"/>
  <c r="W39"/>
  <c r="X39"/>
  <c r="V40"/>
  <c r="W40"/>
  <c r="X40"/>
  <c r="V41"/>
  <c r="W41"/>
  <c r="X41"/>
  <c r="V42"/>
  <c r="W42"/>
  <c r="X42"/>
  <c r="V43"/>
  <c r="W43"/>
  <c r="X43"/>
  <c r="X15"/>
  <c r="W15"/>
  <c r="V15"/>
  <c r="T42" i="14"/>
  <c r="I28"/>
  <c r="N44"/>
  <c r="I30"/>
  <c r="S48"/>
  <c r="P17"/>
  <c r="P18"/>
  <c r="P24"/>
  <c r="P27"/>
  <c r="P25"/>
  <c r="P31"/>
  <c r="S42"/>
  <c r="R42"/>
  <c r="O30"/>
  <c r="B49"/>
  <c r="F48"/>
  <c r="I16"/>
  <c r="I37"/>
  <c r="O19"/>
  <c r="O29" l="1"/>
  <c r="O31"/>
  <c r="O32"/>
  <c r="O33"/>
  <c r="O34"/>
  <c r="O35"/>
  <c r="O36"/>
  <c r="O37"/>
  <c r="O38"/>
  <c r="O39"/>
  <c r="O40"/>
  <c r="O41"/>
  <c r="O15"/>
  <c r="O16"/>
  <c r="O17"/>
  <c r="O18"/>
  <c r="O20"/>
  <c r="O21"/>
  <c r="O22"/>
  <c r="O23"/>
  <c r="O24"/>
  <c r="O25"/>
  <c r="O26"/>
  <c r="O27"/>
  <c r="O28"/>
  <c r="O42"/>
  <c r="I24"/>
  <c r="I15"/>
  <c r="R18" i="4"/>
  <c r="R24"/>
  <c r="R15"/>
  <c r="H19" i="5"/>
  <c r="L26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12"/>
  <c r="P32"/>
  <c r="P20"/>
  <c r="D46"/>
  <c r="C46"/>
  <c r="B46"/>
  <c r="R50" i="13"/>
  <c r="P15"/>
  <c r="O15"/>
  <c r="P27"/>
  <c r="Q23"/>
  <c r="M17" i="11"/>
  <c r="M37" i="13" l="1"/>
  <c r="M35"/>
  <c r="M23"/>
  <c r="M22"/>
  <c r="M21"/>
  <c r="M17"/>
  <c r="M15"/>
  <c r="M26"/>
  <c r="H18"/>
  <c r="P49"/>
  <c r="O49"/>
  <c r="N49"/>
  <c r="L49"/>
  <c r="K49"/>
  <c r="J49"/>
  <c r="V47" l="1"/>
  <c r="D49" i="11"/>
  <c r="D51" s="1"/>
  <c r="C49"/>
  <c r="B49"/>
  <c r="D54"/>
  <c r="C55"/>
  <c r="C54"/>
  <c r="B54"/>
  <c r="C51"/>
  <c r="O17" i="2"/>
  <c r="O39"/>
  <c r="T28" i="10"/>
  <c r="P19" i="12"/>
  <c r="P36"/>
  <c r="O38"/>
  <c r="O39"/>
  <c r="O40"/>
  <c r="O41"/>
  <c r="O31"/>
  <c r="O32"/>
  <c r="O33"/>
  <c r="O34"/>
  <c r="O35"/>
  <c r="O36"/>
  <c r="O37"/>
  <c r="O29"/>
  <c r="O28"/>
  <c r="O27"/>
  <c r="N26"/>
  <c r="O26"/>
  <c r="O25"/>
  <c r="O22"/>
  <c r="O21"/>
  <c r="O19"/>
  <c r="O15"/>
  <c r="O16"/>
  <c r="O17"/>
  <c r="O14"/>
  <c r="O13"/>
  <c r="O24"/>
  <c r="O18"/>
  <c r="P18" s="1"/>
  <c r="O23"/>
  <c r="X47" i="13" l="1"/>
  <c r="P18" i="10"/>
  <c r="P27"/>
  <c r="O24"/>
  <c r="P23"/>
  <c r="O23"/>
  <c r="Q23"/>
  <c r="Q17"/>
  <c r="Q21"/>
  <c r="Q32"/>
  <c r="Q33"/>
  <c r="Q30"/>
  <c r="Q29"/>
  <c r="Q31"/>
  <c r="Q34"/>
  <c r="Q37"/>
  <c r="T17" i="12"/>
  <c r="T26"/>
  <c r="T23"/>
  <c r="S26"/>
  <c r="S23"/>
  <c r="S19"/>
  <c r="AA16"/>
  <c r="J20"/>
  <c r="K20" s="1"/>
  <c r="L20" s="1"/>
  <c r="L16"/>
  <c r="L24"/>
  <c r="L30"/>
  <c r="K14"/>
  <c r="K16"/>
  <c r="K30"/>
  <c r="K24"/>
  <c r="K37"/>
  <c r="F14"/>
  <c r="G15"/>
  <c r="G16"/>
  <c r="G17"/>
  <c r="G18"/>
  <c r="G19"/>
  <c r="G20"/>
  <c r="H20" s="1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14"/>
  <c r="H30"/>
  <c r="H24"/>
  <c r="H14"/>
  <c r="H16"/>
  <c r="O27" i="11"/>
  <c r="P27" s="1"/>
  <c r="Q20"/>
  <c r="Q16"/>
  <c r="Q14"/>
  <c r="P36"/>
  <c r="P35"/>
  <c r="P34"/>
  <c r="P33"/>
  <c r="P32"/>
  <c r="P31"/>
  <c r="P30"/>
  <c r="P29"/>
  <c r="P28"/>
  <c r="P26"/>
  <c r="P25"/>
  <c r="P24"/>
  <c r="P23"/>
  <c r="P20"/>
  <c r="P16"/>
  <c r="P19"/>
  <c r="P18"/>
  <c r="P17"/>
  <c r="P15"/>
  <c r="Q42"/>
  <c r="L49"/>
  <c r="K49"/>
  <c r="J49"/>
  <c r="M14" i="10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F14"/>
  <c r="G14"/>
  <c r="F13"/>
  <c r="G13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D35"/>
  <c r="E16" i="3" l="1"/>
  <c r="E22"/>
  <c r="E23"/>
  <c r="C24"/>
  <c r="C27"/>
  <c r="E33"/>
  <c r="I30"/>
  <c r="I14"/>
  <c r="H33"/>
  <c r="G46"/>
  <c r="B46"/>
  <c r="E45"/>
  <c r="P19" i="16"/>
  <c r="L27"/>
  <c r="D23"/>
  <c r="E23"/>
  <c r="D38"/>
  <c r="D40"/>
  <c r="D43"/>
  <c r="D16"/>
  <c r="E16" s="1"/>
  <c r="D15"/>
  <c r="E43"/>
  <c r="E31"/>
  <c r="E38"/>
  <c r="E40"/>
  <c r="E42"/>
  <c r="D36"/>
  <c r="E36" s="1"/>
  <c r="E40" i="3"/>
  <c r="E39"/>
  <c r="D41" i="16"/>
  <c r="E41" s="1"/>
  <c r="E38" i="3"/>
  <c r="E37"/>
  <c r="E36"/>
  <c r="D39" i="16"/>
  <c r="E39" s="1"/>
  <c r="E35" i="3"/>
  <c r="E34"/>
  <c r="T37" i="16"/>
  <c r="D37"/>
  <c r="E37" s="1"/>
  <c r="D35"/>
  <c r="E35" s="1"/>
  <c r="E32" i="3"/>
  <c r="E31"/>
  <c r="D34" i="16"/>
  <c r="E34" s="1"/>
  <c r="E30" i="3"/>
  <c r="D33" i="16"/>
  <c r="E33" s="1"/>
  <c r="D32"/>
  <c r="E32" s="1"/>
  <c r="E29" i="3"/>
  <c r="D29" s="1"/>
  <c r="E28"/>
  <c r="T31" i="16"/>
  <c r="E27" i="3"/>
  <c r="D30" i="16"/>
  <c r="E30" s="1"/>
  <c r="E26" i="3"/>
  <c r="D29" i="16"/>
  <c r="E29" s="1"/>
  <c r="E25" i="3"/>
  <c r="D28" i="16"/>
  <c r="E28" s="1"/>
  <c r="D27"/>
  <c r="E27" s="1"/>
  <c r="E24" i="3"/>
  <c r="E15" i="16"/>
  <c r="E22"/>
  <c r="E25"/>
  <c r="E21" i="3"/>
  <c r="E20"/>
  <c r="E19"/>
  <c r="E18"/>
  <c r="E17"/>
  <c r="E15"/>
  <c r="D24" i="16"/>
  <c r="E24" s="1"/>
  <c r="T22"/>
  <c r="D22"/>
  <c r="D21"/>
  <c r="D20"/>
  <c r="D19"/>
  <c r="D50" l="1"/>
  <c r="T50"/>
  <c r="I27"/>
  <c r="I30"/>
  <c r="T18" l="1"/>
  <c r="D18"/>
  <c r="E14" i="3"/>
  <c r="D17" i="16"/>
  <c r="E13" i="3"/>
  <c r="E12"/>
  <c r="I18" i="9"/>
  <c r="I14"/>
  <c r="E40"/>
  <c r="X14" i="7"/>
  <c r="X15"/>
  <c r="X16"/>
  <c r="X17"/>
  <c r="X18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19"/>
  <c r="AD19"/>
  <c r="AD20"/>
  <c r="P22" l="1"/>
  <c r="T26"/>
  <c r="T27"/>
  <c r="T28"/>
  <c r="T29"/>
  <c r="T30"/>
  <c r="T31"/>
  <c r="T32"/>
  <c r="T33"/>
  <c r="T34"/>
  <c r="T35"/>
  <c r="T36"/>
  <c r="T37"/>
  <c r="T38"/>
  <c r="T39"/>
  <c r="T40"/>
  <c r="T41"/>
  <c r="T14"/>
  <c r="T15"/>
  <c r="T16"/>
  <c r="T17"/>
  <c r="T18"/>
  <c r="T19"/>
  <c r="T20"/>
  <c r="T21"/>
  <c r="T22"/>
  <c r="T23"/>
  <c r="T24"/>
  <c r="P17" l="1"/>
  <c r="P14"/>
  <c r="L32"/>
  <c r="L20"/>
  <c r="D38" l="1"/>
  <c r="D18"/>
  <c r="D27"/>
  <c r="E22" l="1"/>
  <c r="E42"/>
  <c r="D78" i="6"/>
  <c r="H71"/>
  <c r="H16"/>
  <c r="L20"/>
  <c r="L32"/>
  <c r="D94"/>
  <c r="H94"/>
  <c r="P94"/>
  <c r="L94"/>
  <c r="P45"/>
  <c r="L45"/>
  <c r="H45"/>
  <c r="L37" i="12"/>
  <c r="L14"/>
  <c r="AB16"/>
  <c r="B49" i="10" l="1"/>
  <c r="T59" i="11"/>
  <c r="T58" s="1"/>
  <c r="P59"/>
  <c r="P58" s="1"/>
  <c r="L59"/>
  <c r="L58" s="1"/>
  <c r="H59"/>
  <c r="H58" s="1"/>
  <c r="P42" i="14"/>
  <c r="P38"/>
  <c r="P35"/>
  <c r="P21"/>
  <c r="P15"/>
  <c r="K15"/>
  <c r="K24"/>
  <c r="M20" i="13"/>
  <c r="G52" i="12"/>
  <c r="G53" s="1"/>
  <c r="E57"/>
  <c r="E56"/>
  <c r="E58" s="1"/>
  <c r="E59" s="1"/>
  <c r="O52"/>
  <c r="O53" s="1"/>
  <c r="I49" i="3"/>
  <c r="I50" s="1"/>
  <c r="D49"/>
  <c r="D50" s="1"/>
  <c r="T54" i="10"/>
  <c r="T55" s="1"/>
  <c r="P54"/>
  <c r="P55" s="1"/>
  <c r="L54"/>
  <c r="L55" s="1"/>
  <c r="H54"/>
  <c r="H55" s="1"/>
  <c r="D54"/>
  <c r="D55" s="1"/>
  <c r="R51" i="2"/>
  <c r="N51"/>
  <c r="J51"/>
  <c r="D51"/>
  <c r="R49"/>
  <c r="N49"/>
  <c r="J49"/>
  <c r="D49"/>
  <c r="C67"/>
  <c r="D67"/>
  <c r="E67"/>
  <c r="F67"/>
  <c r="B67"/>
  <c r="U36" i="10"/>
  <c r="M30" i="16"/>
  <c r="E24" i="9"/>
  <c r="V17" i="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M30" i="6"/>
  <c r="M31"/>
  <c r="M80"/>
  <c r="I13" i="5"/>
  <c r="J61" i="2"/>
  <c r="J58"/>
  <c r="J59" s="1"/>
  <c r="P48" i="5"/>
  <c r="P49" s="1"/>
  <c r="D48" i="6"/>
  <c r="D55" i="2"/>
  <c r="P52" i="4"/>
  <c r="J52"/>
  <c r="J53" s="1"/>
  <c r="D52"/>
  <c r="D51"/>
  <c r="D50"/>
  <c r="R21"/>
  <c r="R12"/>
  <c r="R13"/>
  <c r="R14"/>
  <c r="R16"/>
  <c r="R17"/>
  <c r="R19"/>
  <c r="R20"/>
  <c r="R22"/>
  <c r="R23"/>
  <c r="R25"/>
  <c r="R26"/>
  <c r="R27"/>
  <c r="R28"/>
  <c r="R29"/>
  <c r="R30"/>
  <c r="R31"/>
  <c r="R32"/>
  <c r="R33"/>
  <c r="R34"/>
  <c r="R35"/>
  <c r="R36"/>
  <c r="R37"/>
  <c r="R38"/>
  <c r="R39"/>
  <c r="R11"/>
  <c r="E58" i="6" l="1"/>
  <c r="M61"/>
  <c r="H44" i="14"/>
  <c r="I42"/>
  <c r="K16"/>
  <c r="I17"/>
  <c r="K17" s="1"/>
  <c r="I18"/>
  <c r="K18" s="1"/>
  <c r="I19"/>
  <c r="K19" s="1"/>
  <c r="I20"/>
  <c r="K20" s="1"/>
  <c r="I21"/>
  <c r="K21" s="1"/>
  <c r="I22"/>
  <c r="I23"/>
  <c r="K23" s="1"/>
  <c r="I25"/>
  <c r="K25" s="1"/>
  <c r="I26"/>
  <c r="K26" s="1"/>
  <c r="I27"/>
  <c r="K28"/>
  <c r="I29"/>
  <c r="K29" s="1"/>
  <c r="K30"/>
  <c r="I31"/>
  <c r="K31" s="1"/>
  <c r="I32"/>
  <c r="K32" s="1"/>
  <c r="I33"/>
  <c r="K33" s="1"/>
  <c r="I34"/>
  <c r="K34" s="1"/>
  <c r="I35"/>
  <c r="K35" s="1"/>
  <c r="I36"/>
  <c r="K36" s="1"/>
  <c r="K37"/>
  <c r="I38"/>
  <c r="K38" s="1"/>
  <c r="I39"/>
  <c r="I40"/>
  <c r="I41"/>
  <c r="I14"/>
  <c r="K14" s="1"/>
  <c r="P12" i="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11"/>
  <c r="Q29" i="11"/>
  <c r="T48" i="16"/>
  <c r="D48"/>
  <c r="P47" i="13"/>
  <c r="O47"/>
  <c r="L47"/>
  <c r="I44" i="14" l="1"/>
  <c r="H48" s="1"/>
  <c r="D45" i="6"/>
  <c r="L51" i="11"/>
  <c r="K51"/>
  <c r="J51"/>
  <c r="J48" l="1"/>
  <c r="D48"/>
  <c r="D59" s="1"/>
  <c r="D58" s="1"/>
  <c r="X46" i="7"/>
  <c r="W46"/>
  <c r="V46"/>
  <c r="D44" i="5"/>
  <c r="C44"/>
  <c r="B44"/>
  <c r="D51" i="16" l="1"/>
  <c r="T16" i="13" l="1"/>
  <c r="T17"/>
  <c r="T18"/>
  <c r="T19"/>
  <c r="T20"/>
  <c r="T21"/>
  <c r="T22"/>
  <c r="T23"/>
  <c r="T24"/>
  <c r="T25"/>
  <c r="T26"/>
  <c r="T27"/>
  <c r="U27" s="1"/>
  <c r="T29"/>
  <c r="T30"/>
  <c r="T31"/>
  <c r="T32"/>
  <c r="T33"/>
  <c r="T34"/>
  <c r="T35"/>
  <c r="T36"/>
  <c r="T37"/>
  <c r="T38"/>
  <c r="T39"/>
  <c r="T40"/>
  <c r="T41"/>
  <c r="T42"/>
  <c r="U42" s="1"/>
  <c r="T43"/>
  <c r="T15"/>
  <c r="E44" i="3" l="1"/>
  <c r="D40"/>
  <c r="D39"/>
  <c r="D37"/>
  <c r="D36"/>
  <c r="D33"/>
  <c r="D32"/>
  <c r="D30"/>
  <c r="D27"/>
  <c r="D26"/>
  <c r="D24"/>
  <c r="D23"/>
  <c r="D22"/>
  <c r="D20"/>
  <c r="D18"/>
  <c r="D17"/>
  <c r="D16"/>
  <c r="D14"/>
  <c r="D12"/>
  <c r="D15"/>
  <c r="D19"/>
  <c r="D21"/>
  <c r="D25"/>
  <c r="D28"/>
  <c r="D34"/>
  <c r="D35"/>
  <c r="D38"/>
  <c r="D13"/>
  <c r="P24" i="12"/>
  <c r="P17"/>
  <c r="E43"/>
  <c r="E38" i="10"/>
  <c r="W15" i="7" l="1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14"/>
  <c r="V15"/>
  <c r="V16"/>
  <c r="V14"/>
  <c r="T42"/>
  <c r="T25"/>
  <c r="F42" i="5"/>
  <c r="G42"/>
  <c r="T51" i="7"/>
  <c r="T52" s="1"/>
  <c r="P51"/>
  <c r="P52" s="1"/>
  <c r="L51"/>
  <c r="L52" s="1"/>
  <c r="H51"/>
  <c r="H52" s="1"/>
  <c r="D51"/>
  <c r="D52" s="1"/>
  <c r="Q19" i="2"/>
  <c r="Q20" i="5"/>
  <c r="Q20" i="6"/>
  <c r="Q20" i="7"/>
  <c r="Q20" i="10"/>
  <c r="Q20" i="13"/>
  <c r="P20" i="14"/>
  <c r="U17" i="11"/>
  <c r="E52" i="16"/>
  <c r="AF15" i="11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14"/>
  <c r="AF14"/>
  <c r="Q15" i="2"/>
  <c r="Q16"/>
  <c r="Q17"/>
  <c r="Q18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12"/>
  <c r="Q13"/>
  <c r="Q14"/>
  <c r="Q11"/>
  <c r="Z43" i="12"/>
  <c r="AA40"/>
  <c r="AA39"/>
  <c r="AA38"/>
  <c r="AA37"/>
  <c r="AA36"/>
  <c r="AA14"/>
  <c r="AA13"/>
  <c r="U13" i="10"/>
  <c r="U15"/>
  <c r="U16"/>
  <c r="U17"/>
  <c r="U19"/>
  <c r="U20"/>
  <c r="U22"/>
  <c r="U23"/>
  <c r="U25"/>
  <c r="U26"/>
  <c r="U27"/>
  <c r="U28"/>
  <c r="U29"/>
  <c r="U30"/>
  <c r="U31"/>
  <c r="U32"/>
  <c r="U35"/>
  <c r="U37"/>
  <c r="R43"/>
  <c r="S43"/>
  <c r="T43"/>
  <c r="P34" i="12"/>
  <c r="S13"/>
  <c r="S14"/>
  <c r="S16"/>
  <c r="S17"/>
  <c r="S18"/>
  <c r="T19"/>
  <c r="S21"/>
  <c r="S35"/>
  <c r="S36"/>
  <c r="S37"/>
  <c r="S38"/>
  <c r="S39"/>
  <c r="S40"/>
  <c r="AD15" i="7"/>
  <c r="AD16"/>
  <c r="AD17"/>
  <c r="AD18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14"/>
  <c r="G35" i="11"/>
  <c r="G36"/>
  <c r="G34"/>
  <c r="J26"/>
  <c r="Q32"/>
  <c r="P21"/>
  <c r="P22"/>
  <c r="P37"/>
  <c r="P38"/>
  <c r="P39"/>
  <c r="P42"/>
  <c r="P14"/>
  <c r="N43" i="10"/>
  <c r="Y23" i="7" l="1"/>
  <c r="Y24"/>
  <c r="Y42"/>
  <c r="AA43" i="12"/>
  <c r="AB43" s="1"/>
  <c r="U43" i="10"/>
  <c r="AD44" i="7"/>
  <c r="X48" s="1"/>
  <c r="Q41" i="2"/>
  <c r="J11" i="4"/>
  <c r="P88" i="6"/>
  <c r="O88"/>
  <c r="N88"/>
  <c r="L88"/>
  <c r="K88"/>
  <c r="J88"/>
  <c r="H88"/>
  <c r="G88"/>
  <c r="F88"/>
  <c r="D88"/>
  <c r="C88"/>
  <c r="B88"/>
  <c r="I83"/>
  <c r="I82"/>
  <c r="I81"/>
  <c r="I80"/>
  <c r="I79"/>
  <c r="E79"/>
  <c r="I78"/>
  <c r="I77"/>
  <c r="M76"/>
  <c r="I76"/>
  <c r="I75"/>
  <c r="I74"/>
  <c r="I73"/>
  <c r="I72"/>
  <c r="I71"/>
  <c r="M70"/>
  <c r="I70"/>
  <c r="I69"/>
  <c r="E69"/>
  <c r="I68"/>
  <c r="I67"/>
  <c r="I66"/>
  <c r="I65"/>
  <c r="I64"/>
  <c r="M63"/>
  <c r="I63"/>
  <c r="I62"/>
  <c r="I60"/>
  <c r="I59"/>
  <c r="E59"/>
  <c r="I58"/>
  <c r="P43"/>
  <c r="O43"/>
  <c r="N43"/>
  <c r="L43"/>
  <c r="K43"/>
  <c r="J43"/>
  <c r="H43"/>
  <c r="G43"/>
  <c r="F43"/>
  <c r="Q41"/>
  <c r="I41"/>
  <c r="D41"/>
  <c r="C41"/>
  <c r="C39" i="2" s="1"/>
  <c r="B41" i="6"/>
  <c r="B39" i="2" s="1"/>
  <c r="Q40" i="6"/>
  <c r="I40"/>
  <c r="D40"/>
  <c r="D38" i="2" s="1"/>
  <c r="C40" i="6"/>
  <c r="B40"/>
  <c r="B38" i="2" s="1"/>
  <c r="Q39" i="6"/>
  <c r="I39"/>
  <c r="D39"/>
  <c r="C39"/>
  <c r="C37" i="2" s="1"/>
  <c r="B39" i="6"/>
  <c r="B37" i="2" s="1"/>
  <c r="Q38" i="6"/>
  <c r="I38"/>
  <c r="D38"/>
  <c r="D36" i="2" s="1"/>
  <c r="C38" i="6"/>
  <c r="B38"/>
  <c r="B36" i="2" s="1"/>
  <c r="Q37" i="6"/>
  <c r="I37"/>
  <c r="D37"/>
  <c r="C37"/>
  <c r="C35" i="2" s="1"/>
  <c r="B37" i="6"/>
  <c r="B35" i="2" s="1"/>
  <c r="Q36" i="6"/>
  <c r="M36"/>
  <c r="I36"/>
  <c r="D36"/>
  <c r="C36"/>
  <c r="B36"/>
  <c r="B34" i="2" s="1"/>
  <c r="Q35" i="6"/>
  <c r="M35"/>
  <c r="I35"/>
  <c r="D35"/>
  <c r="D33" i="2" s="1"/>
  <c r="C35" i="6"/>
  <c r="B35"/>
  <c r="Q34"/>
  <c r="I34"/>
  <c r="D34"/>
  <c r="C34"/>
  <c r="C32" i="2" s="1"/>
  <c r="B34" i="6"/>
  <c r="B32" i="2" s="1"/>
  <c r="Q33" i="6"/>
  <c r="I33"/>
  <c r="D33"/>
  <c r="C33"/>
  <c r="C31" i="2" s="1"/>
  <c r="B33" i="6"/>
  <c r="B31" i="2" s="1"/>
  <c r="Q32" i="6"/>
  <c r="I32"/>
  <c r="D32"/>
  <c r="C32"/>
  <c r="C30" i="2" s="1"/>
  <c r="B32" i="6"/>
  <c r="B30" i="2" s="1"/>
  <c r="Q31" i="6"/>
  <c r="I31"/>
  <c r="D31"/>
  <c r="C31"/>
  <c r="B31"/>
  <c r="Q30"/>
  <c r="I30"/>
  <c r="D30"/>
  <c r="D28" i="2" s="1"/>
  <c r="C30" i="6"/>
  <c r="C28" i="2" s="1"/>
  <c r="B30" i="6"/>
  <c r="Q29"/>
  <c r="I29"/>
  <c r="D29"/>
  <c r="C29"/>
  <c r="C27" i="2" s="1"/>
  <c r="B29" i="6"/>
  <c r="B27" i="2" s="1"/>
  <c r="Q28" i="6"/>
  <c r="I28"/>
  <c r="D28"/>
  <c r="D26" i="2" s="1"/>
  <c r="C28" i="6"/>
  <c r="C26" i="2" s="1"/>
  <c r="B28" i="6"/>
  <c r="B26" i="2" s="1"/>
  <c r="Q27" i="6"/>
  <c r="M27"/>
  <c r="I27"/>
  <c r="D27"/>
  <c r="D25" i="2" s="1"/>
  <c r="C27" i="6"/>
  <c r="C25" i="2" s="1"/>
  <c r="B27" i="6"/>
  <c r="B25" i="2" s="1"/>
  <c r="Q26" i="6"/>
  <c r="I26"/>
  <c r="D26"/>
  <c r="D24" i="2" s="1"/>
  <c r="C26" i="6"/>
  <c r="B26"/>
  <c r="B24" i="2" s="1"/>
  <c r="Q25" i="6"/>
  <c r="M25"/>
  <c r="I25"/>
  <c r="D25"/>
  <c r="D23" i="2" s="1"/>
  <c r="F23" s="1"/>
  <c r="C25" i="6"/>
  <c r="C23" i="2" s="1"/>
  <c r="B25" i="6"/>
  <c r="B23" i="2" s="1"/>
  <c r="Q24" i="6"/>
  <c r="M24"/>
  <c r="I24"/>
  <c r="D24"/>
  <c r="C24"/>
  <c r="C22" i="2" s="1"/>
  <c r="B24" i="6"/>
  <c r="B22" i="2" s="1"/>
  <c r="Q23" i="6"/>
  <c r="M23"/>
  <c r="I23"/>
  <c r="D23"/>
  <c r="D21" i="2" s="1"/>
  <c r="C23" i="6"/>
  <c r="C21" i="2" s="1"/>
  <c r="B23" i="6"/>
  <c r="B21" i="2" s="1"/>
  <c r="Q22" i="6"/>
  <c r="I22"/>
  <c r="D22"/>
  <c r="D20" i="2" s="1"/>
  <c r="C22" i="6"/>
  <c r="B22"/>
  <c r="M21"/>
  <c r="I21"/>
  <c r="D21"/>
  <c r="C21"/>
  <c r="C19" i="2" s="1"/>
  <c r="B21" i="6"/>
  <c r="B19" i="2" s="1"/>
  <c r="M20" i="6"/>
  <c r="I20"/>
  <c r="D20"/>
  <c r="C20"/>
  <c r="B20"/>
  <c r="B18" i="2" s="1"/>
  <c r="Q19" i="6"/>
  <c r="I19"/>
  <c r="D19"/>
  <c r="D17" i="2" s="1"/>
  <c r="C19" i="6"/>
  <c r="C17" i="2" s="1"/>
  <c r="B19" i="6"/>
  <c r="B17" i="2" s="1"/>
  <c r="Q18" i="6"/>
  <c r="M18"/>
  <c r="I18"/>
  <c r="D18"/>
  <c r="C18"/>
  <c r="C16" i="2" s="1"/>
  <c r="B18" i="6"/>
  <c r="B16" i="2" s="1"/>
  <c r="Q17" i="6"/>
  <c r="M17"/>
  <c r="I17"/>
  <c r="D17"/>
  <c r="C17"/>
  <c r="B17"/>
  <c r="B15" i="2" s="1"/>
  <c r="Q16" i="6"/>
  <c r="I16"/>
  <c r="D16"/>
  <c r="C16"/>
  <c r="C14" i="2" s="1"/>
  <c r="B16" i="6"/>
  <c r="B14" i="2" s="1"/>
  <c r="Q15" i="6"/>
  <c r="M15"/>
  <c r="I15"/>
  <c r="D15"/>
  <c r="D13" i="2" s="1"/>
  <c r="C15" i="6"/>
  <c r="C13" i="2" s="1"/>
  <c r="B15" i="6"/>
  <c r="B13" i="2" s="1"/>
  <c r="Q14" i="6"/>
  <c r="M14"/>
  <c r="I14"/>
  <c r="D14"/>
  <c r="C14"/>
  <c r="C12" i="2" s="1"/>
  <c r="B14" i="6"/>
  <c r="B12" i="2" s="1"/>
  <c r="Q13" i="6"/>
  <c r="M13"/>
  <c r="I13"/>
  <c r="D13"/>
  <c r="D11" i="2" s="1"/>
  <c r="C13" i="6"/>
  <c r="B13"/>
  <c r="B11" i="2" s="1"/>
  <c r="E12" i="5"/>
  <c r="I12"/>
  <c r="Q12"/>
  <c r="X12"/>
  <c r="Y12"/>
  <c r="Z12"/>
  <c r="E13"/>
  <c r="Q13"/>
  <c r="X13"/>
  <c r="Y13"/>
  <c r="Z13"/>
  <c r="E14"/>
  <c r="Q14"/>
  <c r="X14"/>
  <c r="Y14"/>
  <c r="Z14"/>
  <c r="E15"/>
  <c r="Q15"/>
  <c r="X15"/>
  <c r="Y15"/>
  <c r="Z15"/>
  <c r="E16"/>
  <c r="Q16"/>
  <c r="X16"/>
  <c r="Y16"/>
  <c r="Z16"/>
  <c r="E17"/>
  <c r="X17"/>
  <c r="Y17"/>
  <c r="Z17"/>
  <c r="E18"/>
  <c r="Q18"/>
  <c r="V18"/>
  <c r="X18"/>
  <c r="Y18"/>
  <c r="Z18"/>
  <c r="E19"/>
  <c r="I19"/>
  <c r="Q19"/>
  <c r="X19"/>
  <c r="Y19"/>
  <c r="Z19"/>
  <c r="E20"/>
  <c r="V20"/>
  <c r="X20"/>
  <c r="Y20"/>
  <c r="E21"/>
  <c r="Q21"/>
  <c r="X21"/>
  <c r="Y21"/>
  <c r="Z21"/>
  <c r="E22"/>
  <c r="Q22"/>
  <c r="V22"/>
  <c r="X22"/>
  <c r="Y22"/>
  <c r="Z22"/>
  <c r="E23"/>
  <c r="Q23"/>
  <c r="X23"/>
  <c r="Y23"/>
  <c r="Z23"/>
  <c r="E24"/>
  <c r="M24"/>
  <c r="Q24"/>
  <c r="V24"/>
  <c r="Z24" s="1"/>
  <c r="X24"/>
  <c r="Y24"/>
  <c r="E25"/>
  <c r="Q25"/>
  <c r="X25"/>
  <c r="Y25"/>
  <c r="Z25"/>
  <c r="E26"/>
  <c r="I26"/>
  <c r="M26"/>
  <c r="Q26"/>
  <c r="X26"/>
  <c r="Y26"/>
  <c r="Z26"/>
  <c r="E27"/>
  <c r="Q27"/>
  <c r="X27"/>
  <c r="Y27"/>
  <c r="Z27"/>
  <c r="E28"/>
  <c r="Q28"/>
  <c r="X28"/>
  <c r="Y28"/>
  <c r="Z28"/>
  <c r="E29"/>
  <c r="Q29"/>
  <c r="X29"/>
  <c r="Y29"/>
  <c r="Z29"/>
  <c r="E30"/>
  <c r="I30"/>
  <c r="Q30"/>
  <c r="X30"/>
  <c r="Y30"/>
  <c r="Z30"/>
  <c r="E31"/>
  <c r="I31"/>
  <c r="Q31"/>
  <c r="X31"/>
  <c r="Y31"/>
  <c r="Z31"/>
  <c r="E32"/>
  <c r="Q32"/>
  <c r="X32"/>
  <c r="Y32"/>
  <c r="Z32"/>
  <c r="E33"/>
  <c r="Q33"/>
  <c r="X33"/>
  <c r="Y33"/>
  <c r="Z33"/>
  <c r="E34"/>
  <c r="Q34"/>
  <c r="X34"/>
  <c r="Y34"/>
  <c r="Z34"/>
  <c r="E35"/>
  <c r="Q35"/>
  <c r="X35"/>
  <c r="Y35"/>
  <c r="Z35"/>
  <c r="E36"/>
  <c r="Q36"/>
  <c r="X36"/>
  <c r="Y36"/>
  <c r="Z36"/>
  <c r="E37"/>
  <c r="Q37"/>
  <c r="X37"/>
  <c r="Y37"/>
  <c r="Z37"/>
  <c r="E38"/>
  <c r="V38"/>
  <c r="X38"/>
  <c r="Y38"/>
  <c r="Z38"/>
  <c r="E39"/>
  <c r="Q39"/>
  <c r="X39"/>
  <c r="Y39"/>
  <c r="Z39"/>
  <c r="E40"/>
  <c r="Q40"/>
  <c r="X40"/>
  <c r="Y40"/>
  <c r="Z40"/>
  <c r="X41"/>
  <c r="Y41"/>
  <c r="Z41"/>
  <c r="B42"/>
  <c r="C42"/>
  <c r="D42"/>
  <c r="H42"/>
  <c r="I42" s="1"/>
  <c r="J42"/>
  <c r="K42"/>
  <c r="L42"/>
  <c r="N42"/>
  <c r="O42"/>
  <c r="M40" i="10"/>
  <c r="V44" i="14"/>
  <c r="B35"/>
  <c r="Q35" s="1"/>
  <c r="C35"/>
  <c r="R35" s="1"/>
  <c r="D35"/>
  <c r="S35" s="1"/>
  <c r="J35"/>
  <c r="D15"/>
  <c r="S15" s="1"/>
  <c r="D16"/>
  <c r="D17"/>
  <c r="D18"/>
  <c r="S18" s="1"/>
  <c r="D19"/>
  <c r="D20"/>
  <c r="S20" s="1"/>
  <c r="D21"/>
  <c r="S21" s="1"/>
  <c r="T21" s="1"/>
  <c r="D22"/>
  <c r="S22" s="1"/>
  <c r="D23"/>
  <c r="D24"/>
  <c r="S24" s="1"/>
  <c r="D26"/>
  <c r="S26" s="1"/>
  <c r="D27"/>
  <c r="D28"/>
  <c r="S28" s="1"/>
  <c r="D29"/>
  <c r="D30"/>
  <c r="S30" s="1"/>
  <c r="D31"/>
  <c r="D32"/>
  <c r="S32" s="1"/>
  <c r="D33"/>
  <c r="S33" s="1"/>
  <c r="D34"/>
  <c r="S34" s="1"/>
  <c r="D36"/>
  <c r="D37"/>
  <c r="S37" s="1"/>
  <c r="D38"/>
  <c r="S38" s="1"/>
  <c r="D39"/>
  <c r="S39" s="1"/>
  <c r="D40"/>
  <c r="D41"/>
  <c r="S41" s="1"/>
  <c r="W42"/>
  <c r="W43"/>
  <c r="D14"/>
  <c r="S14" s="1"/>
  <c r="D45" i="16"/>
  <c r="D52" s="1"/>
  <c r="L45"/>
  <c r="AC50"/>
  <c r="Q19"/>
  <c r="H53" i="7"/>
  <c r="E51"/>
  <c r="F51"/>
  <c r="G51"/>
  <c r="I51"/>
  <c r="J51"/>
  <c r="K51"/>
  <c r="M51"/>
  <c r="N51"/>
  <c r="O51"/>
  <c r="Q51"/>
  <c r="R51"/>
  <c r="U51"/>
  <c r="E51" i="2"/>
  <c r="F51"/>
  <c r="G51"/>
  <c r="K51"/>
  <c r="O51"/>
  <c r="C24"/>
  <c r="N12"/>
  <c r="N13"/>
  <c r="N14"/>
  <c r="N15"/>
  <c r="N16"/>
  <c r="N17"/>
  <c r="N18"/>
  <c r="N19"/>
  <c r="N20"/>
  <c r="N21"/>
  <c r="N22"/>
  <c r="N23"/>
  <c r="N24"/>
  <c r="N25"/>
  <c r="N26"/>
  <c r="N27"/>
  <c r="N29"/>
  <c r="N30"/>
  <c r="N31"/>
  <c r="N32"/>
  <c r="N33"/>
  <c r="N34"/>
  <c r="N35"/>
  <c r="N36"/>
  <c r="N37"/>
  <c r="N38"/>
  <c r="N39"/>
  <c r="N11"/>
  <c r="C45" i="16"/>
  <c r="C52" s="1"/>
  <c r="C53" s="1"/>
  <c r="W51" i="7"/>
  <c r="X51"/>
  <c r="X52" s="1"/>
  <c r="M41"/>
  <c r="J12" i="2"/>
  <c r="J16"/>
  <c r="J18"/>
  <c r="J19"/>
  <c r="J20"/>
  <c r="J21"/>
  <c r="J23"/>
  <c r="J24"/>
  <c r="J25"/>
  <c r="J26"/>
  <c r="J27"/>
  <c r="J28"/>
  <c r="J29"/>
  <c r="J30"/>
  <c r="J32"/>
  <c r="J33"/>
  <c r="J34"/>
  <c r="J35"/>
  <c r="J36"/>
  <c r="J37"/>
  <c r="J38"/>
  <c r="I12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H12"/>
  <c r="H13"/>
  <c r="H14"/>
  <c r="H15"/>
  <c r="H16"/>
  <c r="H17"/>
  <c r="H18"/>
  <c r="H19"/>
  <c r="H20"/>
  <c r="H21"/>
  <c r="H22"/>
  <c r="H24"/>
  <c r="H25"/>
  <c r="H26"/>
  <c r="H27"/>
  <c r="H28"/>
  <c r="H29"/>
  <c r="H30"/>
  <c r="H31"/>
  <c r="H32"/>
  <c r="H33"/>
  <c r="H34"/>
  <c r="H35"/>
  <c r="H36"/>
  <c r="H37"/>
  <c r="H38"/>
  <c r="H39"/>
  <c r="I11"/>
  <c r="H11"/>
  <c r="AB44" i="7"/>
  <c r="AC44"/>
  <c r="AA44"/>
  <c r="AH15" i="11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14"/>
  <c r="AD43" i="12"/>
  <c r="L44" i="11"/>
  <c r="L53" s="1"/>
  <c r="Q31"/>
  <c r="P15" i="12"/>
  <c r="P16"/>
  <c r="P22"/>
  <c r="P23"/>
  <c r="P25"/>
  <c r="P28"/>
  <c r="O30"/>
  <c r="P31"/>
  <c r="P32"/>
  <c r="P35"/>
  <c r="P37"/>
  <c r="R11" i="2"/>
  <c r="D41" i="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I14" i="10"/>
  <c r="I19"/>
  <c r="I23"/>
  <c r="I27"/>
  <c r="I31"/>
  <c r="I32"/>
  <c r="I34"/>
  <c r="I35"/>
  <c r="I37"/>
  <c r="I39"/>
  <c r="AG14" i="11"/>
  <c r="R14" i="2"/>
  <c r="E32" i="10"/>
  <c r="E33"/>
  <c r="U40" i="13"/>
  <c r="U41"/>
  <c r="U43"/>
  <c r="M20" i="2"/>
  <c r="M21"/>
  <c r="M22"/>
  <c r="M25"/>
  <c r="M28"/>
  <c r="M32"/>
  <c r="M33"/>
  <c r="I22" i="9"/>
  <c r="Q24" i="7"/>
  <c r="Q25"/>
  <c r="Q26"/>
  <c r="D25" i="14"/>
  <c r="S25" s="1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14"/>
  <c r="G44"/>
  <c r="G48" s="1"/>
  <c r="D54" i="16"/>
  <c r="C17" i="14"/>
  <c r="R17" s="1"/>
  <c r="C18"/>
  <c r="R18" s="1"/>
  <c r="C19"/>
  <c r="C20"/>
  <c r="R20" s="1"/>
  <c r="C21"/>
  <c r="R21" s="1"/>
  <c r="C22"/>
  <c r="R22" s="1"/>
  <c r="C23"/>
  <c r="R23" s="1"/>
  <c r="C24"/>
  <c r="R24" s="1"/>
  <c r="C25"/>
  <c r="R25" s="1"/>
  <c r="C26"/>
  <c r="R26" s="1"/>
  <c r="C27"/>
  <c r="R27" s="1"/>
  <c r="C28"/>
  <c r="C29"/>
  <c r="R29" s="1"/>
  <c r="C30"/>
  <c r="R30" s="1"/>
  <c r="C31"/>
  <c r="R31" s="1"/>
  <c r="C32"/>
  <c r="R32" s="1"/>
  <c r="C33"/>
  <c r="R33" s="1"/>
  <c r="C34"/>
  <c r="R34" s="1"/>
  <c r="C36"/>
  <c r="R36" s="1"/>
  <c r="C37"/>
  <c r="R37" s="1"/>
  <c r="C38"/>
  <c r="R38" s="1"/>
  <c r="C39"/>
  <c r="R39" s="1"/>
  <c r="C40"/>
  <c r="R40" s="1"/>
  <c r="C41"/>
  <c r="R41" s="1"/>
  <c r="C14"/>
  <c r="R14" s="1"/>
  <c r="C15"/>
  <c r="R15" s="1"/>
  <c r="C16"/>
  <c r="B15"/>
  <c r="Q15" s="1"/>
  <c r="B16"/>
  <c r="Q16" s="1"/>
  <c r="B17"/>
  <c r="Q17" s="1"/>
  <c r="B18"/>
  <c r="Q18" s="1"/>
  <c r="B19"/>
  <c r="Q19" s="1"/>
  <c r="B20"/>
  <c r="Q20" s="1"/>
  <c r="B21"/>
  <c r="Q21" s="1"/>
  <c r="B22"/>
  <c r="Q22" s="1"/>
  <c r="B23"/>
  <c r="Q23" s="1"/>
  <c r="B24"/>
  <c r="Q24" s="1"/>
  <c r="B25"/>
  <c r="Q25" s="1"/>
  <c r="B26"/>
  <c r="Q26" s="1"/>
  <c r="B27"/>
  <c r="Q27" s="1"/>
  <c r="B28"/>
  <c r="Q28" s="1"/>
  <c r="B29"/>
  <c r="Q29" s="1"/>
  <c r="B30"/>
  <c r="Q30" s="1"/>
  <c r="B31"/>
  <c r="Q31" s="1"/>
  <c r="B32"/>
  <c r="Q32" s="1"/>
  <c r="B33"/>
  <c r="Q33" s="1"/>
  <c r="B34"/>
  <c r="Q34" s="1"/>
  <c r="B36"/>
  <c r="Q36" s="1"/>
  <c r="B37"/>
  <c r="Q37" s="1"/>
  <c r="B38"/>
  <c r="Q38" s="1"/>
  <c r="B39"/>
  <c r="Q39" s="1"/>
  <c r="B40"/>
  <c r="Q40" s="1"/>
  <c r="B41"/>
  <c r="Q41" s="1"/>
  <c r="B42"/>
  <c r="Q42" s="1"/>
  <c r="B14"/>
  <c r="Q14" s="1"/>
  <c r="L44"/>
  <c r="M44"/>
  <c r="O44"/>
  <c r="J42" i="3"/>
  <c r="M36" i="11"/>
  <c r="AG43"/>
  <c r="AF43"/>
  <c r="C43" i="10"/>
  <c r="G43"/>
  <c r="K43"/>
  <c r="O43"/>
  <c r="C44" i="11"/>
  <c r="B43" i="12"/>
  <c r="F43"/>
  <c r="J43"/>
  <c r="N43"/>
  <c r="R43"/>
  <c r="R49" s="1"/>
  <c r="AA44" i="11"/>
  <c r="O44"/>
  <c r="S44"/>
  <c r="AB44"/>
  <c r="L43" i="10"/>
  <c r="P43"/>
  <c r="C43" i="12"/>
  <c r="G43"/>
  <c r="K43"/>
  <c r="S43"/>
  <c r="P44" i="11"/>
  <c r="T44"/>
  <c r="F43" i="10"/>
  <c r="J43"/>
  <c r="B44" i="11"/>
  <c r="AE43"/>
  <c r="W45" i="16"/>
  <c r="X45"/>
  <c r="V45"/>
  <c r="U23" i="13"/>
  <c r="I32"/>
  <c r="D35"/>
  <c r="P33" i="12"/>
  <c r="D40"/>
  <c r="M23" i="11"/>
  <c r="Q40" i="10"/>
  <c r="M11" i="2"/>
  <c r="M12"/>
  <c r="M15"/>
  <c r="M29"/>
  <c r="I36" i="9"/>
  <c r="Q17" i="7"/>
  <c r="D42" i="14"/>
  <c r="C42"/>
  <c r="T45" i="16"/>
  <c r="S45"/>
  <c r="Q21"/>
  <c r="E26"/>
  <c r="E21"/>
  <c r="E18"/>
  <c r="E19"/>
  <c r="H42" i="9"/>
  <c r="G42"/>
  <c r="M16" i="2"/>
  <c r="M18"/>
  <c r="J29" i="4"/>
  <c r="L29" s="1"/>
  <c r="I29"/>
  <c r="J30"/>
  <c r="L30" s="1"/>
  <c r="M30" i="2"/>
  <c r="I30" i="4"/>
  <c r="J31"/>
  <c r="L31" s="1"/>
  <c r="M31" i="2"/>
  <c r="I31" i="4"/>
  <c r="J32"/>
  <c r="L32" s="1"/>
  <c r="I32"/>
  <c r="J33"/>
  <c r="L33" s="1"/>
  <c r="I33"/>
  <c r="J34"/>
  <c r="L34" s="1"/>
  <c r="M34" i="2"/>
  <c r="I34" i="4"/>
  <c r="J35"/>
  <c r="L35" s="1"/>
  <c r="M35" i="2"/>
  <c r="I35" i="4"/>
  <c r="J36"/>
  <c r="L36" s="1"/>
  <c r="M36" i="2"/>
  <c r="I36" i="4"/>
  <c r="J37"/>
  <c r="L37" s="1"/>
  <c r="M37" i="2"/>
  <c r="I37" i="4"/>
  <c r="J38"/>
  <c r="L38" s="1"/>
  <c r="M38" i="2"/>
  <c r="I38" i="4"/>
  <c r="J39"/>
  <c r="L39" s="1"/>
  <c r="M39" i="2"/>
  <c r="I39" i="4"/>
  <c r="J22"/>
  <c r="L22" s="1"/>
  <c r="I22"/>
  <c r="J23"/>
  <c r="L23" s="1"/>
  <c r="M23" i="2"/>
  <c r="I23" i="4"/>
  <c r="J24"/>
  <c r="L24" s="1"/>
  <c r="M24" i="2"/>
  <c r="I24" i="4"/>
  <c r="J18"/>
  <c r="L18" s="1"/>
  <c r="I18"/>
  <c r="J20"/>
  <c r="L20" s="1"/>
  <c r="I20"/>
  <c r="J13"/>
  <c r="L13" s="1"/>
  <c r="M13" i="2"/>
  <c r="I13" i="4"/>
  <c r="I11"/>
  <c r="K41"/>
  <c r="M38" i="13"/>
  <c r="H35" i="11"/>
  <c r="I35" s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J44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7"/>
  <c r="G38"/>
  <c r="G39"/>
  <c r="G40"/>
  <c r="G41"/>
  <c r="G42"/>
  <c r="H36"/>
  <c r="I36" s="1"/>
  <c r="H14"/>
  <c r="H15"/>
  <c r="H16"/>
  <c r="H17"/>
  <c r="H18"/>
  <c r="H19"/>
  <c r="H20"/>
  <c r="H21"/>
  <c r="H22"/>
  <c r="H23"/>
  <c r="H24"/>
  <c r="H25"/>
  <c r="H26"/>
  <c r="H27"/>
  <c r="H28"/>
  <c r="H30"/>
  <c r="H31"/>
  <c r="H32"/>
  <c r="H33"/>
  <c r="H34"/>
  <c r="I34" s="1"/>
  <c r="H37"/>
  <c r="H38"/>
  <c r="H39"/>
  <c r="H40"/>
  <c r="H41"/>
  <c r="H42"/>
  <c r="E41" i="4"/>
  <c r="M35" i="11"/>
  <c r="Q28"/>
  <c r="Q27"/>
  <c r="Q24"/>
  <c r="Q25"/>
  <c r="Q15"/>
  <c r="M17" i="2"/>
  <c r="M19"/>
  <c r="M26"/>
  <c r="M27"/>
  <c r="M15" i="9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F68" i="16"/>
  <c r="AB50"/>
  <c r="AD45"/>
  <c r="AD46" s="1"/>
  <c r="AA50"/>
  <c r="U15" i="13"/>
  <c r="K19" i="3"/>
  <c r="Q36" i="11"/>
  <c r="Q34"/>
  <c r="W43" i="12"/>
  <c r="V43"/>
  <c r="Q23" i="11"/>
  <c r="M20"/>
  <c r="U14" i="7"/>
  <c r="P45" i="13"/>
  <c r="P50" s="1"/>
  <c r="U26"/>
  <c r="Q36" i="7"/>
  <c r="Q35" i="11"/>
  <c r="M30" i="10"/>
  <c r="R45" i="16"/>
  <c r="E17"/>
  <c r="K45"/>
  <c r="O45"/>
  <c r="P45"/>
  <c r="Q34"/>
  <c r="Q32"/>
  <c r="Q30"/>
  <c r="M21"/>
  <c r="Q33"/>
  <c r="Q18"/>
  <c r="H45"/>
  <c r="G45"/>
  <c r="Q29"/>
  <c r="Q22"/>
  <c r="N45"/>
  <c r="M31"/>
  <c r="M29"/>
  <c r="M27"/>
  <c r="M18"/>
  <c r="E20"/>
  <c r="B45"/>
  <c r="J45"/>
  <c r="R42" i="9"/>
  <c r="N42"/>
  <c r="L11" i="2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M14"/>
  <c r="M13" i="9"/>
  <c r="M14"/>
  <c r="L13"/>
  <c r="L14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L12"/>
  <c r="M12"/>
  <c r="K12"/>
  <c r="F42"/>
  <c r="C42"/>
  <c r="D42"/>
  <c r="B42"/>
  <c r="F44" i="14"/>
  <c r="M16" i="7"/>
  <c r="S44"/>
  <c r="T44"/>
  <c r="M22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M39"/>
  <c r="E27"/>
  <c r="Q31"/>
  <c r="Q27"/>
  <c r="E32"/>
  <c r="Q39"/>
  <c r="Q22"/>
  <c r="E41"/>
  <c r="M40"/>
  <c r="I39"/>
  <c r="Q19"/>
  <c r="Q33"/>
  <c r="I23"/>
  <c r="Q16"/>
  <c r="M24"/>
  <c r="E25"/>
  <c r="E23"/>
  <c r="Q15"/>
  <c r="I42"/>
  <c r="Q29"/>
  <c r="L44"/>
  <c r="C44"/>
  <c r="G44"/>
  <c r="K44"/>
  <c r="O44"/>
  <c r="Q38"/>
  <c r="Q32"/>
  <c r="Q30"/>
  <c r="Q28"/>
  <c r="Q23"/>
  <c r="Q21"/>
  <c r="Q14"/>
  <c r="N44"/>
  <c r="E17"/>
  <c r="M38"/>
  <c r="M37"/>
  <c r="M36"/>
  <c r="M35"/>
  <c r="M34"/>
  <c r="M33"/>
  <c r="M32"/>
  <c r="M31"/>
  <c r="M30"/>
  <c r="M29"/>
  <c r="M28"/>
  <c r="M27"/>
  <c r="M26"/>
  <c r="M25"/>
  <c r="M23"/>
  <c r="M21"/>
  <c r="M20"/>
  <c r="M19"/>
  <c r="M18"/>
  <c r="M17"/>
  <c r="M15"/>
  <c r="M14"/>
  <c r="I41"/>
  <c r="I40"/>
  <c r="I37"/>
  <c r="I36"/>
  <c r="I35"/>
  <c r="I34"/>
  <c r="I33"/>
  <c r="I32"/>
  <c r="I31"/>
  <c r="I30"/>
  <c r="I29"/>
  <c r="I28"/>
  <c r="I27"/>
  <c r="I26"/>
  <c r="I25"/>
  <c r="I24"/>
  <c r="I22"/>
  <c r="I21"/>
  <c r="I20"/>
  <c r="I19"/>
  <c r="I18"/>
  <c r="I17"/>
  <c r="I16"/>
  <c r="I15"/>
  <c r="I14"/>
  <c r="E16"/>
  <c r="E40"/>
  <c r="E39"/>
  <c r="E38"/>
  <c r="E37"/>
  <c r="E36"/>
  <c r="E35"/>
  <c r="E34"/>
  <c r="E33"/>
  <c r="E31"/>
  <c r="E30"/>
  <c r="E29"/>
  <c r="E28"/>
  <c r="E26"/>
  <c r="E24"/>
  <c r="E21"/>
  <c r="E20"/>
  <c r="E19"/>
  <c r="E18"/>
  <c r="E15"/>
  <c r="E14"/>
  <c r="B44"/>
  <c r="F44"/>
  <c r="J44"/>
  <c r="I21" i="13"/>
  <c r="H45"/>
  <c r="H50" s="1"/>
  <c r="U36"/>
  <c r="U17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X34" s="1"/>
  <c r="D36"/>
  <c r="D37"/>
  <c r="D38"/>
  <c r="D39"/>
  <c r="D40"/>
  <c r="D41"/>
  <c r="D42"/>
  <c r="D43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15"/>
  <c r="T45"/>
  <c r="T50" s="1"/>
  <c r="S45"/>
  <c r="S50" s="1"/>
  <c r="U39"/>
  <c r="U38"/>
  <c r="U37"/>
  <c r="U35"/>
  <c r="U34"/>
  <c r="U33"/>
  <c r="U32"/>
  <c r="U31"/>
  <c r="U30"/>
  <c r="U29"/>
  <c r="U28"/>
  <c r="U25"/>
  <c r="U24"/>
  <c r="U22"/>
  <c r="U21"/>
  <c r="U20"/>
  <c r="U19"/>
  <c r="U18"/>
  <c r="U16"/>
  <c r="M43"/>
  <c r="I30"/>
  <c r="M28"/>
  <c r="I33"/>
  <c r="I18"/>
  <c r="M40"/>
  <c r="M41"/>
  <c r="M42"/>
  <c r="Q42"/>
  <c r="I22"/>
  <c r="I19"/>
  <c r="Q40"/>
  <c r="Q38"/>
  <c r="Q35"/>
  <c r="Q41"/>
  <c r="Q31"/>
  <c r="O45"/>
  <c r="O50" s="1"/>
  <c r="K45"/>
  <c r="K50" s="1"/>
  <c r="L45"/>
  <c r="L50" s="1"/>
  <c r="Q39"/>
  <c r="Q37"/>
  <c r="Q36"/>
  <c r="Q34"/>
  <c r="Q33"/>
  <c r="Q32"/>
  <c r="Q30"/>
  <c r="Q29"/>
  <c r="Q28"/>
  <c r="Q27"/>
  <c r="Q26"/>
  <c r="Q25"/>
  <c r="Q24"/>
  <c r="Q22"/>
  <c r="Q21"/>
  <c r="Q19"/>
  <c r="Q18"/>
  <c r="Q17"/>
  <c r="Q16"/>
  <c r="Q15"/>
  <c r="G45"/>
  <c r="G50" s="1"/>
  <c r="I34"/>
  <c r="I29"/>
  <c r="N45"/>
  <c r="N50" s="1"/>
  <c r="J45"/>
  <c r="J50" s="1"/>
  <c r="F45"/>
  <c r="F50" s="1"/>
  <c r="E41" i="2"/>
  <c r="J12" i="4"/>
  <c r="L12" s="1"/>
  <c r="I12"/>
  <c r="J14"/>
  <c r="L14" s="1"/>
  <c r="I14"/>
  <c r="J15"/>
  <c r="I15"/>
  <c r="J16"/>
  <c r="L16" s="1"/>
  <c r="I16"/>
  <c r="J17"/>
  <c r="L17" s="1"/>
  <c r="I17"/>
  <c r="J21"/>
  <c r="L21" s="1"/>
  <c r="I21"/>
  <c r="J25"/>
  <c r="I25"/>
  <c r="J26"/>
  <c r="L26" s="1"/>
  <c r="I26"/>
  <c r="J27"/>
  <c r="L27" s="1"/>
  <c r="I27"/>
  <c r="J28"/>
  <c r="I28"/>
  <c r="L15"/>
  <c r="J19"/>
  <c r="L19" s="1"/>
  <c r="I1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11"/>
  <c r="S41"/>
  <c r="T41"/>
  <c r="P27" i="12"/>
  <c r="P20"/>
  <c r="P29"/>
  <c r="Q33" i="11"/>
  <c r="M33"/>
  <c r="Q26"/>
  <c r="X44"/>
  <c r="W44"/>
  <c r="M26"/>
  <c r="M21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M32" i="10"/>
  <c r="Q36"/>
  <c r="Q35"/>
  <c r="Q28"/>
  <c r="Q27"/>
  <c r="Q26"/>
  <c r="Q19"/>
  <c r="Q18"/>
  <c r="Q16"/>
  <c r="Q38"/>
  <c r="Q24"/>
  <c r="M28"/>
  <c r="M20"/>
  <c r="E16"/>
  <c r="E17"/>
  <c r="E18"/>
  <c r="E22"/>
  <c r="E24"/>
  <c r="E25"/>
  <c r="E26"/>
  <c r="E29"/>
  <c r="E34"/>
  <c r="E35"/>
  <c r="Q22"/>
  <c r="M17"/>
  <c r="M16"/>
  <c r="M27"/>
  <c r="Q25"/>
  <c r="I15"/>
  <c r="I17"/>
  <c r="I18"/>
  <c r="I20"/>
  <c r="I21"/>
  <c r="I22"/>
  <c r="I25"/>
  <c r="I26"/>
  <c r="I29"/>
  <c r="I30"/>
  <c r="I36"/>
  <c r="I38"/>
  <c r="I40"/>
  <c r="I41"/>
  <c r="I13"/>
  <c r="K38" i="3"/>
  <c r="K37"/>
  <c r="E42"/>
  <c r="E46" s="1"/>
  <c r="K40"/>
  <c r="K35"/>
  <c r="K13"/>
  <c r="K14"/>
  <c r="K15"/>
  <c r="K16"/>
  <c r="K17"/>
  <c r="K18"/>
  <c r="K20"/>
  <c r="K21"/>
  <c r="K22"/>
  <c r="K23"/>
  <c r="K24"/>
  <c r="K25"/>
  <c r="K26"/>
  <c r="K27"/>
  <c r="K28"/>
  <c r="K29"/>
  <c r="K30"/>
  <c r="K31"/>
  <c r="K32"/>
  <c r="K33"/>
  <c r="K34"/>
  <c r="K36"/>
  <c r="K39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C42"/>
  <c r="C46" s="1"/>
  <c r="H42"/>
  <c r="H46" s="1"/>
  <c r="I42"/>
  <c r="I46" s="1"/>
  <c r="B42"/>
  <c r="G42"/>
  <c r="K12"/>
  <c r="E45" i="16" l="1"/>
  <c r="I20" i="11"/>
  <c r="I39"/>
  <c r="I53" i="3"/>
  <c r="E17" i="6"/>
  <c r="E39"/>
  <c r="E36"/>
  <c r="S29" i="14"/>
  <c r="W29" s="1"/>
  <c r="S17"/>
  <c r="W17" s="1"/>
  <c r="S40"/>
  <c r="W40" s="1"/>
  <c r="S36"/>
  <c r="W36" s="1"/>
  <c r="S31"/>
  <c r="W31" s="1"/>
  <c r="S27"/>
  <c r="W27" s="1"/>
  <c r="S16"/>
  <c r="W16" s="1"/>
  <c r="S23"/>
  <c r="W23" s="1"/>
  <c r="S19"/>
  <c r="W19" s="1"/>
  <c r="I27" i="11"/>
  <c r="I42"/>
  <c r="I18"/>
  <c r="I14"/>
  <c r="E30" i="6"/>
  <c r="O35" i="2"/>
  <c r="O13"/>
  <c r="O23"/>
  <c r="E40" i="6"/>
  <c r="E28" i="14"/>
  <c r="I19" i="11"/>
  <c r="I30"/>
  <c r="I25"/>
  <c r="I32"/>
  <c r="E35" i="13"/>
  <c r="M36" i="4"/>
  <c r="M22"/>
  <c r="M13"/>
  <c r="E37" i="14"/>
  <c r="M33" i="4"/>
  <c r="E19" i="13"/>
  <c r="E42" i="14"/>
  <c r="E43" i="13"/>
  <c r="M38" i="4"/>
  <c r="E17" i="14"/>
  <c r="T43" i="12"/>
  <c r="P13"/>
  <c r="D43"/>
  <c r="R20" i="2"/>
  <c r="S20" s="1"/>
  <c r="AG23" i="11"/>
  <c r="I16"/>
  <c r="I15"/>
  <c r="I40"/>
  <c r="I24"/>
  <c r="I31"/>
  <c r="I17"/>
  <c r="I28"/>
  <c r="I22"/>
  <c r="M50"/>
  <c r="AE44"/>
  <c r="AG37"/>
  <c r="R34" i="2"/>
  <c r="S34" s="1"/>
  <c r="AG29" i="11"/>
  <c r="AD29" s="1"/>
  <c r="R26" i="2"/>
  <c r="S26" s="1"/>
  <c r="E20" i="10"/>
  <c r="AG21" i="11"/>
  <c r="R18" i="2"/>
  <c r="S18" s="1"/>
  <c r="R35"/>
  <c r="S35" s="1"/>
  <c r="AG38" i="11"/>
  <c r="R27" i="2"/>
  <c r="AG30" i="11"/>
  <c r="R15" i="2"/>
  <c r="S15" s="1"/>
  <c r="AG18" i="11"/>
  <c r="AD18" s="1"/>
  <c r="R36" i="2"/>
  <c r="S36" s="1"/>
  <c r="AG39" i="11"/>
  <c r="AD39" s="1"/>
  <c r="R32" i="2"/>
  <c r="S32" s="1"/>
  <c r="AG35" i="11"/>
  <c r="AD35" s="1"/>
  <c r="R28" i="2"/>
  <c r="S28" s="1"/>
  <c r="AG31" i="11"/>
  <c r="R24" i="2"/>
  <c r="S24" s="1"/>
  <c r="AG27" i="11"/>
  <c r="AG19"/>
  <c r="AD19" s="1"/>
  <c r="R16" i="2"/>
  <c r="S16" s="1"/>
  <c r="AG15" i="11"/>
  <c r="AD15" s="1"/>
  <c r="R12" i="2"/>
  <c r="S12" s="1"/>
  <c r="AG17" i="11"/>
  <c r="AG41"/>
  <c r="AD41" s="1"/>
  <c r="R38" i="2"/>
  <c r="S38" s="1"/>
  <c r="AG33" i="11"/>
  <c r="AD33" s="1"/>
  <c r="R30" i="2"/>
  <c r="S30" s="1"/>
  <c r="AG25" i="11"/>
  <c r="AD25" s="1"/>
  <c r="R22" i="2"/>
  <c r="S22" s="1"/>
  <c r="AG42" i="11"/>
  <c r="R39" i="2"/>
  <c r="S39" s="1"/>
  <c r="AG34" i="11"/>
  <c r="AD34" s="1"/>
  <c r="R31" i="2"/>
  <c r="S31" s="1"/>
  <c r="AG26" i="11"/>
  <c r="AD26" s="1"/>
  <c r="R23" i="2"/>
  <c r="S23" s="1"/>
  <c r="R19"/>
  <c r="S19" s="1"/>
  <c r="AG22" i="11"/>
  <c r="AD22" s="1"/>
  <c r="AG40"/>
  <c r="R37" i="2"/>
  <c r="S37" s="1"/>
  <c r="AG36" i="11"/>
  <c r="R33" i="2"/>
  <c r="S33" s="1"/>
  <c r="E31" i="10"/>
  <c r="AG32" i="11"/>
  <c r="R29" i="2"/>
  <c r="S29" s="1"/>
  <c r="AG28" i="11"/>
  <c r="R25" i="2"/>
  <c r="D25" i="4" s="1"/>
  <c r="AG24" i="11"/>
  <c r="R21" i="2"/>
  <c r="D21" i="4" s="1"/>
  <c r="E19" i="10"/>
  <c r="AG20" i="11"/>
  <c r="R17" i="2"/>
  <c r="S17" s="1"/>
  <c r="E15" i="10"/>
  <c r="AG16" i="11"/>
  <c r="R13" i="2"/>
  <c r="E36" i="10"/>
  <c r="E28"/>
  <c r="E21"/>
  <c r="AF44" i="11"/>
  <c r="E14" i="6"/>
  <c r="E16"/>
  <c r="E32"/>
  <c r="E24"/>
  <c r="E37"/>
  <c r="E20"/>
  <c r="M19" i="4"/>
  <c r="E27" i="14"/>
  <c r="E38"/>
  <c r="E32"/>
  <c r="M30" i="4"/>
  <c r="E29" i="14"/>
  <c r="E24"/>
  <c r="Y21" i="7"/>
  <c r="E42" i="5"/>
  <c r="M42"/>
  <c r="E21" i="6"/>
  <c r="E26"/>
  <c r="E33"/>
  <c r="E29"/>
  <c r="E34"/>
  <c r="E28"/>
  <c r="D18" i="2"/>
  <c r="F18" s="1"/>
  <c r="E31" i="6"/>
  <c r="E35"/>
  <c r="E27"/>
  <c r="E25"/>
  <c r="E19"/>
  <c r="E13"/>
  <c r="D37" i="2"/>
  <c r="F37" s="1"/>
  <c r="E41" i="6"/>
  <c r="E22"/>
  <c r="E38"/>
  <c r="I43"/>
  <c r="E88"/>
  <c r="M88"/>
  <c r="E23"/>
  <c r="I88"/>
  <c r="M43"/>
  <c r="D43"/>
  <c r="C43"/>
  <c r="E18"/>
  <c r="E20" i="14"/>
  <c r="L41" i="2"/>
  <c r="R28" i="14"/>
  <c r="T28" s="1"/>
  <c r="E36" i="13"/>
  <c r="E14" i="14"/>
  <c r="M25" i="4"/>
  <c r="E41" i="13"/>
  <c r="E33" i="14"/>
  <c r="Q43" i="6"/>
  <c r="K44" i="14"/>
  <c r="T17"/>
  <c r="P44"/>
  <c r="M34" i="4"/>
  <c r="E24" i="13"/>
  <c r="M18" i="4"/>
  <c r="Y25" i="13"/>
  <c r="E30"/>
  <c r="Q45" i="16"/>
  <c r="M45"/>
  <c r="R41" i="4"/>
  <c r="L43" i="12"/>
  <c r="AH45" i="11"/>
  <c r="P14" i="12"/>
  <c r="S11" i="2"/>
  <c r="I41" i="11"/>
  <c r="I37"/>
  <c r="I23"/>
  <c r="I26"/>
  <c r="I21"/>
  <c r="I38"/>
  <c r="I33"/>
  <c r="G44"/>
  <c r="Q44"/>
  <c r="U44"/>
  <c r="Q43" i="10"/>
  <c r="M43"/>
  <c r="B39" i="4"/>
  <c r="N39" s="1"/>
  <c r="I24" i="10"/>
  <c r="I33"/>
  <c r="I28"/>
  <c r="P41" i="2"/>
  <c r="E41" i="10"/>
  <c r="E40"/>
  <c r="E30"/>
  <c r="E37"/>
  <c r="E23"/>
  <c r="E14"/>
  <c r="E27"/>
  <c r="D43"/>
  <c r="E43" s="1"/>
  <c r="E13"/>
  <c r="U45" i="13"/>
  <c r="Y35"/>
  <c r="Y19"/>
  <c r="Q45"/>
  <c r="M45"/>
  <c r="Y33"/>
  <c r="I45"/>
  <c r="Y27"/>
  <c r="M39" i="4"/>
  <c r="E40" i="14"/>
  <c r="E39"/>
  <c r="M32" i="4"/>
  <c r="E34" i="14"/>
  <c r="M29" i="4"/>
  <c r="E31" i="14"/>
  <c r="W38"/>
  <c r="M35" i="4"/>
  <c r="E22" i="14"/>
  <c r="E21"/>
  <c r="M15" i="4"/>
  <c r="E18" i="14"/>
  <c r="E16"/>
  <c r="E15"/>
  <c r="E30"/>
  <c r="K42" i="3"/>
  <c r="L25" i="4"/>
  <c r="E26" i="14"/>
  <c r="W14"/>
  <c r="L11" i="4"/>
  <c r="M11"/>
  <c r="D15" i="13"/>
  <c r="D45" s="1"/>
  <c r="D50" s="1"/>
  <c r="D42" i="3"/>
  <c r="F12"/>
  <c r="E28" i="13"/>
  <c r="Y42"/>
  <c r="E42"/>
  <c r="M37" i="4"/>
  <c r="Y26" i="13"/>
  <c r="M31" i="4"/>
  <c r="E33" i="13"/>
  <c r="E39"/>
  <c r="E38"/>
  <c r="M20" i="4"/>
  <c r="Y22" i="13"/>
  <c r="E22"/>
  <c r="M14" i="4"/>
  <c r="Y17" i="13"/>
  <c r="M12" i="4"/>
  <c r="M27"/>
  <c r="M23"/>
  <c r="E27" i="13"/>
  <c r="Y21"/>
  <c r="E21"/>
  <c r="I42" i="9"/>
  <c r="O21" i="2"/>
  <c r="M42" i="9"/>
  <c r="L42"/>
  <c r="E42"/>
  <c r="Y40" i="7"/>
  <c r="K36" i="2"/>
  <c r="O23" i="9"/>
  <c r="K38" i="2"/>
  <c r="O39" i="9"/>
  <c r="Y35" i="7"/>
  <c r="K32" i="2"/>
  <c r="K29"/>
  <c r="Y27" i="7"/>
  <c r="K20" i="2"/>
  <c r="B21" i="4"/>
  <c r="N21" s="1"/>
  <c r="B14"/>
  <c r="N14" s="1"/>
  <c r="K27" i="2"/>
  <c r="Y29" i="7"/>
  <c r="K25" i="2"/>
  <c r="K23"/>
  <c r="Y36" i="7"/>
  <c r="P27" i="9"/>
  <c r="M44" i="7"/>
  <c r="Q34"/>
  <c r="K26" i="2"/>
  <c r="K21"/>
  <c r="P44" i="7"/>
  <c r="Q44" s="1"/>
  <c r="Y19"/>
  <c r="V51"/>
  <c r="H44"/>
  <c r="I44" s="1"/>
  <c r="O33" i="9"/>
  <c r="I38" i="7"/>
  <c r="Q18"/>
  <c r="Y33"/>
  <c r="Y39"/>
  <c r="K18" i="2"/>
  <c r="Y17" i="7"/>
  <c r="P24" i="9"/>
  <c r="P17"/>
  <c r="O17"/>
  <c r="K34" i="2"/>
  <c r="C32" i="4"/>
  <c r="O32" s="1"/>
  <c r="O25" i="9"/>
  <c r="U44" i="7"/>
  <c r="M42"/>
  <c r="Y32"/>
  <c r="Y38"/>
  <c r="Y37"/>
  <c r="Y18"/>
  <c r="B37" i="4"/>
  <c r="N37" s="1"/>
  <c r="O37" i="9"/>
  <c r="P23"/>
  <c r="Y34" i="7"/>
  <c r="O32" i="9"/>
  <c r="K30" i="2"/>
  <c r="Y31" i="7"/>
  <c r="K35" i="2"/>
  <c r="O35" i="9"/>
  <c r="Q22"/>
  <c r="S22" s="1"/>
  <c r="C21" i="4"/>
  <c r="O21" s="1"/>
  <c r="O14" i="9"/>
  <c r="K12" i="2"/>
  <c r="Y15" i="7"/>
  <c r="Y30"/>
  <c r="P28" i="9"/>
  <c r="V44" i="7"/>
  <c r="O27" i="9"/>
  <c r="Q26"/>
  <c r="S26" s="1"/>
  <c r="Y28" i="7"/>
  <c r="Y26"/>
  <c r="Q24" i="9"/>
  <c r="S24" s="1"/>
  <c r="H23" i="2"/>
  <c r="H41" s="1"/>
  <c r="B43" i="6"/>
  <c r="D30" i="2"/>
  <c r="G30" s="1"/>
  <c r="D19"/>
  <c r="G19" s="1"/>
  <c r="E15" i="6"/>
  <c r="Z20" i="5"/>
  <c r="O18" i="9"/>
  <c r="B17" i="4"/>
  <c r="N17" s="1"/>
  <c r="B28" i="2"/>
  <c r="B28" i="4" s="1"/>
  <c r="N28" s="1"/>
  <c r="B20" i="2"/>
  <c r="D15"/>
  <c r="F15" s="1"/>
  <c r="B33"/>
  <c r="B33" i="4" s="1"/>
  <c r="N33" s="1"/>
  <c r="B29" i="2"/>
  <c r="B29" i="4" s="1"/>
  <c r="N29" s="1"/>
  <c r="C33" i="2"/>
  <c r="P34" i="9" s="1"/>
  <c r="C29" i="2"/>
  <c r="C29" i="4" s="1"/>
  <c r="O29" s="1"/>
  <c r="C18" i="2"/>
  <c r="P19" i="9" s="1"/>
  <c r="D27" i="2"/>
  <c r="F27" s="1"/>
  <c r="D12"/>
  <c r="G12" s="1"/>
  <c r="C36"/>
  <c r="G36" s="1"/>
  <c r="D34"/>
  <c r="Q35" i="9" s="1"/>
  <c r="S35" s="1"/>
  <c r="C38" i="2"/>
  <c r="C38" i="4" s="1"/>
  <c r="O38" s="1"/>
  <c r="C34" i="2"/>
  <c r="P35" i="9" s="1"/>
  <c r="C15" i="2"/>
  <c r="C11"/>
  <c r="C11" i="4" s="1"/>
  <c r="O11" s="1"/>
  <c r="D32" i="2"/>
  <c r="F32" s="1"/>
  <c r="B18" i="4"/>
  <c r="N18" s="1"/>
  <c r="B26"/>
  <c r="N26" s="1"/>
  <c r="P40" i="9"/>
  <c r="C23" i="4"/>
  <c r="O23" s="1"/>
  <c r="C20" i="2"/>
  <c r="G20" s="1"/>
  <c r="D14"/>
  <c r="G14" s="1"/>
  <c r="C14" i="4"/>
  <c r="O14" s="1"/>
  <c r="C26"/>
  <c r="O26" s="1"/>
  <c r="G17" i="2"/>
  <c r="C17" i="4"/>
  <c r="O17" s="1"/>
  <c r="D31" i="2"/>
  <c r="F31" s="1"/>
  <c r="G13"/>
  <c r="G26"/>
  <c r="G25"/>
  <c r="P32" i="9"/>
  <c r="B32" i="4"/>
  <c r="N32" s="1"/>
  <c r="P31" i="9"/>
  <c r="O31"/>
  <c r="B30" i="4"/>
  <c r="N30" s="1"/>
  <c r="D29" i="2"/>
  <c r="F29" s="1"/>
  <c r="C28" i="4"/>
  <c r="O28" s="1"/>
  <c r="G28" i="2"/>
  <c r="G21"/>
  <c r="O22" i="9"/>
  <c r="G23" i="2"/>
  <c r="O12" i="9"/>
  <c r="B11" i="4"/>
  <c r="N11" s="1"/>
  <c r="Q39" i="9"/>
  <c r="S39" s="1"/>
  <c r="B22" i="4"/>
  <c r="N22" s="1"/>
  <c r="B16"/>
  <c r="N16" s="1"/>
  <c r="P29" i="9"/>
  <c r="B19" i="4"/>
  <c r="N19" s="1"/>
  <c r="B13"/>
  <c r="N13" s="1"/>
  <c r="C12"/>
  <c r="O12" s="1"/>
  <c r="P13" i="9"/>
  <c r="C25" i="4"/>
  <c r="O25" s="1"/>
  <c r="F33" i="2"/>
  <c r="Y20" i="13"/>
  <c r="Y32"/>
  <c r="P25" i="9"/>
  <c r="M17" i="4"/>
  <c r="M28"/>
  <c r="E29" i="13"/>
  <c r="E41" i="14"/>
  <c r="P15" i="9"/>
  <c r="O38"/>
  <c r="B35" i="4"/>
  <c r="N35" s="1"/>
  <c r="O26" i="9"/>
  <c r="O19"/>
  <c r="O16"/>
  <c r="AF45" i="11"/>
  <c r="Y16" i="13"/>
  <c r="M41" i="2"/>
  <c r="Q44" i="14"/>
  <c r="C35" i="4"/>
  <c r="O35" s="1"/>
  <c r="C19"/>
  <c r="O19" s="1"/>
  <c r="B36"/>
  <c r="N36" s="1"/>
  <c r="C27"/>
  <c r="O27" s="1"/>
  <c r="M21"/>
  <c r="C45" i="13"/>
  <c r="E20"/>
  <c r="E37"/>
  <c r="E16"/>
  <c r="B45"/>
  <c r="B50" s="1"/>
  <c r="Y39"/>
  <c r="Y36"/>
  <c r="Y28"/>
  <c r="Y40"/>
  <c r="E23" i="14"/>
  <c r="D44"/>
  <c r="O15" i="9"/>
  <c r="B12" i="4"/>
  <c r="N12" s="1"/>
  <c r="T31" i="14"/>
  <c r="C30" i="4"/>
  <c r="O30" s="1"/>
  <c r="C22"/>
  <c r="O22" s="1"/>
  <c r="E35" i="14"/>
  <c r="H41" i="4"/>
  <c r="J41"/>
  <c r="B38"/>
  <c r="N38" s="1"/>
  <c r="B34"/>
  <c r="N34" s="1"/>
  <c r="M26"/>
  <c r="E17" i="13"/>
  <c r="Y29"/>
  <c r="Y38"/>
  <c r="Y34"/>
  <c r="Y30"/>
  <c r="Y24"/>
  <c r="E18"/>
  <c r="M24" i="4"/>
  <c r="K33" i="2"/>
  <c r="K28"/>
  <c r="K24"/>
  <c r="K16"/>
  <c r="C39" i="4"/>
  <c r="O39" s="1"/>
  <c r="Y31" i="13"/>
  <c r="V45"/>
  <c r="V50" s="1"/>
  <c r="Y43"/>
  <c r="Y37"/>
  <c r="Y23"/>
  <c r="Y41"/>
  <c r="T18" i="14"/>
  <c r="W18"/>
  <c r="T15"/>
  <c r="W15"/>
  <c r="J11" i="2"/>
  <c r="Y14" i="7"/>
  <c r="W44"/>
  <c r="I13" i="2"/>
  <c r="C13" i="4" s="1"/>
  <c r="O13" s="1"/>
  <c r="D44" i="7"/>
  <c r="E44" s="1"/>
  <c r="P38" i="9"/>
  <c r="C37" i="4"/>
  <c r="O37" s="1"/>
  <c r="Q37" i="9"/>
  <c r="S37" s="1"/>
  <c r="F36" i="2"/>
  <c r="F28"/>
  <c r="F25"/>
  <c r="F21"/>
  <c r="W34" i="14"/>
  <c r="T34"/>
  <c r="W32"/>
  <c r="T32"/>
  <c r="W20"/>
  <c r="T20"/>
  <c r="B31" i="4"/>
  <c r="N31" s="1"/>
  <c r="B27"/>
  <c r="N27" s="1"/>
  <c r="B15"/>
  <c r="N15" s="1"/>
  <c r="L28"/>
  <c r="K37" i="2"/>
  <c r="E31" i="13"/>
  <c r="B44" i="14"/>
  <c r="P36" i="9"/>
  <c r="P20"/>
  <c r="O36"/>
  <c r="O20"/>
  <c r="F44" i="11"/>
  <c r="Y16" i="7"/>
  <c r="J13" i="2"/>
  <c r="J14"/>
  <c r="K14" s="1"/>
  <c r="P22" i="9"/>
  <c r="F11" i="2"/>
  <c r="D22"/>
  <c r="W41" i="14"/>
  <c r="T41"/>
  <c r="T30"/>
  <c r="W30"/>
  <c r="N28" i="2"/>
  <c r="E39" i="10"/>
  <c r="I16"/>
  <c r="H43"/>
  <c r="D44" i="11"/>
  <c r="E44" s="1"/>
  <c r="H29"/>
  <c r="I29" s="1"/>
  <c r="M38"/>
  <c r="K44"/>
  <c r="F13" i="2"/>
  <c r="F38"/>
  <c r="F26"/>
  <c r="Q27" i="9"/>
  <c r="S27" s="1"/>
  <c r="W39" i="14"/>
  <c r="T39"/>
  <c r="W28"/>
  <c r="W24"/>
  <c r="T24"/>
  <c r="K42" i="9"/>
  <c r="C24" i="4"/>
  <c r="O24" s="1"/>
  <c r="I41"/>
  <c r="B25"/>
  <c r="N25" s="1"/>
  <c r="K19" i="2"/>
  <c r="E26" i="13"/>
  <c r="E34"/>
  <c r="E23"/>
  <c r="Y18"/>
  <c r="P33" i="9"/>
  <c r="O28"/>
  <c r="O13"/>
  <c r="AE45" i="11"/>
  <c r="O43" i="12"/>
  <c r="P43" s="1"/>
  <c r="P26" i="9"/>
  <c r="P18"/>
  <c r="H43" i="12"/>
  <c r="E19" i="14"/>
  <c r="R19"/>
  <c r="C44"/>
  <c r="R16"/>
  <c r="E25"/>
  <c r="D39" i="2"/>
  <c r="D35"/>
  <c r="Q25" i="9"/>
  <c r="S25" s="1"/>
  <c r="F24" i="2"/>
  <c r="Q21" i="9"/>
  <c r="S21" s="1"/>
  <c r="F20" i="2"/>
  <c r="F17"/>
  <c r="W37" i="14"/>
  <c r="T37"/>
  <c r="T26"/>
  <c r="W26"/>
  <c r="T22"/>
  <c r="W22"/>
  <c r="B24" i="4"/>
  <c r="N24" s="1"/>
  <c r="M16"/>
  <c r="C16"/>
  <c r="O16" s="1"/>
  <c r="G24" i="2"/>
  <c r="E32" i="13"/>
  <c r="E40"/>
  <c r="E25"/>
  <c r="E36" i="14"/>
  <c r="O40" i="9"/>
  <c r="Q34"/>
  <c r="S34" s="1"/>
  <c r="R47" i="4"/>
  <c r="R52" s="1"/>
  <c r="S14" i="2"/>
  <c r="Y20" i="7"/>
  <c r="J17" i="2"/>
  <c r="C31" i="4"/>
  <c r="O31" s="1"/>
  <c r="J39" i="2"/>
  <c r="K39" s="1"/>
  <c r="J31"/>
  <c r="T19" i="14" l="1"/>
  <c r="R44"/>
  <c r="C49" s="1"/>
  <c r="D53" i="3"/>
  <c r="D46"/>
  <c r="T40" i="14"/>
  <c r="T29"/>
  <c r="D56" i="3"/>
  <c r="D57"/>
  <c r="D58"/>
  <c r="D55"/>
  <c r="T36" i="14"/>
  <c r="T23"/>
  <c r="O50"/>
  <c r="I50"/>
  <c r="T27"/>
  <c r="D47" i="3"/>
  <c r="I47"/>
  <c r="M44" i="11"/>
  <c r="K53"/>
  <c r="F42" i="3"/>
  <c r="O29" i="9"/>
  <c r="G27" i="2"/>
  <c r="D28" i="4"/>
  <c r="G28" s="1"/>
  <c r="S25" i="2"/>
  <c r="S21"/>
  <c r="AG44" i="11"/>
  <c r="C18" i="4"/>
  <c r="O18" s="1"/>
  <c r="Q38" i="9"/>
  <c r="S38" s="1"/>
  <c r="G37" i="2"/>
  <c r="F34"/>
  <c r="G15"/>
  <c r="C15" i="4"/>
  <c r="O15" s="1"/>
  <c r="P16" i="9"/>
  <c r="Q28"/>
  <c r="S28" s="1"/>
  <c r="Q19"/>
  <c r="S19" s="1"/>
  <c r="G18" i="2"/>
  <c r="O30" i="9"/>
  <c r="B41" i="2"/>
  <c r="B65" s="1"/>
  <c r="P12" i="9"/>
  <c r="G11" i="2"/>
  <c r="C20" i="4"/>
  <c r="O20" s="1"/>
  <c r="C34"/>
  <c r="O34" s="1"/>
  <c r="C36"/>
  <c r="O36" s="1"/>
  <c r="E43" i="6"/>
  <c r="O34" i="9"/>
  <c r="G34" i="2"/>
  <c r="Q31" i="9"/>
  <c r="S31" s="1"/>
  <c r="T14" i="14"/>
  <c r="F19" i="2"/>
  <c r="Q20" i="9"/>
  <c r="T38" i="14"/>
  <c r="AD42" i="11"/>
  <c r="AD14"/>
  <c r="AD30"/>
  <c r="AD37"/>
  <c r="D11" i="4"/>
  <c r="F11" s="1"/>
  <c r="H44" i="11"/>
  <c r="I44" s="1"/>
  <c r="D36" i="4"/>
  <c r="D23"/>
  <c r="G23" s="1"/>
  <c r="AD23" i="11"/>
  <c r="D19" i="4"/>
  <c r="P19" s="1"/>
  <c r="Q19" s="1"/>
  <c r="D13"/>
  <c r="F13" s="1"/>
  <c r="I43" i="10"/>
  <c r="D49"/>
  <c r="C49" s="1"/>
  <c r="C50" s="1"/>
  <c r="AD31" i="11"/>
  <c r="AD27"/>
  <c r="AD38"/>
  <c r="AD21"/>
  <c r="AD24"/>
  <c r="AD28"/>
  <c r="W45" i="13"/>
  <c r="W50" s="1"/>
  <c r="E44" i="14"/>
  <c r="Y15" i="13"/>
  <c r="E15"/>
  <c r="E45"/>
  <c r="M41" i="4"/>
  <c r="I41" i="2"/>
  <c r="B23" i="4"/>
  <c r="N23" s="1"/>
  <c r="O24" i="9"/>
  <c r="P14"/>
  <c r="J15" i="2"/>
  <c r="K15" s="1"/>
  <c r="F30"/>
  <c r="P37" i="9"/>
  <c r="P39"/>
  <c r="F12" i="2"/>
  <c r="G33"/>
  <c r="G32"/>
  <c r="C33" i="4"/>
  <c r="O33" s="1"/>
  <c r="D32"/>
  <c r="P32" s="1"/>
  <c r="Q32" s="1"/>
  <c r="P30" i="9"/>
  <c r="Q13"/>
  <c r="S13" s="1"/>
  <c r="O21"/>
  <c r="B20" i="4"/>
  <c r="N20" s="1"/>
  <c r="G38" i="2"/>
  <c r="Q33" i="9"/>
  <c r="S33" s="1"/>
  <c r="D12" i="4"/>
  <c r="F12" s="1"/>
  <c r="C41" i="2"/>
  <c r="P21" i="9"/>
  <c r="G31" i="2"/>
  <c r="F14"/>
  <c r="Q30" i="9"/>
  <c r="S30" s="1"/>
  <c r="G29" i="2"/>
  <c r="W21" i="14"/>
  <c r="Q15" i="9"/>
  <c r="S15" s="1"/>
  <c r="D33" i="4"/>
  <c r="P33" s="1"/>
  <c r="Q33" s="1"/>
  <c r="D14"/>
  <c r="G14" s="1"/>
  <c r="D24"/>
  <c r="G24" s="1"/>
  <c r="W33" i="14"/>
  <c r="T33"/>
  <c r="D30" i="4"/>
  <c r="G30" s="1"/>
  <c r="AD20" i="11"/>
  <c r="AD40"/>
  <c r="F21" i="4"/>
  <c r="P21"/>
  <c r="Q21" s="1"/>
  <c r="G21"/>
  <c r="K31" i="2"/>
  <c r="D31" i="4"/>
  <c r="Q32" i="9"/>
  <c r="S32" s="1"/>
  <c r="Q18"/>
  <c r="S18" s="1"/>
  <c r="K17" i="2"/>
  <c r="F35"/>
  <c r="Q36" i="9"/>
  <c r="S36" s="1"/>
  <c r="G35" i="2"/>
  <c r="D35" i="4"/>
  <c r="W25" i="14"/>
  <c r="S44"/>
  <c r="T25"/>
  <c r="S13" i="2"/>
  <c r="R41"/>
  <c r="AD32" i="11"/>
  <c r="F22" i="2"/>
  <c r="G22"/>
  <c r="Q14" i="9"/>
  <c r="S14" s="1"/>
  <c r="K13" i="2"/>
  <c r="K11"/>
  <c r="Q12" i="9"/>
  <c r="D17" i="4"/>
  <c r="D34"/>
  <c r="D37"/>
  <c r="D29"/>
  <c r="D27"/>
  <c r="S27" i="2"/>
  <c r="AD16" i="11"/>
  <c r="AG45"/>
  <c r="N41" i="2"/>
  <c r="F25" i="4"/>
  <c r="P25"/>
  <c r="Q25" s="1"/>
  <c r="G25"/>
  <c r="Y25" i="7"/>
  <c r="J22" i="2"/>
  <c r="K22" s="1"/>
  <c r="D18" i="4"/>
  <c r="Q29" i="9"/>
  <c r="S29" s="1"/>
  <c r="X44" i="7"/>
  <c r="Y44" s="1"/>
  <c r="W35" i="14"/>
  <c r="T35"/>
  <c r="Q40" i="9"/>
  <c r="S40" s="1"/>
  <c r="G39" i="2"/>
  <c r="F39"/>
  <c r="D39" i="4"/>
  <c r="T16" i="14"/>
  <c r="AD17" i="11"/>
  <c r="AD36"/>
  <c r="D20" i="4"/>
  <c r="D26"/>
  <c r="D38"/>
  <c r="S50" i="14" l="1"/>
  <c r="D49"/>
  <c r="C65" i="2"/>
  <c r="H53" i="11"/>
  <c r="P28" i="4"/>
  <c r="Q28" s="1"/>
  <c r="F28"/>
  <c r="G11"/>
  <c r="O41"/>
  <c r="G36"/>
  <c r="O42" i="9"/>
  <c r="O50" i="12"/>
  <c r="S20" i="9"/>
  <c r="P11" i="4"/>
  <c r="Q11" s="1"/>
  <c r="AC43" i="12"/>
  <c r="P36" i="4"/>
  <c r="Q36" s="1"/>
  <c r="F36"/>
  <c r="G13"/>
  <c r="P13"/>
  <c r="Q13" s="1"/>
  <c r="P23"/>
  <c r="Q23" s="1"/>
  <c r="F23"/>
  <c r="F19"/>
  <c r="G19"/>
  <c r="D50" i="10"/>
  <c r="X45" i="13"/>
  <c r="N41" i="4"/>
  <c r="C41"/>
  <c r="G12"/>
  <c r="P12"/>
  <c r="Q12" s="1"/>
  <c r="Q16" i="9"/>
  <c r="S16" s="1"/>
  <c r="D15" i="4"/>
  <c r="G15" s="1"/>
  <c r="G32"/>
  <c r="F32"/>
  <c r="B41"/>
  <c r="P42" i="9"/>
  <c r="F30" i="4"/>
  <c r="F24"/>
  <c r="P24"/>
  <c r="Q24" s="1"/>
  <c r="G33"/>
  <c r="F33"/>
  <c r="P30"/>
  <c r="Q30" s="1"/>
  <c r="Q23" i="9"/>
  <c r="S23" s="1"/>
  <c r="F14" i="4"/>
  <c r="T44" i="14"/>
  <c r="P14" i="4"/>
  <c r="Q14" s="1"/>
  <c r="F39"/>
  <c r="P39"/>
  <c r="Q39" s="1"/>
  <c r="G39"/>
  <c r="F18"/>
  <c r="P18"/>
  <c r="Q18" s="1"/>
  <c r="G18"/>
  <c r="F37"/>
  <c r="P37"/>
  <c r="Q37" s="1"/>
  <c r="G37"/>
  <c r="P38"/>
  <c r="Q38" s="1"/>
  <c r="G38"/>
  <c r="F38"/>
  <c r="F29"/>
  <c r="P29"/>
  <c r="Q29" s="1"/>
  <c r="G29"/>
  <c r="S12" i="9"/>
  <c r="F26" i="4"/>
  <c r="P26"/>
  <c r="Q26" s="1"/>
  <c r="G26"/>
  <c r="O41" i="2"/>
  <c r="P34" i="4"/>
  <c r="Q34" s="1"/>
  <c r="G34"/>
  <c r="F34"/>
  <c r="F35"/>
  <c r="P35"/>
  <c r="Q35" s="1"/>
  <c r="G35"/>
  <c r="F20"/>
  <c r="P20"/>
  <c r="Q20" s="1"/>
  <c r="G20"/>
  <c r="F27"/>
  <c r="G27"/>
  <c r="P27"/>
  <c r="Q27" s="1"/>
  <c r="F17"/>
  <c r="P17"/>
  <c r="Q17" s="1"/>
  <c r="G17"/>
  <c r="S41" i="2"/>
  <c r="P31" i="4"/>
  <c r="Q31" s="1"/>
  <c r="F31"/>
  <c r="G31"/>
  <c r="J41" i="2"/>
  <c r="D22" i="4"/>
  <c r="Y45" i="13" l="1"/>
  <c r="X50"/>
  <c r="P15" i="4"/>
  <c r="Q15" s="1"/>
  <c r="F15"/>
  <c r="K41" i="2"/>
  <c r="F22" i="4"/>
  <c r="G22"/>
  <c r="P22"/>
  <c r="Q22" s="1"/>
  <c r="P42" i="5" l="1"/>
  <c r="Q42" s="1"/>
  <c r="Q17"/>
  <c r="D16" i="2"/>
  <c r="F16" s="1"/>
  <c r="D16" i="4" l="1"/>
  <c r="D41" i="2"/>
  <c r="D65" s="1"/>
  <c r="Q17" i="9"/>
  <c r="G16" i="2"/>
  <c r="H67" l="1"/>
  <c r="H69" s="1"/>
  <c r="H70"/>
  <c r="F16" i="4"/>
  <c r="D41"/>
  <c r="D56" i="2" s="1"/>
  <c r="P16" i="4"/>
  <c r="G16"/>
  <c r="G41" i="2"/>
  <c r="S17" i="9"/>
  <c r="Q42"/>
  <c r="H65" i="2" l="1"/>
  <c r="R56"/>
  <c r="N56"/>
  <c r="J56"/>
  <c r="G41" i="4"/>
  <c r="Q16"/>
  <c r="P41"/>
</calcChain>
</file>

<file path=xl/comments1.xml><?xml version="1.0" encoding="utf-8"?>
<comments xmlns="http://schemas.openxmlformats.org/spreadsheetml/2006/main">
  <authors>
    <author>MMB</author>
    <author>sebelomi</author>
  </authors>
  <commentList>
    <comment ref="V18" authorId="0">
      <text>
        <r>
          <rPr>
            <b/>
            <sz val="8"/>
            <color indexed="81"/>
            <rFont val="Tahoma"/>
            <family val="2"/>
            <charset val="238"/>
          </rPr>
          <t>MMB:</t>
        </r>
        <r>
          <rPr>
            <sz val="8"/>
            <color indexed="81"/>
            <rFont val="Tahoma"/>
            <family val="2"/>
            <charset val="238"/>
          </rPr>
          <t xml:space="preserve">
203.536</t>
        </r>
      </text>
    </comment>
    <comment ref="H19" authorId="1">
      <text>
        <r>
          <rPr>
            <b/>
            <sz val="9"/>
            <color indexed="81"/>
            <rFont val="Tahoma"/>
            <family val="2"/>
            <charset val="238"/>
          </rPr>
          <t>-1
500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0" authorId="1">
      <text>
        <r>
          <rPr>
            <sz val="9"/>
            <color indexed="81"/>
            <rFont val="Tahoma"/>
            <family val="2"/>
            <charset val="238"/>
          </rPr>
          <t xml:space="preserve">+1
187.461
</t>
        </r>
      </text>
    </comment>
    <comment ref="V20" authorId="0">
      <text>
        <r>
          <rPr>
            <b/>
            <sz val="8"/>
            <color indexed="81"/>
            <rFont val="Tahoma"/>
            <family val="2"/>
            <charset val="238"/>
          </rPr>
          <t>MMB:</t>
        </r>
        <r>
          <rPr>
            <sz val="8"/>
            <color indexed="81"/>
            <rFont val="Tahoma"/>
            <family val="2"/>
            <charset val="238"/>
          </rPr>
          <t xml:space="preserve">
45.625</t>
        </r>
      </text>
    </comment>
    <comment ref="V21" authorId="0">
      <text>
        <r>
          <rPr>
            <b/>
            <sz val="8"/>
            <color indexed="81"/>
            <rFont val="Tahoma"/>
            <family val="2"/>
            <charset val="238"/>
          </rPr>
          <t>MMB:</t>
        </r>
        <r>
          <rPr>
            <sz val="8"/>
            <color indexed="81"/>
            <rFont val="Tahoma"/>
            <family val="2"/>
            <charset val="238"/>
          </rPr>
          <t xml:space="preserve">
411.431</t>
        </r>
      </text>
    </comment>
    <comment ref="V22" authorId="0">
      <text>
        <r>
          <rPr>
            <b/>
            <sz val="8"/>
            <color indexed="81"/>
            <rFont val="Tahoma"/>
            <family val="2"/>
            <charset val="238"/>
          </rPr>
          <t>MMB:</t>
        </r>
        <r>
          <rPr>
            <sz val="8"/>
            <color indexed="81"/>
            <rFont val="Tahoma"/>
            <family val="2"/>
            <charset val="238"/>
          </rPr>
          <t xml:space="preserve">
367.527</t>
        </r>
      </text>
    </comment>
    <comment ref="V24" authorId="0">
      <text>
        <r>
          <rPr>
            <b/>
            <sz val="8"/>
            <color indexed="81"/>
            <rFont val="Tahoma"/>
            <family val="2"/>
            <charset val="238"/>
          </rPr>
          <t>MMB:</t>
        </r>
        <r>
          <rPr>
            <sz val="8"/>
            <color indexed="81"/>
            <rFont val="Tahoma"/>
            <family val="2"/>
            <charset val="238"/>
          </rPr>
          <t xml:space="preserve">
-1
790.547</t>
        </r>
      </text>
    </comment>
    <comment ref="L26" authorId="1">
      <text>
        <r>
          <rPr>
            <b/>
            <sz val="9"/>
            <color indexed="81"/>
            <rFont val="Tahoma"/>
            <family val="2"/>
            <charset val="238"/>
          </rPr>
          <t>19.601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2" authorId="1">
      <text>
        <r>
          <rPr>
            <b/>
            <sz val="9"/>
            <color indexed="81"/>
            <rFont val="Tahoma"/>
            <family val="2"/>
            <charset val="238"/>
          </rPr>
          <t>+1
433.435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38" authorId="0">
      <text>
        <r>
          <rPr>
            <b/>
            <sz val="8"/>
            <color indexed="81"/>
            <rFont val="Tahoma"/>
            <family val="2"/>
            <charset val="238"/>
          </rPr>
          <t>MMB:</t>
        </r>
        <r>
          <rPr>
            <sz val="8"/>
            <color indexed="81"/>
            <rFont val="Tahoma"/>
            <family val="2"/>
            <charset val="238"/>
          </rPr>
          <t xml:space="preserve">
108.518</t>
        </r>
      </text>
    </comment>
  </commentList>
</comments>
</file>

<file path=xl/comments2.xml><?xml version="1.0" encoding="utf-8"?>
<comments xmlns="http://schemas.openxmlformats.org/spreadsheetml/2006/main">
  <authors>
    <author>sebelomi</author>
  </authors>
  <commentList>
    <comment ref="H16" authorId="0">
      <text>
        <r>
          <rPr>
            <b/>
            <sz val="9"/>
            <color indexed="81"/>
            <rFont val="Tahoma"/>
            <family val="2"/>
            <charset val="238"/>
          </rPr>
          <t>+1
349.457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7" authorId="0">
      <text>
        <r>
          <rPr>
            <b/>
            <sz val="9"/>
            <color indexed="81"/>
            <rFont val="Tahoma"/>
            <family val="2"/>
            <charset val="238"/>
          </rPr>
          <t>508.505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25.363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5" authorId="0">
      <text>
        <r>
          <rPr>
            <b/>
            <sz val="9"/>
            <color indexed="81"/>
            <rFont val="Tahoma"/>
            <family val="2"/>
            <charset val="238"/>
          </rPr>
          <t>3.863.561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8" authorId="0">
      <text>
        <r>
          <rPr>
            <b/>
            <sz val="9"/>
            <color indexed="81"/>
            <rFont val="Tahoma"/>
            <family val="2"/>
            <charset val="238"/>
          </rPr>
          <t>757.455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0" authorId="0">
      <text>
        <r>
          <rPr>
            <b/>
            <sz val="9"/>
            <color indexed="81"/>
            <rFont val="Tahoma"/>
            <family val="2"/>
            <charset val="238"/>
          </rPr>
          <t>410.459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2" authorId="0">
      <text>
        <r>
          <rPr>
            <b/>
            <sz val="9"/>
            <color indexed="81"/>
            <rFont val="Tahoma"/>
            <family val="2"/>
            <charset val="238"/>
          </rPr>
          <t>+1
1.440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5" authorId="0">
      <text>
        <r>
          <rPr>
            <b/>
            <sz val="9"/>
            <color indexed="81"/>
            <rFont val="Tahoma"/>
            <family val="2"/>
            <charset val="238"/>
          </rPr>
          <t>2.905.517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7" authorId="0">
      <text>
        <r>
          <rPr>
            <b/>
            <sz val="9"/>
            <color indexed="81"/>
            <rFont val="Tahoma"/>
            <family val="2"/>
            <charset val="238"/>
          </rPr>
          <t>631.535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40" authorId="0">
      <text>
        <r>
          <rPr>
            <b/>
            <sz val="9"/>
            <color indexed="81"/>
            <rFont val="Tahoma"/>
            <family val="2"/>
            <charset val="238"/>
          </rPr>
          <t>303.590</t>
        </r>
      </text>
    </comment>
    <comment ref="D58" authorId="0">
      <text>
        <r>
          <rPr>
            <b/>
            <sz val="9"/>
            <color indexed="81"/>
            <rFont val="Tahoma"/>
            <family val="2"/>
            <charset val="238"/>
          </rPr>
          <t>4.571.593</t>
        </r>
      </text>
    </comment>
    <comment ref="L61" authorId="0">
      <text>
        <r>
          <rPr>
            <sz val="9"/>
            <color indexed="81"/>
            <rFont val="Tahoma"/>
            <family val="2"/>
            <charset val="238"/>
          </rPr>
          <t>900.566</t>
        </r>
      </text>
    </comment>
    <comment ref="H68" authorId="0">
      <text>
        <r>
          <rPr>
            <b/>
            <sz val="9"/>
            <color indexed="81"/>
            <rFont val="Tahoma"/>
            <family val="2"/>
            <charset val="238"/>
          </rPr>
          <t>sebelomi:</t>
        </r>
        <r>
          <rPr>
            <sz val="9"/>
            <color indexed="81"/>
            <rFont val="Tahoma"/>
            <family val="2"/>
            <charset val="238"/>
          </rPr>
          <t xml:space="preserve">
13..576</t>
        </r>
      </text>
    </comment>
    <comment ref="L70" authorId="0">
      <text>
        <r>
          <rPr>
            <b/>
            <sz val="9"/>
            <color indexed="81"/>
            <rFont val="Tahoma"/>
            <family val="2"/>
            <charset val="238"/>
          </rPr>
          <t>57.452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71" authorId="0">
      <text>
        <r>
          <rPr>
            <b/>
            <sz val="9"/>
            <color indexed="81"/>
            <rFont val="Tahoma"/>
            <family val="2"/>
            <charset val="238"/>
          </rPr>
          <t>-1
150.552</t>
        </r>
      </text>
    </comment>
    <comment ref="H74" authorId="0">
      <text>
        <r>
          <rPr>
            <b/>
            <sz val="9"/>
            <color indexed="81"/>
            <rFont val="Tahoma"/>
            <family val="2"/>
            <charset val="238"/>
          </rPr>
          <t>349.430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8" authorId="0">
      <text>
        <r>
          <rPr>
            <b/>
            <sz val="9"/>
            <color indexed="81"/>
            <rFont val="Tahoma"/>
            <family val="2"/>
            <charset val="238"/>
          </rPr>
          <t>-1
550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80" authorId="0">
      <text>
        <r>
          <rPr>
            <b/>
            <sz val="9"/>
            <color indexed="81"/>
            <rFont val="Tahoma"/>
            <family val="2"/>
            <charset val="238"/>
          </rPr>
          <t>436.464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sebelomi</author>
  </authors>
  <commentList>
    <comment ref="L14" authorId="0">
      <text>
        <r>
          <rPr>
            <b/>
            <sz val="9"/>
            <color indexed="81"/>
            <rFont val="Tahoma"/>
            <family val="2"/>
            <charset val="238"/>
          </rPr>
          <t>1.965.466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4" authorId="0">
      <text>
        <r>
          <rPr>
            <b/>
            <sz val="9"/>
            <color indexed="81"/>
            <rFont val="Tahoma"/>
            <family val="2"/>
            <charset val="238"/>
          </rPr>
          <t>+1
2.299.457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7" authorId="0">
      <text>
        <r>
          <rPr>
            <b/>
            <sz val="9"/>
            <color indexed="81"/>
            <rFont val="Tahoma"/>
            <family val="2"/>
            <charset val="238"/>
          </rPr>
          <t>+1
44.400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8" authorId="0">
      <text>
        <r>
          <rPr>
            <b/>
            <sz val="9"/>
            <color indexed="81"/>
            <rFont val="Tahoma"/>
            <family val="2"/>
            <charset val="238"/>
          </rPr>
          <t>-1
88.541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+1
502.490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  <charset val="238"/>
          </rPr>
          <t xml:space="preserve">2.090.503
</t>
        </r>
      </text>
    </comment>
    <comment ref="P22" authorId="0">
      <text>
        <r>
          <rPr>
            <b/>
            <sz val="9"/>
            <color indexed="81"/>
            <rFont val="Tahoma"/>
            <family val="2"/>
            <charset val="238"/>
          </rPr>
          <t>54.500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38"/>
          </rPr>
          <t>53.415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5" authorId="0">
      <text>
        <r>
          <rPr>
            <b/>
            <sz val="9"/>
            <color indexed="81"/>
            <rFont val="Tahoma"/>
            <family val="2"/>
            <charset val="238"/>
          </rPr>
          <t>17.434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6" authorId="0">
      <text>
        <r>
          <rPr>
            <sz val="9"/>
            <color indexed="81"/>
            <rFont val="Tahoma"/>
            <family val="2"/>
            <charset val="238"/>
          </rPr>
          <t xml:space="preserve">196.534
</t>
        </r>
      </text>
    </comment>
    <comment ref="D27" authorId="0">
      <text>
        <r>
          <rPr>
            <b/>
            <sz val="9"/>
            <color indexed="81"/>
            <rFont val="Tahoma"/>
            <family val="2"/>
            <charset val="238"/>
          </rPr>
          <t>-1
18.515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38"/>
          </rPr>
          <t>45.564</t>
        </r>
      </text>
    </comment>
    <comment ref="H28" authorId="0">
      <text>
        <r>
          <rPr>
            <b/>
            <sz val="9"/>
            <color indexed="81"/>
            <rFont val="Tahoma"/>
            <family val="2"/>
            <charset val="238"/>
          </rPr>
          <t>3.530.485</t>
        </r>
      </text>
    </comment>
    <comment ref="L30" authorId="0">
      <text>
        <r>
          <rPr>
            <b/>
            <sz val="9"/>
            <color indexed="81"/>
            <rFont val="Tahoma"/>
            <family val="2"/>
            <charset val="238"/>
          </rPr>
          <t>786.564</t>
        </r>
      </text>
    </comment>
    <comment ref="D31" authorId="0">
      <text>
        <r>
          <rPr>
            <b/>
            <sz val="9"/>
            <color indexed="81"/>
            <rFont val="Tahoma"/>
            <family val="2"/>
            <charset val="238"/>
          </rPr>
          <t>2.028.423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family val="2"/>
            <charset val="238"/>
          </rPr>
          <t>5.381.480</t>
        </r>
      </text>
    </comment>
    <comment ref="L32" authorId="0">
      <text>
        <r>
          <rPr>
            <b/>
            <sz val="9"/>
            <color indexed="81"/>
            <rFont val="Tahoma"/>
            <family val="2"/>
            <charset val="238"/>
          </rPr>
          <t>+1
317.471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2.338.405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5" authorId="0">
      <text>
        <r>
          <rPr>
            <b/>
            <sz val="9"/>
            <color indexed="81"/>
            <rFont val="Tahoma"/>
            <family val="2"/>
            <charset val="238"/>
          </rPr>
          <t>4.500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8" authorId="0">
      <text>
        <r>
          <rPr>
            <b/>
            <sz val="9"/>
            <color indexed="81"/>
            <rFont val="Tahoma"/>
            <family val="2"/>
            <charset val="238"/>
          </rPr>
          <t>-1
275.572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8" authorId="0">
      <text>
        <r>
          <rPr>
            <b/>
            <sz val="9"/>
            <color indexed="81"/>
            <rFont val="Tahoma"/>
            <family val="2"/>
            <charset val="238"/>
          </rPr>
          <t>281.435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40" authorId="0">
      <text>
        <r>
          <rPr>
            <b/>
            <sz val="9"/>
            <color indexed="81"/>
            <rFont val="Tahoma"/>
            <family val="2"/>
            <charset val="238"/>
          </rPr>
          <t>1.513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38"/>
          </rPr>
          <t>33.510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238"/>
          </rPr>
          <t>92.527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sebelomi</author>
  </authors>
  <commentList>
    <comment ref="P18" authorId="0">
      <text>
        <r>
          <rPr>
            <b/>
            <sz val="9"/>
            <color indexed="81"/>
            <rFont val="Tahoma"/>
            <family val="2"/>
            <charset val="238"/>
          </rPr>
          <t>+1
104.386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2" authorId="0">
      <text>
        <r>
          <rPr>
            <b/>
            <sz val="9"/>
            <color indexed="81"/>
            <rFont val="Tahoma"/>
            <family val="2"/>
            <charset val="238"/>
          </rPr>
          <t>sebelomi:</t>
        </r>
        <r>
          <rPr>
            <sz val="9"/>
            <color indexed="81"/>
            <rFont val="Tahoma"/>
            <family val="2"/>
            <charset val="238"/>
          </rPr>
          <t xml:space="preserve">
2.279.449</t>
        </r>
      </text>
    </comment>
    <comment ref="P23" authorId="0">
      <text>
        <r>
          <rPr>
            <b/>
            <sz val="9"/>
            <color indexed="81"/>
            <rFont val="Tahoma"/>
            <family val="2"/>
            <charset val="238"/>
          </rPr>
          <t>67.488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24" authorId="0">
      <text>
        <r>
          <rPr>
            <b/>
            <sz val="9"/>
            <color indexed="81"/>
            <rFont val="Tahoma"/>
            <family val="2"/>
            <charset val="238"/>
          </rPr>
          <t>-1
898.500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38"/>
          </rPr>
          <t>+1
3.070.474</t>
        </r>
      </text>
    </comment>
    <comment ref="T27" authorId="0">
      <text>
        <r>
          <rPr>
            <b/>
            <sz val="9"/>
            <color indexed="81"/>
            <rFont val="Tahoma"/>
            <family val="2"/>
            <charset val="238"/>
          </rPr>
          <t>60.232.588</t>
        </r>
      </text>
    </comment>
    <comment ref="T28" authorId="0">
      <text>
        <r>
          <rPr>
            <b/>
            <sz val="9"/>
            <color indexed="81"/>
            <rFont val="Tahoma"/>
            <family val="2"/>
            <charset val="238"/>
          </rPr>
          <t>+1
15.462.462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family val="2"/>
            <charset val="238"/>
          </rPr>
          <t>44.260.402
+1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32" authorId="0">
      <text>
        <r>
          <rPr>
            <b/>
            <sz val="9"/>
            <color indexed="81"/>
            <rFont val="Tahoma"/>
            <family val="2"/>
            <charset val="238"/>
          </rPr>
          <t>13.510.401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5" authorId="0">
      <text>
        <r>
          <rPr>
            <sz val="9"/>
            <color indexed="81"/>
            <rFont val="Tahoma"/>
            <family val="2"/>
            <charset val="238"/>
          </rPr>
          <t>+1
1.030.499</t>
        </r>
      </text>
    </comment>
  </commentList>
</comments>
</file>

<file path=xl/comments5.xml><?xml version="1.0" encoding="utf-8"?>
<comments xmlns="http://schemas.openxmlformats.org/spreadsheetml/2006/main">
  <authors>
    <author>MMB</author>
    <author>sebelomi</author>
  </authors>
  <commentList>
    <comment ref="J12" authorId="0">
      <text>
        <r>
          <rPr>
            <b/>
            <sz val="8"/>
            <color indexed="81"/>
            <rFont val="Tahoma"/>
            <family val="2"/>
            <charset val="238"/>
          </rPr>
          <t>MMB:</t>
        </r>
        <r>
          <rPr>
            <sz val="8"/>
            <color indexed="81"/>
            <rFont val="Tahoma"/>
            <family val="2"/>
            <charset val="238"/>
          </rPr>
          <t xml:space="preserve">
ZJ 024+028+od jiných MČ (z výd. jiných MČ p. 5321)</t>
        </r>
      </text>
    </comment>
    <comment ref="O27" authorId="1">
      <text>
        <r>
          <rPr>
            <b/>
            <sz val="9"/>
            <color indexed="81"/>
            <rFont val="Tahoma"/>
            <family val="2"/>
            <charset val="238"/>
          </rPr>
          <t>+1
90.495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sebelomi</author>
  </authors>
  <commentList>
    <comment ref="F14" authorId="0">
      <text>
        <r>
          <rPr>
            <b/>
            <sz val="9"/>
            <color indexed="81"/>
            <rFont val="Tahoma"/>
            <family val="2"/>
            <charset val="238"/>
          </rPr>
          <t>+1
196.458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238"/>
          </rPr>
          <t xml:space="preserve">-1
1.667.532
</t>
        </r>
      </text>
    </comment>
  </commentList>
</comments>
</file>

<file path=xl/comments7.xml><?xml version="1.0" encoding="utf-8"?>
<comments xmlns="http://schemas.openxmlformats.org/spreadsheetml/2006/main">
  <authors>
    <author>sebelomi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38"/>
          </rPr>
          <t>-1
9.604.521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67.664.488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family val="2"/>
            <charset val="238"/>
          </rPr>
          <t>28.436.497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3" authorId="0">
      <text>
        <r>
          <rPr>
            <b/>
            <sz val="9"/>
            <color indexed="81"/>
            <rFont val="Tahoma"/>
            <family val="2"/>
            <charset val="238"/>
          </rPr>
          <t>5.126.546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4" authorId="0">
      <text>
        <r>
          <rPr>
            <b/>
            <sz val="9"/>
            <color indexed="81"/>
            <rFont val="Tahoma"/>
            <family val="2"/>
            <charset val="238"/>
          </rPr>
          <t>-1
265.242.514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6" authorId="0">
      <text>
        <r>
          <rPr>
            <b/>
            <sz val="9"/>
            <color indexed="81"/>
            <rFont val="Tahoma"/>
            <family val="2"/>
            <charset val="238"/>
          </rPr>
          <t>35.033.469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family val="2"/>
            <charset val="238"/>
          </rPr>
          <t>17.627.476</t>
        </r>
      </text>
    </commen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112.453.518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family val="2"/>
            <charset val="238"/>
          </rPr>
          <t>-1
36.736.523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3" authorId="0">
      <text>
        <r>
          <rPr>
            <b/>
            <sz val="9"/>
            <color indexed="81"/>
            <rFont val="Tahoma"/>
            <family val="2"/>
            <charset val="238"/>
          </rPr>
          <t>-1
1.158.500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sebelomi</author>
  </authors>
  <commentList>
    <comment ref="O15" authorId="0">
      <text>
        <r>
          <rPr>
            <b/>
            <sz val="9"/>
            <color indexed="81"/>
            <rFont val="Tahoma"/>
            <family val="2"/>
            <charset val="238"/>
          </rPr>
          <t>-1
80.468.566</t>
        </r>
      </text>
    </comment>
    <comment ref="P15" authorId="0">
      <text>
        <r>
          <rPr>
            <b/>
            <sz val="9"/>
            <color indexed="81"/>
            <rFont val="Tahoma"/>
            <family val="2"/>
            <charset val="238"/>
          </rPr>
          <t>-1
80.468.566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238"/>
          </rPr>
          <t>5.210.537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38"/>
          </rPr>
          <t>+1
59.550.458</t>
        </r>
      </text>
    </comment>
  </commentList>
</comments>
</file>

<file path=xl/comments9.xml><?xml version="1.0" encoding="utf-8"?>
<comments xmlns="http://schemas.openxmlformats.org/spreadsheetml/2006/main">
  <authors>
    <author>sebelomi</author>
  </authors>
  <commentList>
    <comment ref="D16" authorId="0">
      <text>
        <r>
          <rPr>
            <b/>
            <sz val="9"/>
            <color indexed="81"/>
            <rFont val="Tahoma"/>
            <family val="2"/>
            <charset val="238"/>
          </rPr>
          <t>2.962.692</t>
        </r>
      </text>
    </comment>
    <comment ref="P19" authorId="0">
      <text>
        <r>
          <rPr>
            <b/>
            <sz val="9"/>
            <color indexed="81"/>
            <rFont val="Tahoma"/>
            <family val="2"/>
            <charset val="238"/>
          </rPr>
          <t>+1
9.969.646</t>
        </r>
      </text>
    </comment>
    <comment ref="D23" authorId="0">
      <text>
        <r>
          <rPr>
            <b/>
            <sz val="9"/>
            <color indexed="81"/>
            <rFont val="Tahoma"/>
            <family val="2"/>
            <charset val="238"/>
          </rPr>
          <t>-1
3.680.470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38"/>
          </rPr>
          <t>-1
8.023.206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8" authorId="0">
      <text>
        <r>
          <rPr>
            <b/>
            <sz val="9"/>
            <color indexed="81"/>
            <rFont val="Tahoma"/>
            <family val="2"/>
            <charset val="238"/>
          </rPr>
          <t>-1
-7.819.414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3" authorId="0">
      <text>
        <r>
          <rPr>
            <b/>
            <sz val="9"/>
            <color indexed="81"/>
            <rFont val="Tahoma"/>
            <family val="2"/>
            <charset val="238"/>
          </rPr>
          <t>-1
105.586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<sst xmlns="http://schemas.openxmlformats.org/spreadsheetml/2006/main" count="1050" uniqueCount="262">
  <si>
    <t>%</t>
  </si>
  <si>
    <t>v tis. Kč</t>
  </si>
  <si>
    <t>Skutečnost</t>
  </si>
  <si>
    <t>součet</t>
  </si>
  <si>
    <t xml:space="preserve"> </t>
  </si>
  <si>
    <t>obyvatel</t>
  </si>
  <si>
    <t xml:space="preserve">    příjmy</t>
  </si>
  <si>
    <t xml:space="preserve">     výdaje</t>
  </si>
  <si>
    <t>zůst.fin.prost.</t>
  </si>
  <si>
    <t xml:space="preserve">  str. 2</t>
  </si>
  <si>
    <t xml:space="preserve">  </t>
  </si>
  <si>
    <t>k UR</t>
  </si>
  <si>
    <t>SR</t>
  </si>
  <si>
    <t>UR</t>
  </si>
  <si>
    <t>Daňové příjmy</t>
  </si>
  <si>
    <t>P O Č E T</t>
  </si>
  <si>
    <t>Nedaňové příjmy</t>
  </si>
  <si>
    <t>P Ř Í J M Y</t>
  </si>
  <si>
    <t>Kapitálové příjmy</t>
  </si>
  <si>
    <t>V Ý D A J E</t>
  </si>
  <si>
    <t>P Ř Í J M Y    a     V Ý D A J E</t>
  </si>
  <si>
    <t>Účto</t>
  </si>
  <si>
    <t>P Ř Í J M Y    celkem</t>
  </si>
  <si>
    <t>V Ý D A J E    celkem</t>
  </si>
  <si>
    <t>S A L D O   příjmů  a výdajů</t>
  </si>
  <si>
    <t xml:space="preserve">  str. 1</t>
  </si>
  <si>
    <t>D A Ň O V É      P Ř Í J M Y</t>
  </si>
  <si>
    <t>str. 2.1</t>
  </si>
  <si>
    <t>Daň z příjmů právnických osob za obce</t>
  </si>
  <si>
    <t>Poplatky a odvody v oblasti životního  prostředí</t>
  </si>
  <si>
    <t>Ostatní odvody z vybraných služeb a činností</t>
  </si>
  <si>
    <t>Správní poplatky</t>
  </si>
  <si>
    <t>Rozpočet</t>
  </si>
  <si>
    <t>Skuteč.</t>
  </si>
  <si>
    <t>schválený</t>
  </si>
  <si>
    <t>upravený</t>
  </si>
  <si>
    <t>p. 1122</t>
  </si>
  <si>
    <t>p. 133x</t>
  </si>
  <si>
    <t>p. 135x</t>
  </si>
  <si>
    <t>p. 1361</t>
  </si>
  <si>
    <t xml:space="preserve">Celkem: </t>
  </si>
  <si>
    <t>OSTATNÍ  DANĚ  A  POPLATKY  z  vybraných  činností  a  služeb</t>
  </si>
  <si>
    <t xml:space="preserve">  Místní  poplatky</t>
  </si>
  <si>
    <t xml:space="preserve"> z toho  :</t>
  </si>
  <si>
    <t>c e l k e m</t>
  </si>
  <si>
    <t>ze  psů</t>
  </si>
  <si>
    <t>za lázeňský nebo rekreační pobyt</t>
  </si>
  <si>
    <t>za užívání veřejného prostranství</t>
  </si>
  <si>
    <t>p. 1341</t>
  </si>
  <si>
    <t>p. 1342</t>
  </si>
  <si>
    <t>p. 1343</t>
  </si>
  <si>
    <t xml:space="preserve">   </t>
  </si>
  <si>
    <t xml:space="preserve"> (pokračování)</t>
  </si>
  <si>
    <t>z ubytovací kapacity</t>
  </si>
  <si>
    <t>zrušené místní poplatky</t>
  </si>
  <si>
    <t>p. 1344</t>
  </si>
  <si>
    <t>p. 1345</t>
  </si>
  <si>
    <t>p. 1347</t>
  </si>
  <si>
    <t>p. 1349</t>
  </si>
  <si>
    <t>N E D A Ň O V É      P Ř Í J M Y</t>
  </si>
  <si>
    <t xml:space="preserve">      </t>
  </si>
  <si>
    <t>Příjmy z vlastní činnosti</t>
  </si>
  <si>
    <t>Příjmy  z  pronájmu  majetku</t>
  </si>
  <si>
    <t>Přijaté sankční platby</t>
  </si>
  <si>
    <t>p. 211x</t>
  </si>
  <si>
    <t>p. 212x</t>
  </si>
  <si>
    <t>p. 213x</t>
  </si>
  <si>
    <t>p. 2141</t>
  </si>
  <si>
    <t>p. 221x</t>
  </si>
  <si>
    <t>p.211x</t>
  </si>
  <si>
    <t>p.213x</t>
  </si>
  <si>
    <t>p.221x</t>
  </si>
  <si>
    <t>K A P I T Á L O V É      P Ř Í J M Y</t>
  </si>
  <si>
    <t>p. 311x</t>
  </si>
  <si>
    <t>p. 312x</t>
  </si>
  <si>
    <t xml:space="preserve"> z všeobecné pokladní správy  SR</t>
  </si>
  <si>
    <t xml:space="preserve">ze SR v rámci souhr. dotačního vztahu </t>
  </si>
  <si>
    <t>ze státních fondů</t>
  </si>
  <si>
    <t>p. 4111</t>
  </si>
  <si>
    <t>p. 4112</t>
  </si>
  <si>
    <t>p. 4113</t>
  </si>
  <si>
    <t>p. 4116</t>
  </si>
  <si>
    <t>z   t o h o :</t>
  </si>
  <si>
    <t>od města</t>
  </si>
  <si>
    <t>p. 4121</t>
  </si>
  <si>
    <t>v tis.Kč</t>
  </si>
  <si>
    <t>p. 4131</t>
  </si>
  <si>
    <t xml:space="preserve">Převody z vlastních fondů </t>
  </si>
  <si>
    <t>Převody z ostatních vlastních fondů</t>
  </si>
  <si>
    <t>hospodářské činnosti</t>
  </si>
  <si>
    <t>účto</t>
  </si>
  <si>
    <t>p. 4132</t>
  </si>
  <si>
    <t>p. 4213</t>
  </si>
  <si>
    <t>p. 4221</t>
  </si>
  <si>
    <t xml:space="preserve">         B Ě Ž N É   V Ý D A J E</t>
  </si>
  <si>
    <t xml:space="preserve">                  str. 3.1</t>
  </si>
  <si>
    <t>Úroky vlastní</t>
  </si>
  <si>
    <t>Neinv.transfery příspěv.a podob. org.</t>
  </si>
  <si>
    <t>Ostatní  běžné  výdaje</t>
  </si>
  <si>
    <t>p. 5141</t>
  </si>
  <si>
    <t>p. 5366</t>
  </si>
  <si>
    <t>p. 5321</t>
  </si>
  <si>
    <t>p. 533x</t>
  </si>
  <si>
    <t>zbýv. tř. 5</t>
  </si>
  <si>
    <t>tř.5</t>
  </si>
  <si>
    <t>p.5141</t>
  </si>
  <si>
    <t>p.5366</t>
  </si>
  <si>
    <t>p.5321</t>
  </si>
  <si>
    <t>p.533x</t>
  </si>
  <si>
    <t>zbýv.pol.tř.5</t>
  </si>
  <si>
    <t>s tab. Př. A výd.</t>
  </si>
  <si>
    <t>tř. 5</t>
  </si>
  <si>
    <t>K A P I T Á L O V É      V Ý D A J E</t>
  </si>
  <si>
    <t>str. 3.2</t>
  </si>
  <si>
    <t>K A P I T Á L O V É     V Ý D A J E</t>
  </si>
  <si>
    <t>P ř í j m y   z   p r o d e j e    d l o u h o d o b é h o    m a j e t k u  (kromě drobného)</t>
  </si>
  <si>
    <t xml:space="preserve">   O D  K R A J E</t>
  </si>
  <si>
    <t>p. 4122</t>
  </si>
  <si>
    <t>p. 4222</t>
  </si>
  <si>
    <t>p. 4216</t>
  </si>
  <si>
    <t>Ostatní investiční přijaté</t>
  </si>
  <si>
    <t>p. 8123</t>
  </si>
  <si>
    <t xml:space="preserve">Změna stavu krátkodobých prostředků </t>
  </si>
  <si>
    <t>na bankovních účtech</t>
  </si>
  <si>
    <t xml:space="preserve">Dlouhodobě přijaté půjčené </t>
  </si>
  <si>
    <t>prostředky od města</t>
  </si>
  <si>
    <t>Uhrazené splátky dlouhodobých</t>
  </si>
  <si>
    <t>přijatých prostředků od města</t>
  </si>
  <si>
    <t>přijatých prostředků - úvěry</t>
  </si>
  <si>
    <t>p. 8124</t>
  </si>
  <si>
    <t>p.214x</t>
  </si>
  <si>
    <t>F I N A N C O VÁ N Í</t>
  </si>
  <si>
    <t>od jiných MČ, od jiných obcí</t>
  </si>
  <si>
    <t>OD  MEZINÁRODNÍCH INSTITUCÍ</t>
  </si>
  <si>
    <t>p. 4152</t>
  </si>
  <si>
    <t>Přijaté transfery</t>
  </si>
  <si>
    <t>N   E  I  N  V  E  S  T  I  Č  N  Í     P  Ř  I   J  A  T  É     T  R  A  N  S  F  E  R  Y              O D   O B C Í</t>
  </si>
  <si>
    <t>transfery ze státního rozpočtu</t>
  </si>
  <si>
    <t>Investiční přijaté transfery od krajů</t>
  </si>
  <si>
    <t>Neinv. transfery obcím, MČ a MMB</t>
  </si>
  <si>
    <t>ostatní transfery ze SR</t>
  </si>
  <si>
    <t>skutečnost</t>
  </si>
  <si>
    <t>p. 2226</t>
  </si>
  <si>
    <t>kapitálové příjmy celkem</t>
  </si>
  <si>
    <t>Vlastní příjmy celkem</t>
  </si>
  <si>
    <t>1 + 2 + 3</t>
  </si>
  <si>
    <t xml:space="preserve">Investiční přijaté transfery </t>
  </si>
  <si>
    <t>Přijaté transfery celkem</t>
  </si>
  <si>
    <t>kontrola</t>
  </si>
  <si>
    <t>financování celkem</t>
  </si>
  <si>
    <t>čerpání</t>
  </si>
  <si>
    <t>P R O V O Z N Í     V Ý D A J E</t>
  </si>
  <si>
    <t>P  R  O  V  O  Z  N  Í        V  Ý  D  A  J  E</t>
  </si>
  <si>
    <t>K  A  P  I  T  Á  L  O  V  É       V  Ý  D  A  J  E</t>
  </si>
  <si>
    <t xml:space="preserve">N     E     I     N     V     E     S     T     I     Č     N     Í                    P     Ř     I     J     A     T     É                    T     R    A    N    S    F    E    R    Y </t>
  </si>
  <si>
    <t>Investiční transfery od města</t>
  </si>
  <si>
    <t>p. 5367 s městem</t>
  </si>
  <si>
    <t>zbývající pol. třídy 5</t>
  </si>
  <si>
    <t>p. 4240</t>
  </si>
  <si>
    <t>ze státních finančních aktiv</t>
  </si>
  <si>
    <t>k 31.12.2008</t>
  </si>
  <si>
    <t>k 31.12.</t>
  </si>
  <si>
    <t>str. 2.2</t>
  </si>
  <si>
    <t xml:space="preserve"> T  R A N S F E R Y    -     neinvestiční     -     2. část</t>
  </si>
  <si>
    <t>Investiční transfery z rozpočtu města</t>
  </si>
  <si>
    <t xml:space="preserve">       Jiné nedaňové příjmy</t>
  </si>
  <si>
    <t xml:space="preserve">Aktivní krátkodobé operace </t>
  </si>
  <si>
    <t>řízení likvidity</t>
  </si>
  <si>
    <t xml:space="preserve">Aktivní dlouhodobé operace </t>
  </si>
  <si>
    <t>p. 8117, 8118</t>
  </si>
  <si>
    <t>p. 8127, 8128</t>
  </si>
  <si>
    <t>p. 4151</t>
  </si>
  <si>
    <t>v Kč</t>
  </si>
  <si>
    <t>zbývající pol. třídy 2</t>
  </si>
  <si>
    <t xml:space="preserve"> v  tom  :</t>
  </si>
  <si>
    <t xml:space="preserve"> v  tom (zdroj) :</t>
  </si>
  <si>
    <t>(s ORG, ÚZ, bez označení)</t>
  </si>
  <si>
    <t>rozpočtu státních fondů a Jihomoravského kraje</t>
  </si>
  <si>
    <t>Ostatní kapitálové výdaje</t>
  </si>
  <si>
    <t>a jiných MČ</t>
  </si>
  <si>
    <t>kontrola k 31.12.2009</t>
  </si>
  <si>
    <t>str. 2.5a</t>
  </si>
  <si>
    <t xml:space="preserve">str. 2.6 </t>
  </si>
  <si>
    <t>k 31.12.2010</t>
  </si>
  <si>
    <t>Brno-střed</t>
  </si>
  <si>
    <t>Brno-Bohunice</t>
  </si>
  <si>
    <t>Brno-Starý Lískovec</t>
  </si>
  <si>
    <t>Brno-Nový Lískovec</t>
  </si>
  <si>
    <t>Brno-Kohoutovice</t>
  </si>
  <si>
    <t>Brno-Bosonohy</t>
  </si>
  <si>
    <t>Brno-Žabovřesky</t>
  </si>
  <si>
    <t>Brno-Bystrc</t>
  </si>
  <si>
    <t>Brno-Kníničky</t>
  </si>
  <si>
    <t>Brno-Komín</t>
  </si>
  <si>
    <t>Brno-Jundrov</t>
  </si>
  <si>
    <t>Brno-Žebětín</t>
  </si>
  <si>
    <t>Brno-sever</t>
  </si>
  <si>
    <t>Brno-Maloměřice a Obřany</t>
  </si>
  <si>
    <t>Brno-Židenice</t>
  </si>
  <si>
    <t>Brno-Černovice</t>
  </si>
  <si>
    <t>Brno-jih</t>
  </si>
  <si>
    <t>Brno-Vinohrady</t>
  </si>
  <si>
    <t>Brno-Líšeň</t>
  </si>
  <si>
    <t>Brno-Slatina</t>
  </si>
  <si>
    <t>Brno-Tuřany</t>
  </si>
  <si>
    <t>Brno-Chrlice</t>
  </si>
  <si>
    <t>Brno-Královo Pole</t>
  </si>
  <si>
    <t>Brno-Medlánky</t>
  </si>
  <si>
    <t>Brno-Řečkovice a Mokrá Hora</t>
  </si>
  <si>
    <t>Brno-Ivanovice</t>
  </si>
  <si>
    <t>Brno-Jehnice</t>
  </si>
  <si>
    <t>Brno-Ořešín</t>
  </si>
  <si>
    <t>Brno-Útěchov</t>
  </si>
  <si>
    <t>sap</t>
  </si>
  <si>
    <t>sap 4* po konsol.</t>
  </si>
  <si>
    <t>Skut.</t>
  </si>
  <si>
    <t>Nedaňové příjmy celkem</t>
  </si>
  <si>
    <t>SAP</t>
  </si>
  <si>
    <t>pokles o</t>
  </si>
  <si>
    <t>Výnosy z finančního majetku</t>
  </si>
  <si>
    <t>p. 8115, 8901</t>
  </si>
  <si>
    <t xml:space="preserve">Transfery poskytnuté ze státního rozpočtu, </t>
  </si>
  <si>
    <t>Městská část</t>
  </si>
  <si>
    <t>za provozovaný výherní hrací přístroj</t>
  </si>
  <si>
    <t>T R A N S F E R Y - investiční</t>
  </si>
  <si>
    <t>T R A N S F E R Y     -     neinvestiční  a převody z vlastních fondů</t>
  </si>
  <si>
    <t>p. 4232</t>
  </si>
  <si>
    <t>od mezinárodních organizací</t>
  </si>
  <si>
    <t>o</t>
  </si>
  <si>
    <t>Schválený rozpočet</t>
  </si>
  <si>
    <t>Upravený rozpočet</t>
  </si>
  <si>
    <t>Celkem  :</t>
  </si>
  <si>
    <t xml:space="preserve"> v tis. Kč</t>
  </si>
  <si>
    <t xml:space="preserve"> str. 2.5 </t>
  </si>
  <si>
    <t>str. 2.3</t>
  </si>
  <si>
    <t xml:space="preserve"> str. 2.4</t>
  </si>
  <si>
    <t xml:space="preserve">str. 3 </t>
  </si>
  <si>
    <t>str. 3.1</t>
  </si>
  <si>
    <t>str. 4</t>
  </si>
  <si>
    <t>ze vstupného</t>
  </si>
  <si>
    <t xml:space="preserve">Celkem   : </t>
  </si>
  <si>
    <t>vlastní 2012</t>
  </si>
  <si>
    <t>vlastní 2011</t>
  </si>
  <si>
    <t>Fin. prostředky městských částí na ZBÚ a ve fondech                (účet 231 + 236)</t>
  </si>
  <si>
    <t>O s t a t n í   k a p i t á l o v é  p ř í j m y   ( dary, příspěvky )</t>
  </si>
  <si>
    <t>PLNĚNÍ  ROZPOČTŮ  MĚSTSKÝCH   ČASTÍ  LEDEN - PROSINEC 2013</t>
  </si>
  <si>
    <t>Skutečnost k 31.12.2013</t>
  </si>
  <si>
    <t>rok   2013</t>
  </si>
  <si>
    <t>PLNĚNÍ  ROZPOČTŮ  MĚSTSKÝCH   ČASTÍ  LEDEN  - PROSINEC 2013</t>
  </si>
  <si>
    <t>PLNĚNÍ  ROZPOČTŮ  MĚSTSKÝCH   ČÁSTÍ  LEDEN - PROSINEC 2013</t>
  </si>
  <si>
    <t>ČERPÁNÍ ROZPOČTŮ  MĚSTSKÝCH   ČASTÍ  LEDEN  - PROSINEC 2013</t>
  </si>
  <si>
    <t>ČERPÁNÍ  ROZPOČTŮ  MĚSTSKÝCH   ČASTÍ  LEDEN - PROSINEC 2013</t>
  </si>
  <si>
    <t>(včetně FV 2012)</t>
  </si>
  <si>
    <t>k 1.9.2012</t>
  </si>
  <si>
    <t>Výdaje z fin. vypořádání r.2012</t>
  </si>
  <si>
    <t>kontrola cizí zdroje</t>
  </si>
  <si>
    <t xml:space="preserve">       Finanční vypořádání r. 2012</t>
  </si>
  <si>
    <t>PLNĚNÍ  ROZPOČTŮ  MĚSTSKÝCH   ČASTÍ  LEDEN  -  PROSINEC 2013</t>
  </si>
  <si>
    <t>dle JTho bilance 1769166</t>
  </si>
  <si>
    <t>dle JT-ho bilance 2011055</t>
  </si>
  <si>
    <t xml:space="preserve">JT </t>
  </si>
  <si>
    <t xml:space="preserve">dětí MŠ a ZŠ </t>
  </si>
</sst>
</file>

<file path=xl/styles.xml><?xml version="1.0" encoding="utf-8"?>
<styleSheet xmlns="http://schemas.openxmlformats.org/spreadsheetml/2006/main">
  <numFmts count="1">
    <numFmt numFmtId="164" formatCode="#,##0.0"/>
  </numFmts>
  <fonts count="35">
    <font>
      <sz val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Arial CE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 CE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7">
    <xf numFmtId="0" fontId="0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8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5" fillId="34" borderId="0"/>
    <xf numFmtId="0" fontId="25" fillId="34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5" fillId="0" borderId="0"/>
    <xf numFmtId="0" fontId="1" fillId="0" borderId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77">
    <xf numFmtId="0" fontId="0" fillId="0" borderId="0" xfId="0"/>
    <xf numFmtId="3" fontId="27" fillId="0" borderId="0" xfId="0" applyNumberFormat="1" applyFont="1" applyFill="1"/>
    <xf numFmtId="3" fontId="27" fillId="0" borderId="10" xfId="0" applyNumberFormat="1" applyFont="1" applyFill="1" applyBorder="1"/>
    <xf numFmtId="0" fontId="27" fillId="0" borderId="31" xfId="0" applyFont="1" applyFill="1" applyBorder="1"/>
    <xf numFmtId="3" fontId="27" fillId="0" borderId="11" xfId="0" applyNumberFormat="1" applyFont="1" applyFill="1" applyBorder="1"/>
    <xf numFmtId="3" fontId="27" fillId="0" borderId="34" xfId="0" applyNumberFormat="1" applyFont="1" applyFill="1" applyBorder="1"/>
    <xf numFmtId="3" fontId="27" fillId="0" borderId="21" xfId="0" applyNumberFormat="1" applyFont="1" applyFill="1" applyBorder="1"/>
    <xf numFmtId="3" fontId="27" fillId="0" borderId="42" xfId="0" applyNumberFormat="1" applyFont="1" applyFill="1" applyBorder="1"/>
    <xf numFmtId="3" fontId="27" fillId="0" borderId="43" xfId="0" applyNumberFormat="1" applyFont="1" applyFill="1" applyBorder="1"/>
    <xf numFmtId="0" fontId="29" fillId="0" borderId="12" xfId="0" applyFont="1" applyFill="1" applyBorder="1" applyAlignment="1">
      <alignment horizontal="center"/>
    </xf>
    <xf numFmtId="0" fontId="29" fillId="0" borderId="10" xfId="0" applyFont="1" applyFill="1" applyBorder="1"/>
    <xf numFmtId="0" fontId="29" fillId="0" borderId="28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9" fillId="0" borderId="21" xfId="0" applyFont="1" applyFill="1" applyBorder="1"/>
    <xf numFmtId="0" fontId="29" fillId="0" borderId="29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29" fillId="0" borderId="0" xfId="0" applyFont="1" applyFill="1" applyAlignment="1">
      <alignment horizontal="right"/>
    </xf>
    <xf numFmtId="0" fontId="30" fillId="0" borderId="0" xfId="0" applyFont="1" applyFill="1"/>
    <xf numFmtId="0" fontId="31" fillId="0" borderId="0" xfId="0" applyFont="1" applyFill="1" applyAlignment="1"/>
    <xf numFmtId="0" fontId="31" fillId="0" borderId="0" xfId="0" applyFont="1" applyFill="1"/>
    <xf numFmtId="0" fontId="29" fillId="0" borderId="13" xfId="0" applyFont="1" applyFill="1" applyBorder="1" applyAlignment="1">
      <alignment horizontal="center"/>
    </xf>
    <xf numFmtId="0" fontId="29" fillId="0" borderId="14" xfId="0" applyFont="1" applyFill="1" applyBorder="1"/>
    <xf numFmtId="0" fontId="29" fillId="0" borderId="47" xfId="0" applyFont="1" applyFill="1" applyBorder="1" applyAlignment="1">
      <alignment horizontal="center"/>
    </xf>
    <xf numFmtId="0" fontId="29" fillId="0" borderId="24" xfId="0" applyFont="1" applyFill="1" applyBorder="1"/>
    <xf numFmtId="0" fontId="27" fillId="33" borderId="0" xfId="0" applyFont="1" applyFill="1"/>
    <xf numFmtId="0" fontId="29" fillId="0" borderId="61" xfId="0" applyFont="1" applyFill="1" applyBorder="1" applyAlignment="1">
      <alignment horizontal="center"/>
    </xf>
    <xf numFmtId="0" fontId="32" fillId="0" borderId="61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47" xfId="0" applyFont="1" applyFill="1" applyBorder="1" applyAlignment="1">
      <alignment horizontal="center"/>
    </xf>
    <xf numFmtId="0" fontId="32" fillId="0" borderId="65" xfId="0" applyFont="1" applyFill="1" applyBorder="1" applyAlignment="1">
      <alignment horizontal="center"/>
    </xf>
    <xf numFmtId="0" fontId="32" fillId="0" borderId="66" xfId="0" applyFont="1" applyFill="1" applyBorder="1" applyAlignment="1">
      <alignment horizontal="center"/>
    </xf>
    <xf numFmtId="0" fontId="29" fillId="0" borderId="0" xfId="0" applyFont="1" applyFill="1" applyBorder="1"/>
    <xf numFmtId="0" fontId="29" fillId="0" borderId="32" xfId="0" applyFont="1" applyFill="1" applyBorder="1"/>
    <xf numFmtId="0" fontId="27" fillId="0" borderId="0" xfId="0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Border="1"/>
    <xf numFmtId="0" fontId="27" fillId="0" borderId="32" xfId="0" applyFont="1" applyFill="1" applyBorder="1"/>
    <xf numFmtId="0" fontId="29" fillId="0" borderId="0" xfId="0" applyFont="1" applyFill="1"/>
    <xf numFmtId="0" fontId="29" fillId="33" borderId="0" xfId="0" applyFont="1" applyFill="1"/>
    <xf numFmtId="0" fontId="30" fillId="0" borderId="0" xfId="0" applyFont="1" applyFill="1" applyAlignment="1">
      <alignment vertical="center"/>
    </xf>
    <xf numFmtId="0" fontId="30" fillId="0" borderId="0" xfId="0" applyFont="1" applyFill="1"/>
    <xf numFmtId="0" fontId="27" fillId="0" borderId="50" xfId="0" applyFont="1" applyFill="1" applyBorder="1"/>
    <xf numFmtId="0" fontId="29" fillId="0" borderId="31" xfId="0" applyFont="1" applyFill="1" applyBorder="1"/>
    <xf numFmtId="0" fontId="29" fillId="0" borderId="54" xfId="0" applyFont="1" applyFill="1" applyBorder="1"/>
    <xf numFmtId="0" fontId="29" fillId="0" borderId="56" xfId="0" applyFont="1" applyFill="1" applyBorder="1"/>
    <xf numFmtId="0" fontId="29" fillId="0" borderId="57" xfId="0" applyFont="1" applyFill="1" applyBorder="1"/>
    <xf numFmtId="0" fontId="29" fillId="0" borderId="24" xfId="0" applyFont="1" applyFill="1" applyBorder="1" applyAlignment="1">
      <alignment vertical="center"/>
    </xf>
    <xf numFmtId="3" fontId="29" fillId="0" borderId="48" xfId="0" applyNumberFormat="1" applyFont="1" applyFill="1" applyBorder="1"/>
    <xf numFmtId="3" fontId="29" fillId="0" borderId="40" xfId="0" applyNumberFormat="1" applyFont="1" applyFill="1" applyBorder="1"/>
    <xf numFmtId="3" fontId="29" fillId="0" borderId="69" xfId="0" applyNumberFormat="1" applyFont="1" applyFill="1" applyBorder="1"/>
    <xf numFmtId="164" fontId="27" fillId="0" borderId="44" xfId="0" applyNumberFormat="1" applyFont="1" applyFill="1" applyBorder="1"/>
    <xf numFmtId="164" fontId="27" fillId="0" borderId="33" xfId="0" applyNumberFormat="1" applyFont="1" applyFill="1" applyBorder="1"/>
    <xf numFmtId="164" fontId="27" fillId="0" borderId="22" xfId="0" applyNumberFormat="1" applyFont="1" applyFill="1" applyBorder="1"/>
    <xf numFmtId="164" fontId="27" fillId="0" borderId="32" xfId="0" applyNumberFormat="1" applyFont="1" applyFill="1" applyBorder="1"/>
    <xf numFmtId="164" fontId="29" fillId="0" borderId="39" xfId="0" applyNumberFormat="1" applyFont="1" applyFill="1" applyBorder="1"/>
    <xf numFmtId="3" fontId="29" fillId="0" borderId="38" xfId="0" applyNumberFormat="1" applyFont="1" applyFill="1" applyBorder="1"/>
    <xf numFmtId="3" fontId="29" fillId="0" borderId="49" xfId="0" applyNumberFormat="1" applyFont="1" applyFill="1" applyBorder="1"/>
    <xf numFmtId="164" fontId="29" fillId="0" borderId="50" xfId="0" applyNumberFormat="1" applyFont="1" applyFill="1" applyBorder="1"/>
    <xf numFmtId="0" fontId="29" fillId="0" borderId="41" xfId="0" applyFont="1" applyFill="1" applyBorder="1"/>
    <xf numFmtId="0" fontId="29" fillId="0" borderId="36" xfId="0" applyFont="1" applyFill="1" applyBorder="1"/>
    <xf numFmtId="0" fontId="29" fillId="0" borderId="37" xfId="0" applyFont="1" applyFill="1" applyBorder="1"/>
    <xf numFmtId="0" fontId="29" fillId="0" borderId="15" xfId="0" applyFont="1" applyFill="1" applyBorder="1"/>
    <xf numFmtId="4" fontId="27" fillId="0" borderId="0" xfId="0" applyNumberFormat="1" applyFont="1" applyFill="1"/>
    <xf numFmtId="0" fontId="30" fillId="0" borderId="0" xfId="0" applyFont="1" applyFill="1" applyAlignment="1">
      <alignment horizontal="center" vertical="center"/>
    </xf>
    <xf numFmtId="0" fontId="27" fillId="0" borderId="0" xfId="0" applyFont="1" applyFill="1"/>
    <xf numFmtId="0" fontId="33" fillId="0" borderId="0" xfId="0" applyFont="1" applyFill="1"/>
    <xf numFmtId="0" fontId="30" fillId="0" borderId="0" xfId="0" applyFont="1" applyFill="1"/>
    <xf numFmtId="0" fontId="29" fillId="0" borderId="0" xfId="0" applyFont="1" applyFill="1"/>
    <xf numFmtId="0" fontId="27" fillId="0" borderId="0" xfId="0" applyFont="1" applyFill="1" applyBorder="1"/>
    <xf numFmtId="0" fontId="27" fillId="0" borderId="32" xfId="0" applyFont="1" applyFill="1" applyBorder="1"/>
    <xf numFmtId="3" fontId="34" fillId="0" borderId="0" xfId="136" applyNumberFormat="1" applyFont="1" applyFill="1" applyBorder="1"/>
    <xf numFmtId="3" fontId="27" fillId="0" borderId="0" xfId="0" applyNumberFormat="1" applyFont="1" applyFill="1" applyBorder="1"/>
    <xf numFmtId="3" fontId="27" fillId="0" borderId="31" xfId="0" applyNumberFormat="1" applyFont="1" applyFill="1" applyBorder="1"/>
    <xf numFmtId="3" fontId="27" fillId="0" borderId="73" xfId="0" applyNumberFormat="1" applyFont="1" applyFill="1" applyBorder="1"/>
    <xf numFmtId="3" fontId="27" fillId="0" borderId="14" xfId="0" applyNumberFormat="1" applyFont="1" applyFill="1" applyBorder="1"/>
    <xf numFmtId="0" fontId="27" fillId="0" borderId="56" xfId="0" applyFont="1" applyFill="1" applyBorder="1"/>
    <xf numFmtId="0" fontId="27" fillId="0" borderId="74" xfId="0" applyFont="1" applyFill="1" applyBorder="1"/>
    <xf numFmtId="0" fontId="27" fillId="0" borderId="54" xfId="0" applyFont="1" applyFill="1" applyBorder="1"/>
    <xf numFmtId="0" fontId="27" fillId="0" borderId="57" xfId="0" applyFont="1" applyFill="1" applyBorder="1"/>
    <xf numFmtId="164" fontId="27" fillId="0" borderId="72" xfId="0" applyNumberFormat="1" applyFont="1" applyFill="1" applyBorder="1"/>
    <xf numFmtId="3" fontId="29" fillId="0" borderId="0" xfId="0" applyNumberFormat="1" applyFont="1" applyFill="1"/>
    <xf numFmtId="164" fontId="27" fillId="0" borderId="0" xfId="0" applyNumberFormat="1" applyFont="1" applyFill="1"/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7" fillId="0" borderId="0" xfId="0" applyFont="1" applyFill="1"/>
    <xf numFmtId="0" fontId="33" fillId="0" borderId="0" xfId="0" applyFont="1" applyFill="1"/>
    <xf numFmtId="0" fontId="30" fillId="0" borderId="0" xfId="0" applyFont="1" applyFill="1"/>
    <xf numFmtId="0" fontId="29" fillId="0" borderId="0" xfId="0" applyFont="1" applyFill="1"/>
    <xf numFmtId="0" fontId="27" fillId="0" borderId="0" xfId="0" applyFont="1" applyFill="1" applyBorder="1"/>
    <xf numFmtId="0" fontId="27" fillId="0" borderId="32" xfId="0" applyFont="1" applyFill="1" applyBorder="1"/>
    <xf numFmtId="0" fontId="27" fillId="0" borderId="43" xfId="0" applyFont="1" applyFill="1" applyBorder="1"/>
    <xf numFmtId="3" fontId="24" fillId="0" borderId="11" xfId="0" applyNumberFormat="1" applyFont="1" applyFill="1" applyBorder="1"/>
    <xf numFmtId="3" fontId="24" fillId="0" borderId="10" xfId="0" applyNumberFormat="1" applyFont="1" applyFill="1" applyBorder="1"/>
    <xf numFmtId="0" fontId="27" fillId="0" borderId="10" xfId="0" applyFont="1" applyFill="1" applyBorder="1"/>
    <xf numFmtId="0" fontId="27" fillId="0" borderId="21" xfId="0" applyFont="1" applyFill="1" applyBorder="1"/>
    <xf numFmtId="0" fontId="29" fillId="0" borderId="40" xfId="0" applyFont="1" applyFill="1" applyBorder="1"/>
    <xf numFmtId="1" fontId="29" fillId="0" borderId="0" xfId="0" applyNumberFormat="1" applyFont="1" applyFill="1"/>
    <xf numFmtId="3" fontId="27" fillId="0" borderId="26" xfId="121" applyNumberFormat="1" applyFont="1" applyFill="1" applyBorder="1"/>
    <xf numFmtId="3" fontId="27" fillId="0" borderId="70" xfId="121" applyNumberFormat="1" applyFont="1" applyFill="1" applyBorder="1"/>
    <xf numFmtId="3" fontId="27" fillId="0" borderId="71" xfId="121" applyNumberFormat="1" applyFont="1" applyFill="1" applyBorder="1"/>
    <xf numFmtId="3" fontId="34" fillId="0" borderId="75" xfId="120" applyNumberFormat="1" applyFont="1" applyFill="1" applyBorder="1"/>
    <xf numFmtId="3" fontId="34" fillId="0" borderId="76" xfId="120" applyNumberFormat="1" applyFont="1" applyFill="1" applyBorder="1"/>
    <xf numFmtId="3" fontId="27" fillId="0" borderId="22" xfId="0" applyNumberFormat="1" applyFont="1" applyFill="1" applyBorder="1"/>
    <xf numFmtId="3" fontId="27" fillId="0" borderId="32" xfId="0" applyNumberFormat="1" applyFont="1" applyFill="1" applyBorder="1"/>
    <xf numFmtId="3" fontId="27" fillId="0" borderId="63" xfId="0" applyNumberFormat="1" applyFont="1" applyFill="1" applyBorder="1"/>
    <xf numFmtId="3" fontId="27" fillId="0" borderId="53" xfId="0" applyNumberFormat="1" applyFont="1" applyFill="1" applyBorder="1"/>
    <xf numFmtId="3" fontId="27" fillId="0" borderId="64" xfId="0" applyNumberFormat="1" applyFont="1" applyFill="1" applyBorder="1"/>
    <xf numFmtId="3" fontId="29" fillId="0" borderId="55" xfId="0" applyNumberFormat="1" applyFont="1" applyFill="1" applyBorder="1"/>
    <xf numFmtId="0" fontId="30" fillId="0" borderId="0" xfId="0" applyFont="1" applyFill="1"/>
    <xf numFmtId="0" fontId="27" fillId="0" borderId="0" xfId="0" applyFont="1" applyFill="1"/>
    <xf numFmtId="0" fontId="29" fillId="0" borderId="0" xfId="0" applyFont="1" applyFill="1"/>
    <xf numFmtId="0" fontId="27" fillId="0" borderId="0" xfId="0" applyFont="1" applyFill="1" applyBorder="1"/>
    <xf numFmtId="0" fontId="27" fillId="0" borderId="32" xfId="0" applyFont="1" applyFill="1" applyBorder="1"/>
    <xf numFmtId="0" fontId="29" fillId="0" borderId="30" xfId="0" applyFont="1" applyFill="1" applyBorder="1" applyAlignment="1">
      <alignment horizontal="center"/>
    </xf>
    <xf numFmtId="0" fontId="29" fillId="0" borderId="35" xfId="0" applyFont="1" applyFill="1" applyBorder="1" applyAlignment="1">
      <alignment horizontal="center"/>
    </xf>
    <xf numFmtId="0" fontId="29" fillId="0" borderId="51" xfId="0" applyFont="1" applyFill="1" applyBorder="1" applyAlignment="1">
      <alignment horizontal="center"/>
    </xf>
    <xf numFmtId="0" fontId="27" fillId="0" borderId="0" xfId="0" applyFont="1" applyFill="1"/>
    <xf numFmtId="0" fontId="30" fillId="0" borderId="0" xfId="0" applyFont="1" applyFill="1"/>
    <xf numFmtId="0" fontId="29" fillId="0" borderId="49" xfId="0" applyFont="1" applyFill="1" applyBorder="1" applyAlignment="1">
      <alignment horizontal="center"/>
    </xf>
    <xf numFmtId="0" fontId="29" fillId="0" borderId="0" xfId="0" applyFont="1" applyFill="1"/>
    <xf numFmtId="0" fontId="27" fillId="0" borderId="0" xfId="0" applyFont="1" applyFill="1" applyBorder="1"/>
    <xf numFmtId="0" fontId="27" fillId="0" borderId="32" xfId="0" applyFont="1" applyFill="1" applyBorder="1"/>
    <xf numFmtId="0" fontId="29" fillId="0" borderId="3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"/>
    </xf>
    <xf numFmtId="0" fontId="29" fillId="0" borderId="25" xfId="0" applyFont="1" applyFill="1" applyBorder="1"/>
    <xf numFmtId="0" fontId="27" fillId="0" borderId="63" xfId="0" applyFont="1" applyFill="1" applyBorder="1"/>
    <xf numFmtId="0" fontId="27" fillId="0" borderId="67" xfId="0" applyFont="1" applyFill="1" applyBorder="1"/>
    <xf numFmtId="0" fontId="27" fillId="0" borderId="53" xfId="0" applyFont="1" applyFill="1" applyBorder="1"/>
    <xf numFmtId="0" fontId="27" fillId="0" borderId="58" xfId="0" applyFont="1" applyFill="1" applyBorder="1"/>
    <xf numFmtId="0" fontId="27" fillId="0" borderId="64" xfId="0" applyFont="1" applyFill="1" applyBorder="1"/>
    <xf numFmtId="0" fontId="27" fillId="0" borderId="68" xfId="0" applyFont="1" applyFill="1" applyBorder="1"/>
    <xf numFmtId="0" fontId="29" fillId="0" borderId="38" xfId="0" applyFont="1" applyFill="1" applyBorder="1"/>
    <xf numFmtId="0" fontId="29" fillId="0" borderId="69" xfId="0" applyFont="1" applyFill="1" applyBorder="1"/>
    <xf numFmtId="0" fontId="29" fillId="0" borderId="55" xfId="0" applyFont="1" applyFill="1" applyBorder="1"/>
    <xf numFmtId="0" fontId="29" fillId="0" borderId="26" xfId="0" applyFont="1" applyFill="1" applyBorder="1"/>
    <xf numFmtId="0" fontId="29" fillId="0" borderId="70" xfId="0" applyFont="1" applyFill="1" applyBorder="1"/>
    <xf numFmtId="0" fontId="29" fillId="0" borderId="71" xfId="0" applyFont="1" applyFill="1" applyBorder="1"/>
    <xf numFmtId="0" fontId="29" fillId="0" borderId="48" xfId="0" applyFont="1" applyFill="1" applyBorder="1"/>
    <xf numFmtId="0" fontId="24" fillId="0" borderId="11" xfId="41" applyFont="1" applyFill="1" applyBorder="1"/>
    <xf numFmtId="0" fontId="24" fillId="0" borderId="10" xfId="41" applyFont="1" applyFill="1" applyBorder="1"/>
    <xf numFmtId="3" fontId="24" fillId="0" borderId="11" xfId="56" applyNumberFormat="1" applyFont="1" applyFill="1" applyBorder="1"/>
    <xf numFmtId="3" fontId="24" fillId="0" borderId="10" xfId="56" applyNumberFormat="1" applyFont="1" applyFill="1" applyBorder="1"/>
    <xf numFmtId="3" fontId="24" fillId="0" borderId="11" xfId="60" applyNumberFormat="1" applyFont="1" applyFill="1" applyBorder="1"/>
    <xf numFmtId="3" fontId="24" fillId="0" borderId="10" xfId="60" applyNumberFormat="1" applyFont="1" applyFill="1" applyBorder="1"/>
    <xf numFmtId="3" fontId="24" fillId="0" borderId="11" xfId="55" applyNumberFormat="1" applyFont="1" applyFill="1" applyBorder="1"/>
    <xf numFmtId="3" fontId="24" fillId="0" borderId="10" xfId="55" applyNumberFormat="1" applyFont="1" applyFill="1" applyBorder="1"/>
    <xf numFmtId="3" fontId="24" fillId="0" borderId="11" xfId="51" applyNumberFormat="1" applyFont="1" applyFill="1" applyBorder="1"/>
    <xf numFmtId="3" fontId="24" fillId="0" borderId="10" xfId="51" applyNumberFormat="1" applyFont="1" applyFill="1" applyBorder="1"/>
    <xf numFmtId="3" fontId="24" fillId="0" borderId="11" xfId="43" applyNumberFormat="1" applyFont="1" applyFill="1" applyBorder="1"/>
    <xf numFmtId="3" fontId="24" fillId="0" borderId="10" xfId="43" applyNumberFormat="1" applyFont="1" applyFill="1" applyBorder="1"/>
    <xf numFmtId="3" fontId="24" fillId="0" borderId="11" xfId="59" applyNumberFormat="1" applyFont="1" applyFill="1" applyBorder="1"/>
    <xf numFmtId="3" fontId="24" fillId="0" borderId="10" xfId="59" applyNumberFormat="1" applyFont="1" applyFill="1" applyBorder="1"/>
    <xf numFmtId="3" fontId="24" fillId="0" borderId="11" xfId="58" applyNumberFormat="1" applyFont="1" applyFill="1" applyBorder="1"/>
    <xf numFmtId="3" fontId="24" fillId="0" borderId="10" xfId="58" applyNumberFormat="1" applyFont="1" applyFill="1" applyBorder="1"/>
    <xf numFmtId="3" fontId="24" fillId="0" borderId="11" xfId="62" applyNumberFormat="1" applyFont="1" applyFill="1" applyBorder="1"/>
    <xf numFmtId="3" fontId="24" fillId="0" borderId="10" xfId="62" applyNumberFormat="1" applyFont="1" applyFill="1" applyBorder="1"/>
    <xf numFmtId="0" fontId="27" fillId="0" borderId="42" xfId="0" applyFont="1" applyFill="1" applyBorder="1"/>
    <xf numFmtId="0" fontId="27" fillId="0" borderId="11" xfId="0" applyFont="1" applyFill="1" applyBorder="1"/>
    <xf numFmtId="0" fontId="24" fillId="0" borderId="11" xfId="69" applyFont="1" applyFill="1" applyBorder="1"/>
    <xf numFmtId="0" fontId="24" fillId="0" borderId="10" xfId="69" applyFont="1" applyFill="1" applyBorder="1"/>
    <xf numFmtId="3" fontId="24" fillId="0" borderId="11" xfId="68" applyNumberFormat="1" applyFont="1" applyFill="1" applyBorder="1"/>
    <xf numFmtId="3" fontId="24" fillId="0" borderId="10" xfId="68" applyNumberFormat="1" applyFont="1" applyFill="1" applyBorder="1"/>
    <xf numFmtId="0" fontId="27" fillId="0" borderId="34" xfId="0" applyFont="1" applyFill="1" applyBorder="1"/>
    <xf numFmtId="0" fontId="27" fillId="0" borderId="73" xfId="0" applyFont="1" applyFill="1" applyBorder="1"/>
    <xf numFmtId="3" fontId="27" fillId="0" borderId="43" xfId="41" applyNumberFormat="1" applyFont="1" applyFill="1" applyBorder="1" applyProtection="1"/>
    <xf numFmtId="3" fontId="27" fillId="0" borderId="10" xfId="41" applyNumberFormat="1" applyFont="1" applyFill="1" applyBorder="1" applyProtection="1"/>
    <xf numFmtId="3" fontId="27" fillId="0" borderId="21" xfId="41" applyNumberFormat="1" applyFont="1" applyFill="1" applyBorder="1" applyProtection="1"/>
    <xf numFmtId="3" fontId="24" fillId="0" borderId="11" xfId="78" applyNumberFormat="1" applyFont="1" applyFill="1" applyBorder="1"/>
    <xf numFmtId="3" fontId="24" fillId="0" borderId="10" xfId="78" applyNumberFormat="1" applyFont="1" applyFill="1" applyBorder="1"/>
    <xf numFmtId="3" fontId="24" fillId="0" borderId="11" xfId="98" applyNumberFormat="1" applyFont="1" applyFill="1" applyBorder="1"/>
    <xf numFmtId="3" fontId="24" fillId="0" borderId="10" xfId="98" applyNumberFormat="1" applyFont="1" applyFill="1" applyBorder="1"/>
    <xf numFmtId="3" fontId="24" fillId="0" borderId="11" xfId="84" applyNumberFormat="1" applyFont="1" applyFill="1" applyBorder="1"/>
    <xf numFmtId="3" fontId="24" fillId="0" borderId="10" xfId="84" applyNumberFormat="1" applyFont="1" applyFill="1" applyBorder="1"/>
    <xf numFmtId="3" fontId="24" fillId="0" borderId="11" xfId="97" applyNumberFormat="1" applyFont="1" applyFill="1" applyBorder="1"/>
    <xf numFmtId="3" fontId="24" fillId="0" borderId="10" xfId="97" applyNumberFormat="1" applyFont="1" applyFill="1" applyBorder="1"/>
    <xf numFmtId="3" fontId="24" fillId="0" borderId="11" xfId="88" applyNumberFormat="1" applyFont="1" applyFill="1" applyBorder="1"/>
    <xf numFmtId="3" fontId="24" fillId="0" borderId="10" xfId="88" applyNumberFormat="1" applyFont="1" applyFill="1" applyBorder="1"/>
    <xf numFmtId="3" fontId="24" fillId="0" borderId="11" xfId="82" applyNumberFormat="1" applyFont="1" applyFill="1" applyBorder="1"/>
    <xf numFmtId="3" fontId="24" fillId="0" borderId="10" xfId="82" applyNumberFormat="1" applyFont="1" applyFill="1" applyBorder="1"/>
    <xf numFmtId="3" fontId="24" fillId="0" borderId="11" xfId="72" applyNumberFormat="1" applyFont="1" applyFill="1" applyBorder="1"/>
    <xf numFmtId="3" fontId="24" fillId="0" borderId="10" xfId="72" applyNumberFormat="1" applyFont="1" applyFill="1" applyBorder="1"/>
    <xf numFmtId="3" fontId="24" fillId="0" borderId="11" xfId="74" applyNumberFormat="1" applyFont="1" applyFill="1" applyBorder="1"/>
    <xf numFmtId="3" fontId="24" fillId="0" borderId="10" xfId="74" applyNumberFormat="1" applyFont="1" applyFill="1" applyBorder="1"/>
    <xf numFmtId="3" fontId="24" fillId="0" borderId="11" xfId="87" applyNumberFormat="1" applyFont="1" applyFill="1" applyBorder="1"/>
    <xf numFmtId="3" fontId="24" fillId="0" borderId="10" xfId="87" applyNumberFormat="1" applyFont="1" applyFill="1" applyBorder="1"/>
    <xf numFmtId="3" fontId="24" fillId="0" borderId="42" xfId="86" applyNumberFormat="1" applyFont="1" applyFill="1" applyBorder="1"/>
    <xf numFmtId="3" fontId="24" fillId="0" borderId="43" xfId="86" applyNumberFormat="1" applyFont="1" applyFill="1" applyBorder="1"/>
    <xf numFmtId="3" fontId="24" fillId="0" borderId="11" xfId="90" applyNumberFormat="1" applyFont="1" applyFill="1" applyBorder="1"/>
    <xf numFmtId="3" fontId="24" fillId="0" borderId="10" xfId="90" applyNumberFormat="1" applyFont="1" applyFill="1" applyBorder="1"/>
    <xf numFmtId="3" fontId="24" fillId="0" borderId="11" xfId="96" applyNumberFormat="1" applyFont="1" applyFill="1" applyBorder="1"/>
    <xf numFmtId="3" fontId="24" fillId="0" borderId="10" xfId="96" applyNumberFormat="1" applyFont="1" applyFill="1" applyBorder="1"/>
    <xf numFmtId="3" fontId="24" fillId="0" borderId="11" xfId="92" applyNumberFormat="1" applyFont="1" applyFill="1" applyBorder="1"/>
    <xf numFmtId="3" fontId="24" fillId="0" borderId="10" xfId="92" applyNumberFormat="1" applyFont="1" applyFill="1" applyBorder="1"/>
    <xf numFmtId="3" fontId="24" fillId="0" borderId="11" xfId="89" applyNumberFormat="1" applyFont="1" applyFill="1" applyBorder="1"/>
    <xf numFmtId="3" fontId="24" fillId="0" borderId="10" xfId="89" applyNumberFormat="1" applyFont="1" applyFill="1" applyBorder="1"/>
    <xf numFmtId="3" fontId="24" fillId="0" borderId="11" xfId="100" applyNumberFormat="1" applyFont="1" applyFill="1" applyBorder="1"/>
    <xf numFmtId="3" fontId="24" fillId="0" borderId="10" xfId="100" applyNumberFormat="1" applyFont="1" applyFill="1" applyBorder="1"/>
    <xf numFmtId="3" fontId="24" fillId="0" borderId="11" xfId="102" applyNumberFormat="1" applyFont="1" applyFill="1" applyBorder="1"/>
    <xf numFmtId="3" fontId="24" fillId="0" borderId="10" xfId="102" applyNumberFormat="1" applyFont="1" applyFill="1" applyBorder="1"/>
    <xf numFmtId="3" fontId="24" fillId="0" borderId="11" xfId="104" applyNumberFormat="1" applyFont="1" applyFill="1" applyBorder="1"/>
    <xf numFmtId="3" fontId="24" fillId="0" borderId="10" xfId="104" applyNumberFormat="1" applyFont="1" applyFill="1" applyBorder="1"/>
    <xf numFmtId="3" fontId="24" fillId="0" borderId="11" xfId="106" applyNumberFormat="1" applyFont="1" applyFill="1" applyBorder="1"/>
    <xf numFmtId="3" fontId="24" fillId="0" borderId="10" xfId="106" applyNumberFormat="1" applyFont="1" applyFill="1" applyBorder="1"/>
    <xf numFmtId="3" fontId="24" fillId="0" borderId="11" xfId="108" applyNumberFormat="1" applyFont="1" applyFill="1" applyBorder="1"/>
    <xf numFmtId="3" fontId="24" fillId="0" borderId="10" xfId="108" applyNumberFormat="1" applyFont="1" applyFill="1" applyBorder="1"/>
    <xf numFmtId="3" fontId="24" fillId="0" borderId="11" xfId="110" applyNumberFormat="1" applyFont="1" applyFill="1" applyBorder="1"/>
    <xf numFmtId="3" fontId="24" fillId="0" borderId="10" xfId="110" applyNumberFormat="1" applyFont="1" applyFill="1" applyBorder="1"/>
    <xf numFmtId="3" fontId="24" fillId="0" borderId="11" xfId="111" applyNumberFormat="1" applyFont="1" applyFill="1" applyBorder="1"/>
    <xf numFmtId="3" fontId="24" fillId="0" borderId="10" xfId="111" applyNumberFormat="1" applyFont="1" applyFill="1" applyBorder="1"/>
    <xf numFmtId="3" fontId="24" fillId="0" borderId="11" xfId="112" applyNumberFormat="1" applyFont="1" applyFill="1" applyBorder="1"/>
    <xf numFmtId="3" fontId="24" fillId="0" borderId="10" xfId="112" applyNumberFormat="1" applyFont="1" applyFill="1" applyBorder="1"/>
    <xf numFmtId="3" fontId="24" fillId="0" borderId="11" xfId="113" applyNumberFormat="1" applyFont="1" applyFill="1" applyBorder="1"/>
    <xf numFmtId="3" fontId="24" fillId="0" borderId="10" xfId="113" applyNumberFormat="1" applyFont="1" applyFill="1" applyBorder="1"/>
    <xf numFmtId="3" fontId="24" fillId="0" borderId="11" xfId="114" applyNumberFormat="1" applyFont="1" applyFill="1" applyBorder="1"/>
    <xf numFmtId="3" fontId="24" fillId="0" borderId="10" xfId="114" applyNumberFormat="1" applyFont="1" applyFill="1" applyBorder="1"/>
    <xf numFmtId="3" fontId="24" fillId="0" borderId="11" xfId="115" applyNumberFormat="1" applyFont="1" applyFill="1" applyBorder="1"/>
    <xf numFmtId="3" fontId="24" fillId="0" borderId="10" xfId="115" applyNumberFormat="1" applyFont="1" applyFill="1" applyBorder="1"/>
    <xf numFmtId="3" fontId="24" fillId="0" borderId="11" xfId="116" applyNumberFormat="1" applyFont="1" applyFill="1" applyBorder="1"/>
    <xf numFmtId="3" fontId="24" fillId="0" borderId="10" xfId="116" applyNumberFormat="1" applyFont="1" applyFill="1" applyBorder="1"/>
    <xf numFmtId="3" fontId="24" fillId="0" borderId="11" xfId="117" applyNumberFormat="1" applyFont="1" applyFill="1" applyBorder="1"/>
    <xf numFmtId="3" fontId="24" fillId="0" borderId="10" xfId="117" applyNumberFormat="1" applyFont="1" applyFill="1" applyBorder="1"/>
    <xf numFmtId="3" fontId="24" fillId="0" borderId="11" xfId="118" applyNumberFormat="1" applyFont="1" applyFill="1" applyBorder="1"/>
    <xf numFmtId="3" fontId="24" fillId="0" borderId="10" xfId="118" applyNumberFormat="1" applyFont="1" applyFill="1" applyBorder="1"/>
    <xf numFmtId="3" fontId="27" fillId="0" borderId="20" xfId="0" applyNumberFormat="1" applyFont="1" applyFill="1" applyBorder="1"/>
    <xf numFmtId="164" fontId="27" fillId="0" borderId="67" xfId="0" applyNumberFormat="1" applyFont="1" applyFill="1" applyBorder="1"/>
    <xf numFmtId="164" fontId="27" fillId="0" borderId="58" xfId="0" applyNumberFormat="1" applyFont="1" applyFill="1" applyBorder="1"/>
    <xf numFmtId="164" fontId="27" fillId="0" borderId="68" xfId="0" applyNumberFormat="1" applyFont="1" applyFill="1" applyBorder="1"/>
    <xf numFmtId="0" fontId="30" fillId="0" borderId="0" xfId="0" applyFont="1" applyFill="1"/>
    <xf numFmtId="0" fontId="32" fillId="0" borderId="60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9" fillId="0" borderId="0" xfId="0" applyFont="1" applyFill="1"/>
    <xf numFmtId="0" fontId="27" fillId="0" borderId="0" xfId="0" applyFont="1" applyFill="1" applyBorder="1"/>
    <xf numFmtId="0" fontId="27" fillId="0" borderId="32" xfId="0" applyFont="1" applyFill="1" applyBorder="1"/>
    <xf numFmtId="0" fontId="27" fillId="0" borderId="0" xfId="0" applyFont="1" applyFill="1" applyAlignment="1">
      <alignment horizontal="center"/>
    </xf>
    <xf numFmtId="3" fontId="27" fillId="0" borderId="74" xfId="0" applyNumberFormat="1" applyFont="1" applyFill="1" applyBorder="1" applyAlignment="1">
      <alignment horizontal="left"/>
    </xf>
    <xf numFmtId="3" fontId="27" fillId="0" borderId="0" xfId="0" applyNumberFormat="1" applyFont="1" applyFill="1" applyAlignment="1">
      <alignment horizontal="left"/>
    </xf>
    <xf numFmtId="0" fontId="29" fillId="0" borderId="49" xfId="0" applyFont="1" applyFill="1" applyBorder="1"/>
    <xf numFmtId="0" fontId="27" fillId="0" borderId="24" xfId="0" applyFont="1" applyFill="1" applyBorder="1"/>
    <xf numFmtId="4" fontId="33" fillId="0" borderId="43" xfId="0" applyNumberFormat="1" applyFont="1" applyFill="1" applyBorder="1"/>
    <xf numFmtId="3" fontId="29" fillId="0" borderId="15" xfId="0" applyNumberFormat="1" applyFont="1" applyFill="1" applyBorder="1"/>
    <xf numFmtId="3" fontId="27" fillId="0" borderId="36" xfId="0" applyNumberFormat="1" applyFont="1" applyFill="1" applyBorder="1"/>
    <xf numFmtId="3" fontId="27" fillId="0" borderId="37" xfId="0" applyNumberFormat="1" applyFont="1" applyFill="1" applyBorder="1"/>
    <xf numFmtId="3" fontId="27" fillId="0" borderId="21" xfId="119" applyNumberFormat="1" applyFont="1" applyFill="1" applyBorder="1"/>
    <xf numFmtId="3" fontId="27" fillId="0" borderId="41" xfId="0" applyNumberFormat="1" applyFont="1" applyFill="1" applyBorder="1"/>
    <xf numFmtId="3" fontId="27" fillId="0" borderId="10" xfId="119" applyNumberFormat="1" applyFont="1" applyFill="1" applyBorder="1"/>
    <xf numFmtId="3" fontId="27" fillId="0" borderId="43" xfId="119" applyNumberFormat="1" applyFont="1" applyFill="1" applyBorder="1"/>
    <xf numFmtId="3" fontId="27" fillId="0" borderId="38" xfId="0" applyNumberFormat="1" applyFont="1" applyFill="1" applyBorder="1"/>
    <xf numFmtId="4" fontId="33" fillId="0" borderId="58" xfId="0" applyNumberFormat="1" applyFont="1" applyFill="1" applyBorder="1"/>
    <xf numFmtId="3" fontId="33" fillId="0" borderId="58" xfId="0" applyNumberFormat="1" applyFont="1" applyFill="1" applyBorder="1"/>
    <xf numFmtId="4" fontId="33" fillId="0" borderId="68" xfId="0" applyNumberFormat="1" applyFont="1" applyFill="1" applyBorder="1"/>
    <xf numFmtId="4" fontId="33" fillId="0" borderId="77" xfId="0" applyNumberFormat="1" applyFont="1" applyFill="1" applyBorder="1"/>
    <xf numFmtId="3" fontId="33" fillId="0" borderId="0" xfId="0" applyNumberFormat="1" applyFont="1" applyFill="1"/>
    <xf numFmtId="3" fontId="27" fillId="0" borderId="58" xfId="0" applyNumberFormat="1" applyFont="1" applyFill="1" applyBorder="1"/>
    <xf numFmtId="3" fontId="27" fillId="0" borderId="79" xfId="0" applyNumberFormat="1" applyFont="1" applyFill="1" applyBorder="1"/>
    <xf numFmtId="3" fontId="27" fillId="0" borderId="26" xfId="119" applyNumberFormat="1" applyFont="1" applyFill="1" applyBorder="1"/>
    <xf numFmtId="3" fontId="27" fillId="0" borderId="63" xfId="119" applyNumberFormat="1" applyFont="1" applyFill="1" applyBorder="1"/>
    <xf numFmtId="3" fontId="27" fillId="0" borderId="45" xfId="119" applyNumberFormat="1" applyFont="1" applyFill="1" applyBorder="1"/>
    <xf numFmtId="3" fontId="27" fillId="0" borderId="14" xfId="119" applyNumberFormat="1" applyFont="1" applyFill="1" applyBorder="1"/>
    <xf numFmtId="3" fontId="27" fillId="0" borderId="78" xfId="119" applyNumberFormat="1" applyFont="1" applyFill="1" applyBorder="1"/>
    <xf numFmtId="3" fontId="27" fillId="0" borderId="45" xfId="0" applyNumberFormat="1" applyFont="1" applyFill="1" applyBorder="1"/>
    <xf numFmtId="3" fontId="27" fillId="0" borderId="78" xfId="0" applyNumberFormat="1" applyFont="1" applyFill="1" applyBorder="1"/>
    <xf numFmtId="3" fontId="29" fillId="0" borderId="39" xfId="0" applyNumberFormat="1" applyFont="1" applyFill="1" applyBorder="1"/>
    <xf numFmtId="3" fontId="29" fillId="0" borderId="23" xfId="0" applyNumberFormat="1" applyFont="1" applyFill="1" applyBorder="1"/>
    <xf numFmtId="3" fontId="29" fillId="0" borderId="25" xfId="0" applyNumberFormat="1" applyFont="1" applyFill="1" applyBorder="1" applyAlignment="1">
      <alignment horizontal="right"/>
    </xf>
    <xf numFmtId="0" fontId="27" fillId="0" borderId="0" xfId="0" applyFont="1" applyFill="1"/>
    <xf numFmtId="3" fontId="27" fillId="0" borderId="0" xfId="0" applyNumberFormat="1" applyFont="1" applyFill="1" applyAlignment="1">
      <alignment horizontal="right"/>
    </xf>
    <xf numFmtId="164" fontId="29" fillId="0" borderId="69" xfId="0" applyNumberFormat="1" applyFont="1" applyFill="1" applyBorder="1"/>
    <xf numFmtId="0" fontId="30" fillId="0" borderId="0" xfId="0" applyFont="1" applyFill="1"/>
    <xf numFmtId="0" fontId="27" fillId="0" borderId="0" xfId="0" applyFont="1" applyFill="1"/>
    <xf numFmtId="0" fontId="29" fillId="0" borderId="0" xfId="0" applyFont="1" applyFill="1"/>
    <xf numFmtId="0" fontId="27" fillId="0" borderId="0" xfId="0" applyFont="1" applyFill="1" applyBorder="1"/>
    <xf numFmtId="0" fontId="27" fillId="0" borderId="32" xfId="0" applyFont="1" applyFill="1" applyBorder="1"/>
    <xf numFmtId="0" fontId="29" fillId="0" borderId="12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29" fillId="0" borderId="27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29" fillId="0" borderId="26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0" fontId="29" fillId="0" borderId="17" xfId="0" applyFont="1" applyFill="1" applyBorder="1" applyAlignment="1">
      <alignment horizontal="center"/>
    </xf>
    <xf numFmtId="0" fontId="29" fillId="0" borderId="30" xfId="0" applyFont="1" applyFill="1" applyBorder="1" applyAlignment="1">
      <alignment horizontal="center"/>
    </xf>
    <xf numFmtId="0" fontId="29" fillId="0" borderId="35" xfId="0" applyFont="1" applyFill="1" applyBorder="1" applyAlignment="1">
      <alignment horizontal="center"/>
    </xf>
    <xf numFmtId="0" fontId="29" fillId="0" borderId="45" xfId="0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29" fillId="0" borderId="50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/>
    </xf>
    <xf numFmtId="0" fontId="29" fillId="0" borderId="56" xfId="0" applyFont="1" applyFill="1" applyBorder="1" applyAlignment="1">
      <alignment horizontal="center"/>
    </xf>
    <xf numFmtId="0" fontId="29" fillId="0" borderId="57" xfId="0" applyFont="1" applyFill="1" applyBorder="1" applyAlignment="1">
      <alignment horizontal="center"/>
    </xf>
    <xf numFmtId="0" fontId="29" fillId="0" borderId="59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center"/>
    </xf>
    <xf numFmtId="0" fontId="32" fillId="0" borderId="59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33" fillId="0" borderId="0" xfId="0" applyFont="1" applyFill="1"/>
    <xf numFmtId="0" fontId="27" fillId="0" borderId="3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30" fillId="0" borderId="0" xfId="0" applyFont="1" applyFill="1"/>
    <xf numFmtId="0" fontId="29" fillId="0" borderId="48" xfId="0" applyFont="1" applyFill="1" applyBorder="1" applyAlignment="1">
      <alignment horizontal="center"/>
    </xf>
    <xf numFmtId="0" fontId="29" fillId="0" borderId="49" xfId="0" applyFont="1" applyFill="1" applyBorder="1" applyAlignment="1">
      <alignment horizontal="center"/>
    </xf>
    <xf numFmtId="0" fontId="29" fillId="0" borderId="50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9" fillId="0" borderId="0" xfId="0" applyFont="1" applyFill="1"/>
    <xf numFmtId="0" fontId="29" fillId="0" borderId="31" xfId="0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/>
    </xf>
    <xf numFmtId="0" fontId="27" fillId="0" borderId="49" xfId="0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0" fontId="27" fillId="0" borderId="49" xfId="0" applyFont="1" applyFill="1" applyBorder="1"/>
    <xf numFmtId="0" fontId="27" fillId="0" borderId="0" xfId="0" applyFont="1" applyFill="1" applyBorder="1"/>
    <xf numFmtId="0" fontId="27" fillId="0" borderId="32" xfId="0" applyFont="1" applyFill="1" applyBorder="1"/>
    <xf numFmtId="0" fontId="32" fillId="0" borderId="62" xfId="0" applyFont="1" applyFill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4" fontId="27" fillId="0" borderId="0" xfId="0" applyNumberFormat="1" applyFont="1" applyFill="1" applyAlignment="1">
      <alignment horizontal="center"/>
    </xf>
    <xf numFmtId="0" fontId="22" fillId="0" borderId="0" xfId="547" applyFont="1" applyFill="1"/>
    <xf numFmtId="4" fontId="1" fillId="0" borderId="0" xfId="137" applyNumberFormat="1" applyFill="1"/>
    <xf numFmtId="4" fontId="1" fillId="0" borderId="0" xfId="517" applyNumberFormat="1" applyFill="1"/>
    <xf numFmtId="4" fontId="1" fillId="0" borderId="0" xfId="537" applyNumberFormat="1" applyFill="1"/>
    <xf numFmtId="4" fontId="1" fillId="0" borderId="0" xfId="506" applyNumberFormat="1" applyFill="1"/>
    <xf numFmtId="4" fontId="1" fillId="0" borderId="0" xfId="527" applyNumberFormat="1" applyFill="1"/>
    <xf numFmtId="4" fontId="1" fillId="0" borderId="0" xfId="299" applyNumberFormat="1" applyFill="1"/>
    <xf numFmtId="4" fontId="1" fillId="0" borderId="0" xfId="313" applyNumberFormat="1" applyFill="1"/>
    <xf numFmtId="4" fontId="1" fillId="0" borderId="0" xfId="383" applyNumberFormat="1" applyFill="1"/>
    <xf numFmtId="4" fontId="1" fillId="0" borderId="0" xfId="494" applyNumberFormat="1" applyFill="1"/>
    <xf numFmtId="4" fontId="1" fillId="0" borderId="0" xfId="215" applyNumberFormat="1" applyFill="1"/>
    <xf numFmtId="4" fontId="1" fillId="0" borderId="0" xfId="285" applyNumberFormat="1" applyFill="1"/>
    <xf numFmtId="4" fontId="1" fillId="0" borderId="0" xfId="271" applyNumberFormat="1" applyFill="1"/>
    <xf numFmtId="4" fontId="1" fillId="0" borderId="0" xfId="327" applyNumberFormat="1" applyFill="1"/>
    <xf numFmtId="4" fontId="1" fillId="0" borderId="0" xfId="481" applyNumberFormat="1" applyFill="1"/>
    <xf numFmtId="4" fontId="1" fillId="0" borderId="0" xfId="341" applyNumberFormat="1" applyFill="1"/>
    <xf numFmtId="4" fontId="1" fillId="0" borderId="0" xfId="397" applyNumberFormat="1" applyFill="1"/>
    <xf numFmtId="4" fontId="1" fillId="0" borderId="0" xfId="439" applyNumberFormat="1" applyFill="1"/>
    <xf numFmtId="4" fontId="1" fillId="0" borderId="0" xfId="453" applyNumberFormat="1" applyFill="1"/>
    <xf numFmtId="4" fontId="1" fillId="0" borderId="0" xfId="369" applyNumberFormat="1" applyFill="1"/>
    <xf numFmtId="4" fontId="1" fillId="0" borderId="0" xfId="425" applyNumberFormat="1" applyFill="1"/>
    <xf numFmtId="4" fontId="1" fillId="0" borderId="0" xfId="467" applyNumberFormat="1" applyFill="1"/>
    <xf numFmtId="4" fontId="1" fillId="0" borderId="0" xfId="411" applyNumberFormat="1" applyFill="1"/>
    <xf numFmtId="4" fontId="1" fillId="0" borderId="0" xfId="355" applyNumberFormat="1" applyFill="1"/>
    <xf numFmtId="4" fontId="1" fillId="0" borderId="0" xfId="229" applyNumberFormat="1" applyFill="1"/>
    <xf numFmtId="4" fontId="1" fillId="0" borderId="0" xfId="257" applyNumberFormat="1" applyFill="1"/>
    <xf numFmtId="4" fontId="1" fillId="0" borderId="0" xfId="243" applyNumberFormat="1" applyFill="1"/>
    <xf numFmtId="4" fontId="1" fillId="0" borderId="0" xfId="173" applyNumberFormat="1" applyFill="1"/>
    <xf numFmtId="4" fontId="1" fillId="0" borderId="0" xfId="201" applyNumberFormat="1" applyFill="1"/>
    <xf numFmtId="4" fontId="1" fillId="0" borderId="0" xfId="187" applyNumberFormat="1" applyFill="1"/>
    <xf numFmtId="4" fontId="28" fillId="0" borderId="0" xfId="122" applyNumberFormat="1" applyFont="1" applyFill="1"/>
  </cellXfs>
  <cellStyles count="557">
    <cellStyle name="20 % – Zvýraznění1" xfId="18" builtinId="30" customBuiltin="1"/>
    <cellStyle name="20 % – Zvýraznění1 10" xfId="157"/>
    <cellStyle name="20 % – Zvýraznění1 11" xfId="176"/>
    <cellStyle name="20 % – Zvýraznění1 12" xfId="190"/>
    <cellStyle name="20 % – Zvýraznění1 13" xfId="204"/>
    <cellStyle name="20 % – Zvýraznění1 14" xfId="218"/>
    <cellStyle name="20 % – Zvýraznění1 15" xfId="232"/>
    <cellStyle name="20 % – Zvýraznění1 16" xfId="246"/>
    <cellStyle name="20 % – Zvýraznění1 17" xfId="260"/>
    <cellStyle name="20 % – Zvýraznění1 18" xfId="274"/>
    <cellStyle name="20 % – Zvýraznění1 19" xfId="288"/>
    <cellStyle name="20 % – Zvýraznění1 2" xfId="124"/>
    <cellStyle name="20 % – Zvýraznění1 20" xfId="302"/>
    <cellStyle name="20 % – Zvýraznění1 21" xfId="316"/>
    <cellStyle name="20 % – Zvýraznění1 22" xfId="330"/>
    <cellStyle name="20 % – Zvýraznění1 23" xfId="344"/>
    <cellStyle name="20 % – Zvýraznění1 24" xfId="358"/>
    <cellStyle name="20 % – Zvýraznění1 25" xfId="372"/>
    <cellStyle name="20 % – Zvýraznění1 26" xfId="386"/>
    <cellStyle name="20 % – Zvýraznění1 27" xfId="400"/>
    <cellStyle name="20 % – Zvýraznění1 28" xfId="414"/>
    <cellStyle name="20 % – Zvýraznění1 29" xfId="428"/>
    <cellStyle name="20 % – Zvýraznění1 3" xfId="154"/>
    <cellStyle name="20 % – Zvýraznění1 30" xfId="442"/>
    <cellStyle name="20 % – Zvýraznění1 31" xfId="456"/>
    <cellStyle name="20 % – Zvýraznění1 32" xfId="470"/>
    <cellStyle name="20 % – Zvýraznění1 4" xfId="148"/>
    <cellStyle name="20 % – Zvýraznění1 5" xfId="145"/>
    <cellStyle name="20 % – Zvýraznění1 6" xfId="147"/>
    <cellStyle name="20 % – Zvýraznění1 7" xfId="143"/>
    <cellStyle name="20 % – Zvýraznění1 8" xfId="151"/>
    <cellStyle name="20 % – Zvýraznění1 9" xfId="141"/>
    <cellStyle name="20 % – Zvýraznění2" xfId="22" builtinId="34" customBuiltin="1"/>
    <cellStyle name="20 % – Zvýraznění2 10" xfId="256"/>
    <cellStyle name="20 % – Zvýraznění2 11" xfId="270"/>
    <cellStyle name="20 % – Zvýraznění2 12" xfId="284"/>
    <cellStyle name="20 % – Zvýraznění2 13" xfId="298"/>
    <cellStyle name="20 % – Zvýraznění2 14" xfId="312"/>
    <cellStyle name="20 % – Zvýraznění2 15" xfId="326"/>
    <cellStyle name="20 % – Zvýraznění2 16" xfId="340"/>
    <cellStyle name="20 % – Zvýraznění2 17" xfId="354"/>
    <cellStyle name="20 % – Zvýraznění2 18" xfId="368"/>
    <cellStyle name="20 % – Zvýraznění2 19" xfId="382"/>
    <cellStyle name="20 % – Zvýraznění2 2" xfId="126"/>
    <cellStyle name="20 % – Zvýraznění2 20" xfId="396"/>
    <cellStyle name="20 % – Zvýraznění2 21" xfId="410"/>
    <cellStyle name="20 % – Zvýraznění2 22" xfId="424"/>
    <cellStyle name="20 % – Zvýraznění2 23" xfId="438"/>
    <cellStyle name="20 % – Zvýraznění2 24" xfId="452"/>
    <cellStyle name="20 % – Zvýraznění2 25" xfId="466"/>
    <cellStyle name="20 % – Zvýraznění2 26" xfId="480"/>
    <cellStyle name="20 % – Zvýraznění2 27" xfId="493"/>
    <cellStyle name="20 % – Zvýraznění2 28" xfId="505"/>
    <cellStyle name="20 % – Zvýraznění2 29" xfId="516"/>
    <cellStyle name="20 % – Zvýraznění2 3" xfId="158"/>
    <cellStyle name="20 % – Zvýraznění2 30" xfId="526"/>
    <cellStyle name="20 % – Zvýraznění2 31" xfId="536"/>
    <cellStyle name="20 % – Zvýraznění2 32" xfId="546"/>
    <cellStyle name="20 % – Zvýraznění2 4" xfId="172"/>
    <cellStyle name="20 % – Zvýraznění2 5" xfId="186"/>
    <cellStyle name="20 % – Zvýraznění2 6" xfId="200"/>
    <cellStyle name="20 % – Zvýraznění2 7" xfId="214"/>
    <cellStyle name="20 % – Zvýraznění2 8" xfId="228"/>
    <cellStyle name="20 % – Zvýraznění2 9" xfId="242"/>
    <cellStyle name="20 % – Zvýraznění3" xfId="26" builtinId="38" customBuiltin="1"/>
    <cellStyle name="20 % – Zvýraznění3 10" xfId="178"/>
    <cellStyle name="20 % – Zvýraznění3 11" xfId="192"/>
    <cellStyle name="20 % – Zvýraznění3 12" xfId="206"/>
    <cellStyle name="20 % – Zvýraznění3 13" xfId="220"/>
    <cellStyle name="20 % – Zvýraznění3 14" xfId="234"/>
    <cellStyle name="20 % – Zvýraznění3 15" xfId="248"/>
    <cellStyle name="20 % – Zvýraznění3 16" xfId="262"/>
    <cellStyle name="20 % – Zvýraznění3 17" xfId="276"/>
    <cellStyle name="20 % – Zvýraznění3 18" xfId="290"/>
    <cellStyle name="20 % – Zvýraznění3 19" xfId="304"/>
    <cellStyle name="20 % – Zvýraznění3 2" xfId="128"/>
    <cellStyle name="20 % – Zvýraznění3 20" xfId="318"/>
    <cellStyle name="20 % – Zvýraznění3 21" xfId="332"/>
    <cellStyle name="20 % – Zvýraznění3 22" xfId="346"/>
    <cellStyle name="20 % – Zvýraznění3 23" xfId="360"/>
    <cellStyle name="20 % – Zvýraznění3 24" xfId="374"/>
    <cellStyle name="20 % – Zvýraznění3 25" xfId="388"/>
    <cellStyle name="20 % – Zvýraznění3 26" xfId="402"/>
    <cellStyle name="20 % – Zvýraznění3 27" xfId="416"/>
    <cellStyle name="20 % – Zvýraznění3 28" xfId="430"/>
    <cellStyle name="20 % – Zvýraznění3 29" xfId="444"/>
    <cellStyle name="20 % – Zvýraznění3 3" xfId="162"/>
    <cellStyle name="20 % – Zvýraznění3 30" xfId="458"/>
    <cellStyle name="20 % – Zvýraznění3 31" xfId="472"/>
    <cellStyle name="20 % – Zvýraznění3 32" xfId="485"/>
    <cellStyle name="20 % – Zvýraznění3 4" xfId="156"/>
    <cellStyle name="20 % – Zvýraznění3 5" xfId="152"/>
    <cellStyle name="20 % – Zvýraznění3 6" xfId="140"/>
    <cellStyle name="20 % – Zvýraznění3 7" xfId="161"/>
    <cellStyle name="20 % – Zvýraznění3 8" xfId="160"/>
    <cellStyle name="20 % – Zvýraznění3 9" xfId="164"/>
    <cellStyle name="20 % – Zvýraznění4" xfId="30" builtinId="42" customBuiltin="1"/>
    <cellStyle name="20 % – Zvýraznění4 10" xfId="264"/>
    <cellStyle name="20 % – Zvýraznění4 11" xfId="278"/>
    <cellStyle name="20 % – Zvýraznění4 12" xfId="292"/>
    <cellStyle name="20 % – Zvýraznění4 13" xfId="306"/>
    <cellStyle name="20 % – Zvýraznění4 14" xfId="320"/>
    <cellStyle name="20 % – Zvýraznění4 15" xfId="334"/>
    <cellStyle name="20 % – Zvýraznění4 16" xfId="348"/>
    <cellStyle name="20 % – Zvýraznění4 17" xfId="362"/>
    <cellStyle name="20 % – Zvýraznění4 18" xfId="376"/>
    <cellStyle name="20 % – Zvýraznění4 19" xfId="390"/>
    <cellStyle name="20 % – Zvýraznění4 2" xfId="130"/>
    <cellStyle name="20 % – Zvýraznění4 20" xfId="404"/>
    <cellStyle name="20 % – Zvýraznění4 21" xfId="418"/>
    <cellStyle name="20 % – Zvýraznění4 22" xfId="432"/>
    <cellStyle name="20 % – Zvýraznění4 23" xfId="446"/>
    <cellStyle name="20 % – Zvýraznění4 24" xfId="460"/>
    <cellStyle name="20 % – Zvýraznění4 25" xfId="474"/>
    <cellStyle name="20 % – Zvýraznění4 26" xfId="487"/>
    <cellStyle name="20 % – Zvýraznění4 27" xfId="499"/>
    <cellStyle name="20 % – Zvýraznění4 28" xfId="511"/>
    <cellStyle name="20 % – Zvýraznění4 29" xfId="521"/>
    <cellStyle name="20 % – Zvýraznění4 3" xfId="166"/>
    <cellStyle name="20 % – Zvýraznění4 30" xfId="531"/>
    <cellStyle name="20 % – Zvýraznění4 31" xfId="541"/>
    <cellStyle name="20 % – Zvýraznění4 32" xfId="551"/>
    <cellStyle name="20 % – Zvýraznění4 4" xfId="180"/>
    <cellStyle name="20 % – Zvýraznění4 5" xfId="194"/>
    <cellStyle name="20 % – Zvýraznění4 6" xfId="208"/>
    <cellStyle name="20 % – Zvýraznění4 7" xfId="222"/>
    <cellStyle name="20 % – Zvýraznění4 8" xfId="236"/>
    <cellStyle name="20 % – Zvýraznění4 9" xfId="250"/>
    <cellStyle name="20 % – Zvýraznění5" xfId="34" builtinId="46" customBuiltin="1"/>
    <cellStyle name="20 % – Zvýraznění5 10" xfId="268"/>
    <cellStyle name="20 % – Zvýraznění5 11" xfId="282"/>
    <cellStyle name="20 % – Zvýraznění5 12" xfId="296"/>
    <cellStyle name="20 % – Zvýraznění5 13" xfId="310"/>
    <cellStyle name="20 % – Zvýraznění5 14" xfId="324"/>
    <cellStyle name="20 % – Zvýraznění5 15" xfId="338"/>
    <cellStyle name="20 % – Zvýraznění5 16" xfId="352"/>
    <cellStyle name="20 % – Zvýraznění5 17" xfId="366"/>
    <cellStyle name="20 % – Zvýraznění5 18" xfId="380"/>
    <cellStyle name="20 % – Zvýraznění5 19" xfId="394"/>
    <cellStyle name="20 % – Zvýraznění5 2" xfId="132"/>
    <cellStyle name="20 % – Zvýraznění5 20" xfId="408"/>
    <cellStyle name="20 % – Zvýraznění5 21" xfId="422"/>
    <cellStyle name="20 % – Zvýraznění5 22" xfId="436"/>
    <cellStyle name="20 % – Zvýraznění5 23" xfId="450"/>
    <cellStyle name="20 % – Zvýraznění5 24" xfId="464"/>
    <cellStyle name="20 % – Zvýraznění5 25" xfId="478"/>
    <cellStyle name="20 % – Zvýraznění5 26" xfId="491"/>
    <cellStyle name="20 % – Zvýraznění5 27" xfId="503"/>
    <cellStyle name="20 % – Zvýraznění5 28" xfId="514"/>
    <cellStyle name="20 % – Zvýraznění5 29" xfId="524"/>
    <cellStyle name="20 % – Zvýraznění5 3" xfId="170"/>
    <cellStyle name="20 % – Zvýraznění5 30" xfId="534"/>
    <cellStyle name="20 % – Zvýraznění5 31" xfId="544"/>
    <cellStyle name="20 % – Zvýraznění5 32" xfId="553"/>
    <cellStyle name="20 % – Zvýraznění5 4" xfId="184"/>
    <cellStyle name="20 % – Zvýraznění5 5" xfId="198"/>
    <cellStyle name="20 % – Zvýraznění5 6" xfId="212"/>
    <cellStyle name="20 % – Zvýraznění5 7" xfId="226"/>
    <cellStyle name="20 % – Zvýraznění5 8" xfId="240"/>
    <cellStyle name="20 % – Zvýraznění5 9" xfId="254"/>
    <cellStyle name="20 % – Zvýraznění6" xfId="38" builtinId="50" customBuiltin="1"/>
    <cellStyle name="20 % – Zvýraznění6 10" xfId="272"/>
    <cellStyle name="20 % – Zvýraznění6 11" xfId="286"/>
    <cellStyle name="20 % – Zvýraznění6 12" xfId="300"/>
    <cellStyle name="20 % – Zvýraznění6 13" xfId="314"/>
    <cellStyle name="20 % – Zvýraznění6 14" xfId="328"/>
    <cellStyle name="20 % – Zvýraznění6 15" xfId="342"/>
    <cellStyle name="20 % – Zvýraznění6 16" xfId="356"/>
    <cellStyle name="20 % – Zvýraznění6 17" xfId="370"/>
    <cellStyle name="20 % – Zvýraznění6 18" xfId="384"/>
    <cellStyle name="20 % – Zvýraznění6 19" xfId="398"/>
    <cellStyle name="20 % – Zvýraznění6 2" xfId="134"/>
    <cellStyle name="20 % – Zvýraznění6 20" xfId="412"/>
    <cellStyle name="20 % – Zvýraznění6 21" xfId="426"/>
    <cellStyle name="20 % – Zvýraznění6 22" xfId="440"/>
    <cellStyle name="20 % – Zvýraznění6 23" xfId="454"/>
    <cellStyle name="20 % – Zvýraznění6 24" xfId="468"/>
    <cellStyle name="20 % – Zvýraznění6 25" xfId="482"/>
    <cellStyle name="20 % – Zvýraznění6 26" xfId="495"/>
    <cellStyle name="20 % – Zvýraznění6 27" xfId="507"/>
    <cellStyle name="20 % – Zvýraznění6 28" xfId="518"/>
    <cellStyle name="20 % – Zvýraznění6 29" xfId="528"/>
    <cellStyle name="20 % – Zvýraznění6 3" xfId="174"/>
    <cellStyle name="20 % – Zvýraznění6 30" xfId="538"/>
    <cellStyle name="20 % – Zvýraznění6 31" xfId="548"/>
    <cellStyle name="20 % – Zvýraznění6 32" xfId="555"/>
    <cellStyle name="20 % – Zvýraznění6 4" xfId="188"/>
    <cellStyle name="20 % – Zvýraznění6 5" xfId="202"/>
    <cellStyle name="20 % – Zvýraznění6 6" xfId="216"/>
    <cellStyle name="20 % – Zvýraznění6 7" xfId="230"/>
    <cellStyle name="20 % – Zvýraznění6 8" xfId="244"/>
    <cellStyle name="20 % – Zvýraznění6 9" xfId="258"/>
    <cellStyle name="40 % – Zvýraznění1" xfId="19" builtinId="31" customBuiltin="1"/>
    <cellStyle name="40 % – Zvýraznění1 10" xfId="197"/>
    <cellStyle name="40 % – Zvýraznění1 11" xfId="211"/>
    <cellStyle name="40 % – Zvýraznění1 12" xfId="225"/>
    <cellStyle name="40 % – Zvýraznění1 13" xfId="239"/>
    <cellStyle name="40 % – Zvýraznění1 14" xfId="253"/>
    <cellStyle name="40 % – Zvýraznění1 15" xfId="267"/>
    <cellStyle name="40 % – Zvýraznění1 16" xfId="281"/>
    <cellStyle name="40 % – Zvýraznění1 17" xfId="295"/>
    <cellStyle name="40 % – Zvýraznění1 18" xfId="309"/>
    <cellStyle name="40 % – Zvýraznění1 19" xfId="323"/>
    <cellStyle name="40 % – Zvýraznění1 2" xfId="125"/>
    <cellStyle name="40 % – Zvýraznění1 20" xfId="337"/>
    <cellStyle name="40 % – Zvýraznění1 21" xfId="351"/>
    <cellStyle name="40 % – Zvýraznění1 22" xfId="365"/>
    <cellStyle name="40 % – Zvýraznění1 23" xfId="379"/>
    <cellStyle name="40 % – Zvýraznění1 24" xfId="393"/>
    <cellStyle name="40 % – Zvýraznění1 25" xfId="407"/>
    <cellStyle name="40 % – Zvýraznění1 26" xfId="421"/>
    <cellStyle name="40 % – Zvýraznění1 27" xfId="435"/>
    <cellStyle name="40 % – Zvýraznění1 28" xfId="449"/>
    <cellStyle name="40 % – Zvýraznění1 29" xfId="463"/>
    <cellStyle name="40 % – Zvýraznění1 3" xfId="155"/>
    <cellStyle name="40 % – Zvýraznění1 30" xfId="477"/>
    <cellStyle name="40 % – Zvýraznění1 31" xfId="490"/>
    <cellStyle name="40 % – Zvýraznění1 32" xfId="502"/>
    <cellStyle name="40 % – Zvýraznění1 4" xfId="144"/>
    <cellStyle name="40 % – Zvýraznění1 5" xfId="146"/>
    <cellStyle name="40 % – Zvýraznění1 6" xfId="149"/>
    <cellStyle name="40 % – Zvýraznění1 7" xfId="138"/>
    <cellStyle name="40 % – Zvýraznění1 8" xfId="169"/>
    <cellStyle name="40 % – Zvýraznění1 9" xfId="183"/>
    <cellStyle name="40 % – Zvýraznění2" xfId="23" builtinId="35" customBuiltin="1"/>
    <cellStyle name="40 % – Zvýraznění2 10" xfId="252"/>
    <cellStyle name="40 % – Zvýraznění2 11" xfId="266"/>
    <cellStyle name="40 % – Zvýraznění2 12" xfId="280"/>
    <cellStyle name="40 % – Zvýraznění2 13" xfId="294"/>
    <cellStyle name="40 % – Zvýraznění2 14" xfId="308"/>
    <cellStyle name="40 % – Zvýraznění2 15" xfId="322"/>
    <cellStyle name="40 % – Zvýraznění2 16" xfId="336"/>
    <cellStyle name="40 % – Zvýraznění2 17" xfId="350"/>
    <cellStyle name="40 % – Zvýraznění2 18" xfId="364"/>
    <cellStyle name="40 % – Zvýraznění2 19" xfId="378"/>
    <cellStyle name="40 % – Zvýraznění2 2" xfId="127"/>
    <cellStyle name="40 % – Zvýraznění2 20" xfId="392"/>
    <cellStyle name="40 % – Zvýraznění2 21" xfId="406"/>
    <cellStyle name="40 % – Zvýraznění2 22" xfId="420"/>
    <cellStyle name="40 % – Zvýraznění2 23" xfId="434"/>
    <cellStyle name="40 % – Zvýraznění2 24" xfId="448"/>
    <cellStyle name="40 % – Zvýraznění2 25" xfId="462"/>
    <cellStyle name="40 % – Zvýraznění2 26" xfId="476"/>
    <cellStyle name="40 % – Zvýraznění2 27" xfId="489"/>
    <cellStyle name="40 % – Zvýraznění2 28" xfId="501"/>
    <cellStyle name="40 % – Zvýraznění2 29" xfId="513"/>
    <cellStyle name="40 % – Zvýraznění2 3" xfId="159"/>
    <cellStyle name="40 % – Zvýraznění2 30" xfId="523"/>
    <cellStyle name="40 % – Zvýraznění2 31" xfId="533"/>
    <cellStyle name="40 % – Zvýraznění2 32" xfId="543"/>
    <cellStyle name="40 % – Zvýraznění2 4" xfId="168"/>
    <cellStyle name="40 % – Zvýraznění2 5" xfId="182"/>
    <cellStyle name="40 % – Zvýraznění2 6" xfId="196"/>
    <cellStyle name="40 % – Zvýraznění2 7" xfId="210"/>
    <cellStyle name="40 % – Zvýraznění2 8" xfId="224"/>
    <cellStyle name="40 % – Zvýraznění2 9" xfId="238"/>
    <cellStyle name="40 % – Zvýraznění3" xfId="27" builtinId="39" customBuiltin="1"/>
    <cellStyle name="40 % – Zvýraznění3 10" xfId="261"/>
    <cellStyle name="40 % – Zvýraznění3 11" xfId="275"/>
    <cellStyle name="40 % – Zvýraznění3 12" xfId="289"/>
    <cellStyle name="40 % – Zvýraznění3 13" xfId="303"/>
    <cellStyle name="40 % – Zvýraznění3 14" xfId="317"/>
    <cellStyle name="40 % – Zvýraznění3 15" xfId="331"/>
    <cellStyle name="40 % – Zvýraznění3 16" xfId="345"/>
    <cellStyle name="40 % – Zvýraznění3 17" xfId="359"/>
    <cellStyle name="40 % – Zvýraznění3 18" xfId="373"/>
    <cellStyle name="40 % – Zvýraznění3 19" xfId="387"/>
    <cellStyle name="40 % – Zvýraznění3 2" xfId="129"/>
    <cellStyle name="40 % – Zvýraznění3 20" xfId="401"/>
    <cellStyle name="40 % – Zvýraznění3 21" xfId="415"/>
    <cellStyle name="40 % – Zvýraznění3 22" xfId="429"/>
    <cellStyle name="40 % – Zvýraznění3 23" xfId="443"/>
    <cellStyle name="40 % – Zvýraznění3 24" xfId="457"/>
    <cellStyle name="40 % – Zvýraznění3 25" xfId="471"/>
    <cellStyle name="40 % – Zvýraznění3 26" xfId="484"/>
    <cellStyle name="40 % – Zvýraznění3 27" xfId="497"/>
    <cellStyle name="40 % – Zvýraznění3 28" xfId="509"/>
    <cellStyle name="40 % – Zvýraznění3 29" xfId="520"/>
    <cellStyle name="40 % – Zvýraznění3 3" xfId="163"/>
    <cellStyle name="40 % – Zvýraznění3 30" xfId="530"/>
    <cellStyle name="40 % – Zvýraznění3 31" xfId="540"/>
    <cellStyle name="40 % – Zvýraznění3 32" xfId="550"/>
    <cellStyle name="40 % – Zvýraznění3 4" xfId="177"/>
    <cellStyle name="40 % – Zvýraznění3 5" xfId="191"/>
    <cellStyle name="40 % – Zvýraznění3 6" xfId="205"/>
    <cellStyle name="40 % – Zvýraznění3 7" xfId="219"/>
    <cellStyle name="40 % – Zvýraznění3 8" xfId="233"/>
    <cellStyle name="40 % – Zvýraznění3 9" xfId="247"/>
    <cellStyle name="40 % – Zvýraznění4" xfId="31" builtinId="43" customBuiltin="1"/>
    <cellStyle name="40 % – Zvýraznění4 10" xfId="265"/>
    <cellStyle name="40 % – Zvýraznění4 11" xfId="279"/>
    <cellStyle name="40 % – Zvýraznění4 12" xfId="293"/>
    <cellStyle name="40 % – Zvýraznění4 13" xfId="307"/>
    <cellStyle name="40 % – Zvýraznění4 14" xfId="321"/>
    <cellStyle name="40 % – Zvýraznění4 15" xfId="335"/>
    <cellStyle name="40 % – Zvýraznění4 16" xfId="349"/>
    <cellStyle name="40 % – Zvýraznění4 17" xfId="363"/>
    <cellStyle name="40 % – Zvýraznění4 18" xfId="377"/>
    <cellStyle name="40 % – Zvýraznění4 19" xfId="391"/>
    <cellStyle name="40 % – Zvýraznění4 2" xfId="131"/>
    <cellStyle name="40 % – Zvýraznění4 20" xfId="405"/>
    <cellStyle name="40 % – Zvýraznění4 21" xfId="419"/>
    <cellStyle name="40 % – Zvýraznění4 22" xfId="433"/>
    <cellStyle name="40 % – Zvýraznění4 23" xfId="447"/>
    <cellStyle name="40 % – Zvýraznění4 24" xfId="461"/>
    <cellStyle name="40 % – Zvýraznění4 25" xfId="475"/>
    <cellStyle name="40 % – Zvýraznění4 26" xfId="488"/>
    <cellStyle name="40 % – Zvýraznění4 27" xfId="500"/>
    <cellStyle name="40 % – Zvýraznění4 28" xfId="512"/>
    <cellStyle name="40 % – Zvýraznění4 29" xfId="522"/>
    <cellStyle name="40 % – Zvýraznění4 3" xfId="167"/>
    <cellStyle name="40 % – Zvýraznění4 30" xfId="532"/>
    <cellStyle name="40 % – Zvýraznění4 31" xfId="542"/>
    <cellStyle name="40 % – Zvýraznění4 32" xfId="552"/>
    <cellStyle name="40 % – Zvýraznění4 4" xfId="181"/>
    <cellStyle name="40 % – Zvýraznění4 5" xfId="195"/>
    <cellStyle name="40 % – Zvýraznění4 6" xfId="209"/>
    <cellStyle name="40 % – Zvýraznění4 7" xfId="223"/>
    <cellStyle name="40 % – Zvýraznění4 8" xfId="237"/>
    <cellStyle name="40 % – Zvýraznění4 9" xfId="251"/>
    <cellStyle name="40 % – Zvýraznění5" xfId="35" builtinId="47" customBuiltin="1"/>
    <cellStyle name="40 % – Zvýraznění5 10" xfId="269"/>
    <cellStyle name="40 % – Zvýraznění5 11" xfId="283"/>
    <cellStyle name="40 % – Zvýraznění5 12" xfId="297"/>
    <cellStyle name="40 % – Zvýraznění5 13" xfId="311"/>
    <cellStyle name="40 % – Zvýraznění5 14" xfId="325"/>
    <cellStyle name="40 % – Zvýraznění5 15" xfId="339"/>
    <cellStyle name="40 % – Zvýraznění5 16" xfId="353"/>
    <cellStyle name="40 % – Zvýraznění5 17" xfId="367"/>
    <cellStyle name="40 % – Zvýraznění5 18" xfId="381"/>
    <cellStyle name="40 % – Zvýraznění5 19" xfId="395"/>
    <cellStyle name="40 % – Zvýraznění5 2" xfId="133"/>
    <cellStyle name="40 % – Zvýraznění5 20" xfId="409"/>
    <cellStyle name="40 % – Zvýraznění5 21" xfId="423"/>
    <cellStyle name="40 % – Zvýraznění5 22" xfId="437"/>
    <cellStyle name="40 % – Zvýraznění5 23" xfId="451"/>
    <cellStyle name="40 % – Zvýraznění5 24" xfId="465"/>
    <cellStyle name="40 % – Zvýraznění5 25" xfId="479"/>
    <cellStyle name="40 % – Zvýraznění5 26" xfId="492"/>
    <cellStyle name="40 % – Zvýraznění5 27" xfId="504"/>
    <cellStyle name="40 % – Zvýraznění5 28" xfId="515"/>
    <cellStyle name="40 % – Zvýraznění5 29" xfId="525"/>
    <cellStyle name="40 % – Zvýraznění5 3" xfId="171"/>
    <cellStyle name="40 % – Zvýraznění5 30" xfId="535"/>
    <cellStyle name="40 % – Zvýraznění5 31" xfId="545"/>
    <cellStyle name="40 % – Zvýraznění5 32" xfId="554"/>
    <cellStyle name="40 % – Zvýraznění5 4" xfId="185"/>
    <cellStyle name="40 % – Zvýraznění5 5" xfId="199"/>
    <cellStyle name="40 % – Zvýraznění5 6" xfId="213"/>
    <cellStyle name="40 % – Zvýraznění5 7" xfId="227"/>
    <cellStyle name="40 % – Zvýraznění5 8" xfId="241"/>
    <cellStyle name="40 % – Zvýraznění5 9" xfId="255"/>
    <cellStyle name="40 % – Zvýraznění6" xfId="39" builtinId="51" customBuiltin="1"/>
    <cellStyle name="40 % – Zvýraznění6 10" xfId="273"/>
    <cellStyle name="40 % – Zvýraznění6 11" xfId="287"/>
    <cellStyle name="40 % – Zvýraznění6 12" xfId="301"/>
    <cellStyle name="40 % – Zvýraznění6 13" xfId="315"/>
    <cellStyle name="40 % – Zvýraznění6 14" xfId="329"/>
    <cellStyle name="40 % – Zvýraznění6 15" xfId="343"/>
    <cellStyle name="40 % – Zvýraznění6 16" xfId="357"/>
    <cellStyle name="40 % – Zvýraznění6 17" xfId="371"/>
    <cellStyle name="40 % – Zvýraznění6 18" xfId="385"/>
    <cellStyle name="40 % – Zvýraznění6 19" xfId="399"/>
    <cellStyle name="40 % – Zvýraznění6 2" xfId="135"/>
    <cellStyle name="40 % – Zvýraznění6 20" xfId="413"/>
    <cellStyle name="40 % – Zvýraznění6 21" xfId="427"/>
    <cellStyle name="40 % – Zvýraznění6 22" xfId="441"/>
    <cellStyle name="40 % – Zvýraznění6 23" xfId="455"/>
    <cellStyle name="40 % – Zvýraznění6 24" xfId="469"/>
    <cellStyle name="40 % – Zvýraznění6 25" xfId="483"/>
    <cellStyle name="40 % – Zvýraznění6 26" xfId="496"/>
    <cellStyle name="40 % – Zvýraznění6 27" xfId="508"/>
    <cellStyle name="40 % – Zvýraznění6 28" xfId="519"/>
    <cellStyle name="40 % – Zvýraznění6 29" xfId="529"/>
    <cellStyle name="40 % – Zvýraznění6 3" xfId="175"/>
    <cellStyle name="40 % – Zvýraznění6 30" xfId="539"/>
    <cellStyle name="40 % – Zvýraznění6 31" xfId="549"/>
    <cellStyle name="40 % – Zvýraznění6 32" xfId="556"/>
    <cellStyle name="40 % – Zvýraznění6 4" xfId="189"/>
    <cellStyle name="40 % – Zvýraznění6 5" xfId="203"/>
    <cellStyle name="40 % – Zvýraznění6 6" xfId="217"/>
    <cellStyle name="40 % – Zvýraznění6 7" xfId="231"/>
    <cellStyle name="40 % – Zvýraznění6 8" xfId="245"/>
    <cellStyle name="40 % – Zvýraznění6 9" xfId="259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10" xfId="59"/>
    <cellStyle name="normální 11" xfId="58"/>
    <cellStyle name="normální 12" xfId="62"/>
    <cellStyle name="normální 13" xfId="78"/>
    <cellStyle name="normální 14" xfId="98"/>
    <cellStyle name="normální 15" xfId="84"/>
    <cellStyle name="normální 16" xfId="97"/>
    <cellStyle name="normální 17" xfId="88"/>
    <cellStyle name="normální 18" xfId="82"/>
    <cellStyle name="normální 19" xfId="72"/>
    <cellStyle name="normální 2" xfId="41"/>
    <cellStyle name="normální 20" xfId="74"/>
    <cellStyle name="normální 21" xfId="87"/>
    <cellStyle name="normální 22" xfId="86"/>
    <cellStyle name="normální 23" xfId="90"/>
    <cellStyle name="normální 24" xfId="96"/>
    <cellStyle name="normální 25" xfId="92"/>
    <cellStyle name="normální 26" xfId="89"/>
    <cellStyle name="normální 27" xfId="100"/>
    <cellStyle name="normální 28" xfId="102"/>
    <cellStyle name="normální 29" xfId="104"/>
    <cellStyle name="normální 3" xfId="69"/>
    <cellStyle name="normální 30" xfId="106"/>
    <cellStyle name="normální 31" xfId="108"/>
    <cellStyle name="normální 32" xfId="110"/>
    <cellStyle name="normální 33" xfId="111"/>
    <cellStyle name="normální 34" xfId="112"/>
    <cellStyle name="normální 35" xfId="113"/>
    <cellStyle name="normální 36" xfId="114"/>
    <cellStyle name="normální 37" xfId="115"/>
    <cellStyle name="normální 38" xfId="116"/>
    <cellStyle name="normální 39" xfId="117"/>
    <cellStyle name="normální 4" xfId="56"/>
    <cellStyle name="normální 40" xfId="118"/>
    <cellStyle name="normální 41" xfId="122"/>
    <cellStyle name="normální 42" xfId="137"/>
    <cellStyle name="normální 43" xfId="173"/>
    <cellStyle name="normální 44" xfId="187"/>
    <cellStyle name="normální 45" xfId="201"/>
    <cellStyle name="normální 46" xfId="215"/>
    <cellStyle name="normální 47" xfId="229"/>
    <cellStyle name="normální 48" xfId="243"/>
    <cellStyle name="normální 49" xfId="257"/>
    <cellStyle name="normální 5" xfId="68"/>
    <cellStyle name="normální 50" xfId="271"/>
    <cellStyle name="normální 51" xfId="285"/>
    <cellStyle name="normální 52" xfId="299"/>
    <cellStyle name="normální 53" xfId="313"/>
    <cellStyle name="normální 54" xfId="327"/>
    <cellStyle name="normální 55" xfId="341"/>
    <cellStyle name="normální 56" xfId="355"/>
    <cellStyle name="normální 57" xfId="369"/>
    <cellStyle name="normální 58" xfId="383"/>
    <cellStyle name="normální 59" xfId="397"/>
    <cellStyle name="normální 6" xfId="60"/>
    <cellStyle name="normální 60" xfId="411"/>
    <cellStyle name="normální 61" xfId="425"/>
    <cellStyle name="normální 62" xfId="439"/>
    <cellStyle name="normální 63" xfId="453"/>
    <cellStyle name="normální 64" xfId="467"/>
    <cellStyle name="normální 65" xfId="481"/>
    <cellStyle name="normální 66" xfId="494"/>
    <cellStyle name="normální 67" xfId="506"/>
    <cellStyle name="normální 68" xfId="517"/>
    <cellStyle name="normální 69" xfId="527"/>
    <cellStyle name="normální 7" xfId="55"/>
    <cellStyle name="normální 70" xfId="537"/>
    <cellStyle name="normální 71" xfId="547"/>
    <cellStyle name="normální 8" xfId="51"/>
    <cellStyle name="normální 9" xfId="43"/>
    <cellStyle name="normální_2005Seznam kapitálových výdajů" xfId="119"/>
    <cellStyle name="normální_bilance" xfId="136"/>
    <cellStyle name="normální_n 2005 MČ I.etapa - Kriteria a jejich veličiny-upřesnění ZŠ,MŠ" xfId="121"/>
    <cellStyle name="normální_n2005-Kriteria,vč.porovnání 04-05" xfId="120"/>
    <cellStyle name="Poznámka 10" xfId="54"/>
    <cellStyle name="Poznámka 11" xfId="45"/>
    <cellStyle name="Poznámka 12" xfId="47"/>
    <cellStyle name="Poznámka 13" xfId="70"/>
    <cellStyle name="Poznámka 14" xfId="71"/>
    <cellStyle name="Poznámka 15" xfId="79"/>
    <cellStyle name="Poznámka 16" xfId="46"/>
    <cellStyle name="Poznámka 17" xfId="91"/>
    <cellStyle name="Poznámka 18" xfId="93"/>
    <cellStyle name="Poznámka 19" xfId="85"/>
    <cellStyle name="Poznámka 2" xfId="50"/>
    <cellStyle name="Poznámka 20" xfId="94"/>
    <cellStyle name="Poznámka 21" xfId="81"/>
    <cellStyle name="Poznámka 22" xfId="75"/>
    <cellStyle name="Poznámka 23" xfId="49"/>
    <cellStyle name="Poznámka 24" xfId="76"/>
    <cellStyle name="Poznámka 25" xfId="61"/>
    <cellStyle name="Poznámka 26" xfId="95"/>
    <cellStyle name="Poznámka 27" xfId="99"/>
    <cellStyle name="Poznámka 28" xfId="80"/>
    <cellStyle name="Poznámka 29" xfId="67"/>
    <cellStyle name="Poznámka 3" xfId="44"/>
    <cellStyle name="Poznámka 30" xfId="53"/>
    <cellStyle name="Poznámka 31" xfId="48"/>
    <cellStyle name="Poznámka 32" xfId="77"/>
    <cellStyle name="Poznámka 33" xfId="64"/>
    <cellStyle name="Poznámka 34" xfId="73"/>
    <cellStyle name="Poznámka 35" xfId="83"/>
    <cellStyle name="Poznámka 36" xfId="101"/>
    <cellStyle name="Poznámka 37" xfId="103"/>
    <cellStyle name="Poznámka 38" xfId="105"/>
    <cellStyle name="Poznámka 39" xfId="107"/>
    <cellStyle name="Poznámka 4" xfId="52"/>
    <cellStyle name="Poznámka 40" xfId="109"/>
    <cellStyle name="Poznámka 41" xfId="123"/>
    <cellStyle name="Poznámka 42" xfId="150"/>
    <cellStyle name="Poznámka 43" xfId="142"/>
    <cellStyle name="Poznámka 44" xfId="153"/>
    <cellStyle name="Poznámka 45" xfId="139"/>
    <cellStyle name="Poznámka 46" xfId="165"/>
    <cellStyle name="Poznámka 47" xfId="179"/>
    <cellStyle name="Poznámka 48" xfId="193"/>
    <cellStyle name="Poznámka 49" xfId="207"/>
    <cellStyle name="Poznámka 5" xfId="42"/>
    <cellStyle name="Poznámka 50" xfId="221"/>
    <cellStyle name="Poznámka 51" xfId="235"/>
    <cellStyle name="Poznámka 52" xfId="249"/>
    <cellStyle name="Poznámka 53" xfId="263"/>
    <cellStyle name="Poznámka 54" xfId="277"/>
    <cellStyle name="Poznámka 55" xfId="291"/>
    <cellStyle name="Poznámka 56" xfId="305"/>
    <cellStyle name="Poznámka 57" xfId="319"/>
    <cellStyle name="Poznámka 58" xfId="333"/>
    <cellStyle name="Poznámka 59" xfId="347"/>
    <cellStyle name="Poznámka 6" xfId="63"/>
    <cellStyle name="Poznámka 60" xfId="361"/>
    <cellStyle name="Poznámka 61" xfId="375"/>
    <cellStyle name="Poznámka 62" xfId="389"/>
    <cellStyle name="Poznámka 63" xfId="403"/>
    <cellStyle name="Poznámka 64" xfId="417"/>
    <cellStyle name="Poznámka 65" xfId="431"/>
    <cellStyle name="Poznámka 66" xfId="445"/>
    <cellStyle name="Poznámka 67" xfId="459"/>
    <cellStyle name="Poznámka 68" xfId="473"/>
    <cellStyle name="Poznámka 69" xfId="486"/>
    <cellStyle name="Poznámka 7" xfId="65"/>
    <cellStyle name="Poznámka 70" xfId="498"/>
    <cellStyle name="Poznámka 71" xfId="510"/>
    <cellStyle name="Poznámka 8" xfId="57"/>
    <cellStyle name="Poznámka 9" xfId="66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List1">
    <pageSetUpPr fitToPage="1"/>
  </sheetPr>
  <dimension ref="A1:AR107"/>
  <sheetViews>
    <sheetView showZeros="0" tabSelected="1" zoomScale="85" zoomScaleNormal="85" zoomScaleSheetLayoutView="75" workbookViewId="0">
      <pane xSplit="1" ySplit="10" topLeftCell="B11" activePane="bottomRight" state="frozen"/>
      <selection activeCell="C37" sqref="C37"/>
      <selection pane="topRight" activeCell="C37" sqref="C37"/>
      <selection pane="bottomLeft" activeCell="C37" sqref="C37"/>
      <selection pane="bottomRight"/>
    </sheetView>
  </sheetViews>
  <sheetFormatPr defaultRowHeight="15.75"/>
  <cols>
    <col min="1" max="1" width="27.6640625" style="272" customWidth="1"/>
    <col min="2" max="4" width="10.33203125" style="272" customWidth="1"/>
    <col min="5" max="5" width="13.88671875" style="272" hidden="1" customWidth="1"/>
    <col min="6" max="6" width="2.88671875" style="272" hidden="1" customWidth="1"/>
    <col min="7" max="7" width="7.5546875" style="272" customWidth="1"/>
    <col min="8" max="10" width="10.33203125" style="272" customWidth="1"/>
    <col min="11" max="11" width="11.109375" style="272" hidden="1" customWidth="1"/>
    <col min="12" max="12" width="6.21875" style="272" hidden="1" customWidth="1"/>
    <col min="13" max="13" width="7.5546875" style="272" customWidth="1"/>
    <col min="14" max="16" width="10.33203125" style="272" customWidth="1"/>
    <col min="17" max="17" width="7.5546875" style="272" customWidth="1"/>
    <col min="18" max="18" width="14" style="272" customWidth="1"/>
    <col min="19" max="20" width="12.44140625" style="272" customWidth="1"/>
    <col min="21" max="21" width="11.77734375" style="272" hidden="1" customWidth="1"/>
    <col min="22" max="22" width="12.77734375" style="272" hidden="1" customWidth="1"/>
    <col min="23" max="23" width="12.88671875" style="272" hidden="1" customWidth="1"/>
    <col min="24" max="24" width="14.6640625" style="272" hidden="1" customWidth="1"/>
    <col min="25" max="25" width="9.77734375" style="272" hidden="1" customWidth="1"/>
    <col min="26" max="26" width="10.77734375" style="272" hidden="1" customWidth="1"/>
    <col min="27" max="27" width="9.21875" style="272" hidden="1" customWidth="1"/>
    <col min="28" max="28" width="5.77734375" style="272" hidden="1" customWidth="1"/>
    <col min="29" max="32" width="0" style="272" hidden="1" customWidth="1"/>
    <col min="33" max="33" width="10.77734375" style="272" hidden="1" customWidth="1"/>
    <col min="34" max="36" width="0" style="272" hidden="1" customWidth="1"/>
    <col min="37" max="37" width="10.77734375" style="272" hidden="1" customWidth="1"/>
    <col min="38" max="39" width="0" style="272" hidden="1" customWidth="1"/>
    <col min="40" max="40" width="10.77734375" style="272" hidden="1" customWidth="1"/>
    <col min="41" max="53" width="0" style="272" hidden="1" customWidth="1"/>
    <col min="54" max="16384" width="8.88671875" style="272"/>
  </cols>
  <sheetData>
    <row r="1" spans="1:44" ht="17.25" customHeight="1"/>
    <row r="2" spans="1:44" s="271" customFormat="1" ht="24" customHeight="1">
      <c r="A2" s="279" t="s">
        <v>248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41"/>
    </row>
    <row r="3" spans="1:44" s="271" customFormat="1" ht="15" customHeight="1"/>
    <row r="4" spans="1:44" s="271" customFormat="1" ht="21" customHeight="1">
      <c r="A4" s="285" t="s">
        <v>20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</row>
    <row r="5" spans="1:44" ht="22.5" customHeight="1">
      <c r="T5" s="17" t="s">
        <v>25</v>
      </c>
    </row>
    <row r="6" spans="1:44" ht="19.5" customHeight="1" thickBot="1">
      <c r="T6" s="17" t="s">
        <v>1</v>
      </c>
    </row>
    <row r="7" spans="1:44" s="273" customFormat="1" ht="31.5" customHeight="1">
      <c r="A7" s="282" t="s">
        <v>222</v>
      </c>
      <c r="B7" s="286" t="s">
        <v>22</v>
      </c>
      <c r="C7" s="287"/>
      <c r="D7" s="287"/>
      <c r="E7" s="287"/>
      <c r="F7" s="287"/>
      <c r="G7" s="288"/>
      <c r="H7" s="286" t="s">
        <v>23</v>
      </c>
      <c r="I7" s="287"/>
      <c r="J7" s="287"/>
      <c r="K7" s="287"/>
      <c r="L7" s="287"/>
      <c r="M7" s="288"/>
      <c r="N7" s="286" t="s">
        <v>24</v>
      </c>
      <c r="O7" s="287"/>
      <c r="P7" s="287"/>
      <c r="Q7" s="288"/>
      <c r="R7" s="282" t="s">
        <v>243</v>
      </c>
      <c r="S7" s="289" t="s">
        <v>247</v>
      </c>
      <c r="T7" s="290"/>
    </row>
    <row r="8" spans="1:44" s="273" customFormat="1" ht="31.5" customHeight="1">
      <c r="A8" s="283"/>
      <c r="B8" s="280" t="s">
        <v>229</v>
      </c>
      <c r="C8" s="276" t="s">
        <v>230</v>
      </c>
      <c r="D8" s="278" t="s">
        <v>246</v>
      </c>
      <c r="E8" s="9" t="s">
        <v>0</v>
      </c>
      <c r="F8" s="10"/>
      <c r="G8" s="11" t="s">
        <v>0</v>
      </c>
      <c r="H8" s="280" t="s">
        <v>229</v>
      </c>
      <c r="I8" s="276" t="s">
        <v>230</v>
      </c>
      <c r="J8" s="278" t="s">
        <v>246</v>
      </c>
      <c r="K8" s="9" t="s">
        <v>0</v>
      </c>
      <c r="L8" s="10"/>
      <c r="M8" s="11" t="s">
        <v>0</v>
      </c>
      <c r="N8" s="280" t="s">
        <v>229</v>
      </c>
      <c r="O8" s="276" t="s">
        <v>230</v>
      </c>
      <c r="P8" s="278" t="s">
        <v>246</v>
      </c>
      <c r="Q8" s="11" t="s">
        <v>0</v>
      </c>
      <c r="R8" s="283"/>
      <c r="S8" s="291" t="s">
        <v>15</v>
      </c>
      <c r="T8" s="292"/>
    </row>
    <row r="9" spans="1:44" s="273" customFormat="1" ht="31.5" customHeight="1" thickBot="1">
      <c r="A9" s="284"/>
      <c r="B9" s="281"/>
      <c r="C9" s="277"/>
      <c r="D9" s="277"/>
      <c r="E9" s="12" t="s">
        <v>11</v>
      </c>
      <c r="F9" s="13"/>
      <c r="G9" s="14" t="s">
        <v>11</v>
      </c>
      <c r="H9" s="281"/>
      <c r="I9" s="277"/>
      <c r="J9" s="277"/>
      <c r="K9" s="12" t="s">
        <v>11</v>
      </c>
      <c r="L9" s="13"/>
      <c r="M9" s="14" t="s">
        <v>11</v>
      </c>
      <c r="N9" s="281"/>
      <c r="O9" s="277"/>
      <c r="P9" s="277"/>
      <c r="Q9" s="14" t="s">
        <v>11</v>
      </c>
      <c r="R9" s="284"/>
      <c r="S9" s="15" t="s">
        <v>5</v>
      </c>
      <c r="T9" s="16" t="s">
        <v>261</v>
      </c>
      <c r="AP9" s="273" t="s">
        <v>6</v>
      </c>
      <c r="AQ9" s="273" t="s">
        <v>7</v>
      </c>
      <c r="AR9" s="273" t="s">
        <v>8</v>
      </c>
    </row>
    <row r="10" spans="1:44" ht="18" customHeight="1" thickBot="1">
      <c r="A10" s="241"/>
      <c r="B10" s="3"/>
      <c r="C10" s="274"/>
      <c r="D10" s="274"/>
      <c r="E10" s="274" t="s">
        <v>217</v>
      </c>
      <c r="F10" s="274"/>
      <c r="G10" s="275"/>
      <c r="H10" s="3"/>
      <c r="I10" s="274"/>
      <c r="J10" s="274"/>
      <c r="K10" s="274"/>
      <c r="L10" s="274"/>
      <c r="M10" s="275"/>
      <c r="N10" s="3"/>
      <c r="O10" s="274"/>
      <c r="P10" s="274"/>
      <c r="Q10" s="43"/>
      <c r="R10" s="241"/>
      <c r="S10" s="3"/>
      <c r="T10" s="275"/>
      <c r="V10" s="346">
        <v>231</v>
      </c>
      <c r="W10" s="346">
        <v>236</v>
      </c>
    </row>
    <row r="11" spans="1:44" ht="17.100000000000001" customHeight="1">
      <c r="A11" s="60" t="s">
        <v>184</v>
      </c>
      <c r="B11" s="7">
        <f>SUM('Příjmy '!B11+'Příjmy '!H11+'Příjmy '!L11+'Příjmy '!P11)</f>
        <v>324716</v>
      </c>
      <c r="C11" s="8">
        <f>SUM('Příjmy '!C11+'Příjmy '!I11+'Příjmy '!M11+'Příjmy '!Q11)</f>
        <v>493274</v>
      </c>
      <c r="D11" s="8">
        <f>SUM('Příjmy '!D11+'Příjmy '!J11+'Příjmy '!N11+'Příjmy '!R11)</f>
        <v>400290</v>
      </c>
      <c r="E11" s="92">
        <v>-456277613.24000001</v>
      </c>
      <c r="F11" s="92">
        <f>-E11/1000-D11</f>
        <v>55987.613240000035</v>
      </c>
      <c r="G11" s="52">
        <f>SUM(D11/C11*100)</f>
        <v>81.149624752166133</v>
      </c>
      <c r="H11" s="7">
        <f>SUM('Výdaje '!B12+'Výdaje '!G12)</f>
        <v>520377</v>
      </c>
      <c r="I11" s="8">
        <f>SUM('Výdaje '!C12+'Výdaje '!H12)</f>
        <v>710204</v>
      </c>
      <c r="J11" s="8">
        <f>SUM('Výdaje '!D12+'Výdaje '!I12)</f>
        <v>426924</v>
      </c>
      <c r="K11" s="92">
        <v>443942500</v>
      </c>
      <c r="L11" s="92">
        <f>K11/1000-J11</f>
        <v>17018.5</v>
      </c>
      <c r="M11" s="52">
        <f>SUM(J11/I11*100)</f>
        <v>60.112868978490688</v>
      </c>
      <c r="N11" s="7">
        <f t="shared" ref="N11:N39" si="0">SUM(B11-H11)</f>
        <v>-195661</v>
      </c>
      <c r="O11" s="8">
        <f t="shared" ref="O11:O39" si="1">SUM(C11-I11)</f>
        <v>-216930</v>
      </c>
      <c r="P11" s="8">
        <f t="shared" ref="P11:P39" si="2">SUM(D11-J11)</f>
        <v>-26634</v>
      </c>
      <c r="Q11" s="81">
        <f t="shared" ref="Q11:Q33" si="3">SUM(P11/O11*100)</f>
        <v>12.27769326510856</v>
      </c>
      <c r="R11" s="247">
        <f>ROUND(X11/1000,0)</f>
        <v>204566</v>
      </c>
      <c r="S11" s="99">
        <v>67183</v>
      </c>
      <c r="T11" s="102">
        <v>6220</v>
      </c>
      <c r="V11" s="347">
        <v>126031101.33</v>
      </c>
      <c r="W11" s="347">
        <v>78534789.549999997</v>
      </c>
      <c r="X11" s="64">
        <f>V11+W11</f>
        <v>204565890.88</v>
      </c>
      <c r="AP11" s="272">
        <v>-1</v>
      </c>
    </row>
    <row r="12" spans="1:44" ht="17.100000000000001" customHeight="1">
      <c r="A12" s="61" t="s">
        <v>185</v>
      </c>
      <c r="B12" s="4">
        <f>SUM('Příjmy '!B12+'Příjmy '!H12+'Příjmy '!L12+'Příjmy '!P12)</f>
        <v>45939</v>
      </c>
      <c r="C12" s="2">
        <f>SUM('Příjmy '!C12+'Příjmy '!I12+'Příjmy '!M12+'Příjmy '!Q12)</f>
        <v>66385</v>
      </c>
      <c r="D12" s="2">
        <f>SUM('Příjmy '!D12+'Příjmy '!J12+'Příjmy '!N12+'Příjmy '!R12)</f>
        <v>66315</v>
      </c>
      <c r="E12" s="95">
        <v>-75121762.120000005</v>
      </c>
      <c r="F12" s="95">
        <f t="shared" ref="F12:F39" si="4">-E12/1000-D12</f>
        <v>8806.7621199999994</v>
      </c>
      <c r="G12" s="53">
        <f t="shared" ref="G12:G39" si="5">SUM(D12/C12*100)</f>
        <v>99.894554492731785</v>
      </c>
      <c r="H12" s="4">
        <f>SUM('Výdaje '!B13+'Výdaje '!G13)</f>
        <v>60289</v>
      </c>
      <c r="I12" s="2">
        <f>SUM('Výdaje '!C13+'Výdaje '!H13)</f>
        <v>82454</v>
      </c>
      <c r="J12" s="2">
        <f>SUM('Výdaje '!D13+'Výdaje '!I13)</f>
        <v>69279</v>
      </c>
      <c r="K12" s="95">
        <v>63778450</v>
      </c>
      <c r="L12" s="95">
        <f t="shared" ref="L12:L39" si="6">K12/1000-J12</f>
        <v>-5500.5500000000029</v>
      </c>
      <c r="M12" s="53">
        <f t="shared" ref="M12:M39" si="7">SUM(J12/I12*100)</f>
        <v>84.021393746816415</v>
      </c>
      <c r="N12" s="4">
        <f t="shared" si="0"/>
        <v>-14350</v>
      </c>
      <c r="O12" s="2">
        <f t="shared" si="1"/>
        <v>-16069</v>
      </c>
      <c r="P12" s="2">
        <f t="shared" si="2"/>
        <v>-2964</v>
      </c>
      <c r="Q12" s="53">
        <f t="shared" si="3"/>
        <v>18.445453979712489</v>
      </c>
      <c r="R12" s="244">
        <f>ROUND(X12/1000,0)</f>
        <v>13104</v>
      </c>
      <c r="S12" s="100">
        <v>14081</v>
      </c>
      <c r="T12" s="103">
        <v>1462</v>
      </c>
      <c r="V12" s="348">
        <v>10680486.32</v>
      </c>
      <c r="W12" s="348">
        <v>2423442.2799999998</v>
      </c>
      <c r="X12" s="64">
        <f t="shared" ref="X12:X39" si="8">V12+W12</f>
        <v>13103928.6</v>
      </c>
    </row>
    <row r="13" spans="1:44" ht="17.100000000000001" customHeight="1">
      <c r="A13" s="61" t="s">
        <v>186</v>
      </c>
      <c r="B13" s="4">
        <f>SUM('Příjmy '!B13+'Příjmy '!H13+'Příjmy '!L13+'Příjmy '!P13)</f>
        <v>46364</v>
      </c>
      <c r="C13" s="2">
        <f>SUM('Příjmy '!C13+'Příjmy '!I13+'Příjmy '!M13+'Příjmy '!Q13)</f>
        <v>71401</v>
      </c>
      <c r="D13" s="2">
        <f>SUM('Příjmy '!D13+'Příjmy '!J13+'Příjmy '!N13+'Příjmy '!R13)</f>
        <v>70576</v>
      </c>
      <c r="E13" s="95">
        <v>-95749039.849999994</v>
      </c>
      <c r="F13" s="95">
        <f t="shared" si="4"/>
        <v>25173.039850000001</v>
      </c>
      <c r="G13" s="53">
        <f t="shared" si="5"/>
        <v>98.844553997843164</v>
      </c>
      <c r="H13" s="4">
        <f>SUM('Výdaje '!B14+'Výdaje '!G14)</f>
        <v>95363</v>
      </c>
      <c r="I13" s="2">
        <f>SUM('Výdaje '!C14+'Výdaje '!H14)</f>
        <v>146319</v>
      </c>
      <c r="J13" s="2">
        <f>SUM('Výdaje '!D14+'Výdaje '!I14)</f>
        <v>51428</v>
      </c>
      <c r="K13" s="95">
        <v>68349807</v>
      </c>
      <c r="L13" s="95">
        <f t="shared" si="6"/>
        <v>16921.807000000001</v>
      </c>
      <c r="M13" s="53">
        <f t="shared" si="7"/>
        <v>35.147861863462708</v>
      </c>
      <c r="N13" s="4">
        <f t="shared" si="0"/>
        <v>-48999</v>
      </c>
      <c r="O13" s="2">
        <f t="shared" si="1"/>
        <v>-74918</v>
      </c>
      <c r="P13" s="2">
        <f t="shared" si="2"/>
        <v>19148</v>
      </c>
      <c r="Q13" s="53">
        <f t="shared" si="3"/>
        <v>-25.558610747750876</v>
      </c>
      <c r="R13" s="244">
        <f>ROUND(X13/1000,0)</f>
        <v>198334</v>
      </c>
      <c r="S13" s="100">
        <v>13033</v>
      </c>
      <c r="T13" s="103">
        <v>1332</v>
      </c>
      <c r="V13" s="349">
        <v>39532117.460000001</v>
      </c>
      <c r="W13" s="349">
        <v>158801716.43000001</v>
      </c>
      <c r="X13" s="64">
        <f t="shared" si="8"/>
        <v>198333833.89000002</v>
      </c>
    </row>
    <row r="14" spans="1:44" ht="17.100000000000001" customHeight="1">
      <c r="A14" s="61" t="s">
        <v>187</v>
      </c>
      <c r="B14" s="4">
        <f>SUM('Příjmy '!B14+'Příjmy '!H14+'Příjmy '!L14+'Příjmy '!P14)</f>
        <v>53435</v>
      </c>
      <c r="C14" s="2">
        <f>SUM('Příjmy '!C14+'Příjmy '!I14+'Příjmy '!M14+'Příjmy '!Q14)</f>
        <v>95404</v>
      </c>
      <c r="D14" s="2">
        <f>SUM('Příjmy '!D14+'Příjmy '!J14+'Příjmy '!N14+'Příjmy '!R14)</f>
        <v>95795</v>
      </c>
      <c r="E14" s="95">
        <v>-72467755.939999998</v>
      </c>
      <c r="F14" s="95">
        <f t="shared" si="4"/>
        <v>-23327.244059999997</v>
      </c>
      <c r="G14" s="53">
        <f t="shared" si="5"/>
        <v>100.40983606557377</v>
      </c>
      <c r="H14" s="4">
        <f>SUM('Výdaje '!B15+'Výdaje '!G15)</f>
        <v>46386</v>
      </c>
      <c r="I14" s="2">
        <f>SUM('Výdaje '!C15+'Výdaje '!H15)</f>
        <v>86983</v>
      </c>
      <c r="J14" s="2">
        <f>SUM('Výdaje '!D15+'Výdaje '!I15)</f>
        <v>80131</v>
      </c>
      <c r="K14" s="95">
        <v>52677591</v>
      </c>
      <c r="L14" s="95">
        <f t="shared" si="6"/>
        <v>-27453.409</v>
      </c>
      <c r="M14" s="53">
        <f t="shared" si="7"/>
        <v>92.122598668705379</v>
      </c>
      <c r="N14" s="4">
        <f t="shared" si="0"/>
        <v>7049</v>
      </c>
      <c r="O14" s="2">
        <f t="shared" si="1"/>
        <v>8421</v>
      </c>
      <c r="P14" s="2">
        <f t="shared" si="2"/>
        <v>15664</v>
      </c>
      <c r="Q14" s="53">
        <f t="shared" si="3"/>
        <v>186.01116256976607</v>
      </c>
      <c r="R14" s="244">
        <f>ROUND(X14/1000,0)</f>
        <v>38860</v>
      </c>
      <c r="S14" s="100">
        <v>10820</v>
      </c>
      <c r="T14" s="103">
        <v>1007</v>
      </c>
      <c r="V14" s="350">
        <v>12813773.74</v>
      </c>
      <c r="W14" s="350">
        <v>26046591.140000001</v>
      </c>
      <c r="X14" s="64">
        <f t="shared" si="8"/>
        <v>38860364.880000003</v>
      </c>
      <c r="AP14" s="272">
        <v>-1</v>
      </c>
    </row>
    <row r="15" spans="1:44" ht="17.100000000000001" customHeight="1">
      <c r="A15" s="61" t="s">
        <v>188</v>
      </c>
      <c r="B15" s="4">
        <f>SUM('Příjmy '!B15+'Příjmy '!H15+'Příjmy '!L15+'Příjmy '!P15)</f>
        <v>63915</v>
      </c>
      <c r="C15" s="2">
        <f>SUM('Příjmy '!C15+'Příjmy '!I15+'Příjmy '!M15+'Příjmy '!Q15)</f>
        <v>88877</v>
      </c>
      <c r="D15" s="2">
        <f>SUM('Příjmy '!D15+'Příjmy '!J15+'Příjmy '!N15+'Příjmy '!R15)</f>
        <v>88937</v>
      </c>
      <c r="E15" s="95">
        <v>-64541218.439999998</v>
      </c>
      <c r="F15" s="95">
        <f t="shared" si="4"/>
        <v>-24395.781560000003</v>
      </c>
      <c r="G15" s="53">
        <f t="shared" si="5"/>
        <v>100.06750902933268</v>
      </c>
      <c r="H15" s="4">
        <f>SUM('Výdaje '!B16+'Výdaje '!G16)</f>
        <v>62533</v>
      </c>
      <c r="I15" s="2">
        <f>SUM('Výdaje '!C16+'Výdaje '!H16)</f>
        <v>83114</v>
      </c>
      <c r="J15" s="2">
        <f>SUM('Výdaje '!D16+'Výdaje '!I16)</f>
        <v>78706</v>
      </c>
      <c r="K15" s="95">
        <v>64296882</v>
      </c>
      <c r="L15" s="95">
        <f t="shared" si="6"/>
        <v>-14409.118000000002</v>
      </c>
      <c r="M15" s="53">
        <f t="shared" si="7"/>
        <v>94.696441032798333</v>
      </c>
      <c r="N15" s="4">
        <f t="shared" si="0"/>
        <v>1382</v>
      </c>
      <c r="O15" s="2">
        <f t="shared" si="1"/>
        <v>5763</v>
      </c>
      <c r="P15" s="2">
        <f t="shared" si="2"/>
        <v>10231</v>
      </c>
      <c r="Q15" s="53">
        <f t="shared" si="3"/>
        <v>177.52906472323443</v>
      </c>
      <c r="R15" s="244">
        <f>ROUND(X15/1000,0)</f>
        <v>33010</v>
      </c>
      <c r="S15" s="100">
        <v>12724</v>
      </c>
      <c r="T15" s="103">
        <v>1094</v>
      </c>
      <c r="V15" s="351">
        <v>30775681.969999999</v>
      </c>
      <c r="W15" s="351">
        <v>2234170.44</v>
      </c>
      <c r="X15" s="64">
        <f t="shared" si="8"/>
        <v>33009852.41</v>
      </c>
      <c r="AR15" s="272">
        <v>48</v>
      </c>
    </row>
    <row r="16" spans="1:44" ht="17.100000000000001" customHeight="1">
      <c r="A16" s="61" t="s">
        <v>189</v>
      </c>
      <c r="B16" s="4">
        <f>SUM('Příjmy '!B16+'Příjmy '!H16+'Příjmy '!L16+'Příjmy '!P16)</f>
        <v>13530</v>
      </c>
      <c r="C16" s="2">
        <f>SUM('Příjmy '!C16+'Příjmy '!I16+'Příjmy '!M16+'Příjmy '!Q16)</f>
        <v>15507</v>
      </c>
      <c r="D16" s="2">
        <f>SUM('Příjmy '!D16+'Příjmy '!J16+'Příjmy '!N16+'Příjmy '!R16)</f>
        <v>15773</v>
      </c>
      <c r="E16" s="95">
        <v>-15187021.85</v>
      </c>
      <c r="F16" s="95">
        <f t="shared" si="4"/>
        <v>-585.97815000000082</v>
      </c>
      <c r="G16" s="53">
        <f t="shared" si="5"/>
        <v>101.71535435609724</v>
      </c>
      <c r="H16" s="4">
        <f>SUM('Výdaje '!B17+'Výdaje '!G17)</f>
        <v>14592</v>
      </c>
      <c r="I16" s="2">
        <f>SUM('Výdaje '!C17+'Výdaje '!H17)</f>
        <v>17836</v>
      </c>
      <c r="J16" s="2">
        <f>SUM('Výdaje '!D17+'Výdaje '!I17)</f>
        <v>14284</v>
      </c>
      <c r="K16" s="95">
        <v>13451176</v>
      </c>
      <c r="L16" s="95">
        <f t="shared" si="6"/>
        <v>-832.82400000000052</v>
      </c>
      <c r="M16" s="53">
        <f t="shared" si="7"/>
        <v>80.08522090154743</v>
      </c>
      <c r="N16" s="4">
        <f t="shared" si="0"/>
        <v>-1062</v>
      </c>
      <c r="O16" s="2">
        <f t="shared" si="1"/>
        <v>-2329</v>
      </c>
      <c r="P16" s="2">
        <f t="shared" si="2"/>
        <v>1489</v>
      </c>
      <c r="Q16" s="53">
        <f t="shared" si="3"/>
        <v>-63.933018462859593</v>
      </c>
      <c r="R16" s="244">
        <f>ROUND(X16/1000,0)</f>
        <v>8133</v>
      </c>
      <c r="S16" s="100">
        <v>2419</v>
      </c>
      <c r="T16" s="103">
        <v>181</v>
      </c>
      <c r="V16" s="352">
        <v>4250754.53</v>
      </c>
      <c r="W16" s="352">
        <v>3882292.76</v>
      </c>
      <c r="X16" s="64">
        <f t="shared" si="8"/>
        <v>8133047.29</v>
      </c>
      <c r="AP16" s="272">
        <v>-1</v>
      </c>
    </row>
    <row r="17" spans="1:44" ht="17.100000000000001" customHeight="1">
      <c r="A17" s="61" t="s">
        <v>190</v>
      </c>
      <c r="B17" s="4">
        <f>SUM('Příjmy '!B17+'Příjmy '!H17+'Příjmy '!L17+'Příjmy '!P17)</f>
        <v>122548</v>
      </c>
      <c r="C17" s="2">
        <f>SUM('Příjmy '!C17+'Příjmy '!I17+'Příjmy '!M17+'Příjmy '!Q17)</f>
        <v>178059</v>
      </c>
      <c r="D17" s="2">
        <f>SUM('Příjmy '!D17+'Příjmy '!J17+'Příjmy '!N17+'Příjmy '!R17)</f>
        <v>156167</v>
      </c>
      <c r="E17" s="95">
        <v>-147596131.77000001</v>
      </c>
      <c r="F17" s="95">
        <f t="shared" si="4"/>
        <v>-8570.8682299999928</v>
      </c>
      <c r="G17" s="53">
        <f t="shared" si="5"/>
        <v>87.705198838587208</v>
      </c>
      <c r="H17" s="4">
        <f>SUM('Výdaje '!B18+'Výdaje '!G18)</f>
        <v>120217</v>
      </c>
      <c r="I17" s="2">
        <f>SUM('Výdaje '!C18+'Výdaje '!H18)</f>
        <v>186598</v>
      </c>
      <c r="J17" s="2">
        <f>SUM('Výdaje '!D18+'Výdaje '!I18)</f>
        <v>173939</v>
      </c>
      <c r="K17" s="95">
        <v>145114585</v>
      </c>
      <c r="L17" s="95">
        <f t="shared" si="6"/>
        <v>-28824.415000000008</v>
      </c>
      <c r="M17" s="53">
        <f t="shared" si="7"/>
        <v>93.21589727649814</v>
      </c>
      <c r="N17" s="4">
        <f t="shared" si="0"/>
        <v>2331</v>
      </c>
      <c r="O17" s="2">
        <f t="shared" si="1"/>
        <v>-8539</v>
      </c>
      <c r="P17" s="2">
        <f t="shared" si="2"/>
        <v>-17772</v>
      </c>
      <c r="Q17" s="53">
        <f t="shared" si="3"/>
        <v>208.12741538821876</v>
      </c>
      <c r="R17" s="244">
        <f>ROUND(X17/1000,0)</f>
        <v>16938</v>
      </c>
      <c r="S17" s="100">
        <v>20539</v>
      </c>
      <c r="T17" s="103">
        <v>2076</v>
      </c>
      <c r="V17" s="353">
        <v>16625612.65</v>
      </c>
      <c r="W17" s="353">
        <v>312169.94</v>
      </c>
      <c r="X17" s="64">
        <f t="shared" si="8"/>
        <v>16937782.59</v>
      </c>
      <c r="AQ17" s="272">
        <v>59</v>
      </c>
      <c r="AR17" s="272">
        <v>-1</v>
      </c>
    </row>
    <row r="18" spans="1:44" ht="17.100000000000001" customHeight="1">
      <c r="A18" s="61" t="s">
        <v>191</v>
      </c>
      <c r="B18" s="4">
        <f>SUM('Příjmy '!B18+'Příjmy '!H18+'Příjmy '!L18+'Příjmy '!P18)</f>
        <v>152040</v>
      </c>
      <c r="C18" s="2">
        <f>SUM('Příjmy '!C18+'Příjmy '!I18+'Příjmy '!M18+'Příjmy '!Q18)</f>
        <v>190399</v>
      </c>
      <c r="D18" s="2">
        <f>SUM('Příjmy '!D18+'Příjmy '!J18+'Příjmy '!N18+'Příjmy '!R18)</f>
        <v>190941</v>
      </c>
      <c r="E18" s="95">
        <v>-188531295.12</v>
      </c>
      <c r="F18" s="95">
        <f t="shared" si="4"/>
        <v>-2409.7048800000048</v>
      </c>
      <c r="G18" s="53">
        <f t="shared" si="5"/>
        <v>100.2846653606374</v>
      </c>
      <c r="H18" s="4">
        <f>SUM('Výdaje '!B19+'Výdaje '!G19)</f>
        <v>218347</v>
      </c>
      <c r="I18" s="2">
        <f>SUM('Výdaje '!C19+'Výdaje '!H19)</f>
        <v>329237</v>
      </c>
      <c r="J18" s="2">
        <f>SUM('Výdaje '!D19+'Výdaje '!I19)</f>
        <v>126675</v>
      </c>
      <c r="K18" s="95">
        <v>143053898</v>
      </c>
      <c r="L18" s="95">
        <f t="shared" si="6"/>
        <v>16378.897999999986</v>
      </c>
      <c r="M18" s="53">
        <f t="shared" si="7"/>
        <v>38.475323247387138</v>
      </c>
      <c r="N18" s="4">
        <f t="shared" si="0"/>
        <v>-66307</v>
      </c>
      <c r="O18" s="2">
        <f t="shared" si="1"/>
        <v>-138838</v>
      </c>
      <c r="P18" s="2">
        <f t="shared" si="2"/>
        <v>64266</v>
      </c>
      <c r="Q18" s="53">
        <f t="shared" si="3"/>
        <v>-46.288480099108313</v>
      </c>
      <c r="R18" s="244">
        <f>ROUND(X18/1000,0)+1</f>
        <v>202890</v>
      </c>
      <c r="S18" s="100">
        <v>23751</v>
      </c>
      <c r="T18" s="103">
        <v>2142</v>
      </c>
      <c r="V18" s="354">
        <v>147024558.53</v>
      </c>
      <c r="W18" s="354">
        <v>55864901.100000001</v>
      </c>
      <c r="X18" s="64">
        <f t="shared" si="8"/>
        <v>202889459.63</v>
      </c>
      <c r="AP18" s="272">
        <v>54</v>
      </c>
      <c r="AQ18" s="272">
        <v>61</v>
      </c>
    </row>
    <row r="19" spans="1:44" ht="17.100000000000001" customHeight="1">
      <c r="A19" s="61" t="s">
        <v>192</v>
      </c>
      <c r="B19" s="4">
        <f>SUM('Příjmy '!B19+'Příjmy '!H19+'Příjmy '!L19+'Příjmy '!P19)</f>
        <v>9194</v>
      </c>
      <c r="C19" s="2">
        <f>SUM('Příjmy '!C19+'Příjmy '!I19+'Příjmy '!M19+'Příjmy '!Q19)</f>
        <v>11212</v>
      </c>
      <c r="D19" s="2">
        <f>SUM('Příjmy '!D19+'Příjmy '!J19+'Příjmy '!N19+'Příjmy '!R19)</f>
        <v>11125</v>
      </c>
      <c r="E19" s="95">
        <v>-10361187.960000001</v>
      </c>
      <c r="F19" s="95">
        <f t="shared" si="4"/>
        <v>-763.81203999999889</v>
      </c>
      <c r="G19" s="53">
        <f t="shared" si="5"/>
        <v>99.224045665358545</v>
      </c>
      <c r="H19" s="4">
        <f>SUM('Výdaje '!B20+'Výdaje '!G20)</f>
        <v>9194</v>
      </c>
      <c r="I19" s="2">
        <f>SUM('Výdaje '!C20+'Výdaje '!H20)</f>
        <v>12741</v>
      </c>
      <c r="J19" s="2">
        <f>SUM('Výdaje '!D20+'Výdaje '!I20)</f>
        <v>7443</v>
      </c>
      <c r="K19" s="95">
        <v>9051242</v>
      </c>
      <c r="L19" s="95">
        <f t="shared" si="6"/>
        <v>1608.2420000000002</v>
      </c>
      <c r="M19" s="53">
        <f t="shared" si="7"/>
        <v>58.417706616435126</v>
      </c>
      <c r="N19" s="4">
        <f t="shared" si="0"/>
        <v>0</v>
      </c>
      <c r="O19" s="2">
        <f t="shared" si="1"/>
        <v>-1529</v>
      </c>
      <c r="P19" s="2">
        <f t="shared" si="2"/>
        <v>3682</v>
      </c>
      <c r="Q19" s="53">
        <f t="shared" si="3"/>
        <v>-240.81098757357751</v>
      </c>
      <c r="R19" s="244">
        <f>ROUND(X19/1000,0)</f>
        <v>7462</v>
      </c>
      <c r="S19" s="100">
        <v>1007</v>
      </c>
      <c r="T19" s="103">
        <v>53</v>
      </c>
      <c r="V19" s="355">
        <v>5427724.2300000004</v>
      </c>
      <c r="W19" s="355">
        <v>2034409.65</v>
      </c>
      <c r="X19" s="64">
        <f t="shared" si="8"/>
        <v>7462133.8800000008</v>
      </c>
    </row>
    <row r="20" spans="1:44" ht="17.100000000000001" customHeight="1">
      <c r="A20" s="61" t="s">
        <v>193</v>
      </c>
      <c r="B20" s="4">
        <f>SUM('Příjmy '!B20+'Příjmy '!H20+'Příjmy '!L20+'Příjmy '!P20)</f>
        <v>25868</v>
      </c>
      <c r="C20" s="2">
        <f>SUM('Příjmy '!C20+'Příjmy '!I20+'Příjmy '!M20+'Příjmy '!Q20)</f>
        <v>34913</v>
      </c>
      <c r="D20" s="2">
        <f>SUM('Příjmy '!D20+'Příjmy '!J20+'Příjmy '!N20+'Příjmy '!R20)</f>
        <v>35948</v>
      </c>
      <c r="E20" s="95">
        <v>-35461912.210000001</v>
      </c>
      <c r="F20" s="95">
        <f t="shared" si="4"/>
        <v>-486.08778999999777</v>
      </c>
      <c r="G20" s="53">
        <f t="shared" si="5"/>
        <v>102.96451178644057</v>
      </c>
      <c r="H20" s="4">
        <f>SUM('Výdaje '!B21+'Výdaje '!G21)</f>
        <v>25868</v>
      </c>
      <c r="I20" s="2">
        <f>SUM('Výdaje '!C21+'Výdaje '!H21)</f>
        <v>36773</v>
      </c>
      <c r="J20" s="2">
        <f>SUM('Výdaje '!D21+'Výdaje '!I21)</f>
        <v>29887</v>
      </c>
      <c r="K20" s="95">
        <v>42970742</v>
      </c>
      <c r="L20" s="95">
        <f t="shared" si="6"/>
        <v>13083.741999999998</v>
      </c>
      <c r="M20" s="53">
        <f t="shared" si="7"/>
        <v>81.274304516900983</v>
      </c>
      <c r="N20" s="4">
        <f t="shared" si="0"/>
        <v>0</v>
      </c>
      <c r="O20" s="2">
        <f t="shared" si="1"/>
        <v>-1860</v>
      </c>
      <c r="P20" s="2">
        <f t="shared" si="2"/>
        <v>6061</v>
      </c>
      <c r="Q20" s="53">
        <f t="shared" si="3"/>
        <v>-325.86021505376345</v>
      </c>
      <c r="R20" s="244">
        <f>ROUND(X20/1000,0)</f>
        <v>20868</v>
      </c>
      <c r="S20" s="100">
        <v>7305</v>
      </c>
      <c r="T20" s="103">
        <v>747</v>
      </c>
      <c r="V20" s="356">
        <v>14455982.6</v>
      </c>
      <c r="W20" s="356">
        <v>6411679.9100000001</v>
      </c>
      <c r="X20" s="64">
        <f t="shared" si="8"/>
        <v>20867662.509999998</v>
      </c>
    </row>
    <row r="21" spans="1:44" ht="17.100000000000001" customHeight="1">
      <c r="A21" s="61" t="s">
        <v>194</v>
      </c>
      <c r="B21" s="4">
        <f>SUM('Příjmy '!B21+'Příjmy '!H21+'Příjmy '!L21+'Příjmy '!P21)</f>
        <v>25304</v>
      </c>
      <c r="C21" s="2">
        <f>SUM('Příjmy '!C21+'Příjmy '!I21+'Příjmy '!M21+'Příjmy '!Q21)</f>
        <v>33301</v>
      </c>
      <c r="D21" s="2">
        <f>SUM('Příjmy '!D21+'Příjmy '!J21+'Příjmy '!N21+'Příjmy '!R21)</f>
        <v>31442</v>
      </c>
      <c r="E21" s="95">
        <v>-24128204.190000001</v>
      </c>
      <c r="F21" s="95">
        <f t="shared" si="4"/>
        <v>-7313.7958099999996</v>
      </c>
      <c r="G21" s="53">
        <f t="shared" si="5"/>
        <v>94.417585057505775</v>
      </c>
      <c r="H21" s="4">
        <f>SUM('Výdaje '!B22+'Výdaje '!G22)</f>
        <v>31134</v>
      </c>
      <c r="I21" s="2">
        <f>SUM('Výdaje '!C22+'Výdaje '!H22)</f>
        <v>40495</v>
      </c>
      <c r="J21" s="2">
        <f>SUM('Výdaje '!D22+'Výdaje '!I22)</f>
        <v>32743</v>
      </c>
      <c r="K21" s="95">
        <v>45386987</v>
      </c>
      <c r="L21" s="95">
        <f t="shared" si="6"/>
        <v>12643.987000000001</v>
      </c>
      <c r="M21" s="53">
        <f t="shared" si="7"/>
        <v>80.856895913075689</v>
      </c>
      <c r="N21" s="4">
        <f t="shared" si="0"/>
        <v>-5830</v>
      </c>
      <c r="O21" s="2">
        <f t="shared" si="1"/>
        <v>-7194</v>
      </c>
      <c r="P21" s="2">
        <f t="shared" si="2"/>
        <v>-1301</v>
      </c>
      <c r="Q21" s="53">
        <f t="shared" si="3"/>
        <v>18.0845148735057</v>
      </c>
      <c r="R21" s="244">
        <f>ROUND(X21/1000,0)</f>
        <v>8654</v>
      </c>
      <c r="S21" s="100">
        <v>4040</v>
      </c>
      <c r="T21" s="103">
        <v>376</v>
      </c>
      <c r="V21" s="357">
        <v>4000976.54</v>
      </c>
      <c r="W21" s="357">
        <v>4653406.59</v>
      </c>
      <c r="X21" s="64">
        <f t="shared" si="8"/>
        <v>8654383.129999999</v>
      </c>
      <c r="AQ21" s="272">
        <v>34</v>
      </c>
    </row>
    <row r="22" spans="1:44" ht="17.100000000000001" customHeight="1">
      <c r="A22" s="61" t="s">
        <v>195</v>
      </c>
      <c r="B22" s="4">
        <f>SUM('Příjmy '!B22+'Příjmy '!H22+'Příjmy '!L22+'Příjmy '!P22)</f>
        <v>16088</v>
      </c>
      <c r="C22" s="2">
        <f>SUM('Příjmy '!C22+'Příjmy '!I22+'Příjmy '!M22+'Příjmy '!Q22)</f>
        <v>35161</v>
      </c>
      <c r="D22" s="2">
        <f>SUM('Příjmy '!D22+'Příjmy '!J22+'Příjmy '!N22+'Příjmy '!R22)</f>
        <v>35122</v>
      </c>
      <c r="E22" s="95">
        <v>-35603959.189999998</v>
      </c>
      <c r="F22" s="95">
        <f t="shared" si="4"/>
        <v>481.95918999999412</v>
      </c>
      <c r="G22" s="53">
        <f t="shared" si="5"/>
        <v>99.889081652967775</v>
      </c>
      <c r="H22" s="4">
        <f>SUM('Výdaje '!B23+'Výdaje '!G23)</f>
        <v>16588</v>
      </c>
      <c r="I22" s="2">
        <f>SUM('Výdaje '!C23+'Výdaje '!H23)</f>
        <v>39150</v>
      </c>
      <c r="J22" s="2">
        <f>SUM('Výdaje '!D23+'Výdaje '!I23)</f>
        <v>23896</v>
      </c>
      <c r="K22" s="95">
        <v>18922131</v>
      </c>
      <c r="L22" s="95">
        <f t="shared" si="6"/>
        <v>-4973.8689999999988</v>
      </c>
      <c r="M22" s="53">
        <f t="shared" si="7"/>
        <v>61.037037037037031</v>
      </c>
      <c r="N22" s="4">
        <f t="shared" si="0"/>
        <v>-500</v>
      </c>
      <c r="O22" s="2">
        <f t="shared" si="1"/>
        <v>-3989</v>
      </c>
      <c r="P22" s="2">
        <f t="shared" si="2"/>
        <v>11226</v>
      </c>
      <c r="Q22" s="53">
        <f t="shared" ref="Q22:Q28" si="9">SUM(P22/O22*100)</f>
        <v>-281.42391576836297</v>
      </c>
      <c r="R22" s="244">
        <f>ROUND(X22/1000,0)</f>
        <v>16566</v>
      </c>
      <c r="S22" s="100">
        <v>3762</v>
      </c>
      <c r="T22" s="103">
        <v>353</v>
      </c>
      <c r="V22" s="358">
        <v>12132912.52</v>
      </c>
      <c r="W22" s="358">
        <v>4433175.4000000004</v>
      </c>
      <c r="X22" s="64">
        <f t="shared" si="8"/>
        <v>16566087.92</v>
      </c>
      <c r="AP22" s="272">
        <v>-1</v>
      </c>
      <c r="AQ22" s="272">
        <v>-1</v>
      </c>
      <c r="AR22" s="272">
        <v>-1</v>
      </c>
    </row>
    <row r="23" spans="1:44" ht="17.100000000000001" customHeight="1">
      <c r="A23" s="61" t="s">
        <v>196</v>
      </c>
      <c r="B23" s="4">
        <f>SUM('Příjmy '!B23+'Příjmy '!H23+'Příjmy '!L23+'Příjmy '!P23)</f>
        <v>213135</v>
      </c>
      <c r="C23" s="2">
        <f>SUM('Příjmy '!C23+'Příjmy '!I23+'Příjmy '!M23+'Příjmy '!Q23)</f>
        <v>333490</v>
      </c>
      <c r="D23" s="2">
        <f>SUM('Příjmy '!D23+'Příjmy '!J23+'Příjmy '!N23+'Příjmy '!R23)</f>
        <v>334193</v>
      </c>
      <c r="E23" s="95">
        <v>-299138431.89999998</v>
      </c>
      <c r="F23" s="95">
        <f t="shared" si="4"/>
        <v>-35054.568100000033</v>
      </c>
      <c r="G23" s="53">
        <f t="shared" si="5"/>
        <v>100.21080092356594</v>
      </c>
      <c r="H23" s="4">
        <f>SUM('Výdaje '!B24+'Výdaje '!G24)</f>
        <v>277452</v>
      </c>
      <c r="I23" s="2">
        <f>SUM('Výdaje '!C24+'Výdaje '!H24)</f>
        <v>477622</v>
      </c>
      <c r="J23" s="2">
        <f>SUM('Výdaje '!D24+'Výdaje '!I24)</f>
        <v>344048</v>
      </c>
      <c r="K23" s="95">
        <v>236919985</v>
      </c>
      <c r="L23" s="95">
        <f t="shared" si="6"/>
        <v>-107128.01500000001</v>
      </c>
      <c r="M23" s="53">
        <f t="shared" si="7"/>
        <v>72.033532793715537</v>
      </c>
      <c r="N23" s="4">
        <f t="shared" si="0"/>
        <v>-64317</v>
      </c>
      <c r="O23" s="2">
        <f t="shared" si="1"/>
        <v>-144132</v>
      </c>
      <c r="P23" s="2">
        <f t="shared" si="2"/>
        <v>-9855</v>
      </c>
      <c r="Q23" s="53">
        <f t="shared" si="3"/>
        <v>6.8374823078844393</v>
      </c>
      <c r="R23" s="244">
        <f>ROUND(X23/1000,0)</f>
        <v>152973</v>
      </c>
      <c r="S23" s="100">
        <v>46234</v>
      </c>
      <c r="T23" s="103">
        <v>4165</v>
      </c>
      <c r="V23" s="359">
        <v>122839592.65000001</v>
      </c>
      <c r="W23" s="359">
        <v>30133525.57</v>
      </c>
      <c r="X23" s="64">
        <f t="shared" si="8"/>
        <v>152973118.22</v>
      </c>
      <c r="AP23" s="272">
        <v>47</v>
      </c>
    </row>
    <row r="24" spans="1:44" ht="17.100000000000001" customHeight="1">
      <c r="A24" s="61" t="s">
        <v>197</v>
      </c>
      <c r="B24" s="4">
        <f>SUM('Příjmy '!B24+'Příjmy '!H24+'Příjmy '!L24+'Příjmy '!P24)</f>
        <v>23988</v>
      </c>
      <c r="C24" s="2">
        <f>SUM('Příjmy '!C24+'Příjmy '!I24+'Příjmy '!M24+'Příjmy '!Q24)</f>
        <v>29198</v>
      </c>
      <c r="D24" s="2">
        <f>SUM('Příjmy '!D24+'Příjmy '!J24+'Příjmy '!N24+'Příjmy '!R24)</f>
        <v>29065</v>
      </c>
      <c r="E24" s="95">
        <v>-28825494.050000001</v>
      </c>
      <c r="F24" s="95">
        <f t="shared" si="4"/>
        <v>-239.50594999999885</v>
      </c>
      <c r="G24" s="53">
        <f t="shared" si="5"/>
        <v>99.544489348585515</v>
      </c>
      <c r="H24" s="4">
        <f>SUM('Výdaje '!B25+'Výdaje '!G25)</f>
        <v>26593</v>
      </c>
      <c r="I24" s="2">
        <f>SUM('Výdaje '!C25+'Výdaje '!H25)</f>
        <v>33367</v>
      </c>
      <c r="J24" s="2">
        <f>SUM('Výdaje '!D25+'Výdaje '!I25)</f>
        <v>30063</v>
      </c>
      <c r="K24" s="95">
        <v>28183842</v>
      </c>
      <c r="L24" s="95">
        <f t="shared" si="6"/>
        <v>-1879.1579999999994</v>
      </c>
      <c r="M24" s="53">
        <f t="shared" si="7"/>
        <v>90.098001018970848</v>
      </c>
      <c r="N24" s="4">
        <f t="shared" si="0"/>
        <v>-2605</v>
      </c>
      <c r="O24" s="2">
        <f t="shared" si="1"/>
        <v>-4169</v>
      </c>
      <c r="P24" s="2">
        <f t="shared" si="2"/>
        <v>-998</v>
      </c>
      <c r="Q24" s="53">
        <f t="shared" si="9"/>
        <v>23.938594387143201</v>
      </c>
      <c r="R24" s="244">
        <f>ROUND(X24/1000,0)</f>
        <v>10245</v>
      </c>
      <c r="S24" s="100">
        <v>5317</v>
      </c>
      <c r="T24" s="103">
        <v>476</v>
      </c>
      <c r="V24" s="360">
        <v>10200972.1</v>
      </c>
      <c r="W24" s="360">
        <v>44216.31</v>
      </c>
      <c r="X24" s="64">
        <f t="shared" si="8"/>
        <v>10245188.41</v>
      </c>
      <c r="AP24" s="272">
        <v>-1</v>
      </c>
    </row>
    <row r="25" spans="1:44" ht="17.100000000000001" customHeight="1">
      <c r="A25" s="61" t="s">
        <v>198</v>
      </c>
      <c r="B25" s="4">
        <f>SUM('Příjmy '!B25+'Příjmy '!H25+'Příjmy '!L25+'Příjmy '!P25)</f>
        <v>170610</v>
      </c>
      <c r="C25" s="2">
        <f>SUM('Příjmy '!C25+'Příjmy '!I25+'Příjmy '!M25+'Příjmy '!Q25)</f>
        <v>182430</v>
      </c>
      <c r="D25" s="2">
        <f>SUM('Příjmy '!D25+'Příjmy '!J25+'Příjmy '!N25+'Příjmy '!R25)</f>
        <v>183437</v>
      </c>
      <c r="E25" s="95">
        <v>-185020955.25999999</v>
      </c>
      <c r="F25" s="95">
        <f t="shared" si="4"/>
        <v>1583.9552599999879</v>
      </c>
      <c r="G25" s="53">
        <f t="shared" si="5"/>
        <v>100.55199254508578</v>
      </c>
      <c r="H25" s="4">
        <f>SUM('Výdaje '!B26+'Výdaje '!G26)</f>
        <v>154693</v>
      </c>
      <c r="I25" s="2">
        <f>SUM('Výdaje '!C26+'Výdaje '!H26)</f>
        <v>218672</v>
      </c>
      <c r="J25" s="2">
        <f>SUM('Výdaje '!D26+'Výdaje '!I26)</f>
        <v>178323</v>
      </c>
      <c r="K25" s="95">
        <v>131496367</v>
      </c>
      <c r="L25" s="95">
        <f t="shared" si="6"/>
        <v>-46826.633000000002</v>
      </c>
      <c r="M25" s="53">
        <f t="shared" si="7"/>
        <v>81.548163459427812</v>
      </c>
      <c r="N25" s="4">
        <f t="shared" si="0"/>
        <v>15917</v>
      </c>
      <c r="O25" s="2">
        <f t="shared" si="1"/>
        <v>-36242</v>
      </c>
      <c r="P25" s="2">
        <f t="shared" si="2"/>
        <v>5114</v>
      </c>
      <c r="Q25" s="53">
        <f t="shared" si="3"/>
        <v>-14.11070029247834</v>
      </c>
      <c r="R25" s="244">
        <f>ROUND(X25/1000,0)</f>
        <v>41918</v>
      </c>
      <c r="S25" s="100">
        <v>20860</v>
      </c>
      <c r="T25" s="103">
        <v>2141</v>
      </c>
      <c r="V25" s="361">
        <v>40860402.600000001</v>
      </c>
      <c r="W25" s="361">
        <v>1057824.18</v>
      </c>
      <c r="X25" s="64">
        <f t="shared" si="8"/>
        <v>41918226.780000001</v>
      </c>
      <c r="AR25" s="272">
        <v>-1</v>
      </c>
    </row>
    <row r="26" spans="1:44" ht="17.100000000000001" customHeight="1">
      <c r="A26" s="61" t="s">
        <v>199</v>
      </c>
      <c r="B26" s="4">
        <f>SUM('Příjmy '!B26+'Příjmy '!H26+'Příjmy '!L26+'Příjmy '!P26)</f>
        <v>47161</v>
      </c>
      <c r="C26" s="2">
        <f>SUM('Příjmy '!C26+'Příjmy '!I26+'Příjmy '!M26+'Příjmy '!Q26)</f>
        <v>70305</v>
      </c>
      <c r="D26" s="2">
        <f>SUM('Příjmy '!D26+'Příjmy '!J26+'Příjmy '!N26+'Příjmy '!R26)</f>
        <v>69946</v>
      </c>
      <c r="E26" s="95">
        <v>-74097822.75</v>
      </c>
      <c r="F26" s="95">
        <f t="shared" si="4"/>
        <v>4151.8227500000066</v>
      </c>
      <c r="G26" s="53">
        <f t="shared" si="5"/>
        <v>99.489367754782734</v>
      </c>
      <c r="H26" s="4">
        <f>SUM('Výdaje '!B27+'Výdaje '!G27)</f>
        <v>65018</v>
      </c>
      <c r="I26" s="2">
        <f>SUM('Výdaje '!C27+'Výdaje '!H27)</f>
        <v>108775</v>
      </c>
      <c r="J26" s="2">
        <f>SUM('Výdaje '!D27+'Výdaje '!I27)</f>
        <v>51820</v>
      </c>
      <c r="K26" s="95">
        <v>44168132</v>
      </c>
      <c r="L26" s="95">
        <f t="shared" si="6"/>
        <v>-7651.8680000000022</v>
      </c>
      <c r="M26" s="53">
        <f t="shared" si="7"/>
        <v>47.639623075155136</v>
      </c>
      <c r="N26" s="4">
        <f t="shared" si="0"/>
        <v>-17857</v>
      </c>
      <c r="O26" s="2">
        <f t="shared" si="1"/>
        <v>-38470</v>
      </c>
      <c r="P26" s="2">
        <f t="shared" si="2"/>
        <v>18126</v>
      </c>
      <c r="Q26" s="53">
        <f t="shared" si="3"/>
        <v>-47.117234208474137</v>
      </c>
      <c r="R26" s="244">
        <f>ROUND(X26/1000,0)</f>
        <v>68399</v>
      </c>
      <c r="S26" s="100">
        <v>7691</v>
      </c>
      <c r="T26" s="103">
        <v>806</v>
      </c>
      <c r="V26" s="362">
        <v>60181224.119999997</v>
      </c>
      <c r="W26" s="362">
        <v>8217724.0899999999</v>
      </c>
      <c r="X26" s="64">
        <f t="shared" si="8"/>
        <v>68398948.209999993</v>
      </c>
    </row>
    <row r="27" spans="1:44" ht="17.100000000000001" customHeight="1">
      <c r="A27" s="61" t="s">
        <v>200</v>
      </c>
      <c r="B27" s="4">
        <f>SUM('Příjmy '!B27+'Příjmy '!H27+'Příjmy '!L27+'Příjmy '!P27)</f>
        <v>57821</v>
      </c>
      <c r="C27" s="2">
        <f>SUM('Příjmy '!C27+'Příjmy '!I27+'Příjmy '!M27+'Příjmy '!Q27)</f>
        <v>116362</v>
      </c>
      <c r="D27" s="2">
        <f>SUM('Příjmy '!D27+'Příjmy '!J27+'Příjmy '!N27+'Příjmy '!R27)</f>
        <v>117498</v>
      </c>
      <c r="E27" s="95">
        <v>-75300910.370000005</v>
      </c>
      <c r="F27" s="95">
        <f t="shared" si="4"/>
        <v>-42197.089630000002</v>
      </c>
      <c r="G27" s="53">
        <f t="shared" si="5"/>
        <v>100.97626372870869</v>
      </c>
      <c r="H27" s="4">
        <f>SUM('Výdaje '!B28+'Výdaje '!G28)</f>
        <v>69075</v>
      </c>
      <c r="I27" s="2">
        <f>SUM('Výdaje '!C28+'Výdaje '!H28)</f>
        <v>165459</v>
      </c>
      <c r="J27" s="2">
        <f>SUM('Výdaje '!D28+'Výdaje '!I28)</f>
        <v>83541</v>
      </c>
      <c r="K27" s="95">
        <v>87202201</v>
      </c>
      <c r="L27" s="95">
        <f t="shared" si="6"/>
        <v>3661.2010000000009</v>
      </c>
      <c r="M27" s="53">
        <f t="shared" si="7"/>
        <v>50.490453828440884</v>
      </c>
      <c r="N27" s="4">
        <f t="shared" si="0"/>
        <v>-11254</v>
      </c>
      <c r="O27" s="2">
        <f t="shared" si="1"/>
        <v>-49097</v>
      </c>
      <c r="P27" s="2">
        <f t="shared" si="2"/>
        <v>33957</v>
      </c>
      <c r="Q27" s="53">
        <f t="shared" si="3"/>
        <v>-69.163085320895362</v>
      </c>
      <c r="R27" s="244">
        <f>ROUND(X27/1000,0)</f>
        <v>111443</v>
      </c>
      <c r="S27" s="100">
        <v>9046</v>
      </c>
      <c r="T27" s="103">
        <v>803</v>
      </c>
      <c r="V27" s="363">
        <v>111343743.05</v>
      </c>
      <c r="W27" s="363">
        <v>99557.46</v>
      </c>
      <c r="X27" s="64">
        <f t="shared" si="8"/>
        <v>111443300.50999999</v>
      </c>
    </row>
    <row r="28" spans="1:44" ht="17.100000000000001" customHeight="1">
      <c r="A28" s="61" t="s">
        <v>201</v>
      </c>
      <c r="B28" s="4">
        <f>SUM('Příjmy '!B28+'Příjmy '!H28+'Příjmy '!L28+'Příjmy '!P28)</f>
        <v>49500</v>
      </c>
      <c r="C28" s="2">
        <f>SUM('Příjmy '!C28+'Příjmy '!I28+'Příjmy '!M28+'Příjmy '!Q28)</f>
        <v>73874</v>
      </c>
      <c r="D28" s="2">
        <f>SUM('Příjmy '!D28+'Příjmy '!J28+'Příjmy '!N28+'Příjmy '!R28)</f>
        <v>74426</v>
      </c>
      <c r="E28" s="95">
        <v>-96447638.780000001</v>
      </c>
      <c r="F28" s="95">
        <f t="shared" si="4"/>
        <v>22021.638780000008</v>
      </c>
      <c r="G28" s="53">
        <f t="shared" si="5"/>
        <v>100.74721823645667</v>
      </c>
      <c r="H28" s="4">
        <f>SUM('Výdaje '!B29+'Výdaje '!G29)</f>
        <v>53500</v>
      </c>
      <c r="I28" s="2">
        <f>SUM('Výdaje '!C29+'Výdaje '!H29)</f>
        <v>62607</v>
      </c>
      <c r="J28" s="2">
        <f>SUM('Výdaje '!D29+'Výdaje '!I29)</f>
        <v>52802</v>
      </c>
      <c r="K28" s="95">
        <v>142711668</v>
      </c>
      <c r="L28" s="95">
        <f t="shared" si="6"/>
        <v>89909.668000000005</v>
      </c>
      <c r="M28" s="53">
        <f t="shared" si="7"/>
        <v>84.338811953934865</v>
      </c>
      <c r="N28" s="4">
        <f t="shared" si="0"/>
        <v>-4000</v>
      </c>
      <c r="O28" s="2">
        <f t="shared" si="1"/>
        <v>11267</v>
      </c>
      <c r="P28" s="2">
        <f t="shared" si="2"/>
        <v>21624</v>
      </c>
      <c r="Q28" s="53">
        <f t="shared" si="9"/>
        <v>191.92331587822846</v>
      </c>
      <c r="R28" s="244">
        <f>ROUND(X28/1000,0)</f>
        <v>89158</v>
      </c>
      <c r="S28" s="100">
        <v>13168</v>
      </c>
      <c r="T28" s="103">
        <v>656</v>
      </c>
      <c r="V28" s="364">
        <v>24537824.68</v>
      </c>
      <c r="W28" s="364">
        <v>64620221.039999999</v>
      </c>
      <c r="X28" s="64">
        <f t="shared" si="8"/>
        <v>89158045.719999999</v>
      </c>
      <c r="AP28" s="272">
        <v>-1</v>
      </c>
    </row>
    <row r="29" spans="1:44" ht="17.100000000000001" customHeight="1">
      <c r="A29" s="61" t="s">
        <v>202</v>
      </c>
      <c r="B29" s="4">
        <f>SUM('Příjmy '!B29+'Příjmy '!H29+'Příjmy '!L29+'Příjmy '!P29)</f>
        <v>139380</v>
      </c>
      <c r="C29" s="2">
        <f>SUM('Příjmy '!C29+'Příjmy '!I29+'Příjmy '!M29+'Příjmy '!Q29)</f>
        <v>169348</v>
      </c>
      <c r="D29" s="2">
        <f>SUM('Příjmy '!D29+'Příjmy '!J29+'Příjmy '!N29+'Příjmy '!R29)</f>
        <v>170111</v>
      </c>
      <c r="E29" s="95">
        <v>-170478872.99000001</v>
      </c>
      <c r="F29" s="95">
        <f t="shared" si="4"/>
        <v>367.87299000000348</v>
      </c>
      <c r="G29" s="53">
        <f t="shared" si="5"/>
        <v>100.45055152703308</v>
      </c>
      <c r="H29" s="4">
        <f>SUM('Výdaje '!B30+'Výdaje '!G30)</f>
        <v>169481</v>
      </c>
      <c r="I29" s="2">
        <f>SUM('Výdaje '!C30+'Výdaje '!H30)</f>
        <v>218928</v>
      </c>
      <c r="J29" s="2">
        <f>SUM('Výdaje '!D30+'Výdaje '!I30)</f>
        <v>136768</v>
      </c>
      <c r="K29" s="95">
        <v>131658877</v>
      </c>
      <c r="L29" s="95">
        <f t="shared" si="6"/>
        <v>-5109.1229999999923</v>
      </c>
      <c r="M29" s="53">
        <f t="shared" si="7"/>
        <v>62.471680187093469</v>
      </c>
      <c r="N29" s="4">
        <f t="shared" si="0"/>
        <v>-30101</v>
      </c>
      <c r="O29" s="2">
        <f t="shared" si="1"/>
        <v>-49580</v>
      </c>
      <c r="P29" s="2">
        <f t="shared" si="2"/>
        <v>33343</v>
      </c>
      <c r="Q29" s="53">
        <f t="shared" si="3"/>
        <v>-67.250907624041957</v>
      </c>
      <c r="R29" s="244">
        <f>ROUND(X29/1000,0)</f>
        <v>98343</v>
      </c>
      <c r="S29" s="100">
        <v>26359</v>
      </c>
      <c r="T29" s="103">
        <v>2723</v>
      </c>
      <c r="V29" s="365">
        <v>98065264.079999998</v>
      </c>
      <c r="W29" s="365">
        <v>277327.98</v>
      </c>
      <c r="X29" s="64">
        <f t="shared" si="8"/>
        <v>98342592.060000002</v>
      </c>
      <c r="AQ29" s="272">
        <v>-1</v>
      </c>
    </row>
    <row r="30" spans="1:44" ht="17.100000000000001" customHeight="1">
      <c r="A30" s="61" t="s">
        <v>203</v>
      </c>
      <c r="B30" s="4">
        <f>SUM('Příjmy '!B30+'Příjmy '!H30+'Příjmy '!L30+'Příjmy '!P30)</f>
        <v>52968</v>
      </c>
      <c r="C30" s="2">
        <f>SUM('Příjmy '!C30+'Příjmy '!I30+'Příjmy '!M30+'Příjmy '!Q30)</f>
        <v>64478</v>
      </c>
      <c r="D30" s="2">
        <f>SUM('Příjmy '!D30+'Příjmy '!J30+'Příjmy '!N30+'Příjmy '!R30)</f>
        <v>63590</v>
      </c>
      <c r="E30" s="95">
        <v>-91004254.480000004</v>
      </c>
      <c r="F30" s="95">
        <f t="shared" si="4"/>
        <v>27414.254480000003</v>
      </c>
      <c r="G30" s="53">
        <f t="shared" si="5"/>
        <v>98.62278606656534</v>
      </c>
      <c r="H30" s="4">
        <f>SUM('Výdaje '!B31+'Výdaje '!G31)</f>
        <v>41212</v>
      </c>
      <c r="I30" s="2">
        <f>SUM('Výdaje '!C31+'Výdaje '!H31)</f>
        <v>59019</v>
      </c>
      <c r="J30" s="2">
        <f>SUM('Výdaje '!D31+'Výdaje '!I31)</f>
        <v>54898</v>
      </c>
      <c r="K30" s="95">
        <v>102251434</v>
      </c>
      <c r="L30" s="95">
        <f t="shared" si="6"/>
        <v>47353.433999999994</v>
      </c>
      <c r="M30" s="53">
        <f t="shared" si="7"/>
        <v>93.017502838069106</v>
      </c>
      <c r="N30" s="4">
        <f t="shared" si="0"/>
        <v>11756</v>
      </c>
      <c r="O30" s="2">
        <f t="shared" si="1"/>
        <v>5459</v>
      </c>
      <c r="P30" s="2">
        <f t="shared" si="2"/>
        <v>8692</v>
      </c>
      <c r="Q30" s="53">
        <f t="shared" ref="Q30:Q39" si="10">SUM(P30/O30*100)</f>
        <v>159.22330097087379</v>
      </c>
      <c r="R30" s="244">
        <f>ROUND(X30/1000,0)</f>
        <v>27838</v>
      </c>
      <c r="S30" s="100">
        <v>9302</v>
      </c>
      <c r="T30" s="103">
        <v>1016</v>
      </c>
      <c r="V30" s="366">
        <v>27815023.760000002</v>
      </c>
      <c r="W30" s="366">
        <v>23337.42</v>
      </c>
      <c r="X30" s="64">
        <f t="shared" si="8"/>
        <v>27838361.180000003</v>
      </c>
      <c r="AQ30" s="272">
        <v>-1</v>
      </c>
      <c r="AR30" s="272">
        <v>-1</v>
      </c>
    </row>
    <row r="31" spans="1:44" ht="17.100000000000001" customHeight="1">
      <c r="A31" s="61" t="s">
        <v>204</v>
      </c>
      <c r="B31" s="4">
        <f>SUM('Příjmy '!B31+'Příjmy '!H31+'Příjmy '!L31+'Příjmy '!P31)</f>
        <v>28226</v>
      </c>
      <c r="C31" s="2">
        <f>SUM('Příjmy '!C31+'Příjmy '!I31+'Příjmy '!M31+'Příjmy '!Q31)</f>
        <v>37064</v>
      </c>
      <c r="D31" s="2">
        <f>SUM('Příjmy '!D31+'Příjmy '!J31+'Příjmy '!N31+'Příjmy '!R31)</f>
        <v>37086</v>
      </c>
      <c r="E31" s="95">
        <v>-40789267.229999997</v>
      </c>
      <c r="F31" s="95">
        <f t="shared" si="4"/>
        <v>3703.2672299999977</v>
      </c>
      <c r="G31" s="53">
        <f t="shared" si="5"/>
        <v>100.05935678825814</v>
      </c>
      <c r="H31" s="4">
        <f>SUM('Výdaje '!B32+'Výdaje '!G32)</f>
        <v>28603</v>
      </c>
      <c r="I31" s="2">
        <f>SUM('Výdaje '!C32+'Výdaje '!H32)</f>
        <v>43620</v>
      </c>
      <c r="J31" s="2">
        <f>SUM('Výdaje '!D32+'Výdaje '!I32)</f>
        <v>38886</v>
      </c>
      <c r="K31" s="95">
        <v>29707148</v>
      </c>
      <c r="L31" s="95">
        <f t="shared" si="6"/>
        <v>-9178.851999999999</v>
      </c>
      <c r="M31" s="53">
        <f t="shared" si="7"/>
        <v>89.147180192572222</v>
      </c>
      <c r="N31" s="4">
        <f t="shared" si="0"/>
        <v>-377</v>
      </c>
      <c r="O31" s="2">
        <f t="shared" si="1"/>
        <v>-6556</v>
      </c>
      <c r="P31" s="2">
        <f t="shared" si="2"/>
        <v>-1800</v>
      </c>
      <c r="Q31" s="53">
        <f t="shared" si="3"/>
        <v>27.45576571079927</v>
      </c>
      <c r="R31" s="244">
        <f>ROUND(X31/1000,0)</f>
        <v>6756</v>
      </c>
      <c r="S31" s="100">
        <v>5494</v>
      </c>
      <c r="T31" s="103">
        <v>605</v>
      </c>
      <c r="V31" s="367">
        <v>4855086.57</v>
      </c>
      <c r="W31" s="367">
        <v>1900667.7</v>
      </c>
      <c r="X31" s="64">
        <f t="shared" si="8"/>
        <v>6755754.2700000005</v>
      </c>
      <c r="AP31" s="272">
        <v>-1</v>
      </c>
      <c r="AQ31" s="272">
        <v>-1</v>
      </c>
    </row>
    <row r="32" spans="1:44" ht="17.100000000000001" customHeight="1">
      <c r="A32" s="61" t="s">
        <v>205</v>
      </c>
      <c r="B32" s="4">
        <f>SUM('Příjmy '!B32+'Příjmy '!H32+'Příjmy '!L32+'Příjmy '!P32)</f>
        <v>16022</v>
      </c>
      <c r="C32" s="2">
        <f>SUM('Příjmy '!C32+'Příjmy '!I32+'Příjmy '!M32+'Příjmy '!Q32)</f>
        <v>19723</v>
      </c>
      <c r="D32" s="2">
        <f>SUM('Příjmy '!D32+'Příjmy '!J32+'Příjmy '!N32+'Příjmy '!R32)</f>
        <v>19645</v>
      </c>
      <c r="E32" s="95">
        <v>-21108562.719999999</v>
      </c>
      <c r="F32" s="95">
        <f t="shared" si="4"/>
        <v>1463.5627199999981</v>
      </c>
      <c r="G32" s="53">
        <f t="shared" si="5"/>
        <v>99.604522638543841</v>
      </c>
      <c r="H32" s="4">
        <f>SUM('Výdaje '!B33+'Výdaje '!G33)</f>
        <v>16022</v>
      </c>
      <c r="I32" s="2">
        <f>SUM('Výdaje '!C33+'Výdaje '!H33)</f>
        <v>23042</v>
      </c>
      <c r="J32" s="2">
        <f>SUM('Výdaje '!D33+'Výdaje '!I33)</f>
        <v>17692</v>
      </c>
      <c r="K32" s="95">
        <v>22223757</v>
      </c>
      <c r="L32" s="95">
        <f t="shared" si="6"/>
        <v>4531.7570000000014</v>
      </c>
      <c r="M32" s="53">
        <f t="shared" si="7"/>
        <v>76.781529381130113</v>
      </c>
      <c r="N32" s="4">
        <f t="shared" si="0"/>
        <v>0</v>
      </c>
      <c r="O32" s="2">
        <f t="shared" si="1"/>
        <v>-3319</v>
      </c>
      <c r="P32" s="2">
        <f t="shared" si="2"/>
        <v>1953</v>
      </c>
      <c r="Q32" s="53">
        <f t="shared" si="3"/>
        <v>-58.84302500753239</v>
      </c>
      <c r="R32" s="244">
        <f>ROUND(X32/1000,0)</f>
        <v>11166</v>
      </c>
      <c r="S32" s="100">
        <v>3438</v>
      </c>
      <c r="T32" s="103">
        <v>486</v>
      </c>
      <c r="V32" s="368">
        <v>3150858.2400000002</v>
      </c>
      <c r="W32" s="368">
        <v>8014697.9000000004</v>
      </c>
      <c r="X32" s="64">
        <f t="shared" si="8"/>
        <v>11165556.140000001</v>
      </c>
    </row>
    <row r="33" spans="1:44" ht="17.100000000000001" customHeight="1">
      <c r="A33" s="61" t="s">
        <v>206</v>
      </c>
      <c r="B33" s="4">
        <f>SUM('Příjmy '!B33+'Příjmy '!H33+'Příjmy '!L33+'Příjmy '!P33)</f>
        <v>172460</v>
      </c>
      <c r="C33" s="2">
        <f>SUM('Příjmy '!C33+'Příjmy '!I33+'Příjmy '!M33+'Příjmy '!Q33)</f>
        <v>211617</v>
      </c>
      <c r="D33" s="2">
        <f>SUM('Příjmy '!D33+'Příjmy '!J33+'Příjmy '!N33+'Příjmy '!R33)</f>
        <v>211353</v>
      </c>
      <c r="E33" s="95">
        <v>-253416304.28</v>
      </c>
      <c r="F33" s="95">
        <f t="shared" si="4"/>
        <v>42063.304280000011</v>
      </c>
      <c r="G33" s="53">
        <f t="shared" si="5"/>
        <v>99.875246317639892</v>
      </c>
      <c r="H33" s="4">
        <f>SUM('Výdaje '!B34+'Výdaje '!G34)</f>
        <v>327538</v>
      </c>
      <c r="I33" s="2">
        <f>SUM('Výdaje '!C34+'Výdaje '!H34)</f>
        <v>371721</v>
      </c>
      <c r="J33" s="2">
        <f>SUM('Výdaje '!D34+'Výdaje '!I34)</f>
        <v>232943</v>
      </c>
      <c r="K33" s="95">
        <v>236397849</v>
      </c>
      <c r="L33" s="95">
        <f t="shared" si="6"/>
        <v>3454.8489999999874</v>
      </c>
      <c r="M33" s="53">
        <f t="shared" si="7"/>
        <v>62.666085585694645</v>
      </c>
      <c r="N33" s="4">
        <f t="shared" si="0"/>
        <v>-155078</v>
      </c>
      <c r="O33" s="2">
        <f t="shared" si="1"/>
        <v>-160104</v>
      </c>
      <c r="P33" s="2">
        <f t="shared" si="2"/>
        <v>-21590</v>
      </c>
      <c r="Q33" s="53">
        <f t="shared" si="3"/>
        <v>13.484984759906061</v>
      </c>
      <c r="R33" s="244">
        <f>ROUND(X33/1000,0)</f>
        <v>46111</v>
      </c>
      <c r="S33" s="100">
        <v>26225</v>
      </c>
      <c r="T33" s="103">
        <v>2566</v>
      </c>
      <c r="V33" s="369">
        <v>45612996.539999999</v>
      </c>
      <c r="W33" s="369">
        <v>498094.51</v>
      </c>
      <c r="X33" s="64">
        <f t="shared" si="8"/>
        <v>46111091.049999997</v>
      </c>
      <c r="AM33" s="272">
        <v>72</v>
      </c>
      <c r="AN33" s="272">
        <v>40</v>
      </c>
    </row>
    <row r="34" spans="1:44" ht="17.100000000000001" customHeight="1">
      <c r="A34" s="61" t="s">
        <v>207</v>
      </c>
      <c r="B34" s="4">
        <f>SUM('Příjmy '!B34+'Příjmy '!H34+'Příjmy '!L34+'Příjmy '!P34)</f>
        <v>19541</v>
      </c>
      <c r="C34" s="2">
        <f>SUM('Příjmy '!C34+'Příjmy '!I34+'Příjmy '!M34+'Příjmy '!Q34)</f>
        <v>33319</v>
      </c>
      <c r="D34" s="2">
        <f>SUM('Příjmy '!D34+'Příjmy '!J34+'Příjmy '!N34+'Příjmy '!R34)</f>
        <v>32527</v>
      </c>
      <c r="E34" s="95">
        <v>-22468068.239999998</v>
      </c>
      <c r="F34" s="95">
        <f t="shared" si="4"/>
        <v>-10058.931760000003</v>
      </c>
      <c r="G34" s="53">
        <f t="shared" si="5"/>
        <v>97.622977880488619</v>
      </c>
      <c r="H34" s="4">
        <f>SUM('Výdaje '!B35+'Výdaje '!G35)</f>
        <v>23256</v>
      </c>
      <c r="I34" s="2">
        <f>SUM('Výdaje '!C35+'Výdaje '!H35)</f>
        <v>29783</v>
      </c>
      <c r="J34" s="2">
        <f>SUM('Výdaje '!D35+'Výdaje '!I35)</f>
        <v>24708</v>
      </c>
      <c r="K34" s="95">
        <v>35817554</v>
      </c>
      <c r="L34" s="95">
        <f t="shared" si="6"/>
        <v>11109.553999999996</v>
      </c>
      <c r="M34" s="53">
        <f t="shared" si="7"/>
        <v>82.960077896786757</v>
      </c>
      <c r="N34" s="4">
        <f t="shared" si="0"/>
        <v>-3715</v>
      </c>
      <c r="O34" s="2">
        <f t="shared" si="1"/>
        <v>3536</v>
      </c>
      <c r="P34" s="2">
        <f t="shared" si="2"/>
        <v>7819</v>
      </c>
      <c r="Q34" s="53">
        <f t="shared" si="10"/>
        <v>221.12556561085972</v>
      </c>
      <c r="R34" s="244">
        <f>ROUND(X34/1000,0)</f>
        <v>13775</v>
      </c>
      <c r="S34" s="100">
        <v>5509</v>
      </c>
      <c r="T34" s="103">
        <v>646</v>
      </c>
      <c r="V34" s="370">
        <v>863551.5</v>
      </c>
      <c r="W34" s="370">
        <v>12911849.880000001</v>
      </c>
      <c r="X34" s="64">
        <f t="shared" si="8"/>
        <v>13775401.380000001</v>
      </c>
      <c r="AN34" s="272">
        <v>35</v>
      </c>
    </row>
    <row r="35" spans="1:44" ht="17.100000000000001" customHeight="1">
      <c r="A35" s="61" t="s">
        <v>208</v>
      </c>
      <c r="B35" s="4">
        <f>SUM('Příjmy '!B35+'Příjmy '!H35+'Příjmy '!L35+'Příjmy '!P35)</f>
        <v>55862</v>
      </c>
      <c r="C35" s="2">
        <f>SUM('Příjmy '!C35+'Příjmy '!I35+'Příjmy '!M35+'Příjmy '!Q35)</f>
        <v>73624</v>
      </c>
      <c r="D35" s="2">
        <f>SUM('Příjmy '!D35+'Příjmy '!J35+'Příjmy '!N35+'Příjmy '!R35)</f>
        <v>74245</v>
      </c>
      <c r="E35" s="95">
        <v>-94287165.689999998</v>
      </c>
      <c r="F35" s="95">
        <f t="shared" si="4"/>
        <v>20042.165689999994</v>
      </c>
      <c r="G35" s="53">
        <f t="shared" si="5"/>
        <v>100.8434749538194</v>
      </c>
      <c r="H35" s="4">
        <f>SUM('Výdaje '!B36+'Výdaje '!G36)</f>
        <v>77682</v>
      </c>
      <c r="I35" s="2">
        <f>SUM('Výdaje '!C36+'Výdaje '!H36)</f>
        <v>94488</v>
      </c>
      <c r="J35" s="2">
        <f>SUM('Výdaje '!D36+'Výdaje '!I36)</f>
        <v>86491</v>
      </c>
      <c r="K35" s="95">
        <v>88121783</v>
      </c>
      <c r="L35" s="95">
        <f t="shared" si="6"/>
        <v>1630.7829999999958</v>
      </c>
      <c r="M35" s="53">
        <f t="shared" si="7"/>
        <v>91.536491406316145</v>
      </c>
      <c r="N35" s="4">
        <f t="shared" si="0"/>
        <v>-21820</v>
      </c>
      <c r="O35" s="2">
        <f t="shared" si="1"/>
        <v>-20864</v>
      </c>
      <c r="P35" s="2">
        <f t="shared" si="2"/>
        <v>-12246</v>
      </c>
      <c r="Q35" s="53">
        <f t="shared" si="10"/>
        <v>58.694401840490798</v>
      </c>
      <c r="R35" s="244">
        <f>ROUND(X35/1000,0)</f>
        <v>20929</v>
      </c>
      <c r="S35" s="100">
        <v>14973</v>
      </c>
      <c r="T35" s="103">
        <v>1354</v>
      </c>
      <c r="V35" s="371">
        <v>19868880.809999999</v>
      </c>
      <c r="W35" s="371">
        <v>1060440.3700000001</v>
      </c>
      <c r="X35" s="64">
        <f t="shared" si="8"/>
        <v>20929321.18</v>
      </c>
      <c r="AO35" s="272">
        <v>-1</v>
      </c>
    </row>
    <row r="36" spans="1:44" ht="17.100000000000001" customHeight="1">
      <c r="A36" s="61" t="s">
        <v>209</v>
      </c>
      <c r="B36" s="4">
        <f>SUM('Příjmy '!B36+'Příjmy '!H36+'Příjmy '!L36+'Příjmy '!P36)</f>
        <v>5117</v>
      </c>
      <c r="C36" s="2">
        <f>SUM('Příjmy '!C36+'Příjmy '!I36+'Příjmy '!M36+'Příjmy '!Q36)</f>
        <v>6766</v>
      </c>
      <c r="D36" s="2">
        <f>SUM('Příjmy '!D36+'Příjmy '!J36+'Příjmy '!N36+'Příjmy '!R36)</f>
        <v>6669</v>
      </c>
      <c r="E36" s="95">
        <v>-6125542.9800000004</v>
      </c>
      <c r="F36" s="95">
        <f t="shared" si="4"/>
        <v>-543.45701999999983</v>
      </c>
      <c r="G36" s="53">
        <f t="shared" si="5"/>
        <v>98.566361217853967</v>
      </c>
      <c r="H36" s="4">
        <f>SUM('Výdaje '!B37+'Výdaje '!G37)</f>
        <v>5117</v>
      </c>
      <c r="I36" s="2">
        <f>SUM('Výdaje '!C37+'Výdaje '!H37)</f>
        <v>7668</v>
      </c>
      <c r="J36" s="2">
        <f>SUM('Výdaje '!D37+'Výdaje '!I37)</f>
        <v>6498</v>
      </c>
      <c r="K36" s="95">
        <v>5407182</v>
      </c>
      <c r="L36" s="95">
        <f t="shared" si="6"/>
        <v>-1090.8180000000002</v>
      </c>
      <c r="M36" s="53">
        <f t="shared" si="7"/>
        <v>84.741784037558688</v>
      </c>
      <c r="N36" s="4">
        <f t="shared" si="0"/>
        <v>0</v>
      </c>
      <c r="O36" s="2">
        <f t="shared" si="1"/>
        <v>-902</v>
      </c>
      <c r="P36" s="2">
        <f t="shared" si="2"/>
        <v>171</v>
      </c>
      <c r="Q36" s="53">
        <f t="shared" si="10"/>
        <v>-18.957871396895786</v>
      </c>
      <c r="R36" s="244">
        <f>ROUND(X36/1000,0)</f>
        <v>3534</v>
      </c>
      <c r="S36" s="100">
        <v>1629</v>
      </c>
      <c r="T36" s="103">
        <v>75</v>
      </c>
      <c r="V36" s="372">
        <v>1195520.78</v>
      </c>
      <c r="W36" s="372">
        <v>2338306.65</v>
      </c>
      <c r="X36" s="64">
        <f t="shared" si="8"/>
        <v>3533827.4299999997</v>
      </c>
      <c r="AP36" s="272">
        <v>38</v>
      </c>
      <c r="AQ36" s="272">
        <v>64</v>
      </c>
    </row>
    <row r="37" spans="1:44" ht="17.100000000000001" customHeight="1">
      <c r="A37" s="61" t="s">
        <v>210</v>
      </c>
      <c r="B37" s="4">
        <f>SUM('Příjmy '!B37+'Příjmy '!H37+'Příjmy '!L37+'Příjmy '!P37)</f>
        <v>5508</v>
      </c>
      <c r="C37" s="2">
        <f>SUM('Příjmy '!C37+'Příjmy '!I37+'Příjmy '!M37+'Příjmy '!Q37)</f>
        <v>6968</v>
      </c>
      <c r="D37" s="2">
        <f>SUM('Příjmy '!D37+'Příjmy '!J37+'Příjmy '!N37+'Příjmy '!R37)</f>
        <v>6960</v>
      </c>
      <c r="E37" s="95">
        <v>-7328021.3300000001</v>
      </c>
      <c r="F37" s="95">
        <f t="shared" si="4"/>
        <v>368.02133000000049</v>
      </c>
      <c r="G37" s="53">
        <f t="shared" si="5"/>
        <v>99.885189437428252</v>
      </c>
      <c r="H37" s="4">
        <f>SUM('Výdaje '!B38+'Výdaje '!G38)</f>
        <v>5508</v>
      </c>
      <c r="I37" s="2">
        <f>SUM('Výdaje '!C38+'Výdaje '!H38)</f>
        <v>7899</v>
      </c>
      <c r="J37" s="2">
        <f>SUM('Výdaje '!D38+'Výdaje '!I38)</f>
        <v>6889</v>
      </c>
      <c r="K37" s="95">
        <v>5775621</v>
      </c>
      <c r="L37" s="95">
        <f t="shared" si="6"/>
        <v>-1113.3789999999999</v>
      </c>
      <c r="M37" s="53">
        <f t="shared" si="7"/>
        <v>87.213571338144064</v>
      </c>
      <c r="N37" s="4">
        <f t="shared" si="0"/>
        <v>0</v>
      </c>
      <c r="O37" s="2">
        <f t="shared" si="1"/>
        <v>-931</v>
      </c>
      <c r="P37" s="2">
        <f t="shared" si="2"/>
        <v>71</v>
      </c>
      <c r="Q37" s="53">
        <f t="shared" si="10"/>
        <v>-7.6262083780880774</v>
      </c>
      <c r="R37" s="244">
        <f>ROUND(X37/1000,0)</f>
        <v>1570</v>
      </c>
      <c r="S37" s="100">
        <v>1076</v>
      </c>
      <c r="T37" s="103">
        <v>211</v>
      </c>
      <c r="V37" s="373">
        <v>994557.58</v>
      </c>
      <c r="W37" s="373">
        <v>575562.38</v>
      </c>
      <c r="X37" s="64">
        <f t="shared" si="8"/>
        <v>1570119.96</v>
      </c>
    </row>
    <row r="38" spans="1:44" ht="17.100000000000001" customHeight="1">
      <c r="A38" s="61" t="s">
        <v>211</v>
      </c>
      <c r="B38" s="4">
        <f>SUM('Příjmy '!B38+'Příjmy '!H38+'Příjmy '!L38+'Příjmy '!P38)</f>
        <v>3060</v>
      </c>
      <c r="C38" s="2">
        <f>SUM('Příjmy '!C38+'Příjmy '!I38+'Příjmy '!M38+'Příjmy '!Q38)</f>
        <v>4208</v>
      </c>
      <c r="D38" s="2">
        <f>SUM('Příjmy '!D38+'Příjmy '!J38+'Příjmy '!N38+'Příjmy '!R38)</f>
        <v>4198</v>
      </c>
      <c r="E38" s="95">
        <v>-3977264.3</v>
      </c>
      <c r="F38" s="95">
        <f t="shared" si="4"/>
        <v>-220.73570000000018</v>
      </c>
      <c r="G38" s="53">
        <f t="shared" si="5"/>
        <v>99.762357414448672</v>
      </c>
      <c r="H38" s="4">
        <f>SUM('Výdaje '!B39+'Výdaje '!G39)</f>
        <v>3060</v>
      </c>
      <c r="I38" s="2">
        <f>SUM('Výdaje '!C39+'Výdaje '!H39)</f>
        <v>4704</v>
      </c>
      <c r="J38" s="2">
        <f>SUM('Výdaje '!D39+'Výdaje '!I39)</f>
        <v>3698</v>
      </c>
      <c r="K38" s="95">
        <v>3848411</v>
      </c>
      <c r="L38" s="95">
        <f t="shared" si="6"/>
        <v>150.41100000000006</v>
      </c>
      <c r="M38" s="53">
        <f t="shared" si="7"/>
        <v>78.613945578231295</v>
      </c>
      <c r="N38" s="4">
        <f t="shared" si="0"/>
        <v>0</v>
      </c>
      <c r="O38" s="2">
        <f t="shared" si="1"/>
        <v>-496</v>
      </c>
      <c r="P38" s="2">
        <f t="shared" si="2"/>
        <v>500</v>
      </c>
      <c r="Q38" s="53">
        <f t="shared" si="10"/>
        <v>-100.80645161290323</v>
      </c>
      <c r="R38" s="244">
        <f>ROUND(X38/1000,0)</f>
        <v>1837</v>
      </c>
      <c r="S38" s="100">
        <v>561</v>
      </c>
      <c r="T38" s="103">
        <v>25</v>
      </c>
      <c r="V38" s="374">
        <v>1406841.73</v>
      </c>
      <c r="W38" s="374">
        <v>430539.44</v>
      </c>
      <c r="X38" s="64">
        <f t="shared" si="8"/>
        <v>1837381.17</v>
      </c>
      <c r="AQ38" s="272">
        <v>57</v>
      </c>
      <c r="AR38" s="272">
        <v>56</v>
      </c>
    </row>
    <row r="39" spans="1:44" ht="17.100000000000001" customHeight="1" thickBot="1">
      <c r="A39" s="62" t="s">
        <v>212</v>
      </c>
      <c r="B39" s="5">
        <f>SUM('Příjmy '!B39+'Příjmy '!H39+'Příjmy '!L39+'Příjmy '!P39)</f>
        <v>2433</v>
      </c>
      <c r="C39" s="6">
        <f>SUM('Příjmy '!C39+'Příjmy '!I39+'Příjmy '!M39+'Příjmy '!Q39)</f>
        <v>3011</v>
      </c>
      <c r="D39" s="6">
        <f>SUM('Příjmy '!D39+'Příjmy '!J39+'Příjmy '!N39+'Příjmy '!R39)</f>
        <v>2983</v>
      </c>
      <c r="E39" s="96">
        <v>-2816940.83</v>
      </c>
      <c r="F39" s="96">
        <f t="shared" si="4"/>
        <v>-166.05916999999999</v>
      </c>
      <c r="G39" s="54">
        <f t="shared" si="5"/>
        <v>99.070076386582528</v>
      </c>
      <c r="H39" s="5">
        <f>SUM('Výdaje '!B40+'Výdaje '!G40)</f>
        <v>2433</v>
      </c>
      <c r="I39" s="6">
        <f>SUM('Výdaje '!C40+'Výdaje '!H40)</f>
        <v>3585</v>
      </c>
      <c r="J39" s="6">
        <f>SUM('Výdaje '!D40+'Výdaje '!I40)</f>
        <v>3088</v>
      </c>
      <c r="K39" s="96">
        <v>3197612</v>
      </c>
      <c r="L39" s="96">
        <f t="shared" si="6"/>
        <v>109.61200000000008</v>
      </c>
      <c r="M39" s="54">
        <f t="shared" si="7"/>
        <v>86.136680613668062</v>
      </c>
      <c r="N39" s="5">
        <f t="shared" si="0"/>
        <v>0</v>
      </c>
      <c r="O39" s="6">
        <f t="shared" si="1"/>
        <v>-574</v>
      </c>
      <c r="P39" s="6">
        <f t="shared" si="2"/>
        <v>-105</v>
      </c>
      <c r="Q39" s="54">
        <f t="shared" si="10"/>
        <v>18.292682926829269</v>
      </c>
      <c r="R39" s="245">
        <f>ROUND(X39/1000,0)</f>
        <v>2040</v>
      </c>
      <c r="S39" s="101">
        <v>781</v>
      </c>
      <c r="T39" s="104"/>
      <c r="V39" s="375">
        <v>2039762.42</v>
      </c>
      <c r="W39" s="376"/>
      <c r="X39" s="64">
        <f t="shared" si="8"/>
        <v>2039762.42</v>
      </c>
    </row>
    <row r="40" spans="1:44" ht="15" customHeight="1" thickBot="1">
      <c r="A40" s="24"/>
      <c r="B40" s="74"/>
      <c r="C40" s="73"/>
      <c r="D40" s="73"/>
      <c r="E40" s="274"/>
      <c r="F40" s="274"/>
      <c r="G40" s="55"/>
      <c r="H40" s="74"/>
      <c r="I40" s="73"/>
      <c r="J40" s="73"/>
      <c r="K40" s="274"/>
      <c r="L40" s="274"/>
      <c r="M40" s="55"/>
      <c r="N40" s="74"/>
      <c r="O40" s="73"/>
      <c r="P40" s="73"/>
      <c r="Q40" s="55"/>
      <c r="R40" s="241"/>
      <c r="S40" s="74"/>
      <c r="T40" s="105"/>
    </row>
    <row r="41" spans="1:44" ht="19.5" customHeight="1" thickBot="1">
      <c r="A41" s="63" t="s">
        <v>231</v>
      </c>
      <c r="B41" s="57">
        <f>SUM(B11:B39)</f>
        <v>1961733</v>
      </c>
      <c r="C41" s="50">
        <f>SUM(C11:C39)</f>
        <v>2749678</v>
      </c>
      <c r="D41" s="50">
        <f>SUM(D11:D39)</f>
        <v>2636363</v>
      </c>
      <c r="E41" s="97">
        <f>SUM(E11:E39)</f>
        <v>-2693658620.0599999</v>
      </c>
      <c r="F41" s="97"/>
      <c r="G41" s="56">
        <f>SUM(D41/C41*100)</f>
        <v>95.878972010540878</v>
      </c>
      <c r="H41" s="57">
        <f>SUM(H11:H39)</f>
        <v>2567131</v>
      </c>
      <c r="I41" s="50">
        <f>SUM(I11:I39)</f>
        <v>3702863</v>
      </c>
      <c r="J41" s="50">
        <f>SUM(J11:J39)</f>
        <v>2468491</v>
      </c>
      <c r="K41" s="97">
        <f>SUM(K11:K39)</f>
        <v>2446085414</v>
      </c>
      <c r="L41" s="97"/>
      <c r="M41" s="56">
        <f>SUM(J41/I41*100)</f>
        <v>66.664389149693093</v>
      </c>
      <c r="N41" s="57">
        <f>SUM(N11:N39)</f>
        <v>-605398</v>
      </c>
      <c r="O41" s="50">
        <f>SUM(O11:O39)</f>
        <v>-953185</v>
      </c>
      <c r="P41" s="50">
        <f>SUM(P11:P39)</f>
        <v>167872</v>
      </c>
      <c r="Q41" s="56"/>
      <c r="R41" s="243">
        <f>SUM(R11:R39)</f>
        <v>1477420</v>
      </c>
      <c r="S41" s="57">
        <f>SUM(S11:S40)</f>
        <v>378327</v>
      </c>
      <c r="T41" s="265">
        <f>SUM(T11:T39)</f>
        <v>35797</v>
      </c>
      <c r="V41" s="272">
        <f>SUM(V11:V40)</f>
        <v>999583785.63</v>
      </c>
      <c r="W41" s="272">
        <f>SUM(W11:W40)</f>
        <v>477836638.06999987</v>
      </c>
      <c r="X41" s="272">
        <f>SUM(X11:X40)</f>
        <v>1477420423.7000005</v>
      </c>
    </row>
    <row r="42" spans="1:44">
      <c r="X42" s="272">
        <f>V41+W41</f>
        <v>1477420423.6999998</v>
      </c>
    </row>
    <row r="43" spans="1:44">
      <c r="V43" s="272">
        <v>999583785.63</v>
      </c>
      <c r="W43" s="272">
        <v>477836638.06999999</v>
      </c>
      <c r="X43" s="272">
        <f>V43+W43</f>
        <v>1477420423.7</v>
      </c>
    </row>
    <row r="44" spans="1:44" hidden="1">
      <c r="X44" s="272">
        <f>X41-X43</f>
        <v>0</v>
      </c>
    </row>
    <row r="45" spans="1:44" hidden="1">
      <c r="A45" s="272">
        <v>2013</v>
      </c>
      <c r="B45" s="1">
        <v>1961733</v>
      </c>
      <c r="C45" s="1">
        <v>2749678</v>
      </c>
      <c r="D45" s="1">
        <v>2636362</v>
      </c>
      <c r="E45" s="1"/>
      <c r="F45" s="1"/>
      <c r="G45" s="1"/>
      <c r="H45" s="1">
        <v>2567131</v>
      </c>
      <c r="I45" s="1">
        <v>3702863</v>
      </c>
      <c r="J45" s="1">
        <v>2468490</v>
      </c>
      <c r="K45" s="1"/>
      <c r="L45" s="1"/>
      <c r="M45" s="1"/>
      <c r="N45" s="1">
        <v>-605398</v>
      </c>
      <c r="O45" s="1">
        <v>-953185</v>
      </c>
      <c r="P45" s="1">
        <v>167872</v>
      </c>
      <c r="Q45" s="1"/>
      <c r="R45" s="1"/>
      <c r="S45" s="1"/>
      <c r="T45" s="1"/>
    </row>
    <row r="46" spans="1:44" ht="15.95" hidden="1" customHeight="1" thickBot="1">
      <c r="B46" s="1"/>
      <c r="C46" s="269" t="s">
        <v>260</v>
      </c>
      <c r="D46" s="1">
        <v>2636363</v>
      </c>
      <c r="E46" s="1"/>
      <c r="F46" s="1"/>
      <c r="G46" s="1"/>
      <c r="H46" s="1"/>
      <c r="I46" s="269" t="s">
        <v>260</v>
      </c>
      <c r="J46" s="1">
        <v>2468491</v>
      </c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44" hidden="1">
      <c r="A47" s="272">
        <v>2012</v>
      </c>
      <c r="B47" s="1">
        <v>2036369</v>
      </c>
      <c r="C47" s="1">
        <v>2759294</v>
      </c>
      <c r="D47" s="1">
        <v>2750766</v>
      </c>
      <c r="E47" s="1"/>
      <c r="F47" s="1"/>
      <c r="G47" s="1"/>
      <c r="H47" s="1">
        <v>2316593</v>
      </c>
      <c r="I47" s="1">
        <v>3138853</v>
      </c>
      <c r="J47" s="1">
        <v>2187345</v>
      </c>
      <c r="K47" s="1"/>
      <c r="L47" s="1"/>
      <c r="M47" s="1"/>
      <c r="N47" s="1">
        <v>-280224</v>
      </c>
      <c r="O47" s="1">
        <v>-379559</v>
      </c>
      <c r="P47" s="1">
        <v>563421</v>
      </c>
      <c r="Q47" s="1"/>
      <c r="R47" s="1">
        <f>X41</f>
        <v>1477420423.7000005</v>
      </c>
      <c r="S47" s="1">
        <v>378327</v>
      </c>
      <c r="T47" s="266">
        <v>35797</v>
      </c>
    </row>
    <row r="48" spans="1:44" ht="16.5" hidden="1" thickBot="1">
      <c r="S48" s="1"/>
      <c r="T48" s="267" t="s">
        <v>253</v>
      </c>
    </row>
    <row r="49" spans="4:18" hidden="1"/>
    <row r="50" spans="4:18" ht="15.95" hidden="1" customHeight="1">
      <c r="D50" s="1">
        <f>D45-D47</f>
        <v>-114404</v>
      </c>
    </row>
    <row r="51" spans="4:18" ht="15.95" hidden="1" customHeight="1">
      <c r="D51" s="272">
        <f>D50/D45*100</f>
        <v>-4.3394647624264042</v>
      </c>
    </row>
    <row r="52" spans="4:18" ht="15.95" hidden="1" customHeight="1">
      <c r="D52" s="1">
        <f>D47-D45</f>
        <v>114404</v>
      </c>
      <c r="J52" s="1">
        <f>J47-J45</f>
        <v>-281145</v>
      </c>
      <c r="P52" s="1">
        <f>P47-P45</f>
        <v>395549</v>
      </c>
      <c r="R52" s="1">
        <f>R47-R45</f>
        <v>1477420423.7000005</v>
      </c>
    </row>
    <row r="53" spans="4:18" ht="15.95" hidden="1" customHeight="1">
      <c r="J53" s="272">
        <f>J52/J45*100</f>
        <v>-11.389351384854708</v>
      </c>
    </row>
    <row r="54" spans="4:18" ht="15.95" hidden="1" customHeight="1"/>
    <row r="55" spans="4:18" ht="18" hidden="1" customHeight="1"/>
    <row r="56" spans="4:18" ht="18" hidden="1" customHeight="1"/>
    <row r="57" spans="4:18" ht="13.9" hidden="1" customHeight="1"/>
    <row r="58" spans="4:18" hidden="1"/>
    <row r="59" spans="4:18" ht="18" customHeight="1"/>
    <row r="60" spans="4:18" ht="13.9" customHeight="1"/>
    <row r="61" spans="4:18" ht="15.95" customHeight="1"/>
    <row r="63" spans="4:18" ht="13.9" customHeight="1"/>
    <row r="64" spans="4:18" ht="12" customHeight="1"/>
    <row r="65" ht="15.95" customHeight="1"/>
    <row r="66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</sheetData>
  <mergeCells count="18">
    <mergeCell ref="P8:P9"/>
    <mergeCell ref="H8:H9"/>
    <mergeCell ref="I8:I9"/>
    <mergeCell ref="J8:J9"/>
    <mergeCell ref="A2:T2"/>
    <mergeCell ref="B8:B9"/>
    <mergeCell ref="C8:C9"/>
    <mergeCell ref="D8:D9"/>
    <mergeCell ref="A7:A9"/>
    <mergeCell ref="A4:T4"/>
    <mergeCell ref="R7:R9"/>
    <mergeCell ref="B7:G7"/>
    <mergeCell ref="H7:M7"/>
    <mergeCell ref="N7:Q7"/>
    <mergeCell ref="S7:T7"/>
    <mergeCell ref="S8:T8"/>
    <mergeCell ref="N8:N9"/>
    <mergeCell ref="O8:O9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transitionEvaluation="1" codeName="List10">
    <pageSetUpPr fitToPage="1"/>
  </sheetPr>
  <dimension ref="A1:K109"/>
  <sheetViews>
    <sheetView showZeros="0" zoomScaleNormal="100" zoomScaleSheetLayoutView="85" workbookViewId="0">
      <pane xSplit="1" ySplit="10" topLeftCell="B11" activePane="bottomRight" state="frozen"/>
      <selection activeCell="C37" sqref="C37"/>
      <selection pane="topRight" activeCell="C37" sqref="C37"/>
      <selection pane="bottomLeft" activeCell="C37" sqref="C37"/>
      <selection pane="bottomRight" activeCell="G79" sqref="G79"/>
    </sheetView>
  </sheetViews>
  <sheetFormatPr defaultRowHeight="15.75"/>
  <cols>
    <col min="1" max="1" width="26.88671875" style="89" customWidth="1"/>
    <col min="2" max="4" width="20.77734375" style="86" customWidth="1"/>
    <col min="5" max="5" width="13.44140625" style="86" hidden="1" customWidth="1"/>
    <col min="6" max="6" width="8.6640625" style="86" customWidth="1"/>
    <col min="7" max="9" width="20.77734375" style="86" customWidth="1"/>
    <col min="10" max="10" width="1.6640625" style="86" hidden="1" customWidth="1"/>
    <col min="11" max="11" width="8.6640625" style="86" customWidth="1"/>
    <col min="12" max="12" width="5.6640625" style="86" customWidth="1"/>
    <col min="13" max="13" width="21.5546875" style="86" customWidth="1"/>
    <col min="14" max="16384" width="8.88671875" style="86"/>
  </cols>
  <sheetData>
    <row r="1" spans="1:11" ht="17.25" customHeight="1"/>
    <row r="2" spans="1:11" s="85" customFormat="1" ht="24" customHeight="1">
      <c r="A2" s="285" t="s">
        <v>250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s="88" customFormat="1" ht="15" customHeight="1"/>
    <row r="4" spans="1:11" s="88" customFormat="1" ht="21" customHeight="1">
      <c r="A4" s="285" t="s">
        <v>19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22.5" customHeight="1">
      <c r="K5" s="17" t="s">
        <v>236</v>
      </c>
    </row>
    <row r="6" spans="1:11" ht="22.5" customHeight="1" thickBot="1">
      <c r="K6" s="17" t="s">
        <v>232</v>
      </c>
    </row>
    <row r="7" spans="1:11" s="89" customFormat="1" ht="23.25" customHeight="1" thickBot="1">
      <c r="A7" s="301" t="s">
        <v>222</v>
      </c>
      <c r="B7" s="322" t="s">
        <v>152</v>
      </c>
      <c r="C7" s="323"/>
      <c r="D7" s="323"/>
      <c r="E7" s="323"/>
      <c r="F7" s="324"/>
      <c r="G7" s="322" t="s">
        <v>153</v>
      </c>
      <c r="H7" s="323"/>
      <c r="I7" s="323"/>
      <c r="J7" s="323"/>
      <c r="K7" s="324"/>
    </row>
    <row r="8" spans="1:11" ht="18" customHeight="1">
      <c r="A8" s="302"/>
      <c r="B8" s="307" t="s">
        <v>229</v>
      </c>
      <c r="C8" s="300" t="s">
        <v>230</v>
      </c>
      <c r="D8" s="300" t="s">
        <v>246</v>
      </c>
      <c r="E8" s="26"/>
      <c r="F8" s="26" t="s">
        <v>0</v>
      </c>
      <c r="G8" s="307" t="s">
        <v>229</v>
      </c>
      <c r="H8" s="300" t="s">
        <v>230</v>
      </c>
      <c r="I8" s="300" t="s">
        <v>246</v>
      </c>
      <c r="J8" s="26"/>
      <c r="K8" s="26" t="s">
        <v>0</v>
      </c>
    </row>
    <row r="9" spans="1:11" ht="18" customHeight="1" thickBot="1">
      <c r="A9" s="303"/>
      <c r="B9" s="281"/>
      <c r="C9" s="277"/>
      <c r="D9" s="277"/>
      <c r="E9" s="14"/>
      <c r="F9" s="14" t="s">
        <v>11</v>
      </c>
      <c r="G9" s="281"/>
      <c r="H9" s="277"/>
      <c r="I9" s="277"/>
      <c r="J9" s="14"/>
      <c r="K9" s="14" t="s">
        <v>11</v>
      </c>
    </row>
    <row r="10" spans="1:11" ht="18" customHeight="1">
      <c r="A10" s="24"/>
      <c r="B10" s="3"/>
      <c r="C10" s="90"/>
      <c r="D10" s="90"/>
      <c r="E10" s="90" t="s">
        <v>172</v>
      </c>
      <c r="F10" s="91"/>
      <c r="G10" s="3"/>
      <c r="H10" s="90"/>
      <c r="I10" s="90"/>
      <c r="J10" s="90" t="s">
        <v>172</v>
      </c>
      <c r="K10" s="91"/>
    </row>
    <row r="11" spans="1:11" ht="15.95" customHeight="1" thickBot="1">
      <c r="A11" s="24"/>
      <c r="B11" s="3"/>
      <c r="C11" s="90"/>
      <c r="D11" s="90"/>
      <c r="E11" s="90"/>
      <c r="F11" s="91"/>
      <c r="G11" s="3"/>
      <c r="H11" s="90"/>
      <c r="I11" s="90"/>
      <c r="J11" s="90"/>
      <c r="K11" s="91"/>
    </row>
    <row r="12" spans="1:11" ht="15.95" customHeight="1">
      <c r="A12" s="60" t="s">
        <v>184</v>
      </c>
      <c r="B12" s="7">
        <v>285348</v>
      </c>
      <c r="C12" s="8">
        <v>356810</v>
      </c>
      <c r="D12" s="8">
        <f>ROUND(E12/1000,0)</f>
        <v>334761</v>
      </c>
      <c r="E12" s="8">
        <f>515948527-181187587</f>
        <v>334760940</v>
      </c>
      <c r="F12" s="52">
        <f>SUM(D12/C12*100)</f>
        <v>93.820520725315987</v>
      </c>
      <c r="G12" s="7">
        <v>235029</v>
      </c>
      <c r="H12" s="8">
        <v>353394</v>
      </c>
      <c r="I12" s="8">
        <v>92163</v>
      </c>
      <c r="J12" s="92">
        <v>84999226</v>
      </c>
      <c r="K12" s="52">
        <f>SUM(I12/H12*100)</f>
        <v>26.079390142447238</v>
      </c>
    </row>
    <row r="13" spans="1:11" ht="15.95" customHeight="1">
      <c r="A13" s="61" t="s">
        <v>185</v>
      </c>
      <c r="B13" s="4">
        <v>47599</v>
      </c>
      <c r="C13" s="2">
        <v>58291</v>
      </c>
      <c r="D13" s="2">
        <f t="shared" ref="D13:D40" si="0">ROUND(E13/1000,0)</f>
        <v>46384</v>
      </c>
      <c r="E13" s="2">
        <f>114815355-68431501</f>
        <v>46383854</v>
      </c>
      <c r="F13" s="53">
        <f t="shared" ref="F13:F40" si="1">SUM(D13/C13*100)</f>
        <v>79.57317596198385</v>
      </c>
      <c r="G13" s="93">
        <v>12690</v>
      </c>
      <c r="H13" s="94">
        <v>24163</v>
      </c>
      <c r="I13" s="94">
        <v>22895</v>
      </c>
      <c r="J13" s="95">
        <v>22668380</v>
      </c>
      <c r="K13" s="53">
        <f t="shared" ref="K13:K40" si="2">SUM(I13/H13*100)</f>
        <v>94.752307246616724</v>
      </c>
    </row>
    <row r="14" spans="1:11" ht="15.95" customHeight="1">
      <c r="A14" s="61" t="s">
        <v>186</v>
      </c>
      <c r="B14" s="4">
        <v>45052</v>
      </c>
      <c r="C14" s="2">
        <v>50846</v>
      </c>
      <c r="D14" s="2">
        <f t="shared" si="0"/>
        <v>41824</v>
      </c>
      <c r="E14" s="2">
        <f>141909011-100084721</f>
        <v>41824290</v>
      </c>
      <c r="F14" s="53">
        <f t="shared" si="1"/>
        <v>82.256224678440788</v>
      </c>
      <c r="G14" s="93">
        <v>50311</v>
      </c>
      <c r="H14" s="94">
        <v>95473</v>
      </c>
      <c r="I14" s="94">
        <f>9605-1</f>
        <v>9604</v>
      </c>
      <c r="J14" s="95">
        <v>35300631</v>
      </c>
      <c r="K14" s="53">
        <f t="shared" si="2"/>
        <v>10.05938851821981</v>
      </c>
    </row>
    <row r="15" spans="1:11" ht="15.95" customHeight="1">
      <c r="A15" s="61" t="s">
        <v>187</v>
      </c>
      <c r="B15" s="4">
        <v>37216</v>
      </c>
      <c r="C15" s="2">
        <v>42641</v>
      </c>
      <c r="D15" s="2">
        <f t="shared" si="0"/>
        <v>37735</v>
      </c>
      <c r="E15" s="2">
        <f>140839801-103104449</f>
        <v>37735352</v>
      </c>
      <c r="F15" s="53">
        <f t="shared" si="1"/>
        <v>88.494641307661638</v>
      </c>
      <c r="G15" s="93">
        <v>9170</v>
      </c>
      <c r="H15" s="94">
        <v>44342</v>
      </c>
      <c r="I15" s="94">
        <v>42396</v>
      </c>
      <c r="J15" s="95">
        <v>21767413</v>
      </c>
      <c r="K15" s="53">
        <f t="shared" si="2"/>
        <v>95.611384240674752</v>
      </c>
    </row>
    <row r="16" spans="1:11" ht="15.95" customHeight="1">
      <c r="A16" s="61" t="s">
        <v>188</v>
      </c>
      <c r="B16" s="4">
        <v>41556</v>
      </c>
      <c r="C16" s="2">
        <v>51439</v>
      </c>
      <c r="D16" s="2">
        <f t="shared" si="0"/>
        <v>47562</v>
      </c>
      <c r="E16" s="2">
        <f>138384413-90821915</f>
        <v>47562498</v>
      </c>
      <c r="F16" s="53">
        <f t="shared" si="1"/>
        <v>92.462917241781525</v>
      </c>
      <c r="G16" s="93">
        <v>20977</v>
      </c>
      <c r="H16" s="94">
        <v>31675</v>
      </c>
      <c r="I16" s="94">
        <v>31144</v>
      </c>
      <c r="J16" s="95">
        <v>3129248</v>
      </c>
      <c r="K16" s="53">
        <f t="shared" si="2"/>
        <v>98.323599052880823</v>
      </c>
    </row>
    <row r="17" spans="1:11" ht="15.95" customHeight="1">
      <c r="A17" s="61" t="s">
        <v>189</v>
      </c>
      <c r="B17" s="4">
        <v>14192</v>
      </c>
      <c r="C17" s="2">
        <v>14627</v>
      </c>
      <c r="D17" s="2">
        <f t="shared" si="0"/>
        <v>13719</v>
      </c>
      <c r="E17" s="2">
        <f>19035046-5316452</f>
        <v>13718594</v>
      </c>
      <c r="F17" s="53">
        <f t="shared" si="1"/>
        <v>93.792301907431465</v>
      </c>
      <c r="G17" s="4">
        <v>400</v>
      </c>
      <c r="H17" s="2">
        <v>3209</v>
      </c>
      <c r="I17" s="2">
        <v>565</v>
      </c>
      <c r="J17" s="95">
        <v>1580350</v>
      </c>
      <c r="K17" s="53">
        <f t="shared" si="2"/>
        <v>17.606731068868804</v>
      </c>
    </row>
    <row r="18" spans="1:11" ht="15.95" customHeight="1">
      <c r="A18" s="61" t="s">
        <v>190</v>
      </c>
      <c r="B18" s="4">
        <v>90167</v>
      </c>
      <c r="C18" s="2">
        <v>115370</v>
      </c>
      <c r="D18" s="2">
        <f t="shared" si="0"/>
        <v>106275</v>
      </c>
      <c r="E18" s="2">
        <f>311556753-205282156</f>
        <v>106274597</v>
      </c>
      <c r="F18" s="53">
        <f t="shared" si="1"/>
        <v>92.116668111294103</v>
      </c>
      <c r="G18" s="4">
        <v>30050</v>
      </c>
      <c r="H18" s="2">
        <v>71228</v>
      </c>
      <c r="I18" s="2">
        <v>67664</v>
      </c>
      <c r="J18" s="95">
        <v>31384283</v>
      </c>
      <c r="K18" s="53">
        <f t="shared" si="2"/>
        <v>94.996349750098275</v>
      </c>
    </row>
    <row r="19" spans="1:11" ht="15.95" customHeight="1">
      <c r="A19" s="61" t="s">
        <v>191</v>
      </c>
      <c r="B19" s="4">
        <v>105879</v>
      </c>
      <c r="C19" s="2">
        <v>178097</v>
      </c>
      <c r="D19" s="2">
        <f t="shared" si="0"/>
        <v>98239</v>
      </c>
      <c r="E19" s="2">
        <f>431205962-332967302</f>
        <v>98238660</v>
      </c>
      <c r="F19" s="53">
        <f t="shared" si="1"/>
        <v>55.160390124482731</v>
      </c>
      <c r="G19" s="4">
        <v>112468</v>
      </c>
      <c r="H19" s="2">
        <v>151140</v>
      </c>
      <c r="I19" s="2">
        <v>28436</v>
      </c>
      <c r="J19" s="95">
        <v>63470382</v>
      </c>
      <c r="K19" s="53">
        <f t="shared" si="2"/>
        <v>18.814344316527723</v>
      </c>
    </row>
    <row r="20" spans="1:11" ht="15.95" customHeight="1">
      <c r="A20" s="61" t="s">
        <v>192</v>
      </c>
      <c r="B20" s="4">
        <v>7619</v>
      </c>
      <c r="C20" s="2">
        <v>8559</v>
      </c>
      <c r="D20" s="2">
        <f t="shared" si="0"/>
        <v>7094</v>
      </c>
      <c r="E20" s="2">
        <f>15379003-8284694</f>
        <v>7094309</v>
      </c>
      <c r="F20" s="53">
        <f t="shared" si="1"/>
        <v>82.883514429255754</v>
      </c>
      <c r="G20" s="93">
        <v>1575</v>
      </c>
      <c r="H20" s="94">
        <v>4182</v>
      </c>
      <c r="I20" s="94">
        <v>349</v>
      </c>
      <c r="J20" s="95">
        <v>3111369</v>
      </c>
      <c r="K20" s="53">
        <f t="shared" si="2"/>
        <v>8.345289335246294</v>
      </c>
    </row>
    <row r="21" spans="1:11" ht="15.95" customHeight="1">
      <c r="A21" s="61" t="s">
        <v>193</v>
      </c>
      <c r="B21" s="4">
        <v>24787</v>
      </c>
      <c r="C21" s="2">
        <v>27758</v>
      </c>
      <c r="D21" s="2">
        <f t="shared" si="0"/>
        <v>25371</v>
      </c>
      <c r="E21" s="2">
        <f>55850643-30479338</f>
        <v>25371305</v>
      </c>
      <c r="F21" s="53">
        <f t="shared" si="1"/>
        <v>91.400677282224933</v>
      </c>
      <c r="G21" s="4">
        <v>1081</v>
      </c>
      <c r="H21" s="2">
        <v>9015</v>
      </c>
      <c r="I21" s="2">
        <v>4516</v>
      </c>
      <c r="J21" s="95">
        <v>11000893</v>
      </c>
      <c r="K21" s="53">
        <f t="shared" si="2"/>
        <v>50.094287298946206</v>
      </c>
    </row>
    <row r="22" spans="1:11" ht="15.95" customHeight="1">
      <c r="A22" s="61" t="s">
        <v>194</v>
      </c>
      <c r="B22" s="4">
        <v>17604</v>
      </c>
      <c r="C22" s="2">
        <v>18107</v>
      </c>
      <c r="D22" s="2">
        <f t="shared" si="0"/>
        <v>16816</v>
      </c>
      <c r="E22" s="2">
        <f>26462661-9646641</f>
        <v>16816020</v>
      </c>
      <c r="F22" s="53">
        <f t="shared" si="1"/>
        <v>92.870160711327117</v>
      </c>
      <c r="G22" s="4">
        <v>13530</v>
      </c>
      <c r="H22" s="2">
        <v>22388</v>
      </c>
      <c r="I22" s="2">
        <v>15927</v>
      </c>
      <c r="J22" s="95">
        <v>14586593</v>
      </c>
      <c r="K22" s="53">
        <f t="shared" si="2"/>
        <v>71.140789708772559</v>
      </c>
    </row>
    <row r="23" spans="1:11" ht="15.95" customHeight="1">
      <c r="A23" s="61" t="s">
        <v>195</v>
      </c>
      <c r="B23" s="4">
        <v>16378</v>
      </c>
      <c r="C23" s="2">
        <v>21841</v>
      </c>
      <c r="D23" s="2">
        <f t="shared" si="0"/>
        <v>18769</v>
      </c>
      <c r="E23" s="2">
        <f>45306100-26537136</f>
        <v>18768964</v>
      </c>
      <c r="F23" s="53">
        <f t="shared" si="1"/>
        <v>85.934709949178156</v>
      </c>
      <c r="G23" s="4">
        <v>210</v>
      </c>
      <c r="H23" s="2">
        <v>17309</v>
      </c>
      <c r="I23" s="2">
        <v>5127</v>
      </c>
      <c r="J23" s="95">
        <v>840968</v>
      </c>
      <c r="K23" s="53">
        <f t="shared" si="2"/>
        <v>29.62042867872205</v>
      </c>
    </row>
    <row r="24" spans="1:11" ht="15.95" customHeight="1">
      <c r="A24" s="61" t="s">
        <v>196</v>
      </c>
      <c r="B24" s="4">
        <v>186736</v>
      </c>
      <c r="C24" s="2">
        <f>265243-1</f>
        <v>265242</v>
      </c>
      <c r="D24" s="2">
        <f t="shared" si="0"/>
        <v>233660</v>
      </c>
      <c r="E24" s="2">
        <f>589818330-356158411</f>
        <v>233659919</v>
      </c>
      <c r="F24" s="53">
        <f t="shared" si="1"/>
        <v>88.093137587561543</v>
      </c>
      <c r="G24" s="4">
        <v>90716</v>
      </c>
      <c r="H24" s="2">
        <v>212380</v>
      </c>
      <c r="I24" s="2">
        <v>110388</v>
      </c>
      <c r="J24" s="95">
        <v>83501195</v>
      </c>
      <c r="K24" s="53">
        <f t="shared" si="2"/>
        <v>51.976645635182216</v>
      </c>
    </row>
    <row r="25" spans="1:11" ht="15.95" customHeight="1">
      <c r="A25" s="61" t="s">
        <v>197</v>
      </c>
      <c r="B25" s="4">
        <v>23473</v>
      </c>
      <c r="C25" s="2">
        <v>27025</v>
      </c>
      <c r="D25" s="2">
        <f t="shared" si="0"/>
        <v>25011</v>
      </c>
      <c r="E25" s="2">
        <f>27694712-2683898</f>
        <v>25010814</v>
      </c>
      <c r="F25" s="53">
        <f t="shared" si="1"/>
        <v>92.547641073080484</v>
      </c>
      <c r="G25" s="93">
        <v>3120</v>
      </c>
      <c r="H25" s="94">
        <v>6342</v>
      </c>
      <c r="I25" s="94">
        <v>5052</v>
      </c>
      <c r="J25" s="95">
        <v>8073674</v>
      </c>
      <c r="K25" s="53">
        <f t="shared" si="2"/>
        <v>79.659413434247867</v>
      </c>
    </row>
    <row r="26" spans="1:11" ht="15.95" customHeight="1">
      <c r="A26" s="61" t="s">
        <v>198</v>
      </c>
      <c r="B26" s="4">
        <v>129987</v>
      </c>
      <c r="C26" s="2">
        <v>158783</v>
      </c>
      <c r="D26" s="2">
        <f t="shared" si="0"/>
        <v>143290</v>
      </c>
      <c r="E26" s="2">
        <f>240169777-96879508</f>
        <v>143290269</v>
      </c>
      <c r="F26" s="53">
        <f t="shared" si="1"/>
        <v>90.242658219078862</v>
      </c>
      <c r="G26" s="4">
        <v>24706</v>
      </c>
      <c r="H26" s="2">
        <v>59889</v>
      </c>
      <c r="I26" s="2">
        <v>35033</v>
      </c>
      <c r="J26" s="95">
        <v>30824897</v>
      </c>
      <c r="K26" s="53">
        <f t="shared" si="2"/>
        <v>58.49655195444906</v>
      </c>
    </row>
    <row r="27" spans="1:11" ht="15.95" customHeight="1">
      <c r="A27" s="61" t="s">
        <v>199</v>
      </c>
      <c r="B27" s="4">
        <v>33492</v>
      </c>
      <c r="C27" s="2">
        <f>38487</f>
        <v>38487</v>
      </c>
      <c r="D27" s="2">
        <f t="shared" si="0"/>
        <v>34193</v>
      </c>
      <c r="E27" s="2">
        <f>66343045-32150025</f>
        <v>34193020</v>
      </c>
      <c r="F27" s="53">
        <f t="shared" si="1"/>
        <v>88.842985943305536</v>
      </c>
      <c r="G27" s="4">
        <v>31526</v>
      </c>
      <c r="H27" s="2">
        <v>70288</v>
      </c>
      <c r="I27" s="2">
        <v>17627</v>
      </c>
      <c r="J27" s="95">
        <v>11258217</v>
      </c>
      <c r="K27" s="53">
        <f t="shared" si="2"/>
        <v>25.078249487821537</v>
      </c>
    </row>
    <row r="28" spans="1:11" ht="15.95" customHeight="1">
      <c r="A28" s="61" t="s">
        <v>200</v>
      </c>
      <c r="B28" s="4">
        <v>45761</v>
      </c>
      <c r="C28" s="2">
        <v>54875</v>
      </c>
      <c r="D28" s="2">
        <f t="shared" si="0"/>
        <v>48455</v>
      </c>
      <c r="E28" s="2">
        <f>150035949-101580953</f>
        <v>48454996</v>
      </c>
      <c r="F28" s="53">
        <f t="shared" si="1"/>
        <v>88.300683371298405</v>
      </c>
      <c r="G28" s="93">
        <v>23314</v>
      </c>
      <c r="H28" s="94">
        <v>110584</v>
      </c>
      <c r="I28" s="94">
        <v>35086</v>
      </c>
      <c r="J28" s="95">
        <v>20733092</v>
      </c>
      <c r="K28" s="53">
        <f t="shared" si="2"/>
        <v>31.727917239383636</v>
      </c>
    </row>
    <row r="29" spans="1:11" ht="15.95" customHeight="1">
      <c r="A29" s="61" t="s">
        <v>201</v>
      </c>
      <c r="B29" s="4">
        <v>40265</v>
      </c>
      <c r="C29" s="2">
        <v>46048</v>
      </c>
      <c r="D29" s="2">
        <f t="shared" si="0"/>
        <v>42013</v>
      </c>
      <c r="E29" s="2">
        <f>131972435-89959783</f>
        <v>42012652</v>
      </c>
      <c r="F29" s="53">
        <f t="shared" si="1"/>
        <v>91.237404447533009</v>
      </c>
      <c r="G29" s="93">
        <v>13235</v>
      </c>
      <c r="H29" s="94">
        <v>16559</v>
      </c>
      <c r="I29" s="94">
        <v>10789</v>
      </c>
      <c r="J29" s="95">
        <v>76520945</v>
      </c>
      <c r="K29" s="53">
        <f t="shared" si="2"/>
        <v>65.154900658252316</v>
      </c>
    </row>
    <row r="30" spans="1:11" ht="15.95" customHeight="1">
      <c r="A30" s="61" t="s">
        <v>202</v>
      </c>
      <c r="B30" s="4">
        <v>99204</v>
      </c>
      <c r="C30" s="2">
        <v>112454</v>
      </c>
      <c r="D30" s="2">
        <f t="shared" si="0"/>
        <v>100032</v>
      </c>
      <c r="E30" s="2">
        <f>278848760-178816379</f>
        <v>100032381</v>
      </c>
      <c r="F30" s="53">
        <f t="shared" si="1"/>
        <v>88.953705515143966</v>
      </c>
      <c r="G30" s="4">
        <v>70277</v>
      </c>
      <c r="H30" s="2">
        <v>106474</v>
      </c>
      <c r="I30" s="2">
        <f>36737-1</f>
        <v>36736</v>
      </c>
      <c r="J30" s="95">
        <v>45494346</v>
      </c>
      <c r="K30" s="53">
        <f t="shared" si="2"/>
        <v>34.502319815166146</v>
      </c>
    </row>
    <row r="31" spans="1:11" ht="15.95" customHeight="1">
      <c r="A31" s="61" t="s">
        <v>203</v>
      </c>
      <c r="B31" s="4">
        <v>41212</v>
      </c>
      <c r="C31" s="2">
        <v>46845</v>
      </c>
      <c r="D31" s="2">
        <f>ROUND(E31/1000,0)</f>
        <v>44694</v>
      </c>
      <c r="E31" s="2">
        <f>116464494-71770967</f>
        <v>44693527</v>
      </c>
      <c r="F31" s="53">
        <f t="shared" si="1"/>
        <v>95.408261287223823</v>
      </c>
      <c r="G31" s="4"/>
      <c r="H31" s="2">
        <v>12174</v>
      </c>
      <c r="I31" s="2">
        <v>10204</v>
      </c>
      <c r="J31" s="95">
        <v>67168931</v>
      </c>
      <c r="K31" s="53">
        <f t="shared" si="2"/>
        <v>83.817972728766222</v>
      </c>
    </row>
    <row r="32" spans="1:11" ht="15.95" customHeight="1">
      <c r="A32" s="61" t="s">
        <v>204</v>
      </c>
      <c r="B32" s="4">
        <v>25046</v>
      </c>
      <c r="C32" s="2">
        <v>31440</v>
      </c>
      <c r="D32" s="2">
        <f t="shared" si="0"/>
        <v>28651</v>
      </c>
      <c r="E32" s="2">
        <f>74048147-45397536</f>
        <v>28650611</v>
      </c>
      <c r="F32" s="53">
        <f t="shared" si="1"/>
        <v>91.129134860050883</v>
      </c>
      <c r="G32" s="93">
        <v>3557</v>
      </c>
      <c r="H32" s="94">
        <v>12180</v>
      </c>
      <c r="I32" s="94">
        <v>10235</v>
      </c>
      <c r="J32" s="95">
        <v>10520083</v>
      </c>
      <c r="K32" s="53">
        <f t="shared" si="2"/>
        <v>84.031198686371098</v>
      </c>
    </row>
    <row r="33" spans="1:11" ht="15.95" customHeight="1">
      <c r="A33" s="61" t="s">
        <v>205</v>
      </c>
      <c r="B33" s="4">
        <v>15972</v>
      </c>
      <c r="C33" s="2">
        <v>21884</v>
      </c>
      <c r="D33" s="2">
        <f t="shared" si="0"/>
        <v>16953</v>
      </c>
      <c r="E33" s="2">
        <f>38963223-22010642</f>
        <v>16952581</v>
      </c>
      <c r="F33" s="53">
        <f t="shared" si="1"/>
        <v>77.467556205446897</v>
      </c>
      <c r="G33" s="4">
        <v>50</v>
      </c>
      <c r="H33" s="2">
        <f>1159-1</f>
        <v>1158</v>
      </c>
      <c r="I33" s="2">
        <v>739</v>
      </c>
      <c r="J33" s="95">
        <v>7029197</v>
      </c>
      <c r="K33" s="53">
        <f t="shared" si="2"/>
        <v>63.816925734024174</v>
      </c>
    </row>
    <row r="34" spans="1:11" ht="15.95" customHeight="1">
      <c r="A34" s="61" t="s">
        <v>206</v>
      </c>
      <c r="B34" s="4">
        <v>159283</v>
      </c>
      <c r="C34" s="2">
        <v>191468</v>
      </c>
      <c r="D34" s="2">
        <f t="shared" si="0"/>
        <v>165656</v>
      </c>
      <c r="E34" s="2">
        <f>443976159-278320363</f>
        <v>165655796</v>
      </c>
      <c r="F34" s="53">
        <f t="shared" si="1"/>
        <v>86.51889610796583</v>
      </c>
      <c r="G34" s="4">
        <v>168255</v>
      </c>
      <c r="H34" s="2">
        <v>180253</v>
      </c>
      <c r="I34" s="2">
        <v>67287</v>
      </c>
      <c r="J34" s="95">
        <v>59263995</v>
      </c>
      <c r="K34" s="53">
        <f t="shared" si="2"/>
        <v>37.329198404464833</v>
      </c>
    </row>
    <row r="35" spans="1:11" ht="15.95" customHeight="1">
      <c r="A35" s="61" t="s">
        <v>207</v>
      </c>
      <c r="B35" s="4">
        <v>20741</v>
      </c>
      <c r="C35" s="2">
        <v>26746</v>
      </c>
      <c r="D35" s="2">
        <f t="shared" si="0"/>
        <v>22529</v>
      </c>
      <c r="E35" s="2">
        <f>55204842-32676195</f>
        <v>22528647</v>
      </c>
      <c r="F35" s="53">
        <f t="shared" si="1"/>
        <v>84.233156359829508</v>
      </c>
      <c r="G35" s="4">
        <v>2515</v>
      </c>
      <c r="H35" s="2">
        <v>3037</v>
      </c>
      <c r="I35" s="2">
        <v>2179</v>
      </c>
      <c r="J35" s="95">
        <v>8877430</v>
      </c>
      <c r="K35" s="53">
        <f t="shared" si="2"/>
        <v>71.748435956536056</v>
      </c>
    </row>
    <row r="36" spans="1:11" ht="15.95" customHeight="1">
      <c r="A36" s="61" t="s">
        <v>208</v>
      </c>
      <c r="B36" s="4">
        <v>52962</v>
      </c>
      <c r="C36" s="2">
        <v>55939</v>
      </c>
      <c r="D36" s="2">
        <f t="shared" si="0"/>
        <v>52534</v>
      </c>
      <c r="E36" s="2">
        <f>64234717-11700432</f>
        <v>52534285</v>
      </c>
      <c r="F36" s="53">
        <f t="shared" si="1"/>
        <v>93.913012388494607</v>
      </c>
      <c r="G36" s="4">
        <v>24720</v>
      </c>
      <c r="H36" s="2">
        <v>38549</v>
      </c>
      <c r="I36" s="2">
        <v>33957</v>
      </c>
      <c r="J36" s="95">
        <v>28638379</v>
      </c>
      <c r="K36" s="53">
        <f t="shared" si="2"/>
        <v>88.087888142364264</v>
      </c>
    </row>
    <row r="37" spans="1:11" ht="15.95" customHeight="1">
      <c r="A37" s="61" t="s">
        <v>209</v>
      </c>
      <c r="B37" s="4">
        <v>5117</v>
      </c>
      <c r="C37" s="2">
        <v>6470</v>
      </c>
      <c r="D37" s="2">
        <f t="shared" si="0"/>
        <v>5429</v>
      </c>
      <c r="E37" s="2">
        <f>12892864-7463453</f>
        <v>5429411</v>
      </c>
      <c r="F37" s="53">
        <f t="shared" si="1"/>
        <v>83.910355486862443</v>
      </c>
      <c r="G37" s="4">
        <v>0</v>
      </c>
      <c r="H37" s="2">
        <v>1198</v>
      </c>
      <c r="I37" s="2">
        <v>1069</v>
      </c>
      <c r="J37" s="95">
        <v>2665892</v>
      </c>
      <c r="K37" s="53">
        <f t="shared" si="2"/>
        <v>89.232053422370612</v>
      </c>
    </row>
    <row r="38" spans="1:11" ht="15.95" customHeight="1">
      <c r="A38" s="61" t="s">
        <v>210</v>
      </c>
      <c r="B38" s="4">
        <v>5508</v>
      </c>
      <c r="C38" s="2">
        <v>6763</v>
      </c>
      <c r="D38" s="2">
        <f t="shared" si="0"/>
        <v>6118</v>
      </c>
      <c r="E38" s="2">
        <f>15851133-9732885</f>
        <v>6118248</v>
      </c>
      <c r="F38" s="53">
        <f t="shared" si="1"/>
        <v>90.462812361378084</v>
      </c>
      <c r="G38" s="4">
        <v>0</v>
      </c>
      <c r="H38" s="2">
        <v>1136</v>
      </c>
      <c r="I38" s="2">
        <v>771</v>
      </c>
      <c r="J38" s="95">
        <v>4841469</v>
      </c>
      <c r="K38" s="53">
        <f t="shared" si="2"/>
        <v>67.869718309859152</v>
      </c>
    </row>
    <row r="39" spans="1:11" ht="15.95" customHeight="1">
      <c r="A39" s="61" t="s">
        <v>211</v>
      </c>
      <c r="B39" s="4">
        <v>3060</v>
      </c>
      <c r="C39" s="2">
        <v>3984</v>
      </c>
      <c r="D39" s="2">
        <f t="shared" si="0"/>
        <v>3254</v>
      </c>
      <c r="E39" s="2">
        <f>7134557-3880403</f>
        <v>3254154</v>
      </c>
      <c r="F39" s="53">
        <f t="shared" si="1"/>
        <v>81.676706827309246</v>
      </c>
      <c r="G39" s="4"/>
      <c r="H39" s="2">
        <v>720</v>
      </c>
      <c r="I39" s="2">
        <v>444</v>
      </c>
      <c r="J39" s="95">
        <v>2456520</v>
      </c>
      <c r="K39" s="53">
        <f t="shared" si="2"/>
        <v>61.666666666666671</v>
      </c>
    </row>
    <row r="40" spans="1:11" ht="15.95" customHeight="1" thickBot="1">
      <c r="A40" s="62" t="s">
        <v>212</v>
      </c>
      <c r="B40" s="5">
        <v>2203</v>
      </c>
      <c r="C40" s="6">
        <v>2641</v>
      </c>
      <c r="D40" s="6">
        <f t="shared" si="0"/>
        <v>2145</v>
      </c>
      <c r="E40" s="6">
        <f>4444796-2300000</f>
        <v>2144796</v>
      </c>
      <c r="F40" s="54">
        <f t="shared" si="1"/>
        <v>81.219235138205221</v>
      </c>
      <c r="G40" s="5">
        <v>230</v>
      </c>
      <c r="H40" s="6">
        <v>944</v>
      </c>
      <c r="I40" s="6">
        <v>943</v>
      </c>
      <c r="J40" s="96">
        <v>56468</v>
      </c>
      <c r="K40" s="54">
        <f t="shared" si="2"/>
        <v>99.894067796610159</v>
      </c>
    </row>
    <row r="41" spans="1:11" ht="15" customHeight="1" thickBot="1">
      <c r="A41" s="24"/>
      <c r="B41" s="74"/>
      <c r="C41" s="73"/>
      <c r="D41" s="73"/>
      <c r="E41" s="90"/>
      <c r="F41" s="55"/>
      <c r="G41" s="74"/>
      <c r="H41" s="73"/>
      <c r="I41" s="73"/>
      <c r="J41" s="90"/>
      <c r="K41" s="55"/>
    </row>
    <row r="42" spans="1:11" ht="18" customHeight="1" thickBot="1">
      <c r="A42" s="63" t="s">
        <v>240</v>
      </c>
      <c r="B42" s="57">
        <f>SUM(B12:B40)</f>
        <v>1623419</v>
      </c>
      <c r="C42" s="50">
        <f>SUM(C12:C40)</f>
        <v>2041480</v>
      </c>
      <c r="D42" s="50">
        <f>SUM(D12:D41)</f>
        <v>1769166</v>
      </c>
      <c r="E42" s="50">
        <f>SUM(E12:E41)</f>
        <v>1769165490</v>
      </c>
      <c r="F42" s="56">
        <f>SUM(D42/C42*100)</f>
        <v>86.660951858455633</v>
      </c>
      <c r="G42" s="57">
        <f>SUM(G12:G40)</f>
        <v>943712</v>
      </c>
      <c r="H42" s="50">
        <f>SUM(H12:H40)</f>
        <v>1661383</v>
      </c>
      <c r="I42" s="50">
        <f>SUM(I12:I40)</f>
        <v>699325</v>
      </c>
      <c r="J42" s="97">
        <f>SUM(J12:J40)</f>
        <v>761764466</v>
      </c>
      <c r="K42" s="56">
        <f>SUM(I42/H42*100)</f>
        <v>42.092943048050927</v>
      </c>
    </row>
    <row r="43" spans="1:11">
      <c r="F43" s="83"/>
      <c r="K43" s="83"/>
    </row>
    <row r="44" spans="1:11" s="64" customFormat="1" hidden="1">
      <c r="A44" s="98">
        <v>2012</v>
      </c>
      <c r="B44" s="1">
        <v>1643394</v>
      </c>
      <c r="C44" s="1">
        <v>1931370</v>
      </c>
      <c r="D44" s="1">
        <v>1660505</v>
      </c>
      <c r="E44" s="1">
        <f>3990961366-2330456157</f>
        <v>1660505209</v>
      </c>
      <c r="F44" s="1"/>
      <c r="G44" s="1">
        <v>673199</v>
      </c>
      <c r="H44" s="1">
        <v>1207483</v>
      </c>
      <c r="I44" s="1">
        <v>526840</v>
      </c>
      <c r="J44" s="64">
        <v>761764</v>
      </c>
    </row>
    <row r="45" spans="1:11" hidden="1">
      <c r="A45" s="89">
        <v>2013</v>
      </c>
      <c r="B45" s="1">
        <v>1623419</v>
      </c>
      <c r="C45" s="1">
        <v>2041480</v>
      </c>
      <c r="D45" s="1">
        <v>1769165</v>
      </c>
      <c r="E45" s="1">
        <f>4274791227-2505625736</f>
        <v>1769165491</v>
      </c>
      <c r="F45" s="1"/>
      <c r="G45" s="1">
        <v>943712</v>
      </c>
      <c r="H45" s="1">
        <v>1661383</v>
      </c>
      <c r="I45" s="1">
        <v>699325</v>
      </c>
    </row>
    <row r="46" spans="1:11" hidden="1">
      <c r="B46" s="64">
        <f>B45-B42</f>
        <v>0</v>
      </c>
      <c r="C46" s="64">
        <f>C45-C42</f>
        <v>0</v>
      </c>
      <c r="D46" s="64">
        <f>D45-D42</f>
        <v>-1</v>
      </c>
      <c r="E46" s="64">
        <f>E45-E42</f>
        <v>1</v>
      </c>
      <c r="G46" s="64">
        <f>G45-G42</f>
        <v>0</v>
      </c>
      <c r="H46" s="64">
        <f>H45-H42</f>
        <v>0</v>
      </c>
      <c r="I46" s="64">
        <f>I45-I42</f>
        <v>0</v>
      </c>
    </row>
    <row r="47" spans="1:11" hidden="1">
      <c r="D47" s="86">
        <f>D44/'Příjmy a Výdaje '!J41*100</f>
        <v>67.268019206875778</v>
      </c>
      <c r="I47" s="86">
        <f>I44/'Příjmy a Výdaje '!J41*100</f>
        <v>21.342593511582582</v>
      </c>
    </row>
    <row r="48" spans="1:11" ht="15.95" hidden="1" customHeight="1"/>
    <row r="49" spans="4:9" hidden="1">
      <c r="D49" s="1">
        <f>D44-D45</f>
        <v>-108660</v>
      </c>
      <c r="I49" s="1">
        <f>I44-I45</f>
        <v>-172485</v>
      </c>
    </row>
    <row r="50" spans="4:9" hidden="1">
      <c r="D50" s="86">
        <f>D49/D45*100</f>
        <v>-6.141880491644363</v>
      </c>
      <c r="I50" s="86">
        <f>I49/I45*100</f>
        <v>-24.664497908697673</v>
      </c>
    </row>
    <row r="51" spans="4:9" hidden="1"/>
    <row r="52" spans="4:9" ht="15.95" hidden="1" customHeight="1"/>
    <row r="53" spans="4:9" ht="15.95" hidden="1" customHeight="1">
      <c r="D53" s="1">
        <f>C42-D42</f>
        <v>272314</v>
      </c>
      <c r="I53" s="1">
        <f>H42-I42</f>
        <v>962058</v>
      </c>
    </row>
    <row r="54" spans="4:9" ht="15.95" hidden="1" customHeight="1"/>
    <row r="55" spans="4:9" ht="15.95" hidden="1" customHeight="1">
      <c r="D55" s="86">
        <f>496903/D42*100</f>
        <v>28.086849962072524</v>
      </c>
    </row>
    <row r="56" spans="4:9" ht="15.95" hidden="1" customHeight="1">
      <c r="D56" s="86">
        <f>358101/D42*100</f>
        <v>20.241232309461068</v>
      </c>
    </row>
    <row r="57" spans="4:9" ht="18" hidden="1" customHeight="1">
      <c r="D57" s="86">
        <f>394205/D42*100</f>
        <v>22.281967887693977</v>
      </c>
    </row>
    <row r="58" spans="4:9" ht="18" hidden="1" customHeight="1">
      <c r="D58" s="86">
        <f>110865/D42*100</f>
        <v>6.2665120175269022</v>
      </c>
    </row>
    <row r="59" spans="4:9" ht="13.9" hidden="1" customHeight="1"/>
    <row r="60" spans="4:9" hidden="1"/>
    <row r="61" spans="4:9" ht="18" hidden="1" customHeight="1"/>
    <row r="62" spans="4:9" ht="13.9" hidden="1" customHeight="1"/>
    <row r="63" spans="4:9" ht="15.95" hidden="1" customHeight="1"/>
    <row r="64" spans="4:9" hidden="1"/>
    <row r="65" ht="13.9" hidden="1" customHeight="1"/>
    <row r="66" ht="12" hidden="1" customHeight="1"/>
    <row r="67" ht="15.95" customHeight="1"/>
    <row r="68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11">
    <mergeCell ref="A2:K2"/>
    <mergeCell ref="A4:K4"/>
    <mergeCell ref="A7:A9"/>
    <mergeCell ref="B7:F7"/>
    <mergeCell ref="G7:K7"/>
    <mergeCell ref="B8:B9"/>
    <mergeCell ref="C8:C9"/>
    <mergeCell ref="D8:D9"/>
    <mergeCell ref="G8:G9"/>
    <mergeCell ref="H8:H9"/>
    <mergeCell ref="I8:I9"/>
  </mergeCells>
  <phoneticPr fontId="8" type="noConversion"/>
  <printOptions horizontalCentered="1" verticalCentered="1"/>
  <pageMargins left="0.39370078740157483" right="0.39370078740157483" top="0.59055118110236227" bottom="0.6692913385826772" header="0.51181102362204722" footer="0.51181102362204722"/>
  <pageSetup paperSize="9" scale="69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transitionEvaluation="1" codeName="List11">
    <pageSetUpPr fitToPage="1"/>
  </sheetPr>
  <dimension ref="A1:BC97"/>
  <sheetViews>
    <sheetView showZeros="0" zoomScaleNormal="100" zoomScaleSheetLayoutView="70" workbookViewId="0">
      <pane xSplit="1" ySplit="14" topLeftCell="B18" activePane="bottomRight" state="frozen"/>
      <selection activeCell="C37" sqref="C37"/>
      <selection pane="topRight" activeCell="C37" sqref="C37"/>
      <selection pane="bottomLeft" activeCell="C37" sqref="C37"/>
      <selection pane="bottomRight" activeCell="U67" sqref="U67"/>
    </sheetView>
  </sheetViews>
  <sheetFormatPr defaultRowHeight="15.75"/>
  <cols>
    <col min="1" max="1" width="26" style="121" customWidth="1"/>
    <col min="2" max="2" width="9.5546875" style="118" customWidth="1"/>
    <col min="3" max="3" width="9.77734375" style="118" customWidth="1"/>
    <col min="4" max="4" width="9.33203125" style="118" customWidth="1"/>
    <col min="5" max="5" width="5.77734375" style="118" customWidth="1"/>
    <col min="6" max="6" width="8.21875" style="118" customWidth="1"/>
    <col min="7" max="7" width="9.109375" style="118" customWidth="1"/>
    <col min="8" max="8" width="9.33203125" style="118" customWidth="1"/>
    <col min="9" max="9" width="5.77734375" style="118" customWidth="1"/>
    <col min="10" max="10" width="8.77734375" style="118" customWidth="1"/>
    <col min="11" max="11" width="8.44140625" style="118" customWidth="1"/>
    <col min="12" max="12" width="9.33203125" style="118" customWidth="1"/>
    <col min="13" max="13" width="6.44140625" style="118" customWidth="1"/>
    <col min="14" max="14" width="9.109375" style="118" customWidth="1"/>
    <col min="15" max="16" width="9.33203125" style="118" customWidth="1"/>
    <col min="17" max="17" width="5.77734375" style="118" customWidth="1"/>
    <col min="18" max="18" width="8.88671875" style="118" customWidth="1"/>
    <col min="19" max="19" width="9.88671875" style="118" customWidth="1"/>
    <col min="20" max="20" width="9.33203125" style="118" customWidth="1"/>
    <col min="21" max="21" width="5.77734375" style="118" customWidth="1"/>
    <col min="22" max="23" width="9.21875" style="118" customWidth="1"/>
    <col min="24" max="24" width="9.33203125" style="118" customWidth="1"/>
    <col min="25" max="25" width="5.77734375" style="118" customWidth="1"/>
    <col min="26" max="29" width="9.21875" style="118" customWidth="1"/>
    <col min="30" max="30" width="9.77734375" style="118"/>
    <col min="31" max="31" width="9.77734375" style="118" customWidth="1"/>
    <col min="32" max="35" width="10.77734375" style="118" customWidth="1"/>
    <col min="36" max="36" width="7.77734375" style="118" customWidth="1"/>
    <col min="37" max="40" width="6.77734375" style="118" customWidth="1"/>
    <col min="41" max="43" width="7.77734375" style="118" customWidth="1"/>
    <col min="44" max="44" width="5.77734375" style="118" customWidth="1"/>
    <col min="45" max="45" width="7.77734375" style="118" customWidth="1"/>
    <col min="46" max="46" width="6.77734375" style="118" customWidth="1"/>
    <col min="47" max="47" width="7.77734375" style="118" customWidth="1"/>
    <col min="48" max="48" width="5.77734375" style="118" customWidth="1"/>
    <col min="49" max="51" width="7.77734375" style="118" customWidth="1"/>
    <col min="52" max="52" width="8.33203125" style="118" customWidth="1"/>
    <col min="53" max="54" width="9.77734375" style="118"/>
    <col min="55" max="55" width="9.77734375" style="118" customWidth="1"/>
    <col min="56" max="56" width="8.109375" style="118" customWidth="1"/>
    <col min="57" max="16384" width="8.88671875" style="118"/>
  </cols>
  <sheetData>
    <row r="1" spans="1:55" ht="17.25" customHeight="1"/>
    <row r="2" spans="1:55" s="119" customFormat="1" ht="24" customHeight="1">
      <c r="A2" s="285" t="s">
        <v>251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</row>
    <row r="3" spans="1:55" s="119" customFormat="1" ht="15" customHeight="1"/>
    <row r="4" spans="1:55" s="119" customFormat="1" ht="21" customHeight="1">
      <c r="A4" s="285" t="s">
        <v>151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AO4" s="119" t="s">
        <v>94</v>
      </c>
    </row>
    <row r="5" spans="1:55" ht="22.5" customHeight="1">
      <c r="Y5" s="17"/>
      <c r="BC5" s="118" t="s">
        <v>95</v>
      </c>
    </row>
    <row r="6" spans="1:55" ht="22.5" customHeight="1" thickBot="1">
      <c r="Y6" s="17" t="s">
        <v>237</v>
      </c>
    </row>
    <row r="7" spans="1:55" ht="17.100000000000001" customHeight="1" thickBot="1">
      <c r="A7" s="301" t="s">
        <v>222</v>
      </c>
      <c r="B7" s="289" t="s">
        <v>151</v>
      </c>
      <c r="C7" s="311"/>
      <c r="D7" s="311"/>
      <c r="E7" s="290"/>
      <c r="F7" s="118" t="s">
        <v>174</v>
      </c>
      <c r="Y7" s="17" t="s">
        <v>1</v>
      </c>
    </row>
    <row r="8" spans="1:55" ht="17.100000000000001" customHeight="1" thickBot="1">
      <c r="A8" s="302"/>
      <c r="B8" s="339" t="s">
        <v>44</v>
      </c>
      <c r="C8" s="340"/>
      <c r="D8" s="340"/>
      <c r="E8" s="341"/>
      <c r="F8" s="322" t="s">
        <v>96</v>
      </c>
      <c r="G8" s="323"/>
      <c r="H8" s="323"/>
      <c r="I8" s="324"/>
      <c r="J8" s="322" t="s">
        <v>139</v>
      </c>
      <c r="K8" s="323"/>
      <c r="L8" s="323"/>
      <c r="M8" s="324"/>
      <c r="N8" s="322" t="s">
        <v>97</v>
      </c>
      <c r="O8" s="323"/>
      <c r="P8" s="323"/>
      <c r="Q8" s="324"/>
      <c r="R8" s="322" t="s">
        <v>254</v>
      </c>
      <c r="S8" s="323"/>
      <c r="T8" s="323"/>
      <c r="U8" s="324"/>
      <c r="V8" s="322" t="s">
        <v>98</v>
      </c>
      <c r="W8" s="323"/>
      <c r="X8" s="323"/>
      <c r="Y8" s="324"/>
    </row>
    <row r="9" spans="1:55" ht="18.75" customHeight="1">
      <c r="A9" s="302"/>
      <c r="B9" s="312" t="s">
        <v>229</v>
      </c>
      <c r="C9" s="314" t="s">
        <v>230</v>
      </c>
      <c r="D9" s="314" t="s">
        <v>246</v>
      </c>
      <c r="E9" s="27" t="s">
        <v>0</v>
      </c>
      <c r="F9" s="312" t="s">
        <v>229</v>
      </c>
      <c r="G9" s="314" t="s">
        <v>230</v>
      </c>
      <c r="H9" s="314" t="s">
        <v>246</v>
      </c>
      <c r="I9" s="27" t="s">
        <v>0</v>
      </c>
      <c r="J9" s="312" t="s">
        <v>229</v>
      </c>
      <c r="K9" s="314" t="s">
        <v>230</v>
      </c>
      <c r="L9" s="314" t="s">
        <v>246</v>
      </c>
      <c r="M9" s="27" t="s">
        <v>0</v>
      </c>
      <c r="N9" s="312" t="s">
        <v>229</v>
      </c>
      <c r="O9" s="314" t="s">
        <v>230</v>
      </c>
      <c r="P9" s="314" t="s">
        <v>246</v>
      </c>
      <c r="Q9" s="27" t="s">
        <v>0</v>
      </c>
      <c r="R9" s="312" t="s">
        <v>229</v>
      </c>
      <c r="S9" s="314" t="s">
        <v>230</v>
      </c>
      <c r="T9" s="314" t="s">
        <v>246</v>
      </c>
      <c r="U9" s="27" t="s">
        <v>0</v>
      </c>
      <c r="V9" s="312" t="s">
        <v>229</v>
      </c>
      <c r="W9" s="314" t="s">
        <v>230</v>
      </c>
      <c r="X9" s="314" t="s">
        <v>246</v>
      </c>
      <c r="Y9" s="27" t="s">
        <v>0</v>
      </c>
    </row>
    <row r="10" spans="1:55" ht="21.75" customHeight="1" thickBot="1">
      <c r="A10" s="303"/>
      <c r="B10" s="313"/>
      <c r="C10" s="315"/>
      <c r="D10" s="315"/>
      <c r="E10" s="28" t="s">
        <v>11</v>
      </c>
      <c r="F10" s="313"/>
      <c r="G10" s="315"/>
      <c r="H10" s="315"/>
      <c r="I10" s="28" t="s">
        <v>11</v>
      </c>
      <c r="J10" s="313"/>
      <c r="K10" s="315"/>
      <c r="L10" s="315"/>
      <c r="M10" s="28" t="s">
        <v>11</v>
      </c>
      <c r="N10" s="313"/>
      <c r="O10" s="315"/>
      <c r="P10" s="315"/>
      <c r="Q10" s="28" t="s">
        <v>11</v>
      </c>
      <c r="R10" s="313"/>
      <c r="S10" s="315"/>
      <c r="T10" s="315"/>
      <c r="U10" s="28" t="s">
        <v>11</v>
      </c>
      <c r="V10" s="313"/>
      <c r="W10" s="315"/>
      <c r="X10" s="315"/>
      <c r="Y10" s="28" t="s">
        <v>11</v>
      </c>
    </row>
    <row r="11" spans="1:55" ht="17.100000000000001" hidden="1" customHeight="1" thickTop="1">
      <c r="A11" s="24"/>
      <c r="B11" s="3"/>
      <c r="C11" s="122"/>
      <c r="D11" s="122"/>
      <c r="E11" s="123"/>
      <c r="F11" s="3"/>
      <c r="G11" s="122" t="s">
        <v>99</v>
      </c>
      <c r="H11" s="122"/>
      <c r="I11" s="123"/>
      <c r="J11" s="3"/>
      <c r="K11" s="122" t="s">
        <v>101</v>
      </c>
      <c r="L11" s="122"/>
      <c r="M11" s="123"/>
      <c r="N11" s="3"/>
      <c r="O11" s="122" t="s">
        <v>102</v>
      </c>
      <c r="P11" s="122"/>
      <c r="Q11" s="123"/>
      <c r="R11" s="3"/>
      <c r="S11" s="122" t="s">
        <v>100</v>
      </c>
      <c r="T11" s="122"/>
      <c r="U11" s="123"/>
      <c r="V11" s="3"/>
      <c r="W11" s="122" t="s">
        <v>103</v>
      </c>
      <c r="X11" s="122"/>
      <c r="Y11" s="123"/>
      <c r="AA11" s="118" t="s">
        <v>13</v>
      </c>
      <c r="AD11" s="118" t="s">
        <v>21</v>
      </c>
    </row>
    <row r="12" spans="1:55" ht="17.100000000000001" hidden="1" customHeight="1" thickTop="1">
      <c r="A12" s="24"/>
      <c r="B12" s="3"/>
      <c r="C12" s="122" t="s">
        <v>104</v>
      </c>
      <c r="D12" s="122"/>
      <c r="E12" s="123"/>
      <c r="F12" s="3"/>
      <c r="G12" s="122" t="s">
        <v>105</v>
      </c>
      <c r="H12" s="122"/>
      <c r="I12" s="123"/>
      <c r="J12" s="3"/>
      <c r="K12" s="122" t="s">
        <v>107</v>
      </c>
      <c r="L12" s="122"/>
      <c r="M12" s="123"/>
      <c r="N12" s="3"/>
      <c r="O12" s="122" t="s">
        <v>108</v>
      </c>
      <c r="P12" s="122"/>
      <c r="Q12" s="123"/>
      <c r="R12" s="3"/>
      <c r="S12" s="122" t="s">
        <v>106</v>
      </c>
      <c r="T12" s="122"/>
      <c r="U12" s="123"/>
      <c r="V12" s="3"/>
      <c r="W12" s="122" t="s">
        <v>109</v>
      </c>
      <c r="X12" s="122"/>
      <c r="Y12" s="123"/>
      <c r="AA12" s="118" t="s">
        <v>3</v>
      </c>
      <c r="AD12" s="118" t="s">
        <v>110</v>
      </c>
    </row>
    <row r="13" spans="1:55" ht="18.75" customHeight="1">
      <c r="A13" s="24"/>
      <c r="B13" s="318" t="s">
        <v>111</v>
      </c>
      <c r="C13" s="319"/>
      <c r="D13" s="319"/>
      <c r="E13" s="320"/>
      <c r="F13" s="318" t="s">
        <v>99</v>
      </c>
      <c r="G13" s="319"/>
      <c r="H13" s="319"/>
      <c r="I13" s="320"/>
      <c r="J13" s="318" t="s">
        <v>101</v>
      </c>
      <c r="K13" s="319"/>
      <c r="L13" s="319"/>
      <c r="M13" s="320"/>
      <c r="N13" s="318" t="s">
        <v>102</v>
      </c>
      <c r="O13" s="319"/>
      <c r="P13" s="319"/>
      <c r="Q13" s="320"/>
      <c r="R13" s="318" t="s">
        <v>156</v>
      </c>
      <c r="S13" s="319"/>
      <c r="T13" s="319"/>
      <c r="U13" s="320"/>
      <c r="V13" s="318" t="s">
        <v>157</v>
      </c>
      <c r="W13" s="319"/>
      <c r="X13" s="319"/>
      <c r="Y13" s="320"/>
    </row>
    <row r="14" spans="1:55" ht="18" customHeight="1" thickBot="1">
      <c r="A14" s="24"/>
      <c r="B14" s="3"/>
      <c r="C14" s="122"/>
      <c r="D14" s="122"/>
      <c r="E14" s="123"/>
      <c r="F14" s="3"/>
      <c r="G14" s="122"/>
      <c r="H14" s="122"/>
      <c r="I14" s="123"/>
      <c r="J14" s="79"/>
      <c r="K14" s="77"/>
      <c r="L14" s="77"/>
      <c r="M14" s="80"/>
      <c r="N14" s="3"/>
      <c r="O14" s="122"/>
      <c r="P14" s="122"/>
      <c r="Q14" s="123"/>
      <c r="R14" s="3"/>
      <c r="S14" s="122"/>
      <c r="T14" s="122"/>
      <c r="U14" s="123"/>
      <c r="V14" s="3"/>
      <c r="W14" s="122"/>
      <c r="X14" s="122"/>
      <c r="Y14" s="123"/>
    </row>
    <row r="15" spans="1:55" ht="17.100000000000001" customHeight="1">
      <c r="A15" s="60" t="s">
        <v>184</v>
      </c>
      <c r="B15" s="7">
        <f>'Výdaje '!B12</f>
        <v>285348</v>
      </c>
      <c r="C15" s="8">
        <f>'Výdaje '!C12</f>
        <v>356810</v>
      </c>
      <c r="D15" s="8">
        <f>'Výdaje '!D12</f>
        <v>334761</v>
      </c>
      <c r="E15" s="52">
        <f>D15/C15*100</f>
        <v>93.820520725315987</v>
      </c>
      <c r="F15" s="159"/>
      <c r="G15" s="92"/>
      <c r="H15" s="92"/>
      <c r="I15" s="52"/>
      <c r="J15" s="166"/>
      <c r="K15" s="76">
        <v>1396</v>
      </c>
      <c r="L15" s="76">
        <v>1396</v>
      </c>
      <c r="M15" s="81">
        <f>L15/K15*100</f>
        <v>100</v>
      </c>
      <c r="N15" s="188">
        <v>71215</v>
      </c>
      <c r="O15" s="189">
        <f>80469-1</f>
        <v>80468</v>
      </c>
      <c r="P15" s="189">
        <f>80469-1</f>
        <v>80468</v>
      </c>
      <c r="Q15" s="52">
        <f t="shared" ref="Q15:Q42" si="0">P15/O15*100</f>
        <v>100</v>
      </c>
      <c r="R15" s="159"/>
      <c r="S15" s="167">
        <v>11</v>
      </c>
      <c r="T15" s="167">
        <f>S15</f>
        <v>11</v>
      </c>
      <c r="U15" s="52">
        <f t="shared" ref="U15:U23" si="1">T15/S15*100</f>
        <v>100</v>
      </c>
      <c r="V15" s="7">
        <f>SUM(B15-F15-R15-J15-N15)</f>
        <v>214133</v>
      </c>
      <c r="W15" s="8">
        <f>SUM(C15-G15-S15-K15-O15)</f>
        <v>274935</v>
      </c>
      <c r="X15" s="8">
        <f>SUM(D15-H15-T15-L15-P15)</f>
        <v>252886</v>
      </c>
      <c r="Y15" s="52">
        <f t="shared" ref="Y15:Y43" si="2">X15/W15*100</f>
        <v>91.980286249477146</v>
      </c>
    </row>
    <row r="16" spans="1:55" ht="17.100000000000001" customHeight="1">
      <c r="A16" s="61" t="s">
        <v>185</v>
      </c>
      <c r="B16" s="4">
        <f>'Výdaje '!B13</f>
        <v>47599</v>
      </c>
      <c r="C16" s="2">
        <f>'Výdaje '!C13</f>
        <v>58291</v>
      </c>
      <c r="D16" s="2">
        <f>'Výdaje '!D13</f>
        <v>46384</v>
      </c>
      <c r="E16" s="53">
        <f t="shared" ref="E16:E43" si="3">D16/C16*100</f>
        <v>79.57317596198385</v>
      </c>
      <c r="F16" s="160"/>
      <c r="G16" s="95"/>
      <c r="H16" s="95"/>
      <c r="I16" s="53"/>
      <c r="J16" s="160"/>
      <c r="K16" s="2"/>
      <c r="L16" s="2"/>
      <c r="M16" s="53"/>
      <c r="N16" s="220">
        <v>12635</v>
      </c>
      <c r="O16" s="221">
        <v>12610</v>
      </c>
      <c r="P16" s="221">
        <v>12610</v>
      </c>
      <c r="Q16" s="53">
        <f t="shared" si="0"/>
        <v>100</v>
      </c>
      <c r="R16" s="160"/>
      <c r="S16" s="168">
        <v>32</v>
      </c>
      <c r="T16" s="168">
        <f t="shared" ref="T16:T43" si="4">S16</f>
        <v>32</v>
      </c>
      <c r="U16" s="53">
        <f t="shared" si="1"/>
        <v>100</v>
      </c>
      <c r="V16" s="4">
        <f t="shared" ref="V16:V43" si="5">SUM(B16-F16-R16-J16-N16)</f>
        <v>34964</v>
      </c>
      <c r="W16" s="2">
        <f t="shared" ref="W16:W43" si="6">SUM(C16-G16-S16-K16-O16)</f>
        <v>45649</v>
      </c>
      <c r="X16" s="2">
        <f t="shared" ref="X16:X43" si="7">SUM(D16-H16-T16-L16-P16)</f>
        <v>33742</v>
      </c>
      <c r="Y16" s="53">
        <f t="shared" si="2"/>
        <v>73.91618655392233</v>
      </c>
    </row>
    <row r="17" spans="1:25" ht="17.100000000000001" customHeight="1">
      <c r="A17" s="61" t="s">
        <v>186</v>
      </c>
      <c r="B17" s="4">
        <f>'Výdaje '!B14</f>
        <v>45052</v>
      </c>
      <c r="C17" s="2">
        <f>'Výdaje '!C14</f>
        <v>50846</v>
      </c>
      <c r="D17" s="2">
        <f>'Výdaje '!D14</f>
        <v>41824</v>
      </c>
      <c r="E17" s="53">
        <f t="shared" si="3"/>
        <v>82.256224678440788</v>
      </c>
      <c r="F17" s="160"/>
      <c r="G17" s="95"/>
      <c r="H17" s="95"/>
      <c r="I17" s="53"/>
      <c r="J17" s="160"/>
      <c r="K17" s="2">
        <v>50</v>
      </c>
      <c r="L17" s="2">
        <v>50</v>
      </c>
      <c r="M17" s="53">
        <f>L17/K17*100</f>
        <v>100</v>
      </c>
      <c r="N17" s="224">
        <v>9395</v>
      </c>
      <c r="O17" s="225">
        <v>10943</v>
      </c>
      <c r="P17" s="225">
        <v>10943</v>
      </c>
      <c r="Q17" s="53">
        <f t="shared" si="0"/>
        <v>100</v>
      </c>
      <c r="R17" s="160"/>
      <c r="S17" s="168">
        <v>259</v>
      </c>
      <c r="T17" s="168">
        <f t="shared" si="4"/>
        <v>259</v>
      </c>
      <c r="U17" s="53">
        <f t="shared" si="1"/>
        <v>100</v>
      </c>
      <c r="V17" s="4">
        <f t="shared" si="5"/>
        <v>35657</v>
      </c>
      <c r="W17" s="76">
        <f t="shared" si="6"/>
        <v>39594</v>
      </c>
      <c r="X17" s="2">
        <f t="shared" si="7"/>
        <v>30572</v>
      </c>
      <c r="Y17" s="53">
        <f t="shared" si="2"/>
        <v>77.213719250391478</v>
      </c>
    </row>
    <row r="18" spans="1:25" ht="17.100000000000001" customHeight="1">
      <c r="A18" s="61" t="s">
        <v>187</v>
      </c>
      <c r="B18" s="4">
        <f>'Výdaje '!B15</f>
        <v>37216</v>
      </c>
      <c r="C18" s="2">
        <f>'Výdaje '!C15</f>
        <v>42641</v>
      </c>
      <c r="D18" s="2">
        <f>'Výdaje '!D15</f>
        <v>37735</v>
      </c>
      <c r="E18" s="53">
        <f t="shared" si="3"/>
        <v>88.494641307661638</v>
      </c>
      <c r="F18" s="155">
        <v>5296</v>
      </c>
      <c r="G18" s="156">
        <v>5276</v>
      </c>
      <c r="H18" s="156">
        <f>5211-1</f>
        <v>5210</v>
      </c>
      <c r="I18" s="53">
        <f>H18/G18*100</f>
        <v>98.749052312357847</v>
      </c>
      <c r="J18" s="160"/>
      <c r="K18" s="2"/>
      <c r="L18" s="2"/>
      <c r="M18" s="53"/>
      <c r="N18" s="218">
        <v>9672</v>
      </c>
      <c r="O18" s="219">
        <v>9962</v>
      </c>
      <c r="P18" s="219">
        <v>9960</v>
      </c>
      <c r="Q18" s="53">
        <f t="shared" si="0"/>
        <v>99.979923710098376</v>
      </c>
      <c r="R18" s="160"/>
      <c r="S18" s="168">
        <v>70</v>
      </c>
      <c r="T18" s="168">
        <f t="shared" si="4"/>
        <v>70</v>
      </c>
      <c r="U18" s="53">
        <f t="shared" si="1"/>
        <v>100</v>
      </c>
      <c r="V18" s="4">
        <f t="shared" si="5"/>
        <v>22248</v>
      </c>
      <c r="W18" s="76">
        <f t="shared" si="6"/>
        <v>27333</v>
      </c>
      <c r="X18" s="2">
        <f t="shared" si="7"/>
        <v>22495</v>
      </c>
      <c r="Y18" s="53">
        <f t="shared" si="2"/>
        <v>82.299784143709061</v>
      </c>
    </row>
    <row r="19" spans="1:25" ht="17.100000000000001" customHeight="1">
      <c r="A19" s="61" t="s">
        <v>188</v>
      </c>
      <c r="B19" s="4">
        <f>'Výdaje '!B16</f>
        <v>41556</v>
      </c>
      <c r="C19" s="2">
        <f>'Výdaje '!C16</f>
        <v>51439</v>
      </c>
      <c r="D19" s="2">
        <f>'Výdaje '!D16</f>
        <v>47562</v>
      </c>
      <c r="E19" s="53">
        <f t="shared" si="3"/>
        <v>92.462917241781525</v>
      </c>
      <c r="F19" s="157">
        <v>1471</v>
      </c>
      <c r="G19" s="158">
        <v>1471</v>
      </c>
      <c r="H19" s="158">
        <v>344</v>
      </c>
      <c r="I19" s="53">
        <f>H19/G19*100</f>
        <v>23.385452073419444</v>
      </c>
      <c r="J19" s="160"/>
      <c r="K19" s="2"/>
      <c r="L19" s="2"/>
      <c r="M19" s="53"/>
      <c r="N19" s="222">
        <v>9702</v>
      </c>
      <c r="O19" s="223">
        <v>10900</v>
      </c>
      <c r="P19" s="223">
        <v>10900</v>
      </c>
      <c r="Q19" s="53">
        <f t="shared" si="0"/>
        <v>100</v>
      </c>
      <c r="R19" s="160"/>
      <c r="S19" s="168">
        <v>91</v>
      </c>
      <c r="T19" s="168">
        <f t="shared" si="4"/>
        <v>91</v>
      </c>
      <c r="U19" s="53">
        <f t="shared" si="1"/>
        <v>100</v>
      </c>
      <c r="V19" s="4">
        <f t="shared" si="5"/>
        <v>30383</v>
      </c>
      <c r="W19" s="76">
        <f t="shared" si="6"/>
        <v>38977</v>
      </c>
      <c r="X19" s="2">
        <f t="shared" si="7"/>
        <v>36227</v>
      </c>
      <c r="Y19" s="53">
        <f t="shared" si="2"/>
        <v>92.944557046463288</v>
      </c>
    </row>
    <row r="20" spans="1:25" ht="17.100000000000001" customHeight="1">
      <c r="A20" s="61" t="s">
        <v>189</v>
      </c>
      <c r="B20" s="4">
        <f>'Výdaje '!B17</f>
        <v>14192</v>
      </c>
      <c r="C20" s="2">
        <f>'Výdaje '!C17</f>
        <v>14627</v>
      </c>
      <c r="D20" s="2">
        <f>'Výdaje '!D17</f>
        <v>13719</v>
      </c>
      <c r="E20" s="53">
        <f t="shared" si="3"/>
        <v>93.792301907431465</v>
      </c>
      <c r="F20" s="160"/>
      <c r="G20" s="95"/>
      <c r="H20" s="95"/>
      <c r="I20" s="53"/>
      <c r="J20" s="160"/>
      <c r="K20" s="2">
        <v>90</v>
      </c>
      <c r="L20" s="2">
        <v>90</v>
      </c>
      <c r="M20" s="53">
        <f>L20/K20*100</f>
        <v>100</v>
      </c>
      <c r="N20" s="170">
        <v>2137</v>
      </c>
      <c r="O20" s="171">
        <v>2221</v>
      </c>
      <c r="P20" s="171">
        <v>2221</v>
      </c>
      <c r="Q20" s="53">
        <f t="shared" si="0"/>
        <v>100</v>
      </c>
      <c r="R20" s="160"/>
      <c r="S20" s="168">
        <v>27</v>
      </c>
      <c r="T20" s="168">
        <f t="shared" si="4"/>
        <v>27</v>
      </c>
      <c r="U20" s="53">
        <f t="shared" si="1"/>
        <v>100</v>
      </c>
      <c r="V20" s="4">
        <f t="shared" si="5"/>
        <v>12055</v>
      </c>
      <c r="W20" s="76">
        <f t="shared" si="6"/>
        <v>12289</v>
      </c>
      <c r="X20" s="2">
        <f t="shared" si="7"/>
        <v>11381</v>
      </c>
      <c r="Y20" s="53">
        <f t="shared" si="2"/>
        <v>92.611278379038168</v>
      </c>
    </row>
    <row r="21" spans="1:25" ht="17.100000000000001" customHeight="1">
      <c r="A21" s="61" t="s">
        <v>190</v>
      </c>
      <c r="B21" s="4">
        <f>'Výdaje '!B18</f>
        <v>90167</v>
      </c>
      <c r="C21" s="2">
        <f>'Výdaje '!C18</f>
        <v>115370</v>
      </c>
      <c r="D21" s="2">
        <f>'Výdaje '!D18</f>
        <v>106275</v>
      </c>
      <c r="E21" s="53">
        <f t="shared" si="3"/>
        <v>92.116668111294103</v>
      </c>
      <c r="F21" s="141">
        <v>347</v>
      </c>
      <c r="G21" s="142">
        <v>347</v>
      </c>
      <c r="H21" s="142">
        <v>347</v>
      </c>
      <c r="I21" s="53">
        <f>H21/G21*100</f>
        <v>100</v>
      </c>
      <c r="J21" s="160"/>
      <c r="K21" s="2">
        <v>50</v>
      </c>
      <c r="L21" s="2">
        <v>50</v>
      </c>
      <c r="M21" s="53">
        <f>L21/K21*100</f>
        <v>100</v>
      </c>
      <c r="N21" s="190">
        <v>17260</v>
      </c>
      <c r="O21" s="191">
        <v>17460</v>
      </c>
      <c r="P21" s="191">
        <v>17460</v>
      </c>
      <c r="Q21" s="53">
        <f t="shared" si="0"/>
        <v>100</v>
      </c>
      <c r="R21" s="160"/>
      <c r="S21" s="168">
        <v>48</v>
      </c>
      <c r="T21" s="168">
        <f t="shared" si="4"/>
        <v>48</v>
      </c>
      <c r="U21" s="53">
        <f t="shared" si="1"/>
        <v>100</v>
      </c>
      <c r="V21" s="4">
        <f t="shared" si="5"/>
        <v>72560</v>
      </c>
      <c r="W21" s="76">
        <f t="shared" si="6"/>
        <v>97465</v>
      </c>
      <c r="X21" s="2">
        <f t="shared" si="7"/>
        <v>88370</v>
      </c>
      <c r="Y21" s="53">
        <f t="shared" si="2"/>
        <v>90.668445082850255</v>
      </c>
    </row>
    <row r="22" spans="1:25" ht="17.100000000000001" customHeight="1">
      <c r="A22" s="61" t="s">
        <v>191</v>
      </c>
      <c r="B22" s="4">
        <f>'Výdaje '!B19</f>
        <v>105879</v>
      </c>
      <c r="C22" s="2">
        <f>'Výdaje '!C19</f>
        <v>178097</v>
      </c>
      <c r="D22" s="2">
        <f>'Výdaje '!D19</f>
        <v>98239</v>
      </c>
      <c r="E22" s="53">
        <f t="shared" si="3"/>
        <v>55.160390124482731</v>
      </c>
      <c r="F22" s="147">
        <v>2000</v>
      </c>
      <c r="G22" s="148">
        <v>2000</v>
      </c>
      <c r="H22" s="148">
        <v>916</v>
      </c>
      <c r="I22" s="53">
        <f>H22/G22*100</f>
        <v>45.800000000000004</v>
      </c>
      <c r="J22" s="160"/>
      <c r="K22" s="2">
        <v>100</v>
      </c>
      <c r="L22" s="2">
        <v>100</v>
      </c>
      <c r="M22" s="53">
        <f>L22/K22*100</f>
        <v>100</v>
      </c>
      <c r="N22" s="200">
        <v>16156</v>
      </c>
      <c r="O22" s="201">
        <v>16176</v>
      </c>
      <c r="P22" s="201">
        <v>16160</v>
      </c>
      <c r="Q22" s="53">
        <f t="shared" si="0"/>
        <v>99.901088031651824</v>
      </c>
      <c r="R22" s="160"/>
      <c r="S22" s="168">
        <v>216</v>
      </c>
      <c r="T22" s="168">
        <f t="shared" si="4"/>
        <v>216</v>
      </c>
      <c r="U22" s="53">
        <f t="shared" si="1"/>
        <v>100</v>
      </c>
      <c r="V22" s="4">
        <f t="shared" si="5"/>
        <v>87723</v>
      </c>
      <c r="W22" s="76">
        <f t="shared" si="6"/>
        <v>159605</v>
      </c>
      <c r="X22" s="2">
        <f t="shared" si="7"/>
        <v>80847</v>
      </c>
      <c r="Y22" s="53">
        <f t="shared" si="2"/>
        <v>50.654428119419812</v>
      </c>
    </row>
    <row r="23" spans="1:25" ht="17.100000000000001" customHeight="1">
      <c r="A23" s="61" t="s">
        <v>192</v>
      </c>
      <c r="B23" s="4">
        <f>'Výdaje '!B20</f>
        <v>7619</v>
      </c>
      <c r="C23" s="2">
        <f>'Výdaje '!C20</f>
        <v>8559</v>
      </c>
      <c r="D23" s="2">
        <f>'Výdaje '!D20</f>
        <v>7094</v>
      </c>
      <c r="E23" s="53">
        <f t="shared" si="3"/>
        <v>82.883514429255754</v>
      </c>
      <c r="F23" s="160"/>
      <c r="G23" s="95"/>
      <c r="H23" s="95"/>
      <c r="I23" s="53"/>
      <c r="J23" s="160"/>
      <c r="K23" s="2">
        <v>20</v>
      </c>
      <c r="L23" s="2">
        <v>20</v>
      </c>
      <c r="M23" s="53">
        <f>L23/K23*100</f>
        <v>100</v>
      </c>
      <c r="N23" s="216">
        <v>500</v>
      </c>
      <c r="O23" s="217">
        <v>500</v>
      </c>
      <c r="P23" s="217">
        <v>500</v>
      </c>
      <c r="Q23" s="53">
        <f t="shared" si="0"/>
        <v>100</v>
      </c>
      <c r="R23" s="160"/>
      <c r="S23" s="168">
        <v>35</v>
      </c>
      <c r="T23" s="168">
        <f t="shared" si="4"/>
        <v>35</v>
      </c>
      <c r="U23" s="53">
        <f t="shared" si="1"/>
        <v>100</v>
      </c>
      <c r="V23" s="4">
        <f t="shared" si="5"/>
        <v>7119</v>
      </c>
      <c r="W23" s="76">
        <f t="shared" si="6"/>
        <v>8004</v>
      </c>
      <c r="X23" s="2">
        <f t="shared" si="7"/>
        <v>6539</v>
      </c>
      <c r="Y23" s="53">
        <f t="shared" si="2"/>
        <v>81.696651674162922</v>
      </c>
    </row>
    <row r="24" spans="1:25" ht="17.100000000000001" customHeight="1">
      <c r="A24" s="61" t="s">
        <v>193</v>
      </c>
      <c r="B24" s="4">
        <f>'Výdaje '!B21</f>
        <v>24787</v>
      </c>
      <c r="C24" s="2">
        <f>'Výdaje '!C21</f>
        <v>27758</v>
      </c>
      <c r="D24" s="2">
        <f>'Výdaje '!D21</f>
        <v>25371</v>
      </c>
      <c r="E24" s="53">
        <f t="shared" si="3"/>
        <v>91.400677282224933</v>
      </c>
      <c r="F24" s="160"/>
      <c r="G24" s="95"/>
      <c r="H24" s="95"/>
      <c r="I24" s="53"/>
      <c r="J24" s="160"/>
      <c r="K24" s="2"/>
      <c r="L24" s="2"/>
      <c r="M24" s="53"/>
      <c r="N24" s="182">
        <v>4954</v>
      </c>
      <c r="O24" s="183">
        <v>5313</v>
      </c>
      <c r="P24" s="183">
        <v>5338</v>
      </c>
      <c r="Q24" s="53">
        <f t="shared" si="0"/>
        <v>100.47054394880482</v>
      </c>
      <c r="R24" s="160"/>
      <c r="S24" s="168">
        <v>60</v>
      </c>
      <c r="T24" s="168">
        <f t="shared" si="4"/>
        <v>60</v>
      </c>
      <c r="U24" s="53">
        <f>T24/S24*100</f>
        <v>100</v>
      </c>
      <c r="V24" s="4">
        <f t="shared" si="5"/>
        <v>19833</v>
      </c>
      <c r="W24" s="76">
        <f t="shared" si="6"/>
        <v>22385</v>
      </c>
      <c r="X24" s="2">
        <f t="shared" si="7"/>
        <v>19973</v>
      </c>
      <c r="Y24" s="53">
        <f t="shared" si="2"/>
        <v>89.224927406745593</v>
      </c>
    </row>
    <row r="25" spans="1:25" ht="17.100000000000001" customHeight="1">
      <c r="A25" s="61" t="s">
        <v>194</v>
      </c>
      <c r="B25" s="4">
        <f>'Výdaje '!B22</f>
        <v>17604</v>
      </c>
      <c r="C25" s="2">
        <f>'Výdaje '!C22</f>
        <v>18107</v>
      </c>
      <c r="D25" s="2">
        <f>'Výdaje '!D22</f>
        <v>16816</v>
      </c>
      <c r="E25" s="53">
        <f t="shared" si="3"/>
        <v>92.870160711327117</v>
      </c>
      <c r="F25" s="160"/>
      <c r="G25" s="95"/>
      <c r="H25" s="95"/>
      <c r="I25" s="53"/>
      <c r="J25" s="160"/>
      <c r="K25" s="2"/>
      <c r="L25" s="2"/>
      <c r="M25" s="53"/>
      <c r="N25" s="172">
        <v>3920</v>
      </c>
      <c r="O25" s="173">
        <v>3810</v>
      </c>
      <c r="P25" s="173">
        <v>3810</v>
      </c>
      <c r="Q25" s="53">
        <f t="shared" si="0"/>
        <v>100</v>
      </c>
      <c r="R25" s="160"/>
      <c r="S25" s="168">
        <v>925</v>
      </c>
      <c r="T25" s="168">
        <f t="shared" si="4"/>
        <v>925</v>
      </c>
      <c r="U25" s="53">
        <f>T25/S25*100</f>
        <v>100</v>
      </c>
      <c r="V25" s="4">
        <f t="shared" si="5"/>
        <v>13684</v>
      </c>
      <c r="W25" s="76">
        <f t="shared" si="6"/>
        <v>13372</v>
      </c>
      <c r="X25" s="2">
        <f t="shared" si="7"/>
        <v>12081</v>
      </c>
      <c r="Y25" s="53">
        <f t="shared" si="2"/>
        <v>90.345498055638657</v>
      </c>
    </row>
    <row r="26" spans="1:25" ht="17.100000000000001" customHeight="1">
      <c r="A26" s="61" t="s">
        <v>195</v>
      </c>
      <c r="B26" s="4">
        <f>'Výdaje '!B23</f>
        <v>16378</v>
      </c>
      <c r="C26" s="2">
        <f>'Výdaje '!C23</f>
        <v>21841</v>
      </c>
      <c r="D26" s="2">
        <f>'Výdaje '!D23</f>
        <v>18769</v>
      </c>
      <c r="E26" s="53">
        <f t="shared" si="3"/>
        <v>85.934709949178156</v>
      </c>
      <c r="F26" s="160"/>
      <c r="G26" s="95"/>
      <c r="H26" s="95"/>
      <c r="I26" s="53"/>
      <c r="J26" s="160"/>
      <c r="K26" s="2">
        <v>50</v>
      </c>
      <c r="L26" s="2">
        <v>50</v>
      </c>
      <c r="M26" s="53">
        <f>L26/K26*100</f>
        <v>100</v>
      </c>
      <c r="N26" s="174">
        <v>3683</v>
      </c>
      <c r="O26" s="175">
        <v>3847</v>
      </c>
      <c r="P26" s="175">
        <v>3847</v>
      </c>
      <c r="Q26" s="53">
        <f t="shared" si="0"/>
        <v>100</v>
      </c>
      <c r="R26" s="160"/>
      <c r="S26" s="168">
        <v>290</v>
      </c>
      <c r="T26" s="168">
        <f t="shared" si="4"/>
        <v>290</v>
      </c>
      <c r="U26" s="53">
        <f>T26/S26*100</f>
        <v>100</v>
      </c>
      <c r="V26" s="4">
        <f t="shared" si="5"/>
        <v>12695</v>
      </c>
      <c r="W26" s="76">
        <f t="shared" si="6"/>
        <v>17654</v>
      </c>
      <c r="X26" s="2">
        <f t="shared" si="7"/>
        <v>14582</v>
      </c>
      <c r="Y26" s="53">
        <f t="shared" si="2"/>
        <v>82.598844454514548</v>
      </c>
    </row>
    <row r="27" spans="1:25" ht="17.100000000000001" customHeight="1">
      <c r="A27" s="61" t="s">
        <v>196</v>
      </c>
      <c r="B27" s="4">
        <f>'Výdaje '!B24</f>
        <v>186736</v>
      </c>
      <c r="C27" s="2">
        <f>'Výdaje '!C24</f>
        <v>265242</v>
      </c>
      <c r="D27" s="2">
        <f>'Výdaje '!D24</f>
        <v>233660</v>
      </c>
      <c r="E27" s="53">
        <f t="shared" si="3"/>
        <v>88.093137587561543</v>
      </c>
      <c r="F27" s="161"/>
      <c r="G27" s="162"/>
      <c r="H27" s="162"/>
      <c r="I27" s="53"/>
      <c r="J27" s="160"/>
      <c r="K27" s="2"/>
      <c r="L27" s="2"/>
      <c r="M27" s="53"/>
      <c r="N27" s="192">
        <v>52193</v>
      </c>
      <c r="O27" s="193">
        <v>59551</v>
      </c>
      <c r="P27" s="193">
        <f>59550+1</f>
        <v>59551</v>
      </c>
      <c r="Q27" s="53">
        <f t="shared" si="0"/>
        <v>100</v>
      </c>
      <c r="R27" s="160"/>
      <c r="S27" s="168">
        <v>2723</v>
      </c>
      <c r="T27" s="168">
        <f t="shared" si="4"/>
        <v>2723</v>
      </c>
      <c r="U27" s="53">
        <f>T27/S27*100</f>
        <v>100</v>
      </c>
      <c r="V27" s="4">
        <f t="shared" si="5"/>
        <v>134543</v>
      </c>
      <c r="W27" s="76">
        <f t="shared" si="6"/>
        <v>202968</v>
      </c>
      <c r="X27" s="2">
        <f t="shared" si="7"/>
        <v>171386</v>
      </c>
      <c r="Y27" s="53">
        <f t="shared" si="2"/>
        <v>84.439911710220329</v>
      </c>
    </row>
    <row r="28" spans="1:25" ht="17.100000000000001" customHeight="1">
      <c r="A28" s="61" t="s">
        <v>197</v>
      </c>
      <c r="B28" s="4">
        <f>'Výdaje '!B25</f>
        <v>23473</v>
      </c>
      <c r="C28" s="2">
        <f>'Výdaje '!C25</f>
        <v>27025</v>
      </c>
      <c r="D28" s="2">
        <f>'Výdaje '!D25</f>
        <v>25011</v>
      </c>
      <c r="E28" s="53">
        <f t="shared" si="3"/>
        <v>92.547641073080484</v>
      </c>
      <c r="F28" s="160"/>
      <c r="G28" s="95"/>
      <c r="H28" s="95"/>
      <c r="I28" s="53"/>
      <c r="J28" s="160">
        <v>200</v>
      </c>
      <c r="K28" s="2">
        <v>200</v>
      </c>
      <c r="L28" s="2">
        <v>200</v>
      </c>
      <c r="M28" s="53">
        <f>L28/K28*100</f>
        <v>100</v>
      </c>
      <c r="N28" s="214">
        <v>4040</v>
      </c>
      <c r="O28" s="215">
        <v>4250</v>
      </c>
      <c r="P28" s="215">
        <v>4236</v>
      </c>
      <c r="Q28" s="53">
        <f t="shared" si="0"/>
        <v>99.670588235294119</v>
      </c>
      <c r="R28" s="160"/>
      <c r="S28" s="168">
        <v>112</v>
      </c>
      <c r="T28" s="168">
        <v>113</v>
      </c>
      <c r="U28" s="53">
        <f t="shared" ref="U28:U36" si="8">T28/S28*100</f>
        <v>100.89285714285714</v>
      </c>
      <c r="V28" s="4">
        <f t="shared" si="5"/>
        <v>19233</v>
      </c>
      <c r="W28" s="76">
        <f t="shared" si="6"/>
        <v>22463</v>
      </c>
      <c r="X28" s="2">
        <f t="shared" si="7"/>
        <v>20462</v>
      </c>
      <c r="Y28" s="53">
        <f t="shared" si="2"/>
        <v>91.092017985131108</v>
      </c>
    </row>
    <row r="29" spans="1:25" ht="17.100000000000001" customHeight="1">
      <c r="A29" s="61" t="s">
        <v>198</v>
      </c>
      <c r="B29" s="4">
        <f>'Výdaje '!B26</f>
        <v>129987</v>
      </c>
      <c r="C29" s="2">
        <f>'Výdaje '!C26</f>
        <v>158783</v>
      </c>
      <c r="D29" s="2">
        <f>'Výdaje '!D26</f>
        <v>143290</v>
      </c>
      <c r="E29" s="53">
        <f t="shared" si="3"/>
        <v>90.242658219078862</v>
      </c>
      <c r="F29" s="143">
        <v>2267</v>
      </c>
      <c r="G29" s="144">
        <v>3048</v>
      </c>
      <c r="H29" s="144">
        <v>2111</v>
      </c>
      <c r="I29" s="53">
        <f t="shared" ref="I29:I34" si="9">H29/G29*100</f>
        <v>69.258530183727032</v>
      </c>
      <c r="J29" s="160"/>
      <c r="K29" s="2"/>
      <c r="L29" s="2"/>
      <c r="M29" s="53"/>
      <c r="N29" s="194">
        <v>22367</v>
      </c>
      <c r="O29" s="195">
        <v>22885</v>
      </c>
      <c r="P29" s="195">
        <v>22815</v>
      </c>
      <c r="Q29" s="53">
        <f t="shared" si="0"/>
        <v>99.694122787852308</v>
      </c>
      <c r="R29" s="160"/>
      <c r="S29" s="168">
        <v>56</v>
      </c>
      <c r="T29" s="168">
        <f t="shared" si="4"/>
        <v>56</v>
      </c>
      <c r="U29" s="53">
        <f t="shared" si="8"/>
        <v>100</v>
      </c>
      <c r="V29" s="4">
        <f t="shared" si="5"/>
        <v>105353</v>
      </c>
      <c r="W29" s="76">
        <f t="shared" si="6"/>
        <v>132794</v>
      </c>
      <c r="X29" s="2">
        <f t="shared" si="7"/>
        <v>118308</v>
      </c>
      <c r="Y29" s="53">
        <f t="shared" si="2"/>
        <v>89.091374610298658</v>
      </c>
    </row>
    <row r="30" spans="1:25" ht="17.100000000000001" customHeight="1">
      <c r="A30" s="61" t="s">
        <v>199</v>
      </c>
      <c r="B30" s="4">
        <f>'Výdaje '!B27</f>
        <v>33492</v>
      </c>
      <c r="C30" s="2">
        <f>'Výdaje '!C27</f>
        <v>38487</v>
      </c>
      <c r="D30" s="2">
        <f>'Výdaje '!D27</f>
        <v>34193</v>
      </c>
      <c r="E30" s="53">
        <f t="shared" si="3"/>
        <v>88.842985943305536</v>
      </c>
      <c r="F30" s="149">
        <v>463</v>
      </c>
      <c r="G30" s="150">
        <v>463</v>
      </c>
      <c r="H30" s="150">
        <v>54</v>
      </c>
      <c r="I30" s="53">
        <f t="shared" si="9"/>
        <v>11.663066954643629</v>
      </c>
      <c r="J30" s="160"/>
      <c r="K30" s="2"/>
      <c r="L30" s="2"/>
      <c r="M30" s="53"/>
      <c r="N30" s="202">
        <v>9010</v>
      </c>
      <c r="O30" s="203">
        <v>9308</v>
      </c>
      <c r="P30" s="203">
        <v>9298</v>
      </c>
      <c r="Q30" s="53">
        <f t="shared" si="0"/>
        <v>99.892565535023635</v>
      </c>
      <c r="R30" s="160"/>
      <c r="S30" s="168">
        <v>50</v>
      </c>
      <c r="T30" s="168">
        <f t="shared" si="4"/>
        <v>50</v>
      </c>
      <c r="U30" s="53">
        <f t="shared" si="8"/>
        <v>100</v>
      </c>
      <c r="V30" s="4">
        <f t="shared" si="5"/>
        <v>24019</v>
      </c>
      <c r="W30" s="76">
        <f t="shared" si="6"/>
        <v>28666</v>
      </c>
      <c r="X30" s="2">
        <f t="shared" si="7"/>
        <v>24791</v>
      </c>
      <c r="Y30" s="53">
        <f t="shared" si="2"/>
        <v>86.482243773110994</v>
      </c>
    </row>
    <row r="31" spans="1:25" ht="17.100000000000001" customHeight="1">
      <c r="A31" s="61" t="s">
        <v>200</v>
      </c>
      <c r="B31" s="4">
        <f>'Výdaje '!B28</f>
        <v>45761</v>
      </c>
      <c r="C31" s="2">
        <f>'Výdaje '!C28</f>
        <v>54875</v>
      </c>
      <c r="D31" s="2">
        <f>'Výdaje '!D28</f>
        <v>48455</v>
      </c>
      <c r="E31" s="53">
        <f t="shared" si="3"/>
        <v>88.300683371298405</v>
      </c>
      <c r="F31" s="160"/>
      <c r="G31" s="95"/>
      <c r="H31" s="95"/>
      <c r="I31" s="53"/>
      <c r="J31" s="160"/>
      <c r="K31" s="2"/>
      <c r="L31" s="2"/>
      <c r="M31" s="53"/>
      <c r="N31" s="208">
        <v>7102</v>
      </c>
      <c r="O31" s="209">
        <v>10539</v>
      </c>
      <c r="P31" s="209">
        <v>10465</v>
      </c>
      <c r="Q31" s="53">
        <f t="shared" si="0"/>
        <v>99.297846095454972</v>
      </c>
      <c r="R31" s="160"/>
      <c r="S31" s="168">
        <v>116</v>
      </c>
      <c r="T31" s="168">
        <f t="shared" si="4"/>
        <v>116</v>
      </c>
      <c r="U31" s="53">
        <f t="shared" si="8"/>
        <v>100</v>
      </c>
      <c r="V31" s="4">
        <f t="shared" si="5"/>
        <v>38659</v>
      </c>
      <c r="W31" s="76">
        <f t="shared" si="6"/>
        <v>44220</v>
      </c>
      <c r="X31" s="2">
        <f t="shared" si="7"/>
        <v>37874</v>
      </c>
      <c r="Y31" s="53">
        <f t="shared" si="2"/>
        <v>85.649027589326096</v>
      </c>
    </row>
    <row r="32" spans="1:25" ht="17.100000000000001" customHeight="1">
      <c r="A32" s="61" t="s">
        <v>201</v>
      </c>
      <c r="B32" s="4">
        <f>'Výdaje '!B29</f>
        <v>40265</v>
      </c>
      <c r="C32" s="2">
        <f>'Výdaje '!C29</f>
        <v>46048</v>
      </c>
      <c r="D32" s="2">
        <f>'Výdaje '!D29</f>
        <v>42013</v>
      </c>
      <c r="E32" s="53">
        <f t="shared" si="3"/>
        <v>91.237404447533009</v>
      </c>
      <c r="F32" s="153">
        <v>3380</v>
      </c>
      <c r="G32" s="154">
        <v>3380</v>
      </c>
      <c r="H32" s="154">
        <v>2124</v>
      </c>
      <c r="I32" s="53">
        <f t="shared" si="9"/>
        <v>62.840236686390526</v>
      </c>
      <c r="J32" s="160"/>
      <c r="K32" s="2"/>
      <c r="L32" s="2"/>
      <c r="M32" s="53"/>
      <c r="N32" s="210">
        <v>8580</v>
      </c>
      <c r="O32" s="211">
        <v>8809</v>
      </c>
      <c r="P32" s="211">
        <v>8809</v>
      </c>
      <c r="Q32" s="53">
        <f t="shared" si="0"/>
        <v>100</v>
      </c>
      <c r="R32" s="160"/>
      <c r="S32" s="168">
        <v>104</v>
      </c>
      <c r="T32" s="168">
        <f t="shared" si="4"/>
        <v>104</v>
      </c>
      <c r="U32" s="53">
        <f t="shared" si="8"/>
        <v>100</v>
      </c>
      <c r="V32" s="4">
        <f t="shared" si="5"/>
        <v>28305</v>
      </c>
      <c r="W32" s="76">
        <f t="shared" si="6"/>
        <v>33755</v>
      </c>
      <c r="X32" s="2">
        <f t="shared" si="7"/>
        <v>30976</v>
      </c>
      <c r="Y32" s="53">
        <f t="shared" si="2"/>
        <v>91.767145608058058</v>
      </c>
    </row>
    <row r="33" spans="1:25" ht="17.100000000000001" customHeight="1">
      <c r="A33" s="61" t="s">
        <v>202</v>
      </c>
      <c r="B33" s="4">
        <f>'Výdaje '!B30</f>
        <v>99204</v>
      </c>
      <c r="C33" s="2">
        <f>'Výdaje '!C30</f>
        <v>112454</v>
      </c>
      <c r="D33" s="2">
        <f>'Výdaje '!D30</f>
        <v>100032</v>
      </c>
      <c r="E33" s="53">
        <f t="shared" si="3"/>
        <v>88.953705515143966</v>
      </c>
      <c r="F33" s="145">
        <v>740</v>
      </c>
      <c r="G33" s="146">
        <v>740</v>
      </c>
      <c r="H33" s="146">
        <v>740</v>
      </c>
      <c r="I33" s="53">
        <f t="shared" si="9"/>
        <v>100</v>
      </c>
      <c r="J33" s="160"/>
      <c r="K33" s="2"/>
      <c r="L33" s="2"/>
      <c r="M33" s="53"/>
      <c r="N33" s="198">
        <v>38565</v>
      </c>
      <c r="O33" s="199">
        <v>41717</v>
      </c>
      <c r="P33" s="199">
        <v>41091</v>
      </c>
      <c r="Q33" s="53">
        <f t="shared" si="0"/>
        <v>98.499412709446986</v>
      </c>
      <c r="R33" s="160"/>
      <c r="S33" s="168">
        <v>1584</v>
      </c>
      <c r="T33" s="168">
        <f t="shared" si="4"/>
        <v>1584</v>
      </c>
      <c r="U33" s="53">
        <f t="shared" si="8"/>
        <v>100</v>
      </c>
      <c r="V33" s="4">
        <f t="shared" si="5"/>
        <v>59899</v>
      </c>
      <c r="W33" s="76">
        <f t="shared" si="6"/>
        <v>68413</v>
      </c>
      <c r="X33" s="2">
        <f t="shared" si="7"/>
        <v>56617</v>
      </c>
      <c r="Y33" s="53">
        <f t="shared" si="2"/>
        <v>82.7576630172628</v>
      </c>
    </row>
    <row r="34" spans="1:25" ht="17.100000000000001" customHeight="1">
      <c r="A34" s="61" t="s">
        <v>203</v>
      </c>
      <c r="B34" s="4">
        <f>'Výdaje '!B31</f>
        <v>41212</v>
      </c>
      <c r="C34" s="2">
        <f>'Výdaje '!C31</f>
        <v>46845</v>
      </c>
      <c r="D34" s="2">
        <f>'Výdaje '!D31</f>
        <v>44694</v>
      </c>
      <c r="E34" s="53">
        <f t="shared" si="3"/>
        <v>95.408261287223823</v>
      </c>
      <c r="F34" s="151">
        <v>6230</v>
      </c>
      <c r="G34" s="152">
        <v>6230</v>
      </c>
      <c r="H34" s="152">
        <v>6230</v>
      </c>
      <c r="I34" s="53">
        <f t="shared" si="9"/>
        <v>100</v>
      </c>
      <c r="J34" s="160"/>
      <c r="K34" s="2"/>
      <c r="L34" s="2"/>
      <c r="M34" s="53"/>
      <c r="N34" s="206">
        <v>13583</v>
      </c>
      <c r="O34" s="207">
        <v>16302</v>
      </c>
      <c r="P34" s="207">
        <v>16302</v>
      </c>
      <c r="Q34" s="53">
        <f t="shared" si="0"/>
        <v>100</v>
      </c>
      <c r="R34" s="160"/>
      <c r="S34" s="168">
        <v>35</v>
      </c>
      <c r="T34" s="168">
        <f t="shared" si="4"/>
        <v>35</v>
      </c>
      <c r="U34" s="53">
        <f t="shared" si="8"/>
        <v>100</v>
      </c>
      <c r="V34" s="4">
        <f t="shared" si="5"/>
        <v>21399</v>
      </c>
      <c r="W34" s="76">
        <f t="shared" si="6"/>
        <v>24278</v>
      </c>
      <c r="X34" s="2">
        <f t="shared" si="7"/>
        <v>22127</v>
      </c>
      <c r="Y34" s="53">
        <f t="shared" si="2"/>
        <v>91.140126863827334</v>
      </c>
    </row>
    <row r="35" spans="1:25" ht="17.100000000000001" customHeight="1">
      <c r="A35" s="61" t="s">
        <v>204</v>
      </c>
      <c r="B35" s="4">
        <f>'Výdaje '!B32</f>
        <v>25046</v>
      </c>
      <c r="C35" s="2">
        <f>'Výdaje '!C32</f>
        <v>31440</v>
      </c>
      <c r="D35" s="2">
        <f>'Výdaje '!D32</f>
        <v>28651</v>
      </c>
      <c r="E35" s="53">
        <f t="shared" si="3"/>
        <v>91.129134860050883</v>
      </c>
      <c r="F35" s="160"/>
      <c r="G35" s="95"/>
      <c r="H35" s="95"/>
      <c r="I35" s="53"/>
      <c r="J35" s="160"/>
      <c r="K35" s="2">
        <v>100</v>
      </c>
      <c r="L35" s="2">
        <v>100</v>
      </c>
      <c r="M35" s="53">
        <f>L35/K35*100</f>
        <v>100</v>
      </c>
      <c r="N35" s="212">
        <v>6120</v>
      </c>
      <c r="O35" s="213">
        <v>6816</v>
      </c>
      <c r="P35" s="213">
        <v>6816</v>
      </c>
      <c r="Q35" s="53">
        <f t="shared" si="0"/>
        <v>100</v>
      </c>
      <c r="R35" s="160"/>
      <c r="S35" s="168">
        <v>86</v>
      </c>
      <c r="T35" s="168">
        <f t="shared" si="4"/>
        <v>86</v>
      </c>
      <c r="U35" s="53">
        <f t="shared" si="8"/>
        <v>100</v>
      </c>
      <c r="V35" s="4">
        <f t="shared" si="5"/>
        <v>18926</v>
      </c>
      <c r="W35" s="76">
        <f t="shared" si="6"/>
        <v>24438</v>
      </c>
      <c r="X35" s="2">
        <f t="shared" si="7"/>
        <v>21649</v>
      </c>
      <c r="Y35" s="53">
        <f t="shared" si="2"/>
        <v>88.587445781160483</v>
      </c>
    </row>
    <row r="36" spans="1:25" ht="17.100000000000001" customHeight="1">
      <c r="A36" s="61" t="s">
        <v>205</v>
      </c>
      <c r="B36" s="4">
        <f>'Výdaje '!B33</f>
        <v>15972</v>
      </c>
      <c r="C36" s="2">
        <f>'Výdaje '!C33</f>
        <v>21884</v>
      </c>
      <c r="D36" s="2">
        <f>'Výdaje '!D33</f>
        <v>16953</v>
      </c>
      <c r="E36" s="53">
        <f t="shared" si="3"/>
        <v>77.467556205446897</v>
      </c>
      <c r="F36" s="160"/>
      <c r="G36" s="95"/>
      <c r="H36" s="95"/>
      <c r="I36" s="53"/>
      <c r="J36" s="160"/>
      <c r="K36" s="2"/>
      <c r="L36" s="2"/>
      <c r="M36" s="53"/>
      <c r="N36" s="204">
        <v>2700</v>
      </c>
      <c r="O36" s="205">
        <v>3353</v>
      </c>
      <c r="P36" s="205">
        <v>3353</v>
      </c>
      <c r="Q36" s="53">
        <f t="shared" si="0"/>
        <v>100</v>
      </c>
      <c r="R36" s="160"/>
      <c r="S36" s="168">
        <v>221</v>
      </c>
      <c r="T36" s="168">
        <f t="shared" si="4"/>
        <v>221</v>
      </c>
      <c r="U36" s="53">
        <f t="shared" si="8"/>
        <v>100</v>
      </c>
      <c r="V36" s="4">
        <f t="shared" si="5"/>
        <v>13272</v>
      </c>
      <c r="W36" s="76">
        <f t="shared" si="6"/>
        <v>18310</v>
      </c>
      <c r="X36" s="2">
        <f t="shared" si="7"/>
        <v>13379</v>
      </c>
      <c r="Y36" s="53">
        <f t="shared" si="2"/>
        <v>73.069361004915351</v>
      </c>
    </row>
    <row r="37" spans="1:25" ht="17.100000000000001" customHeight="1">
      <c r="A37" s="61" t="s">
        <v>206</v>
      </c>
      <c r="B37" s="4">
        <f>'Výdaje '!B34</f>
        <v>159283</v>
      </c>
      <c r="C37" s="2">
        <f>'Výdaje '!C34</f>
        <v>191468</v>
      </c>
      <c r="D37" s="2">
        <f>'Výdaje '!D34</f>
        <v>165656</v>
      </c>
      <c r="E37" s="53">
        <f t="shared" si="3"/>
        <v>86.51889610796583</v>
      </c>
      <c r="F37" s="163"/>
      <c r="G37" s="164"/>
      <c r="H37" s="164"/>
      <c r="I37" s="53"/>
      <c r="J37" s="160"/>
      <c r="K37" s="2">
        <v>20</v>
      </c>
      <c r="L37" s="2">
        <v>20</v>
      </c>
      <c r="M37" s="53">
        <f>L37/K37*100</f>
        <v>100</v>
      </c>
      <c r="N37" s="196">
        <v>24649</v>
      </c>
      <c r="O37" s="197">
        <v>26702</v>
      </c>
      <c r="P37" s="197">
        <v>26658</v>
      </c>
      <c r="Q37" s="53">
        <f t="shared" si="0"/>
        <v>99.835218335705193</v>
      </c>
      <c r="R37" s="160"/>
      <c r="S37" s="168">
        <v>156</v>
      </c>
      <c r="T37" s="168">
        <f t="shared" si="4"/>
        <v>156</v>
      </c>
      <c r="U37" s="53">
        <f t="shared" ref="U37:U43" si="10">T37/S37*100</f>
        <v>100</v>
      </c>
      <c r="V37" s="4">
        <f t="shared" si="5"/>
        <v>134634</v>
      </c>
      <c r="W37" s="76">
        <f t="shared" si="6"/>
        <v>164590</v>
      </c>
      <c r="X37" s="2">
        <f t="shared" si="7"/>
        <v>138822</v>
      </c>
      <c r="Y37" s="53">
        <f t="shared" si="2"/>
        <v>84.344127832796644</v>
      </c>
    </row>
    <row r="38" spans="1:25" ht="17.100000000000001" customHeight="1">
      <c r="A38" s="61" t="s">
        <v>207</v>
      </c>
      <c r="B38" s="4">
        <f>'Výdaje '!B35</f>
        <v>20741</v>
      </c>
      <c r="C38" s="2">
        <f>'Výdaje '!C35</f>
        <v>26746</v>
      </c>
      <c r="D38" s="2">
        <f>'Výdaje '!D35</f>
        <v>22529</v>
      </c>
      <c r="E38" s="53">
        <f t="shared" si="3"/>
        <v>84.233156359829508</v>
      </c>
      <c r="F38" s="160"/>
      <c r="G38" s="95"/>
      <c r="H38" s="95"/>
      <c r="I38" s="53"/>
      <c r="J38" s="160">
        <v>50</v>
      </c>
      <c r="K38" s="2">
        <v>50</v>
      </c>
      <c r="L38" s="2">
        <v>50</v>
      </c>
      <c r="M38" s="53">
        <f>L38/K38*100</f>
        <v>100</v>
      </c>
      <c r="N38" s="180">
        <v>4654</v>
      </c>
      <c r="O38" s="181">
        <v>4870</v>
      </c>
      <c r="P38" s="181">
        <v>4870</v>
      </c>
      <c r="Q38" s="53">
        <f t="shared" si="0"/>
        <v>100</v>
      </c>
      <c r="R38" s="160"/>
      <c r="S38" s="168">
        <v>133</v>
      </c>
      <c r="T38" s="168">
        <f t="shared" si="4"/>
        <v>133</v>
      </c>
      <c r="U38" s="53">
        <f t="shared" si="10"/>
        <v>100</v>
      </c>
      <c r="V38" s="4">
        <f t="shared" si="5"/>
        <v>16037</v>
      </c>
      <c r="W38" s="76">
        <f t="shared" si="6"/>
        <v>21693</v>
      </c>
      <c r="X38" s="2">
        <f t="shared" si="7"/>
        <v>17476</v>
      </c>
      <c r="Y38" s="53">
        <f t="shared" si="2"/>
        <v>80.560549486009307</v>
      </c>
    </row>
    <row r="39" spans="1:25" ht="17.100000000000001" customHeight="1">
      <c r="A39" s="61" t="s">
        <v>208</v>
      </c>
      <c r="B39" s="4">
        <f>'Výdaje '!B36</f>
        <v>52962</v>
      </c>
      <c r="C39" s="2">
        <f>'Výdaje '!C36</f>
        <v>55939</v>
      </c>
      <c r="D39" s="2">
        <f>'Výdaje '!D36</f>
        <v>52534</v>
      </c>
      <c r="E39" s="53">
        <f t="shared" si="3"/>
        <v>93.913012388494607</v>
      </c>
      <c r="F39" s="160"/>
      <c r="G39" s="95"/>
      <c r="H39" s="95"/>
      <c r="I39" s="53"/>
      <c r="J39" s="160"/>
      <c r="K39" s="2"/>
      <c r="L39" s="2"/>
      <c r="M39" s="53"/>
      <c r="N39" s="176">
        <v>11135</v>
      </c>
      <c r="O39" s="177">
        <v>11497</v>
      </c>
      <c r="P39" s="177">
        <v>11497</v>
      </c>
      <c r="Q39" s="53">
        <f t="shared" si="0"/>
        <v>100</v>
      </c>
      <c r="R39" s="160"/>
      <c r="S39" s="168">
        <v>91</v>
      </c>
      <c r="T39" s="168">
        <f t="shared" si="4"/>
        <v>91</v>
      </c>
      <c r="U39" s="53">
        <f t="shared" si="10"/>
        <v>100</v>
      </c>
      <c r="V39" s="4">
        <f t="shared" si="5"/>
        <v>41827</v>
      </c>
      <c r="W39" s="76">
        <f t="shared" si="6"/>
        <v>44351</v>
      </c>
      <c r="X39" s="2">
        <f t="shared" si="7"/>
        <v>40946</v>
      </c>
      <c r="Y39" s="53">
        <f t="shared" si="2"/>
        <v>92.322608283916935</v>
      </c>
    </row>
    <row r="40" spans="1:25" ht="17.100000000000001" customHeight="1">
      <c r="A40" s="61" t="s">
        <v>209</v>
      </c>
      <c r="B40" s="4">
        <f>'Výdaje '!B37</f>
        <v>5117</v>
      </c>
      <c r="C40" s="2">
        <f>'Výdaje '!C37</f>
        <v>6470</v>
      </c>
      <c r="D40" s="2">
        <f>'Výdaje '!D37</f>
        <v>5429</v>
      </c>
      <c r="E40" s="53">
        <f t="shared" si="3"/>
        <v>83.910355486862443</v>
      </c>
      <c r="F40" s="160"/>
      <c r="G40" s="95"/>
      <c r="H40" s="95"/>
      <c r="I40" s="53"/>
      <c r="J40" s="160">
        <v>70</v>
      </c>
      <c r="K40" s="2">
        <v>75</v>
      </c>
      <c r="L40" s="2">
        <v>75</v>
      </c>
      <c r="M40" s="53">
        <f>L40/K40*100</f>
        <v>100</v>
      </c>
      <c r="N40" s="178">
        <v>520</v>
      </c>
      <c r="O40" s="179">
        <v>740</v>
      </c>
      <c r="P40" s="179">
        <v>740</v>
      </c>
      <c r="Q40" s="53">
        <f t="shared" si="0"/>
        <v>100</v>
      </c>
      <c r="R40" s="160"/>
      <c r="S40" s="168">
        <v>20</v>
      </c>
      <c r="T40" s="168">
        <f t="shared" si="4"/>
        <v>20</v>
      </c>
      <c r="U40" s="53">
        <f t="shared" si="10"/>
        <v>100</v>
      </c>
      <c r="V40" s="4">
        <f t="shared" si="5"/>
        <v>4527</v>
      </c>
      <c r="W40" s="76">
        <f t="shared" si="6"/>
        <v>5635</v>
      </c>
      <c r="X40" s="2">
        <f t="shared" si="7"/>
        <v>4594</v>
      </c>
      <c r="Y40" s="53">
        <f t="shared" si="2"/>
        <v>81.526175687666367</v>
      </c>
    </row>
    <row r="41" spans="1:25" ht="15" customHeight="1">
      <c r="A41" s="61" t="s">
        <v>210</v>
      </c>
      <c r="B41" s="4">
        <f>'Výdaje '!B38</f>
        <v>5508</v>
      </c>
      <c r="C41" s="2">
        <f>'Výdaje '!C38</f>
        <v>6763</v>
      </c>
      <c r="D41" s="2">
        <f>'Výdaje '!D38</f>
        <v>6118</v>
      </c>
      <c r="E41" s="53">
        <f t="shared" si="3"/>
        <v>90.462812361378084</v>
      </c>
      <c r="F41" s="160"/>
      <c r="G41" s="95"/>
      <c r="H41" s="95"/>
      <c r="I41" s="53"/>
      <c r="J41" s="160"/>
      <c r="K41" s="2">
        <v>72</v>
      </c>
      <c r="L41" s="2">
        <v>72</v>
      </c>
      <c r="M41" s="53">
        <f>L41/K41*100</f>
        <v>100</v>
      </c>
      <c r="N41" s="186">
        <v>1511</v>
      </c>
      <c r="O41" s="187">
        <v>1830</v>
      </c>
      <c r="P41" s="187">
        <v>1830</v>
      </c>
      <c r="Q41" s="53">
        <f t="shared" si="0"/>
        <v>100</v>
      </c>
      <c r="R41" s="160"/>
      <c r="S41" s="168">
        <v>20</v>
      </c>
      <c r="T41" s="168">
        <f t="shared" si="4"/>
        <v>20</v>
      </c>
      <c r="U41" s="53">
        <f t="shared" si="10"/>
        <v>100</v>
      </c>
      <c r="V41" s="4">
        <f t="shared" si="5"/>
        <v>3997</v>
      </c>
      <c r="W41" s="76">
        <f t="shared" si="6"/>
        <v>4841</v>
      </c>
      <c r="X41" s="2">
        <f t="shared" si="7"/>
        <v>4196</v>
      </c>
      <c r="Y41" s="53">
        <f t="shared" si="2"/>
        <v>86.676306548233839</v>
      </c>
    </row>
    <row r="42" spans="1:25" ht="15" customHeight="1">
      <c r="A42" s="61" t="s">
        <v>211</v>
      </c>
      <c r="B42" s="4">
        <f>'Výdaje '!B39</f>
        <v>3060</v>
      </c>
      <c r="C42" s="2">
        <f>'Výdaje '!C39</f>
        <v>3984</v>
      </c>
      <c r="D42" s="2">
        <f>'Výdaje '!D39</f>
        <v>3254</v>
      </c>
      <c r="E42" s="53">
        <f t="shared" si="3"/>
        <v>81.676706827309246</v>
      </c>
      <c r="F42" s="160"/>
      <c r="G42" s="95"/>
      <c r="H42" s="95"/>
      <c r="I42" s="53"/>
      <c r="J42" s="160">
        <v>70</v>
      </c>
      <c r="K42" s="2">
        <v>70</v>
      </c>
      <c r="L42" s="2">
        <v>70</v>
      </c>
      <c r="M42" s="53">
        <f>L42/K42*100</f>
        <v>100</v>
      </c>
      <c r="N42" s="184">
        <v>7</v>
      </c>
      <c r="O42" s="185">
        <v>177</v>
      </c>
      <c r="P42" s="185">
        <v>177</v>
      </c>
      <c r="Q42" s="53">
        <f t="shared" si="0"/>
        <v>100</v>
      </c>
      <c r="R42" s="160"/>
      <c r="S42" s="168">
        <v>20</v>
      </c>
      <c r="T42" s="168">
        <f t="shared" si="4"/>
        <v>20</v>
      </c>
      <c r="U42" s="53">
        <f t="shared" si="10"/>
        <v>100</v>
      </c>
      <c r="V42" s="4">
        <f t="shared" si="5"/>
        <v>2983</v>
      </c>
      <c r="W42" s="76">
        <f t="shared" si="6"/>
        <v>3717</v>
      </c>
      <c r="X42" s="2">
        <f t="shared" si="7"/>
        <v>2987</v>
      </c>
      <c r="Y42" s="53">
        <f t="shared" si="2"/>
        <v>80.36050578423459</v>
      </c>
    </row>
    <row r="43" spans="1:25" ht="15" customHeight="1" thickBot="1">
      <c r="A43" s="62" t="s">
        <v>212</v>
      </c>
      <c r="B43" s="5">
        <f>'Výdaje '!B40</f>
        <v>2203</v>
      </c>
      <c r="C43" s="6">
        <f>'Výdaje '!C40</f>
        <v>2641</v>
      </c>
      <c r="D43" s="6">
        <f>'Výdaje '!D40</f>
        <v>2145</v>
      </c>
      <c r="E43" s="54">
        <f t="shared" si="3"/>
        <v>81.219235138205221</v>
      </c>
      <c r="F43" s="165"/>
      <c r="G43" s="96"/>
      <c r="H43" s="96"/>
      <c r="I43" s="54"/>
      <c r="J43" s="165">
        <v>15</v>
      </c>
      <c r="K43" s="6">
        <v>117</v>
      </c>
      <c r="L43" s="6">
        <v>117</v>
      </c>
      <c r="M43" s="54">
        <f>L43/K43*100</f>
        <v>100</v>
      </c>
      <c r="N43" s="165"/>
      <c r="O43" s="96"/>
      <c r="P43" s="96"/>
      <c r="Q43" s="54"/>
      <c r="R43" s="165"/>
      <c r="S43" s="169">
        <v>33</v>
      </c>
      <c r="T43" s="169">
        <f t="shared" si="4"/>
        <v>33</v>
      </c>
      <c r="U43" s="54">
        <f t="shared" si="10"/>
        <v>100</v>
      </c>
      <c r="V43" s="5">
        <f t="shared" si="5"/>
        <v>2188</v>
      </c>
      <c r="W43" s="226">
        <f t="shared" si="6"/>
        <v>2491</v>
      </c>
      <c r="X43" s="6">
        <f t="shared" si="7"/>
        <v>1995</v>
      </c>
      <c r="Y43" s="54">
        <f t="shared" si="2"/>
        <v>80.088317944600561</v>
      </c>
    </row>
    <row r="44" spans="1:25" ht="17.100000000000001" customHeight="1" thickBot="1">
      <c r="A44" s="24"/>
      <c r="B44" s="74"/>
      <c r="C44" s="73"/>
      <c r="D44" s="73"/>
      <c r="E44" s="55"/>
      <c r="F44" s="3"/>
      <c r="G44" s="122"/>
      <c r="H44" s="122"/>
      <c r="I44" s="55"/>
      <c r="J44" s="3"/>
      <c r="K44" s="73"/>
      <c r="L44" s="73"/>
      <c r="M44" s="55"/>
      <c r="N44" s="3"/>
      <c r="O44" s="122"/>
      <c r="P44" s="122"/>
      <c r="Q44" s="55"/>
      <c r="R44" s="3"/>
      <c r="S44" s="122"/>
      <c r="T44" s="122"/>
      <c r="U44" s="55"/>
      <c r="V44" s="74"/>
      <c r="W44" s="73"/>
      <c r="X44" s="73"/>
      <c r="Y44" s="55"/>
    </row>
    <row r="45" spans="1:25" ht="18" customHeight="1" thickBot="1">
      <c r="A45" s="63" t="s">
        <v>231</v>
      </c>
      <c r="B45" s="57">
        <f>SUM(B15:B43)</f>
        <v>1623419</v>
      </c>
      <c r="C45" s="50">
        <f>SUM(C15:C43)</f>
        <v>2041480</v>
      </c>
      <c r="D45" s="50">
        <f>SUM(D15:D43)</f>
        <v>1769166</v>
      </c>
      <c r="E45" s="56">
        <f>D45/C45*100</f>
        <v>86.660951858455633</v>
      </c>
      <c r="F45" s="57">
        <f>SUM(F15:F43)</f>
        <v>22194</v>
      </c>
      <c r="G45" s="50">
        <f>SUM(G15:G43)</f>
        <v>22955</v>
      </c>
      <c r="H45" s="50">
        <f>SUM(H15:H43)</f>
        <v>18076</v>
      </c>
      <c r="I45" s="56">
        <f>H45/G45*100</f>
        <v>78.745371378784583</v>
      </c>
      <c r="J45" s="134">
        <f>SUM(J15:J43)</f>
        <v>405</v>
      </c>
      <c r="K45" s="50">
        <f>SUM(K15:K43)</f>
        <v>2460</v>
      </c>
      <c r="L45" s="50">
        <f>SUM(L15:L43)</f>
        <v>2460</v>
      </c>
      <c r="M45" s="56">
        <f>L45/K45*100</f>
        <v>100</v>
      </c>
      <c r="N45" s="57">
        <f>SUM(N15:N43)</f>
        <v>367965</v>
      </c>
      <c r="O45" s="50">
        <f>SUM(O15:O43)</f>
        <v>403556</v>
      </c>
      <c r="P45" s="50">
        <f>SUM(P15:P43)</f>
        <v>402725</v>
      </c>
      <c r="Q45" s="56">
        <f>P45/O45*100</f>
        <v>99.794080623259234</v>
      </c>
      <c r="R45" s="134"/>
      <c r="S45" s="50">
        <f>SUM(S15:S44)</f>
        <v>7624</v>
      </c>
      <c r="T45" s="50">
        <f>SUM(T15:T43)</f>
        <v>7625</v>
      </c>
      <c r="U45" s="56">
        <f>T45/S45*100</f>
        <v>100.01311647429172</v>
      </c>
      <c r="V45" s="57">
        <f>SUM(V15:V43)</f>
        <v>1232855</v>
      </c>
      <c r="W45" s="50">
        <f>SUM(W15:W43)</f>
        <v>1604885</v>
      </c>
      <c r="X45" s="50">
        <f>SUM(X15:X43)</f>
        <v>1338280</v>
      </c>
      <c r="Y45" s="56">
        <f>X45/W45*100</f>
        <v>83.387906298582138</v>
      </c>
    </row>
    <row r="46" spans="1:25" ht="17.100000000000001" hidden="1" customHeight="1">
      <c r="V46" s="118">
        <f>B49-F49-J49-N49-R49</f>
        <v>1232855</v>
      </c>
      <c r="W46" s="118">
        <f>C49-G49-K49-O49-S49</f>
        <v>1604885</v>
      </c>
      <c r="X46" s="118">
        <f>D49-H49-L49-P49-T49</f>
        <v>1338279</v>
      </c>
    </row>
    <row r="47" spans="1:25" hidden="1">
      <c r="A47" s="121">
        <v>2012</v>
      </c>
      <c r="B47" s="118">
        <v>1643394</v>
      </c>
      <c r="C47" s="118">
        <v>1931370</v>
      </c>
      <c r="D47" s="118">
        <v>1660505</v>
      </c>
      <c r="F47" s="118">
        <v>25113</v>
      </c>
      <c r="G47" s="118">
        <v>21876</v>
      </c>
      <c r="H47" s="118">
        <v>20276</v>
      </c>
      <c r="J47" s="118">
        <v>385</v>
      </c>
      <c r="K47" s="118">
        <v>845</v>
      </c>
      <c r="L47" s="118">
        <f>492+247+15</f>
        <v>754</v>
      </c>
      <c r="N47" s="118">
        <v>369582</v>
      </c>
      <c r="O47" s="118">
        <f>394657+7569</f>
        <v>402226</v>
      </c>
      <c r="P47" s="118">
        <f>394205+7453</f>
        <v>401658</v>
      </c>
      <c r="S47" s="118">
        <v>19324</v>
      </c>
      <c r="T47" s="118">
        <v>19324</v>
      </c>
      <c r="V47" s="118">
        <f>V46-V49</f>
        <v>0</v>
      </c>
      <c r="X47" s="118">
        <f t="shared" ref="X47" si="11">X46-X49</f>
        <v>0</v>
      </c>
    </row>
    <row r="48" spans="1:25" hidden="1"/>
    <row r="49" spans="1:24" hidden="1">
      <c r="A49" s="121">
        <v>2013</v>
      </c>
      <c r="B49" s="118">
        <v>1623419</v>
      </c>
      <c r="C49" s="118">
        <v>2041480</v>
      </c>
      <c r="D49" s="118">
        <v>1769165</v>
      </c>
      <c r="F49" s="118">
        <v>22194</v>
      </c>
      <c r="G49" s="118">
        <v>22955</v>
      </c>
      <c r="H49" s="118">
        <v>18076</v>
      </c>
      <c r="J49" s="118">
        <f>390+15</f>
        <v>405</v>
      </c>
      <c r="K49" s="118">
        <f>604+1396+460</f>
        <v>2460</v>
      </c>
      <c r="L49" s="118">
        <f>604+1396+460</f>
        <v>2460</v>
      </c>
      <c r="N49" s="118">
        <f>367435+530</f>
        <v>367965</v>
      </c>
      <c r="O49" s="118">
        <f>395048+8508</f>
        <v>403556</v>
      </c>
      <c r="P49" s="118">
        <f>394249+8476</f>
        <v>402725</v>
      </c>
      <c r="S49" s="118">
        <v>7624</v>
      </c>
      <c r="T49" s="118">
        <v>7625</v>
      </c>
      <c r="V49" s="118">
        <f>B49-F49-J49-N49-R49</f>
        <v>1232855</v>
      </c>
      <c r="W49" s="118">
        <f>C49-G49-K49-O49-S49</f>
        <v>1604885</v>
      </c>
      <c r="X49" s="118">
        <f>D49-H49-L49-P49-T49</f>
        <v>1338279</v>
      </c>
    </row>
    <row r="50" spans="1:24" hidden="1">
      <c r="B50" s="269">
        <f>B49-B45</f>
        <v>0</v>
      </c>
      <c r="C50" s="269"/>
      <c r="D50" s="1">
        <f>D49-D45</f>
        <v>-1</v>
      </c>
      <c r="F50" s="1">
        <f>F49-F45</f>
        <v>0</v>
      </c>
      <c r="G50" s="1">
        <f>G49-G45</f>
        <v>0</v>
      </c>
      <c r="H50" s="1">
        <f>H49-H45</f>
        <v>0</v>
      </c>
      <c r="J50" s="1">
        <f>J49-J45</f>
        <v>0</v>
      </c>
      <c r="K50" s="1">
        <f>K49-K45</f>
        <v>0</v>
      </c>
      <c r="L50" s="1">
        <f>L49-L45</f>
        <v>0</v>
      </c>
      <c r="N50" s="1">
        <f>N49-N45</f>
        <v>0</v>
      </c>
      <c r="O50" s="1">
        <f>O49-O45</f>
        <v>0</v>
      </c>
      <c r="P50" s="1">
        <f>P49-P45</f>
        <v>0</v>
      </c>
      <c r="R50" s="1">
        <f>R49-R45</f>
        <v>0</v>
      </c>
      <c r="S50" s="1">
        <f>S49-S45</f>
        <v>0</v>
      </c>
      <c r="T50" s="1">
        <f>T49-T45</f>
        <v>0</v>
      </c>
      <c r="V50" s="1">
        <f>V49-V45</f>
        <v>0</v>
      </c>
      <c r="W50" s="1">
        <f>W49-W45</f>
        <v>0</v>
      </c>
      <c r="X50" s="1">
        <f>X49-X45</f>
        <v>-1</v>
      </c>
    </row>
    <row r="51" spans="1:24" hidden="1">
      <c r="D51" s="269" t="s">
        <v>258</v>
      </c>
    </row>
    <row r="52" spans="1:24" hidden="1"/>
    <row r="53" spans="1:24" hidden="1"/>
    <row r="54" spans="1:24" hidden="1"/>
    <row r="55" spans="1:24" hidden="1"/>
    <row r="56" spans="1:24" hidden="1"/>
    <row r="57" spans="1:24" hidden="1"/>
    <row r="58" spans="1:24" hidden="1"/>
    <row r="59" spans="1:24" hidden="1"/>
    <row r="61" spans="1:24" ht="15.95" customHeight="1"/>
    <row r="62" spans="1:24" ht="15.9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2" customHeight="1"/>
    <row r="96" ht="12" customHeight="1"/>
    <row r="97" ht="15.95" customHeight="1"/>
  </sheetData>
  <mergeCells count="34">
    <mergeCell ref="A2:Y2"/>
    <mergeCell ref="F13:I13"/>
    <mergeCell ref="J13:M13"/>
    <mergeCell ref="N13:Q13"/>
    <mergeCell ref="R13:U13"/>
    <mergeCell ref="V13:Y13"/>
    <mergeCell ref="A4:Y4"/>
    <mergeCell ref="A7:A10"/>
    <mergeCell ref="B7:E7"/>
    <mergeCell ref="B8:E8"/>
    <mergeCell ref="B9:B10"/>
    <mergeCell ref="C9:C10"/>
    <mergeCell ref="D9:D10"/>
    <mergeCell ref="F9:F10"/>
    <mergeCell ref="G9:G10"/>
    <mergeCell ref="W9:W10"/>
    <mergeCell ref="X9:X10"/>
    <mergeCell ref="V8:Y8"/>
    <mergeCell ref="R8:U8"/>
    <mergeCell ref="O9:O10"/>
    <mergeCell ref="P9:P10"/>
    <mergeCell ref="R9:R10"/>
    <mergeCell ref="S9:S10"/>
    <mergeCell ref="T9:T10"/>
    <mergeCell ref="N8:Q8"/>
    <mergeCell ref="J8:M8"/>
    <mergeCell ref="F8:I8"/>
    <mergeCell ref="B13:E13"/>
    <mergeCell ref="V9:V10"/>
    <mergeCell ref="H9:H10"/>
    <mergeCell ref="J9:J10"/>
    <mergeCell ref="K9:K10"/>
    <mergeCell ref="L9:L10"/>
    <mergeCell ref="N9:N10"/>
  </mergeCells>
  <phoneticPr fontId="8" type="noConversion"/>
  <printOptions horizontalCentered="1" verticalCentered="1"/>
  <pageMargins left="0.47244094488188981" right="0.39370078740157483" top="0.74803149606299213" bottom="0.74803149606299213" header="0.51181102362204722" footer="0.51181102362204722"/>
  <pageSetup paperSize="9" scale="51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transitionEvaluation="1" codeName="List12">
    <pageSetUpPr fitToPage="1"/>
  </sheetPr>
  <dimension ref="A1:Z55"/>
  <sheetViews>
    <sheetView showZeros="0" zoomScaleNormal="100" zoomScaleSheetLayoutView="70" workbookViewId="0">
      <pane xSplit="1" ySplit="12" topLeftCell="B13" activePane="bottomRight" state="frozen"/>
      <selection activeCell="C37" sqref="C37"/>
      <selection pane="topRight" activeCell="C37" sqref="C37"/>
      <selection pane="bottomLeft" activeCell="C37" sqref="C37"/>
      <selection pane="bottomRight" activeCell="O64" sqref="O64"/>
    </sheetView>
  </sheetViews>
  <sheetFormatPr defaultColWidth="9.77734375" defaultRowHeight="15.75"/>
  <cols>
    <col min="1" max="1" width="30.33203125" style="234" customWidth="1"/>
    <col min="2" max="3" width="10.77734375" style="233" customWidth="1"/>
    <col min="4" max="4" width="10" style="233" customWidth="1"/>
    <col min="5" max="5" width="7.44140625" style="233" customWidth="1"/>
    <col min="6" max="7" width="11.5546875" style="233" customWidth="1"/>
    <col min="8" max="8" width="11.5546875" style="233" hidden="1" customWidth="1"/>
    <col min="9" max="9" width="9.6640625" style="233" customWidth="1"/>
    <col min="10" max="10" width="10.77734375" style="233" hidden="1" customWidth="1"/>
    <col min="11" max="11" width="7.44140625" style="233" customWidth="1"/>
    <col min="12" max="12" width="11.44140625" style="233" customWidth="1"/>
    <col min="13" max="13" width="10.88671875" style="233" customWidth="1"/>
    <col min="14" max="14" width="10.88671875" style="233" hidden="1" customWidth="1"/>
    <col min="15" max="15" width="10.109375" style="233" customWidth="1"/>
    <col min="16" max="16" width="8" style="233" customWidth="1"/>
    <col min="17" max="18" width="10.77734375" style="233" customWidth="1"/>
    <col min="19" max="19" width="10.109375" style="233" customWidth="1"/>
    <col min="20" max="20" width="7.21875" style="233" customWidth="1"/>
    <col min="21" max="21" width="5.44140625" style="233" customWidth="1"/>
    <col min="22" max="22" width="11.21875" style="233" hidden="1" customWidth="1"/>
    <col min="23" max="26" width="7.77734375" style="233" hidden="1" customWidth="1"/>
    <col min="27" max="28" width="7.77734375" style="233" customWidth="1"/>
    <col min="29" max="16384" width="9.77734375" style="233"/>
  </cols>
  <sheetData>
    <row r="1" spans="1:23" ht="17.25" customHeight="1"/>
    <row r="2" spans="1:23" ht="24" customHeight="1">
      <c r="A2" s="285" t="s">
        <v>251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</row>
    <row r="3" spans="1:23" ht="15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</row>
    <row r="4" spans="1:23" ht="21" customHeight="1">
      <c r="A4" s="285" t="s">
        <v>112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</row>
    <row r="5" spans="1:23" ht="22.5" customHeight="1">
      <c r="T5" s="17"/>
    </row>
    <row r="6" spans="1:23" ht="22.5" customHeight="1" thickBot="1">
      <c r="T6" s="17" t="s">
        <v>113</v>
      </c>
    </row>
    <row r="7" spans="1:23" ht="18" customHeight="1" thickBot="1">
      <c r="A7" s="301" t="s">
        <v>222</v>
      </c>
      <c r="B7" s="309" t="s">
        <v>114</v>
      </c>
      <c r="C7" s="309"/>
      <c r="D7" s="309"/>
      <c r="E7" s="310"/>
      <c r="F7" s="233" t="s">
        <v>175</v>
      </c>
      <c r="T7" s="17" t="s">
        <v>1</v>
      </c>
    </row>
    <row r="8" spans="1:23" s="234" customFormat="1" ht="18" customHeight="1">
      <c r="A8" s="302"/>
      <c r="B8" s="342"/>
      <c r="C8" s="342"/>
      <c r="D8" s="342"/>
      <c r="E8" s="342"/>
      <c r="F8" s="289" t="s">
        <v>164</v>
      </c>
      <c r="G8" s="311"/>
      <c r="H8" s="311"/>
      <c r="I8" s="311"/>
      <c r="J8" s="311"/>
      <c r="K8" s="290"/>
      <c r="L8" s="289" t="s">
        <v>221</v>
      </c>
      <c r="M8" s="311"/>
      <c r="N8" s="311"/>
      <c r="O8" s="311"/>
      <c r="P8" s="290"/>
      <c r="Q8" s="311" t="s">
        <v>178</v>
      </c>
      <c r="R8" s="311"/>
      <c r="S8" s="311"/>
      <c r="T8" s="290"/>
    </row>
    <row r="9" spans="1:23" s="234" customFormat="1" ht="18" customHeight="1" thickBot="1">
      <c r="A9" s="302"/>
      <c r="B9" s="305" t="s">
        <v>44</v>
      </c>
      <c r="C9" s="305"/>
      <c r="D9" s="305"/>
      <c r="E9" s="305"/>
      <c r="F9" s="339" t="s">
        <v>176</v>
      </c>
      <c r="G9" s="340"/>
      <c r="H9" s="340"/>
      <c r="I9" s="340"/>
      <c r="J9" s="340"/>
      <c r="K9" s="341"/>
      <c r="L9" s="339" t="s">
        <v>177</v>
      </c>
      <c r="M9" s="340"/>
      <c r="N9" s="340"/>
      <c r="O9" s="340"/>
      <c r="P9" s="341"/>
      <c r="Q9" s="32"/>
      <c r="R9" s="32"/>
      <c r="S9" s="32"/>
      <c r="T9" s="33"/>
    </row>
    <row r="10" spans="1:23" ht="18" customHeight="1">
      <c r="A10" s="302"/>
      <c r="B10" s="337" t="s">
        <v>229</v>
      </c>
      <c r="C10" s="314" t="s">
        <v>230</v>
      </c>
      <c r="D10" s="314" t="s">
        <v>246</v>
      </c>
      <c r="E10" s="30" t="s">
        <v>0</v>
      </c>
      <c r="F10" s="312" t="s">
        <v>229</v>
      </c>
      <c r="G10" s="314" t="s">
        <v>230</v>
      </c>
      <c r="I10" s="314" t="s">
        <v>246</v>
      </c>
      <c r="J10" s="235"/>
      <c r="K10" s="27" t="s">
        <v>0</v>
      </c>
      <c r="L10" s="312" t="s">
        <v>229</v>
      </c>
      <c r="M10" s="314" t="s">
        <v>230</v>
      </c>
      <c r="N10" s="231"/>
      <c r="O10" s="314" t="s">
        <v>246</v>
      </c>
      <c r="P10" s="27" t="s">
        <v>0</v>
      </c>
      <c r="Q10" s="337" t="s">
        <v>229</v>
      </c>
      <c r="R10" s="314" t="s">
        <v>230</v>
      </c>
      <c r="S10" s="314" t="s">
        <v>246</v>
      </c>
      <c r="T10" s="27" t="s">
        <v>0</v>
      </c>
    </row>
    <row r="11" spans="1:23" ht="15" customHeight="1" thickBot="1">
      <c r="A11" s="303"/>
      <c r="B11" s="338"/>
      <c r="C11" s="315"/>
      <c r="D11" s="315"/>
      <c r="E11" s="31" t="s">
        <v>11</v>
      </c>
      <c r="F11" s="313"/>
      <c r="G11" s="315"/>
      <c r="I11" s="315"/>
      <c r="J11" s="235"/>
      <c r="K11" s="28" t="s">
        <v>11</v>
      </c>
      <c r="L11" s="313"/>
      <c r="M11" s="315"/>
      <c r="N11" s="232"/>
      <c r="O11" s="315"/>
      <c r="P11" s="28" t="s">
        <v>11</v>
      </c>
      <c r="Q11" s="338"/>
      <c r="R11" s="315"/>
      <c r="S11" s="315"/>
      <c r="T11" s="28" t="s">
        <v>11</v>
      </c>
    </row>
    <row r="12" spans="1:23" ht="17.25" customHeight="1">
      <c r="A12" s="24"/>
      <c r="F12" s="318" t="s">
        <v>252</v>
      </c>
      <c r="G12" s="319"/>
      <c r="H12" s="319"/>
      <c r="I12" s="319"/>
      <c r="J12" s="319"/>
      <c r="K12" s="320"/>
      <c r="L12" s="3"/>
      <c r="M12" s="235"/>
      <c r="N12" s="235"/>
      <c r="O12" s="235"/>
      <c r="P12" s="236"/>
      <c r="Q12" s="335"/>
      <c r="R12" s="335"/>
      <c r="S12" s="335"/>
      <c r="T12" s="336"/>
    </row>
    <row r="13" spans="1:23" ht="15" customHeight="1" thickBot="1">
      <c r="A13" s="24"/>
      <c r="F13" s="3"/>
      <c r="G13" s="235"/>
      <c r="H13" s="235"/>
      <c r="I13" s="235"/>
      <c r="J13" s="235"/>
      <c r="K13" s="236"/>
      <c r="L13" s="3"/>
      <c r="M13" s="235"/>
      <c r="N13" s="235"/>
      <c r="O13" s="235"/>
      <c r="P13" s="236"/>
      <c r="Q13" s="235"/>
      <c r="R13" s="235"/>
      <c r="S13" s="77"/>
      <c r="T13" s="236"/>
    </row>
    <row r="14" spans="1:23" ht="17.100000000000001" customHeight="1">
      <c r="A14" s="60" t="s">
        <v>184</v>
      </c>
      <c r="B14" s="106">
        <f>'Výdaje '!G12</f>
        <v>235029</v>
      </c>
      <c r="C14" s="8">
        <f>'Výdaje '!H12</f>
        <v>353394</v>
      </c>
      <c r="D14" s="8">
        <f>'Výdaje '!I12</f>
        <v>92163</v>
      </c>
      <c r="E14" s="227">
        <f t="shared" ref="E14:E42" si="0">D14/C14*100</f>
        <v>26.079390142447238</v>
      </c>
      <c r="F14" s="258">
        <v>0</v>
      </c>
      <c r="G14" s="249">
        <v>61802</v>
      </c>
      <c r="H14" s="259">
        <v>10005247.640000001</v>
      </c>
      <c r="I14" s="249">
        <f>ROUND(H14/1000,0)</f>
        <v>10005</v>
      </c>
      <c r="J14" s="92">
        <f t="shared" ref="J14:J42" si="1">G14-H14</f>
        <v>-9943445.6400000006</v>
      </c>
      <c r="K14" s="52">
        <f>I14/G14*100</f>
        <v>16.188796479078345</v>
      </c>
      <c r="L14" s="7"/>
      <c r="M14" s="8"/>
      <c r="N14" s="242"/>
      <c r="O14" s="8"/>
      <c r="P14" s="52"/>
      <c r="Q14" s="106">
        <f t="shared" ref="Q14:Q41" si="2">B14-F14-L14</f>
        <v>235029</v>
      </c>
      <c r="R14" s="8">
        <f t="shared" ref="R14:R42" si="3">C14-G14-M14</f>
        <v>291592</v>
      </c>
      <c r="S14" s="76">
        <f t="shared" ref="S14:S15" si="4">D14-I14-O14</f>
        <v>82158</v>
      </c>
      <c r="T14" s="52">
        <f t="shared" ref="T14:T42" si="5">S14/R14*100</f>
        <v>28.175670114406433</v>
      </c>
      <c r="V14" s="233">
        <v>38139926.380000003</v>
      </c>
      <c r="W14" s="233">
        <f>V14/1000-S14</f>
        <v>-44018.073619999996</v>
      </c>
    </row>
    <row r="15" spans="1:23" ht="17.100000000000001" customHeight="1">
      <c r="A15" s="61" t="s">
        <v>185</v>
      </c>
      <c r="B15" s="107">
        <f>'Výdaje '!G13</f>
        <v>12690</v>
      </c>
      <c r="C15" s="2">
        <f>'Výdaje '!H13</f>
        <v>24163</v>
      </c>
      <c r="D15" s="2">
        <f>'Výdaje '!I13</f>
        <v>22895</v>
      </c>
      <c r="E15" s="228">
        <f t="shared" si="0"/>
        <v>94.752307246616724</v>
      </c>
      <c r="F15" s="260">
        <v>0</v>
      </c>
      <c r="G15" s="261">
        <v>2300</v>
      </c>
      <c r="H15" s="262">
        <v>1913234.61</v>
      </c>
      <c r="I15" s="248">
        <f>ROUND(H15/1000,0)</f>
        <v>1913</v>
      </c>
      <c r="J15" s="95">
        <f t="shared" si="1"/>
        <v>-1910934.61</v>
      </c>
      <c r="K15" s="53">
        <f t="shared" ref="K15:K38" si="6">I15/G15*100</f>
        <v>83.173913043478265</v>
      </c>
      <c r="L15" s="4">
        <v>0</v>
      </c>
      <c r="M15" s="248">
        <v>3821</v>
      </c>
      <c r="N15" s="254">
        <v>3821000</v>
      </c>
      <c r="O15" s="2">
        <f t="shared" ref="O15:O42" si="7">ROUND(N15/1000,0)</f>
        <v>3821</v>
      </c>
      <c r="P15" s="53">
        <f>O15/M15*100</f>
        <v>100</v>
      </c>
      <c r="Q15" s="107">
        <f t="shared" si="2"/>
        <v>12690</v>
      </c>
      <c r="R15" s="2">
        <f t="shared" si="3"/>
        <v>18042</v>
      </c>
      <c r="S15" s="2">
        <f t="shared" si="4"/>
        <v>17161</v>
      </c>
      <c r="T15" s="53">
        <f t="shared" si="5"/>
        <v>95.116949340427894</v>
      </c>
      <c r="V15" s="233">
        <v>17153693.399999999</v>
      </c>
      <c r="W15" s="233">
        <f t="shared" ref="W15:W43" si="8">V15/1000-S15</f>
        <v>-7.3065999999998894</v>
      </c>
    </row>
    <row r="16" spans="1:23" ht="17.100000000000001" customHeight="1">
      <c r="A16" s="61" t="s">
        <v>186</v>
      </c>
      <c r="B16" s="107">
        <f>'Výdaje '!G14</f>
        <v>50311</v>
      </c>
      <c r="C16" s="2">
        <f>'Výdaje '!H14</f>
        <v>95473</v>
      </c>
      <c r="D16" s="2">
        <f>'Výdaje '!I14</f>
        <v>9604</v>
      </c>
      <c r="E16" s="228">
        <f t="shared" si="0"/>
        <v>10.05938851821981</v>
      </c>
      <c r="F16" s="263">
        <v>0</v>
      </c>
      <c r="G16" s="76">
        <v>34666</v>
      </c>
      <c r="H16" s="264">
        <v>2100000</v>
      </c>
      <c r="I16" s="248">
        <f>ROUND(H16/1000,0)</f>
        <v>2100</v>
      </c>
      <c r="J16" s="95">
        <f t="shared" si="1"/>
        <v>-2065334</v>
      </c>
      <c r="K16" s="53">
        <f t="shared" si="6"/>
        <v>6.0578088040154618</v>
      </c>
      <c r="L16" s="4">
        <v>0</v>
      </c>
      <c r="M16" s="2">
        <v>0</v>
      </c>
      <c r="N16" s="251">
        <v>0</v>
      </c>
      <c r="O16" s="2">
        <f t="shared" si="7"/>
        <v>0</v>
      </c>
      <c r="P16" s="53"/>
      <c r="Q16" s="107">
        <f t="shared" si="2"/>
        <v>50311</v>
      </c>
      <c r="R16" s="2">
        <f t="shared" si="3"/>
        <v>60807</v>
      </c>
      <c r="S16" s="2">
        <f>D16-I16-O16</f>
        <v>7504</v>
      </c>
      <c r="T16" s="53">
        <f>S16/R16*100</f>
        <v>12.340684460670646</v>
      </c>
      <c r="V16" s="233">
        <v>18728547.27</v>
      </c>
      <c r="W16" s="233">
        <f t="shared" si="8"/>
        <v>11224.547269999999</v>
      </c>
    </row>
    <row r="17" spans="1:23" ht="17.100000000000001" customHeight="1">
      <c r="A17" s="61" t="s">
        <v>187</v>
      </c>
      <c r="B17" s="107">
        <f>'Výdaje '!G15</f>
        <v>9170</v>
      </c>
      <c r="C17" s="2">
        <f>'Výdaje '!H15</f>
        <v>44342</v>
      </c>
      <c r="D17" s="2">
        <f>'Výdaje '!I15</f>
        <v>42396</v>
      </c>
      <c r="E17" s="228">
        <f t="shared" si="0"/>
        <v>95.611384240674752</v>
      </c>
      <c r="F17" s="4"/>
      <c r="G17" s="2">
        <v>9924</v>
      </c>
      <c r="H17" s="2">
        <v>9924000</v>
      </c>
      <c r="I17" s="248">
        <f t="shared" ref="I17:I23" si="9">ROUND(H17/1000,0)</f>
        <v>9924</v>
      </c>
      <c r="J17" s="95">
        <f t="shared" si="1"/>
        <v>-9914076</v>
      </c>
      <c r="K17" s="53">
        <f t="shared" si="6"/>
        <v>100</v>
      </c>
      <c r="L17" s="4">
        <v>0</v>
      </c>
      <c r="M17" s="2">
        <v>7837</v>
      </c>
      <c r="N17" s="251">
        <v>7837094.7000000002</v>
      </c>
      <c r="O17" s="2">
        <f t="shared" si="7"/>
        <v>7837</v>
      </c>
      <c r="P17" s="53">
        <f>O17/M17*100</f>
        <v>100</v>
      </c>
      <c r="Q17" s="107">
        <f t="shared" si="2"/>
        <v>9170</v>
      </c>
      <c r="R17" s="2">
        <f t="shared" si="3"/>
        <v>26581</v>
      </c>
      <c r="S17" s="2">
        <f t="shared" ref="S17:S42" si="10">D17-I17-O17</f>
        <v>24635</v>
      </c>
      <c r="T17" s="53">
        <f t="shared" si="5"/>
        <v>92.678981227192352</v>
      </c>
      <c r="V17" s="233">
        <v>78097121.370000005</v>
      </c>
      <c r="W17" s="233">
        <f t="shared" si="8"/>
        <v>53462.121370000008</v>
      </c>
    </row>
    <row r="18" spans="1:23" ht="17.100000000000001" customHeight="1">
      <c r="A18" s="61" t="s">
        <v>188</v>
      </c>
      <c r="B18" s="107">
        <f>'Výdaje '!G16</f>
        <v>20977</v>
      </c>
      <c r="C18" s="2">
        <f>'Výdaje '!H16</f>
        <v>31675</v>
      </c>
      <c r="D18" s="2">
        <f>'Výdaje '!I16</f>
        <v>31144</v>
      </c>
      <c r="E18" s="228">
        <f t="shared" si="0"/>
        <v>98.323599052880823</v>
      </c>
      <c r="F18" s="4">
        <v>0</v>
      </c>
      <c r="G18" s="2">
        <v>3100</v>
      </c>
      <c r="H18" s="2">
        <v>3100000</v>
      </c>
      <c r="I18" s="248">
        <f t="shared" si="9"/>
        <v>3100</v>
      </c>
      <c r="J18" s="95">
        <f t="shared" si="1"/>
        <v>-3096900</v>
      </c>
      <c r="K18" s="53">
        <f t="shared" si="6"/>
        <v>100</v>
      </c>
      <c r="L18" s="4">
        <v>0</v>
      </c>
      <c r="M18" s="2">
        <v>4000</v>
      </c>
      <c r="N18" s="251">
        <v>4000000</v>
      </c>
      <c r="O18" s="2">
        <f t="shared" si="7"/>
        <v>4000</v>
      </c>
      <c r="P18" s="53">
        <f>O18/M18*100</f>
        <v>100</v>
      </c>
      <c r="Q18" s="107">
        <f t="shared" si="2"/>
        <v>20977</v>
      </c>
      <c r="R18" s="2">
        <f t="shared" si="3"/>
        <v>24575</v>
      </c>
      <c r="S18" s="2">
        <f t="shared" si="10"/>
        <v>24044</v>
      </c>
      <c r="T18" s="53">
        <f t="shared" si="5"/>
        <v>97.839267548321459</v>
      </c>
      <c r="V18" s="233">
        <v>3262926.6</v>
      </c>
      <c r="W18" s="233">
        <f t="shared" si="8"/>
        <v>-20781.073400000001</v>
      </c>
    </row>
    <row r="19" spans="1:23" ht="17.100000000000001" customHeight="1">
      <c r="A19" s="61" t="s">
        <v>189</v>
      </c>
      <c r="B19" s="107">
        <f>'Výdaje '!G17</f>
        <v>400</v>
      </c>
      <c r="C19" s="2">
        <f>'Výdaje '!H17</f>
        <v>3209</v>
      </c>
      <c r="D19" s="2">
        <f>'Výdaje '!I17</f>
        <v>565</v>
      </c>
      <c r="E19" s="228">
        <f t="shared" si="0"/>
        <v>17.606731068868804</v>
      </c>
      <c r="F19" s="4">
        <v>0</v>
      </c>
      <c r="G19" s="2">
        <v>60</v>
      </c>
      <c r="H19" s="2">
        <v>60000</v>
      </c>
      <c r="I19" s="248">
        <f t="shared" si="9"/>
        <v>60</v>
      </c>
      <c r="J19" s="95">
        <f t="shared" si="1"/>
        <v>-59940</v>
      </c>
      <c r="K19" s="53">
        <f t="shared" si="6"/>
        <v>100</v>
      </c>
      <c r="L19" s="4"/>
      <c r="M19" s="2"/>
      <c r="N19" s="252"/>
      <c r="O19" s="2">
        <f t="shared" si="7"/>
        <v>0</v>
      </c>
      <c r="P19" s="53"/>
      <c r="Q19" s="107">
        <f t="shared" si="2"/>
        <v>400</v>
      </c>
      <c r="R19" s="2">
        <f t="shared" si="3"/>
        <v>3149</v>
      </c>
      <c r="S19" s="2">
        <f t="shared" si="10"/>
        <v>505</v>
      </c>
      <c r="T19" s="53">
        <f t="shared" si="5"/>
        <v>16.036837091140043</v>
      </c>
      <c r="V19" s="233">
        <v>695282</v>
      </c>
      <c r="W19" s="233">
        <f t="shared" si="8"/>
        <v>190.28200000000004</v>
      </c>
    </row>
    <row r="20" spans="1:23" ht="17.100000000000001" customHeight="1">
      <c r="A20" s="61" t="s">
        <v>190</v>
      </c>
      <c r="B20" s="107">
        <f>'Výdaje '!G18</f>
        <v>30050</v>
      </c>
      <c r="C20" s="2">
        <f>'Výdaje '!H18</f>
        <v>71228</v>
      </c>
      <c r="D20" s="2">
        <f>'Výdaje '!I18</f>
        <v>67664</v>
      </c>
      <c r="E20" s="228">
        <f t="shared" si="0"/>
        <v>94.996349750098275</v>
      </c>
      <c r="F20" s="4"/>
      <c r="G20" s="2">
        <v>2100</v>
      </c>
      <c r="H20" s="2">
        <v>2100000</v>
      </c>
      <c r="I20" s="248">
        <f t="shared" si="9"/>
        <v>2100</v>
      </c>
      <c r="J20" s="95">
        <f t="shared" si="1"/>
        <v>-2097900</v>
      </c>
      <c r="K20" s="53">
        <f t="shared" si="6"/>
        <v>100</v>
      </c>
      <c r="L20" s="4"/>
      <c r="M20" s="2">
        <v>50</v>
      </c>
      <c r="N20" s="251">
        <v>50000</v>
      </c>
      <c r="O20" s="2">
        <f t="shared" si="7"/>
        <v>50</v>
      </c>
      <c r="P20" s="53">
        <f>O20/M20*100</f>
        <v>100</v>
      </c>
      <c r="Q20" s="107">
        <f t="shared" si="2"/>
        <v>30050</v>
      </c>
      <c r="R20" s="2">
        <f t="shared" si="3"/>
        <v>69078</v>
      </c>
      <c r="S20" s="2">
        <f t="shared" si="10"/>
        <v>65514</v>
      </c>
      <c r="T20" s="53">
        <f t="shared" si="5"/>
        <v>94.840614957005116</v>
      </c>
      <c r="V20" s="233">
        <v>3508496.2</v>
      </c>
      <c r="W20" s="233">
        <f t="shared" si="8"/>
        <v>-62005.503799999999</v>
      </c>
    </row>
    <row r="21" spans="1:23" ht="17.100000000000001" customHeight="1">
      <c r="A21" s="61" t="s">
        <v>191</v>
      </c>
      <c r="B21" s="107">
        <f>'Výdaje '!G19</f>
        <v>112468</v>
      </c>
      <c r="C21" s="2">
        <f>'Výdaje '!H19</f>
        <v>151140</v>
      </c>
      <c r="D21" s="2">
        <f>'Výdaje '!I19</f>
        <v>28436</v>
      </c>
      <c r="E21" s="228">
        <f t="shared" si="0"/>
        <v>18.814344316527723</v>
      </c>
      <c r="F21" s="4">
        <v>0</v>
      </c>
      <c r="G21" s="2">
        <v>8040</v>
      </c>
      <c r="H21" s="2">
        <v>6864316.5</v>
      </c>
      <c r="I21" s="248">
        <f t="shared" si="9"/>
        <v>6864</v>
      </c>
      <c r="J21" s="95">
        <f t="shared" si="1"/>
        <v>-6856276.5</v>
      </c>
      <c r="K21" s="53">
        <f t="shared" si="6"/>
        <v>85.373134328358219</v>
      </c>
      <c r="L21" s="4">
        <v>0</v>
      </c>
      <c r="M21" s="2">
        <v>1765.6226999999999</v>
      </c>
      <c r="N21" s="251">
        <v>1765622.7</v>
      </c>
      <c r="O21" s="2">
        <f t="shared" si="7"/>
        <v>1766</v>
      </c>
      <c r="P21" s="53">
        <f>O21/M21*100</f>
        <v>100.02136923137657</v>
      </c>
      <c r="Q21" s="107">
        <f t="shared" si="2"/>
        <v>112468</v>
      </c>
      <c r="R21" s="2">
        <f t="shared" si="3"/>
        <v>141334.37729999999</v>
      </c>
      <c r="S21" s="2">
        <f t="shared" si="10"/>
        <v>19806</v>
      </c>
      <c r="T21" s="53">
        <f t="shared" si="5"/>
        <v>14.013575733212644</v>
      </c>
      <c r="V21" s="233">
        <v>61071384.899999999</v>
      </c>
      <c r="W21" s="233">
        <f t="shared" si="8"/>
        <v>41265.384899999997</v>
      </c>
    </row>
    <row r="22" spans="1:23" ht="17.100000000000001" customHeight="1">
      <c r="A22" s="61" t="s">
        <v>192</v>
      </c>
      <c r="B22" s="107">
        <f>'Výdaje '!G20</f>
        <v>1575</v>
      </c>
      <c r="C22" s="2">
        <f>'Výdaje '!H20</f>
        <v>4182</v>
      </c>
      <c r="D22" s="2">
        <f>'Výdaje '!I20</f>
        <v>349</v>
      </c>
      <c r="E22" s="228">
        <f t="shared" si="0"/>
        <v>8.345289335246294</v>
      </c>
      <c r="F22" s="4"/>
      <c r="G22" s="2"/>
      <c r="H22" s="2"/>
      <c r="I22" s="248">
        <f t="shared" si="9"/>
        <v>0</v>
      </c>
      <c r="J22" s="95">
        <f t="shared" si="1"/>
        <v>0</v>
      </c>
      <c r="K22" s="53"/>
      <c r="L22" s="4"/>
      <c r="M22" s="2"/>
      <c r="N22" s="251"/>
      <c r="O22" s="2">
        <f t="shared" si="7"/>
        <v>0</v>
      </c>
      <c r="P22" s="53"/>
      <c r="Q22" s="107">
        <f t="shared" si="2"/>
        <v>1575</v>
      </c>
      <c r="R22" s="2">
        <f t="shared" si="3"/>
        <v>4182</v>
      </c>
      <c r="S22" s="2">
        <f t="shared" si="10"/>
        <v>349</v>
      </c>
      <c r="T22" s="53">
        <f t="shared" si="5"/>
        <v>8.345289335246294</v>
      </c>
      <c r="V22" s="233">
        <v>4484702.3</v>
      </c>
      <c r="W22" s="233">
        <f t="shared" si="8"/>
        <v>4135.7022999999999</v>
      </c>
    </row>
    <row r="23" spans="1:23" ht="17.100000000000001" customHeight="1">
      <c r="A23" s="61" t="s">
        <v>193</v>
      </c>
      <c r="B23" s="107">
        <f>'Výdaje '!G21</f>
        <v>1081</v>
      </c>
      <c r="C23" s="2">
        <f>'Výdaje '!H21</f>
        <v>9015</v>
      </c>
      <c r="D23" s="2">
        <f>'Výdaje '!I21</f>
        <v>4516</v>
      </c>
      <c r="E23" s="228">
        <f t="shared" si="0"/>
        <v>50.094287298946206</v>
      </c>
      <c r="F23" s="4">
        <v>0</v>
      </c>
      <c r="G23" s="2">
        <v>3970</v>
      </c>
      <c r="H23" s="2">
        <v>3970000</v>
      </c>
      <c r="I23" s="248">
        <f t="shared" si="9"/>
        <v>3970</v>
      </c>
      <c r="J23" s="95">
        <f t="shared" si="1"/>
        <v>-3966030</v>
      </c>
      <c r="K23" s="81">
        <f t="shared" si="6"/>
        <v>100</v>
      </c>
      <c r="L23" s="4"/>
      <c r="M23" s="2"/>
      <c r="N23" s="251"/>
      <c r="O23" s="2">
        <f t="shared" si="7"/>
        <v>0</v>
      </c>
      <c r="P23" s="53"/>
      <c r="Q23" s="107">
        <f t="shared" si="2"/>
        <v>1081</v>
      </c>
      <c r="R23" s="2">
        <f t="shared" si="3"/>
        <v>5045</v>
      </c>
      <c r="S23" s="2">
        <f t="shared" si="10"/>
        <v>546</v>
      </c>
      <c r="T23" s="53">
        <f t="shared" si="5"/>
        <v>10.822596630327057</v>
      </c>
      <c r="V23" s="233">
        <v>1405062</v>
      </c>
      <c r="W23" s="233">
        <f t="shared" si="8"/>
        <v>859.0619999999999</v>
      </c>
    </row>
    <row r="24" spans="1:23" ht="17.100000000000001" customHeight="1">
      <c r="A24" s="61" t="s">
        <v>194</v>
      </c>
      <c r="B24" s="107">
        <f>'Výdaje '!G22</f>
        <v>13530</v>
      </c>
      <c r="C24" s="2">
        <f>'Výdaje '!H22</f>
        <v>22388</v>
      </c>
      <c r="D24" s="2">
        <f>'Výdaje '!I22</f>
        <v>15927</v>
      </c>
      <c r="E24" s="228">
        <f t="shared" si="0"/>
        <v>71.140789708772559</v>
      </c>
      <c r="F24" s="4">
        <v>0</v>
      </c>
      <c r="G24" s="2">
        <v>4290</v>
      </c>
      <c r="H24" s="2">
        <v>3915936</v>
      </c>
      <c r="I24" s="248">
        <f>ROUND(H24/1000,0)</f>
        <v>3916</v>
      </c>
      <c r="J24" s="95">
        <f t="shared" si="1"/>
        <v>-3911646</v>
      </c>
      <c r="K24" s="81">
        <f t="shared" si="6"/>
        <v>91.282051282051285</v>
      </c>
      <c r="L24" s="4">
        <v>0</v>
      </c>
      <c r="M24" s="2">
        <v>200</v>
      </c>
      <c r="N24" s="251"/>
      <c r="O24" s="76">
        <f t="shared" si="7"/>
        <v>0</v>
      </c>
      <c r="P24" s="53">
        <f>O24/M24*100</f>
        <v>0</v>
      </c>
      <c r="Q24" s="107">
        <f t="shared" si="2"/>
        <v>13530</v>
      </c>
      <c r="R24" s="2">
        <f t="shared" si="3"/>
        <v>17898</v>
      </c>
      <c r="S24" s="2">
        <f t="shared" si="10"/>
        <v>12011</v>
      </c>
      <c r="T24" s="53">
        <f t="shared" si="5"/>
        <v>67.10805676611912</v>
      </c>
      <c r="V24" s="233">
        <v>3605999</v>
      </c>
      <c r="W24" s="233">
        <f t="shared" si="8"/>
        <v>-8405.0010000000002</v>
      </c>
    </row>
    <row r="25" spans="1:23" ht="17.100000000000001" customHeight="1">
      <c r="A25" s="61" t="s">
        <v>195</v>
      </c>
      <c r="B25" s="107">
        <f>'Výdaje '!G23</f>
        <v>210</v>
      </c>
      <c r="C25" s="2">
        <f>'Výdaje '!H23</f>
        <v>17309</v>
      </c>
      <c r="D25" s="2">
        <f>'Výdaje '!I23</f>
        <v>5127</v>
      </c>
      <c r="E25" s="228">
        <f t="shared" si="0"/>
        <v>29.62042867872205</v>
      </c>
      <c r="F25" s="4">
        <v>0</v>
      </c>
      <c r="G25" s="2">
        <v>11000</v>
      </c>
      <c r="H25" s="2">
        <v>1999999</v>
      </c>
      <c r="I25" s="248">
        <f t="shared" ref="I25:I42" si="11">ROUND(H25/1000,0)</f>
        <v>2000</v>
      </c>
      <c r="J25" s="95">
        <f t="shared" si="1"/>
        <v>-1988999</v>
      </c>
      <c r="K25" s="81">
        <f t="shared" si="6"/>
        <v>18.181818181818183</v>
      </c>
      <c r="L25" s="4">
        <v>0</v>
      </c>
      <c r="M25" s="2">
        <v>2795.25</v>
      </c>
      <c r="N25" s="251">
        <v>2795249.9</v>
      </c>
      <c r="O25" s="2">
        <f t="shared" si="7"/>
        <v>2795</v>
      </c>
      <c r="P25" s="53">
        <f>O25/M25*100</f>
        <v>99.991056256148823</v>
      </c>
      <c r="Q25" s="107">
        <f t="shared" si="2"/>
        <v>210</v>
      </c>
      <c r="R25" s="2">
        <f t="shared" si="3"/>
        <v>3513.75</v>
      </c>
      <c r="S25" s="2">
        <f t="shared" si="10"/>
        <v>332</v>
      </c>
      <c r="T25" s="53">
        <f t="shared" si="5"/>
        <v>9.4485948061188196</v>
      </c>
      <c r="V25" s="233">
        <v>1108541</v>
      </c>
      <c r="W25" s="233">
        <f t="shared" si="8"/>
        <v>776.54099999999994</v>
      </c>
    </row>
    <row r="26" spans="1:23" ht="17.100000000000001" customHeight="1">
      <c r="A26" s="61" t="s">
        <v>196</v>
      </c>
      <c r="B26" s="107">
        <f>'Výdaje '!G24</f>
        <v>90716</v>
      </c>
      <c r="C26" s="2">
        <f>'Výdaje '!H24</f>
        <v>212380</v>
      </c>
      <c r="D26" s="2">
        <f>'Výdaje '!I24</f>
        <v>110388</v>
      </c>
      <c r="E26" s="228">
        <f t="shared" si="0"/>
        <v>51.976645635182216</v>
      </c>
      <c r="F26" s="4">
        <v>0</v>
      </c>
      <c r="G26" s="2">
        <v>43470</v>
      </c>
      <c r="H26" s="2">
        <v>24009656.739999998</v>
      </c>
      <c r="I26" s="248">
        <f t="shared" si="11"/>
        <v>24010</v>
      </c>
      <c r="J26" s="95">
        <f t="shared" si="1"/>
        <v>-23966186.739999998</v>
      </c>
      <c r="K26" s="81">
        <f t="shared" si="6"/>
        <v>55.233494363929147</v>
      </c>
      <c r="L26" s="4"/>
      <c r="M26" s="2"/>
      <c r="N26" s="251"/>
      <c r="O26" s="2">
        <f t="shared" si="7"/>
        <v>0</v>
      </c>
      <c r="P26" s="53"/>
      <c r="Q26" s="107">
        <f t="shared" si="2"/>
        <v>90716</v>
      </c>
      <c r="R26" s="2">
        <f t="shared" si="3"/>
        <v>168910</v>
      </c>
      <c r="S26" s="2">
        <f t="shared" si="10"/>
        <v>86378</v>
      </c>
      <c r="T26" s="53">
        <f t="shared" si="5"/>
        <v>51.138476111538687</v>
      </c>
      <c r="V26" s="233">
        <v>43017780.359999999</v>
      </c>
      <c r="W26" s="233">
        <f t="shared" si="8"/>
        <v>-43360.219640000003</v>
      </c>
    </row>
    <row r="27" spans="1:23" ht="17.100000000000001" customHeight="1">
      <c r="A27" s="61" t="s">
        <v>197</v>
      </c>
      <c r="B27" s="107">
        <f>'Výdaje '!G25</f>
        <v>3120</v>
      </c>
      <c r="C27" s="2">
        <f>'Výdaje '!H25</f>
        <v>6342</v>
      </c>
      <c r="D27" s="2">
        <f>'Výdaje '!I25</f>
        <v>5052</v>
      </c>
      <c r="E27" s="228">
        <f t="shared" si="0"/>
        <v>79.659413434247867</v>
      </c>
      <c r="F27" s="4"/>
      <c r="G27" s="2"/>
      <c r="H27" s="2"/>
      <c r="I27" s="248">
        <f t="shared" si="11"/>
        <v>0</v>
      </c>
      <c r="J27" s="95">
        <f t="shared" si="1"/>
        <v>0</v>
      </c>
      <c r="K27" s="81"/>
      <c r="L27" s="4"/>
      <c r="M27" s="2">
        <v>84</v>
      </c>
      <c r="N27" s="251">
        <v>84000</v>
      </c>
      <c r="O27" s="76">
        <f t="shared" si="7"/>
        <v>84</v>
      </c>
      <c r="P27" s="53">
        <f>O27/M27*100</f>
        <v>100</v>
      </c>
      <c r="Q27" s="107">
        <f t="shared" si="2"/>
        <v>3120</v>
      </c>
      <c r="R27" s="2">
        <f t="shared" si="3"/>
        <v>6258</v>
      </c>
      <c r="S27" s="2">
        <f t="shared" si="10"/>
        <v>4968</v>
      </c>
      <c r="T27" s="53">
        <f t="shared" si="5"/>
        <v>79.386385426653888</v>
      </c>
      <c r="V27" s="233">
        <v>9369465.9000000004</v>
      </c>
      <c r="W27" s="233">
        <f t="shared" si="8"/>
        <v>4401.4659000000011</v>
      </c>
    </row>
    <row r="28" spans="1:23" ht="17.100000000000001" customHeight="1">
      <c r="A28" s="61" t="s">
        <v>198</v>
      </c>
      <c r="B28" s="107">
        <f>'Výdaje '!G26</f>
        <v>24706</v>
      </c>
      <c r="C28" s="2">
        <f>'Výdaje '!H26</f>
        <v>59889</v>
      </c>
      <c r="D28" s="2">
        <f>'Výdaje '!I26</f>
        <v>35033</v>
      </c>
      <c r="E28" s="228">
        <f t="shared" si="0"/>
        <v>58.49655195444906</v>
      </c>
      <c r="F28" s="4">
        <v>0</v>
      </c>
      <c r="G28" s="2">
        <v>4600</v>
      </c>
      <c r="H28" s="2">
        <v>4484358.17</v>
      </c>
      <c r="I28" s="248">
        <f>ROUND(H28/1000,0)+1</f>
        <v>4485</v>
      </c>
      <c r="J28" s="95">
        <f t="shared" si="1"/>
        <v>-4479758.17</v>
      </c>
      <c r="K28" s="81">
        <f t="shared" si="6"/>
        <v>97.5</v>
      </c>
      <c r="L28" s="4"/>
      <c r="M28" s="2"/>
      <c r="N28" s="251"/>
      <c r="O28" s="76">
        <f t="shared" si="7"/>
        <v>0</v>
      </c>
      <c r="P28" s="53"/>
      <c r="Q28" s="107">
        <f t="shared" si="2"/>
        <v>24706</v>
      </c>
      <c r="R28" s="2">
        <f t="shared" si="3"/>
        <v>55289</v>
      </c>
      <c r="S28" s="2">
        <f t="shared" si="10"/>
        <v>30548</v>
      </c>
      <c r="T28" s="53">
        <f t="shared" si="5"/>
        <v>55.251496681075807</v>
      </c>
      <c r="V28" s="233">
        <v>36281168.600000001</v>
      </c>
      <c r="W28" s="233">
        <f t="shared" si="8"/>
        <v>5733.1686000000045</v>
      </c>
    </row>
    <row r="29" spans="1:23" ht="17.100000000000001" customHeight="1">
      <c r="A29" s="61" t="s">
        <v>199</v>
      </c>
      <c r="B29" s="107">
        <f>'Výdaje '!G27</f>
        <v>31526</v>
      </c>
      <c r="C29" s="2">
        <f>'Výdaje '!H27</f>
        <v>70288</v>
      </c>
      <c r="D29" s="2">
        <f>'Výdaje '!I27</f>
        <v>17627</v>
      </c>
      <c r="E29" s="228">
        <f t="shared" si="0"/>
        <v>25.078249487821537</v>
      </c>
      <c r="F29" s="4">
        <v>0</v>
      </c>
      <c r="G29" s="2">
        <v>24247</v>
      </c>
      <c r="H29" s="2">
        <v>6910254.79</v>
      </c>
      <c r="I29" s="248">
        <f t="shared" si="11"/>
        <v>6910</v>
      </c>
      <c r="J29" s="95">
        <f t="shared" si="1"/>
        <v>-6886007.79</v>
      </c>
      <c r="K29" s="81">
        <f t="shared" si="6"/>
        <v>28.498370932486495</v>
      </c>
      <c r="L29" s="4"/>
      <c r="M29" s="2"/>
      <c r="N29" s="251"/>
      <c r="O29" s="76">
        <f t="shared" si="7"/>
        <v>0</v>
      </c>
      <c r="P29" s="53"/>
      <c r="Q29" s="107">
        <f t="shared" si="2"/>
        <v>31526</v>
      </c>
      <c r="R29" s="2">
        <f t="shared" si="3"/>
        <v>46041</v>
      </c>
      <c r="S29" s="2">
        <f t="shared" si="10"/>
        <v>10717</v>
      </c>
      <c r="T29" s="53">
        <f t="shared" si="5"/>
        <v>23.277079125127603</v>
      </c>
      <c r="V29" s="233">
        <v>25088573.020000003</v>
      </c>
      <c r="W29" s="233">
        <f t="shared" si="8"/>
        <v>14371.573020000003</v>
      </c>
    </row>
    <row r="30" spans="1:23" ht="17.100000000000001" customHeight="1">
      <c r="A30" s="61" t="s">
        <v>200</v>
      </c>
      <c r="B30" s="107">
        <f>'Výdaje '!G28</f>
        <v>23314</v>
      </c>
      <c r="C30" s="2">
        <f>'Výdaje '!H28</f>
        <v>110584</v>
      </c>
      <c r="D30" s="2">
        <f>'Výdaje '!I28</f>
        <v>35086</v>
      </c>
      <c r="E30" s="228">
        <f t="shared" si="0"/>
        <v>31.727917239383636</v>
      </c>
      <c r="F30" s="4">
        <v>0</v>
      </c>
      <c r="G30" s="2">
        <v>46451</v>
      </c>
      <c r="H30" s="2">
        <v>14636472.68</v>
      </c>
      <c r="I30" s="248">
        <f>ROUND(H30/1000,0)+1</f>
        <v>14637</v>
      </c>
      <c r="J30" s="95">
        <f t="shared" si="1"/>
        <v>-14590021.68</v>
      </c>
      <c r="K30" s="81">
        <f t="shared" si="6"/>
        <v>31.510624098512412</v>
      </c>
      <c r="L30" s="4"/>
      <c r="M30" s="2"/>
      <c r="N30" s="251"/>
      <c r="O30" s="76">
        <f>ROUND(N30/1000,0)</f>
        <v>0</v>
      </c>
      <c r="P30" s="53"/>
      <c r="Q30" s="107">
        <f t="shared" si="2"/>
        <v>23314</v>
      </c>
      <c r="R30" s="2">
        <f t="shared" si="3"/>
        <v>64133</v>
      </c>
      <c r="S30" s="2">
        <f t="shared" si="10"/>
        <v>20449</v>
      </c>
      <c r="T30" s="53">
        <f t="shared" si="5"/>
        <v>31.885300859152078</v>
      </c>
      <c r="V30" s="233">
        <v>3112519.8</v>
      </c>
      <c r="W30" s="233">
        <f t="shared" si="8"/>
        <v>-17336.480199999998</v>
      </c>
    </row>
    <row r="31" spans="1:23" ht="17.100000000000001" customHeight="1">
      <c r="A31" s="61" t="s">
        <v>201</v>
      </c>
      <c r="B31" s="107">
        <f>'Výdaje '!G29</f>
        <v>13235</v>
      </c>
      <c r="C31" s="2">
        <f>'Výdaje '!H29</f>
        <v>16559</v>
      </c>
      <c r="D31" s="2">
        <f>'Výdaje '!I29</f>
        <v>10789</v>
      </c>
      <c r="E31" s="228">
        <f t="shared" si="0"/>
        <v>65.154900658252316</v>
      </c>
      <c r="F31" s="4">
        <v>0</v>
      </c>
      <c r="G31" s="2">
        <v>3070</v>
      </c>
      <c r="H31" s="2">
        <v>3070000</v>
      </c>
      <c r="I31" s="248">
        <f t="shared" si="11"/>
        <v>3070</v>
      </c>
      <c r="J31" s="95">
        <f t="shared" si="1"/>
        <v>-3066930</v>
      </c>
      <c r="K31" s="81">
        <f t="shared" si="6"/>
        <v>100</v>
      </c>
      <c r="L31" s="4">
        <v>0</v>
      </c>
      <c r="M31" s="2">
        <v>2064</v>
      </c>
      <c r="N31" s="251">
        <v>2064059.93</v>
      </c>
      <c r="O31" s="76">
        <f t="shared" si="7"/>
        <v>2064</v>
      </c>
      <c r="P31" s="53">
        <f>O31/M31*100</f>
        <v>100</v>
      </c>
      <c r="Q31" s="107">
        <f t="shared" si="2"/>
        <v>13235</v>
      </c>
      <c r="R31" s="2">
        <f t="shared" si="3"/>
        <v>11425</v>
      </c>
      <c r="S31" s="2">
        <f t="shared" si="10"/>
        <v>5655</v>
      </c>
      <c r="T31" s="53">
        <f t="shared" si="5"/>
        <v>49.496717724288843</v>
      </c>
      <c r="V31" s="233">
        <v>46417757.020000003</v>
      </c>
      <c r="W31" s="233">
        <f t="shared" si="8"/>
        <v>40762.757020000005</v>
      </c>
    </row>
    <row r="32" spans="1:23" ht="17.100000000000001" customHeight="1">
      <c r="A32" s="61" t="s">
        <v>202</v>
      </c>
      <c r="B32" s="107">
        <f>'Výdaje '!G30</f>
        <v>70277</v>
      </c>
      <c r="C32" s="2">
        <f>'Výdaje '!H30</f>
        <v>106474</v>
      </c>
      <c r="D32" s="2">
        <f>'Výdaje '!I30</f>
        <v>36736</v>
      </c>
      <c r="E32" s="228">
        <f t="shared" si="0"/>
        <v>34.502319815166146</v>
      </c>
      <c r="F32" s="4">
        <v>0</v>
      </c>
      <c r="G32" s="2">
        <v>9410</v>
      </c>
      <c r="H32" s="2">
        <v>4070000</v>
      </c>
      <c r="I32" s="248">
        <f t="shared" si="11"/>
        <v>4070</v>
      </c>
      <c r="J32" s="95">
        <f t="shared" si="1"/>
        <v>-4060590</v>
      </c>
      <c r="K32" s="81">
        <f t="shared" si="6"/>
        <v>43.251859723698196</v>
      </c>
      <c r="L32" s="4"/>
      <c r="M32" s="2"/>
      <c r="N32" s="251"/>
      <c r="O32" s="76">
        <f t="shared" si="7"/>
        <v>0</v>
      </c>
      <c r="P32" s="53"/>
      <c r="Q32" s="107">
        <f t="shared" si="2"/>
        <v>70277</v>
      </c>
      <c r="R32" s="2">
        <f t="shared" si="3"/>
        <v>97064</v>
      </c>
      <c r="S32" s="2">
        <f t="shared" si="10"/>
        <v>32666</v>
      </c>
      <c r="T32" s="53">
        <f t="shared" si="5"/>
        <v>33.654083903403944</v>
      </c>
      <c r="V32" s="233">
        <v>50156597</v>
      </c>
      <c r="W32" s="233">
        <f t="shared" si="8"/>
        <v>17490.597000000002</v>
      </c>
    </row>
    <row r="33" spans="1:23" ht="17.100000000000001" customHeight="1">
      <c r="A33" s="61" t="s">
        <v>203</v>
      </c>
      <c r="B33" s="107">
        <f>'Výdaje '!G31</f>
        <v>0</v>
      </c>
      <c r="C33" s="2">
        <f>'Výdaje '!H31</f>
        <v>12174</v>
      </c>
      <c r="D33" s="2">
        <f>'Výdaje '!I31</f>
        <v>10204</v>
      </c>
      <c r="E33" s="228">
        <f t="shared" si="0"/>
        <v>83.817972728766222</v>
      </c>
      <c r="F33" s="4">
        <v>0</v>
      </c>
      <c r="G33" s="2">
        <v>6000</v>
      </c>
      <c r="H33" s="2">
        <v>4139023</v>
      </c>
      <c r="I33" s="248">
        <f t="shared" si="11"/>
        <v>4139</v>
      </c>
      <c r="J33" s="95">
        <f t="shared" si="1"/>
        <v>-4133023</v>
      </c>
      <c r="K33" s="81">
        <f t="shared" si="6"/>
        <v>68.983333333333334</v>
      </c>
      <c r="L33" s="4"/>
      <c r="M33" s="2"/>
      <c r="N33" s="251"/>
      <c r="O33" s="76">
        <f t="shared" si="7"/>
        <v>0</v>
      </c>
      <c r="P33" s="53"/>
      <c r="Q33" s="107">
        <f t="shared" si="2"/>
        <v>0</v>
      </c>
      <c r="R33" s="2">
        <f t="shared" si="3"/>
        <v>6174</v>
      </c>
      <c r="S33" s="2">
        <f t="shared" si="10"/>
        <v>6065</v>
      </c>
      <c r="T33" s="53">
        <f t="shared" si="5"/>
        <v>98.234531908001301</v>
      </c>
      <c r="V33" s="233">
        <v>11732496.58</v>
      </c>
      <c r="W33" s="233">
        <f t="shared" si="8"/>
        <v>5667.4965800000009</v>
      </c>
    </row>
    <row r="34" spans="1:23" ht="17.100000000000001" customHeight="1">
      <c r="A34" s="61" t="s">
        <v>204</v>
      </c>
      <c r="B34" s="107">
        <f>'Výdaje '!G32</f>
        <v>3557</v>
      </c>
      <c r="C34" s="2">
        <f>'Výdaje '!H32</f>
        <v>12180</v>
      </c>
      <c r="D34" s="2">
        <f>'Výdaje '!I32</f>
        <v>10235</v>
      </c>
      <c r="E34" s="228">
        <f t="shared" si="0"/>
        <v>84.031198686371098</v>
      </c>
      <c r="F34" s="4"/>
      <c r="G34" s="2">
        <v>2700</v>
      </c>
      <c r="H34" s="2">
        <v>2700000</v>
      </c>
      <c r="I34" s="248">
        <f t="shared" si="11"/>
        <v>2700</v>
      </c>
      <c r="J34" s="95">
        <f t="shared" si="1"/>
        <v>-2697300</v>
      </c>
      <c r="K34" s="81">
        <f t="shared" si="6"/>
        <v>100</v>
      </c>
      <c r="L34" s="4"/>
      <c r="M34" s="2"/>
      <c r="N34" s="251"/>
      <c r="O34" s="76">
        <f t="shared" si="7"/>
        <v>0</v>
      </c>
      <c r="P34" s="53"/>
      <c r="Q34" s="107">
        <f t="shared" si="2"/>
        <v>3557</v>
      </c>
      <c r="R34" s="2">
        <f t="shared" si="3"/>
        <v>9480</v>
      </c>
      <c r="S34" s="2">
        <f t="shared" si="10"/>
        <v>7535</v>
      </c>
      <c r="T34" s="53">
        <f t="shared" si="5"/>
        <v>79.483122362869196</v>
      </c>
      <c r="V34" s="233">
        <v>6261323</v>
      </c>
      <c r="W34" s="233">
        <f t="shared" si="8"/>
        <v>-1273.6769999999997</v>
      </c>
    </row>
    <row r="35" spans="1:23" ht="17.100000000000001" customHeight="1">
      <c r="A35" s="61" t="s">
        <v>205</v>
      </c>
      <c r="B35" s="107">
        <f>'Výdaje '!G33</f>
        <v>50</v>
      </c>
      <c r="C35" s="2">
        <f>'Výdaje '!H33</f>
        <v>1158</v>
      </c>
      <c r="D35" s="2">
        <f>'Výdaje '!I33</f>
        <v>739</v>
      </c>
      <c r="E35" s="228">
        <f t="shared" si="0"/>
        <v>63.816925734024174</v>
      </c>
      <c r="F35" s="4">
        <v>0</v>
      </c>
      <c r="G35" s="2">
        <v>60</v>
      </c>
      <c r="H35" s="2">
        <v>60000</v>
      </c>
      <c r="I35" s="248">
        <f t="shared" si="11"/>
        <v>60</v>
      </c>
      <c r="J35" s="95">
        <f t="shared" si="1"/>
        <v>-59940</v>
      </c>
      <c r="K35" s="81">
        <f t="shared" si="6"/>
        <v>100</v>
      </c>
      <c r="L35" s="4">
        <v>0</v>
      </c>
      <c r="M35" s="2">
        <v>300</v>
      </c>
      <c r="N35" s="251">
        <v>300000</v>
      </c>
      <c r="O35" s="76">
        <f t="shared" si="7"/>
        <v>300</v>
      </c>
      <c r="P35" s="53">
        <f>O35/M35*100</f>
        <v>100</v>
      </c>
      <c r="Q35" s="107">
        <f t="shared" si="2"/>
        <v>50</v>
      </c>
      <c r="R35" s="2">
        <f t="shared" si="3"/>
        <v>798</v>
      </c>
      <c r="S35" s="2">
        <f t="shared" si="10"/>
        <v>379</v>
      </c>
      <c r="T35" s="53">
        <f t="shared" si="5"/>
        <v>47.493734335839598</v>
      </c>
      <c r="V35" s="233">
        <v>1011495</v>
      </c>
      <c r="W35" s="233">
        <f t="shared" si="8"/>
        <v>632.495</v>
      </c>
    </row>
    <row r="36" spans="1:23" ht="17.100000000000001" customHeight="1">
      <c r="A36" s="61" t="s">
        <v>206</v>
      </c>
      <c r="B36" s="107">
        <f>'Výdaje '!G34</f>
        <v>168255</v>
      </c>
      <c r="C36" s="2">
        <f>'Výdaje '!H34</f>
        <v>180253</v>
      </c>
      <c r="D36" s="2">
        <f>'Výdaje '!I34</f>
        <v>67287</v>
      </c>
      <c r="E36" s="228">
        <f t="shared" si="0"/>
        <v>37.329198404464833</v>
      </c>
      <c r="F36" s="4">
        <v>0</v>
      </c>
      <c r="G36" s="2">
        <v>670</v>
      </c>
      <c r="H36" s="2">
        <v>670000</v>
      </c>
      <c r="I36" s="248">
        <f t="shared" si="11"/>
        <v>670</v>
      </c>
      <c r="J36" s="95">
        <f t="shared" si="1"/>
        <v>-669330</v>
      </c>
      <c r="K36" s="81">
        <f t="shared" si="6"/>
        <v>100</v>
      </c>
      <c r="L36" s="4"/>
      <c r="M36" s="2"/>
      <c r="N36" s="251"/>
      <c r="O36" s="76">
        <f t="shared" si="7"/>
        <v>0</v>
      </c>
      <c r="P36" s="53"/>
      <c r="Q36" s="107">
        <f t="shared" si="2"/>
        <v>168255</v>
      </c>
      <c r="R36" s="2">
        <f t="shared" si="3"/>
        <v>179583</v>
      </c>
      <c r="S36" s="2">
        <f t="shared" si="10"/>
        <v>66617</v>
      </c>
      <c r="T36" s="53">
        <f t="shared" si="5"/>
        <v>37.09538207959551</v>
      </c>
      <c r="V36" s="233">
        <v>33001486.210000001</v>
      </c>
      <c r="W36" s="233">
        <f t="shared" si="8"/>
        <v>-33615.513789999997</v>
      </c>
    </row>
    <row r="37" spans="1:23" ht="17.100000000000001" customHeight="1">
      <c r="A37" s="61" t="s">
        <v>207</v>
      </c>
      <c r="B37" s="107">
        <f>'Výdaje '!G35</f>
        <v>2515</v>
      </c>
      <c r="C37" s="2">
        <f>'Výdaje '!H35</f>
        <v>3037</v>
      </c>
      <c r="D37" s="2">
        <f>'Výdaje '!I35</f>
        <v>2179</v>
      </c>
      <c r="E37" s="228">
        <f t="shared" si="0"/>
        <v>71.748435956536056</v>
      </c>
      <c r="F37" s="4"/>
      <c r="G37" s="2">
        <v>100</v>
      </c>
      <c r="H37" s="2">
        <v>100000</v>
      </c>
      <c r="I37" s="248">
        <f t="shared" si="11"/>
        <v>100</v>
      </c>
      <c r="J37" s="95">
        <f t="shared" si="1"/>
        <v>-99900</v>
      </c>
      <c r="K37" s="81">
        <f t="shared" si="6"/>
        <v>100</v>
      </c>
      <c r="L37" s="4"/>
      <c r="M37" s="2"/>
      <c r="N37" s="251">
        <v>0</v>
      </c>
      <c r="O37" s="76">
        <f t="shared" si="7"/>
        <v>0</v>
      </c>
      <c r="P37" s="53"/>
      <c r="Q37" s="107">
        <f t="shared" si="2"/>
        <v>2515</v>
      </c>
      <c r="R37" s="2">
        <f t="shared" si="3"/>
        <v>2937</v>
      </c>
      <c r="S37" s="2">
        <f t="shared" si="10"/>
        <v>2079</v>
      </c>
      <c r="T37" s="53">
        <f t="shared" si="5"/>
        <v>70.786516853932582</v>
      </c>
      <c r="V37" s="233">
        <v>769704.6</v>
      </c>
      <c r="W37" s="233">
        <f t="shared" si="8"/>
        <v>-1309.2954</v>
      </c>
    </row>
    <row r="38" spans="1:23" ht="17.100000000000001" customHeight="1">
      <c r="A38" s="61" t="s">
        <v>208</v>
      </c>
      <c r="B38" s="107">
        <f>'Výdaje '!G36</f>
        <v>24720</v>
      </c>
      <c r="C38" s="2">
        <f>'Výdaje '!H36</f>
        <v>38549</v>
      </c>
      <c r="D38" s="2">
        <f>'Výdaje '!I36</f>
        <v>33957</v>
      </c>
      <c r="E38" s="228">
        <f>D38/C38*100</f>
        <v>88.087888142364264</v>
      </c>
      <c r="F38" s="4">
        <v>0</v>
      </c>
      <c r="G38" s="2">
        <v>4300</v>
      </c>
      <c r="H38" s="2">
        <v>4250000</v>
      </c>
      <c r="I38" s="248">
        <f t="shared" si="11"/>
        <v>4250</v>
      </c>
      <c r="J38" s="95">
        <f t="shared" si="1"/>
        <v>-4245700</v>
      </c>
      <c r="K38" s="81">
        <f t="shared" si="6"/>
        <v>98.837209302325576</v>
      </c>
      <c r="L38" s="4">
        <v>0</v>
      </c>
      <c r="M38" s="2">
        <v>3605</v>
      </c>
      <c r="N38" s="251">
        <v>3605000</v>
      </c>
      <c r="O38" s="76">
        <f t="shared" si="7"/>
        <v>3605</v>
      </c>
      <c r="P38" s="53">
        <f>O38/M38*100</f>
        <v>100</v>
      </c>
      <c r="Q38" s="107">
        <f t="shared" si="2"/>
        <v>24720</v>
      </c>
      <c r="R38" s="2">
        <f t="shared" si="3"/>
        <v>30644</v>
      </c>
      <c r="S38" s="2">
        <f t="shared" si="10"/>
        <v>26102</v>
      </c>
      <c r="T38" s="53">
        <f t="shared" si="5"/>
        <v>85.178175172953914</v>
      </c>
      <c r="V38" s="233">
        <v>7380325.4900000002</v>
      </c>
      <c r="W38" s="233">
        <f t="shared" si="8"/>
        <v>-18721.674510000001</v>
      </c>
    </row>
    <row r="39" spans="1:23" ht="17.100000000000001" customHeight="1">
      <c r="A39" s="61" t="s">
        <v>209</v>
      </c>
      <c r="B39" s="107">
        <f>'Výdaje '!G37</f>
        <v>0</v>
      </c>
      <c r="C39" s="2">
        <f>'Výdaje '!H37</f>
        <v>1198</v>
      </c>
      <c r="D39" s="2">
        <f>'Výdaje '!I37</f>
        <v>1069</v>
      </c>
      <c r="E39" s="228">
        <f t="shared" si="0"/>
        <v>89.232053422370612</v>
      </c>
      <c r="F39" s="4">
        <v>0</v>
      </c>
      <c r="G39" s="2"/>
      <c r="H39" s="2"/>
      <c r="I39" s="248">
        <f t="shared" si="11"/>
        <v>0</v>
      </c>
      <c r="J39" s="95">
        <f t="shared" si="1"/>
        <v>0</v>
      </c>
      <c r="K39" s="81"/>
      <c r="L39" s="4"/>
      <c r="M39" s="2">
        <v>0</v>
      </c>
      <c r="N39" s="251">
        <v>0</v>
      </c>
      <c r="O39" s="76">
        <f t="shared" si="7"/>
        <v>0</v>
      </c>
      <c r="P39" s="53"/>
      <c r="Q39" s="107">
        <f t="shared" si="2"/>
        <v>0</v>
      </c>
      <c r="R39" s="2">
        <f t="shared" si="3"/>
        <v>1198</v>
      </c>
      <c r="S39" s="2">
        <f t="shared" si="10"/>
        <v>1069</v>
      </c>
      <c r="T39" s="53">
        <f t="shared" si="5"/>
        <v>89.232053422370612</v>
      </c>
      <c r="V39" s="233">
        <v>100000</v>
      </c>
      <c r="W39" s="233">
        <f t="shared" si="8"/>
        <v>-969</v>
      </c>
    </row>
    <row r="40" spans="1:23" ht="17.100000000000001" customHeight="1">
      <c r="A40" s="61" t="s">
        <v>210</v>
      </c>
      <c r="B40" s="107">
        <f>'Výdaje '!G38</f>
        <v>0</v>
      </c>
      <c r="C40" s="2">
        <f>'Výdaje '!H38</f>
        <v>1136</v>
      </c>
      <c r="D40" s="2">
        <f>'Výdaje '!I38</f>
        <v>771</v>
      </c>
      <c r="E40" s="228">
        <f t="shared" si="0"/>
        <v>67.869718309859152</v>
      </c>
      <c r="F40" s="4">
        <v>0</v>
      </c>
      <c r="G40" s="2"/>
      <c r="H40" s="2"/>
      <c r="I40" s="248">
        <f t="shared" si="11"/>
        <v>0</v>
      </c>
      <c r="J40" s="95">
        <f t="shared" si="1"/>
        <v>0</v>
      </c>
      <c r="K40" s="81"/>
      <c r="L40" s="4"/>
      <c r="M40" s="2">
        <v>0</v>
      </c>
      <c r="N40" s="251">
        <v>0</v>
      </c>
      <c r="O40" s="76">
        <f t="shared" si="7"/>
        <v>0</v>
      </c>
      <c r="P40" s="53"/>
      <c r="Q40" s="107">
        <f t="shared" si="2"/>
        <v>0</v>
      </c>
      <c r="R40" s="2">
        <f t="shared" si="3"/>
        <v>1136</v>
      </c>
      <c r="S40" s="2">
        <f t="shared" si="10"/>
        <v>771</v>
      </c>
      <c r="T40" s="53">
        <f t="shared" si="5"/>
        <v>67.869718309859152</v>
      </c>
      <c r="V40" s="233">
        <v>1192801.8</v>
      </c>
      <c r="W40" s="233">
        <f t="shared" si="8"/>
        <v>421.80179999999996</v>
      </c>
    </row>
    <row r="41" spans="1:23" ht="15" customHeight="1">
      <c r="A41" s="61" t="s">
        <v>211</v>
      </c>
      <c r="B41" s="107">
        <f>'Výdaje '!G39</f>
        <v>0</v>
      </c>
      <c r="C41" s="2">
        <f>'Výdaje '!H39</f>
        <v>720</v>
      </c>
      <c r="D41" s="2">
        <f>'Výdaje '!I39</f>
        <v>444</v>
      </c>
      <c r="E41" s="228">
        <f>D41/C41*100</f>
        <v>61.666666666666671</v>
      </c>
      <c r="F41" s="4">
        <v>0</v>
      </c>
      <c r="G41" s="2"/>
      <c r="H41" s="2"/>
      <c r="I41" s="248">
        <f t="shared" si="11"/>
        <v>0</v>
      </c>
      <c r="J41" s="95">
        <f t="shared" si="1"/>
        <v>0</v>
      </c>
      <c r="K41" s="81"/>
      <c r="L41" s="4"/>
      <c r="M41" s="2">
        <v>0</v>
      </c>
      <c r="N41" s="251">
        <v>0</v>
      </c>
      <c r="O41" s="2">
        <f t="shared" si="7"/>
        <v>0</v>
      </c>
      <c r="P41" s="53"/>
      <c r="Q41" s="107">
        <f t="shared" si="2"/>
        <v>0</v>
      </c>
      <c r="R41" s="2">
        <f t="shared" si="3"/>
        <v>720</v>
      </c>
      <c r="S41" s="2">
        <f t="shared" si="10"/>
        <v>444</v>
      </c>
      <c r="T41" s="53">
        <f t="shared" si="5"/>
        <v>61.666666666666671</v>
      </c>
      <c r="V41" s="233">
        <v>225373</v>
      </c>
      <c r="W41" s="233">
        <f t="shared" si="8"/>
        <v>-218.62700000000001</v>
      </c>
    </row>
    <row r="42" spans="1:23" ht="15" customHeight="1" thickBot="1">
      <c r="A42" s="62" t="s">
        <v>212</v>
      </c>
      <c r="B42" s="108">
        <f>'Výdaje '!G40</f>
        <v>230</v>
      </c>
      <c r="C42" s="6">
        <f>'Výdaje '!H40</f>
        <v>944</v>
      </c>
      <c r="D42" s="6">
        <f>'Výdaje '!I40</f>
        <v>943</v>
      </c>
      <c r="E42" s="229">
        <f t="shared" si="0"/>
        <v>99.894067796610159</v>
      </c>
      <c r="F42" s="5"/>
      <c r="G42" s="6"/>
      <c r="H42" s="6"/>
      <c r="I42" s="246">
        <f t="shared" si="11"/>
        <v>0</v>
      </c>
      <c r="J42" s="96">
        <f t="shared" si="1"/>
        <v>0</v>
      </c>
      <c r="K42" s="54"/>
      <c r="L42" s="5"/>
      <c r="M42" s="6">
        <v>350</v>
      </c>
      <c r="N42" s="253">
        <v>350000</v>
      </c>
      <c r="O42" s="6">
        <f t="shared" si="7"/>
        <v>350</v>
      </c>
      <c r="P42" s="54">
        <f>O42/M42*100</f>
        <v>100</v>
      </c>
      <c r="Q42" s="108">
        <f>B42-F42-L42</f>
        <v>230</v>
      </c>
      <c r="R42" s="6">
        <f t="shared" si="3"/>
        <v>594</v>
      </c>
      <c r="S42" s="6">
        <f t="shared" si="10"/>
        <v>593</v>
      </c>
      <c r="T42" s="54">
        <f t="shared" si="5"/>
        <v>99.831649831649827</v>
      </c>
      <c r="V42" s="233">
        <v>0</v>
      </c>
      <c r="W42" s="233">
        <f t="shared" si="8"/>
        <v>-593</v>
      </c>
    </row>
    <row r="43" spans="1:23" ht="15" customHeight="1" thickBot="1">
      <c r="A43" s="24"/>
      <c r="B43" s="1"/>
      <c r="C43" s="1"/>
      <c r="D43" s="1"/>
      <c r="E43" s="83"/>
      <c r="F43" s="74"/>
      <c r="G43" s="73"/>
      <c r="H43" s="73"/>
      <c r="I43" s="73"/>
      <c r="J43" s="235"/>
      <c r="K43" s="55"/>
      <c r="L43" s="74"/>
      <c r="M43" s="73"/>
      <c r="N43" s="73"/>
      <c r="O43" s="73"/>
      <c r="P43" s="55"/>
      <c r="Q43" s="73"/>
      <c r="R43" s="73"/>
      <c r="S43" s="73"/>
      <c r="T43" s="55"/>
      <c r="W43" s="233">
        <f t="shared" si="8"/>
        <v>0</v>
      </c>
    </row>
    <row r="44" spans="1:23" ht="18" customHeight="1" thickBot="1">
      <c r="A44" s="63" t="s">
        <v>231</v>
      </c>
      <c r="B44" s="109">
        <f>SUM(B14:B42)</f>
        <v>943712</v>
      </c>
      <c r="C44" s="50">
        <f>SUM(C14:C42)</f>
        <v>1661383</v>
      </c>
      <c r="D44" s="50">
        <f>SUM(D14:D42)</f>
        <v>699325</v>
      </c>
      <c r="E44" s="270">
        <f>D44/C44*100</f>
        <v>42.092943048050927</v>
      </c>
      <c r="F44" s="250">
        <f>SUM(F14:F42)</f>
        <v>0</v>
      </c>
      <c r="G44" s="50">
        <f>SUM(G14:G42)</f>
        <v>286330</v>
      </c>
      <c r="H44" s="50">
        <f>SUM(H14:H42)</f>
        <v>115052499.13</v>
      </c>
      <c r="I44" s="50">
        <f>SUM(I14:I42)</f>
        <v>115053</v>
      </c>
      <c r="J44" s="97"/>
      <c r="K44" s="56">
        <f>I44/G44*100</f>
        <v>40.181957880766952</v>
      </c>
      <c r="L44" s="57">
        <f>SUM(L14:L42)</f>
        <v>0</v>
      </c>
      <c r="M44" s="50">
        <f>SUM(M14:M42)</f>
        <v>26871.8727</v>
      </c>
      <c r="N44" s="50">
        <f>SUM(N14:N42)</f>
        <v>26672027.229999997</v>
      </c>
      <c r="O44" s="50">
        <f>SUM(O14:O42)</f>
        <v>26672</v>
      </c>
      <c r="P44" s="56">
        <f>O44/M44*100</f>
        <v>99.256201076004643</v>
      </c>
      <c r="Q44" s="109">
        <f>SUM(Q14:Q42)</f>
        <v>943712</v>
      </c>
      <c r="R44" s="50">
        <f>SUM(R14:R42)</f>
        <v>1348181.1273000001</v>
      </c>
      <c r="S44" s="50">
        <f>SUM(S14:S42)</f>
        <v>557600</v>
      </c>
      <c r="T44" s="56">
        <f>S44/R44*100</f>
        <v>41.359427803050806</v>
      </c>
      <c r="V44" s="233">
        <f>SUM(V14:V43)</f>
        <v>506380549.80000001</v>
      </c>
    </row>
    <row r="46" spans="1:23" hidden="1">
      <c r="B46" s="233">
        <v>494494</v>
      </c>
      <c r="C46" s="233">
        <v>1041448</v>
      </c>
      <c r="D46" s="233">
        <v>640562</v>
      </c>
      <c r="G46" s="233">
        <v>206481</v>
      </c>
      <c r="H46" s="233">
        <v>109324618.27999999</v>
      </c>
      <c r="I46" s="233">
        <v>109325</v>
      </c>
      <c r="L46" s="233">
        <v>299</v>
      </c>
      <c r="M46" s="233">
        <v>12702</v>
      </c>
      <c r="O46" s="233">
        <v>11829</v>
      </c>
    </row>
    <row r="47" spans="1:23" hidden="1"/>
    <row r="48" spans="1:23" hidden="1">
      <c r="A48" s="234">
        <v>2013</v>
      </c>
      <c r="B48" s="233">
        <v>943712</v>
      </c>
      <c r="C48" s="233">
        <v>1661383</v>
      </c>
      <c r="D48" s="233">
        <v>699325</v>
      </c>
      <c r="F48" s="256">
        <f>F44+L44</f>
        <v>0</v>
      </c>
      <c r="G48" s="257">
        <f t="shared" ref="G48" si="12">G44+M44</f>
        <v>313201.87270000001</v>
      </c>
      <c r="H48" s="107">
        <f>I44+O44</f>
        <v>141725</v>
      </c>
      <c r="I48" s="233" t="s">
        <v>255</v>
      </c>
      <c r="Q48" s="233">
        <v>943712</v>
      </c>
      <c r="R48" s="233">
        <v>1347181</v>
      </c>
      <c r="S48" s="233">
        <f>557701</f>
        <v>557701</v>
      </c>
    </row>
    <row r="49" spans="2:19" hidden="1">
      <c r="B49" s="255">
        <f>F48+Q44</f>
        <v>943712</v>
      </c>
      <c r="C49" s="255">
        <f t="shared" ref="C49:D49" si="13">G48+R44</f>
        <v>1661383</v>
      </c>
      <c r="D49" s="255">
        <f t="shared" si="13"/>
        <v>699325</v>
      </c>
    </row>
    <row r="50" spans="2:19" hidden="1">
      <c r="I50" s="233">
        <f>I44/D44*100</f>
        <v>16.452007292746575</v>
      </c>
      <c r="O50" s="233">
        <f>O44/D44*100</f>
        <v>3.8139634647695995</v>
      </c>
      <c r="S50" s="233">
        <f>S44/D44*100</f>
        <v>79.734029242483828</v>
      </c>
    </row>
    <row r="51" spans="2:19" hidden="1">
      <c r="D51" s="1"/>
    </row>
    <row r="52" spans="2:19" hidden="1"/>
    <row r="53" spans="2:19" hidden="1"/>
    <row r="54" spans="2:19" hidden="1"/>
    <row r="55" spans="2:19" hidden="1"/>
  </sheetData>
  <mergeCells count="24">
    <mergeCell ref="Q12:T12"/>
    <mergeCell ref="F12:K12"/>
    <mergeCell ref="A2:T2"/>
    <mergeCell ref="A4:T4"/>
    <mergeCell ref="B9:E9"/>
    <mergeCell ref="Q8:T8"/>
    <mergeCell ref="F9:K9"/>
    <mergeCell ref="F8:K8"/>
    <mergeCell ref="L8:P8"/>
    <mergeCell ref="L9:P9"/>
    <mergeCell ref="A7:A11"/>
    <mergeCell ref="B7:E8"/>
    <mergeCell ref="B10:B11"/>
    <mergeCell ref="C10:C11"/>
    <mergeCell ref="D10:D11"/>
    <mergeCell ref="F10:F11"/>
    <mergeCell ref="Q10:Q11"/>
    <mergeCell ref="R10:R11"/>
    <mergeCell ref="S10:S11"/>
    <mergeCell ref="G10:G11"/>
    <mergeCell ref="I10:I11"/>
    <mergeCell ref="L10:L11"/>
    <mergeCell ref="M10:M11"/>
    <mergeCell ref="O10:O11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61" orientation="landscape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transitionEvaluation="1" codeName="List13">
    <pageSetUpPr fitToPage="1"/>
  </sheetPr>
  <dimension ref="A1:AG70"/>
  <sheetViews>
    <sheetView showZeros="0" topLeftCell="A2" zoomScaleNormal="100" zoomScaleSheetLayoutView="70" workbookViewId="0">
      <pane xSplit="1" ySplit="12" topLeftCell="B14" activePane="bottomRight" state="frozen"/>
      <selection sqref="A1:XFD1048576"/>
      <selection pane="topRight" sqref="A1:XFD1048576"/>
      <selection pane="bottomLeft" sqref="A1:XFD1048576"/>
      <selection pane="bottomRight" activeCell="N82" sqref="N82"/>
    </sheetView>
  </sheetViews>
  <sheetFormatPr defaultColWidth="9.77734375" defaultRowHeight="15.75"/>
  <cols>
    <col min="1" max="1" width="26.44140625" style="89" customWidth="1"/>
    <col min="2" max="3" width="9.21875" style="86" customWidth="1"/>
    <col min="4" max="4" width="9.44140625" style="86" customWidth="1"/>
    <col min="5" max="5" width="7.6640625" style="86" customWidth="1"/>
    <col min="6" max="6" width="8.44140625" style="86" customWidth="1"/>
    <col min="7" max="7" width="9.21875" style="86" customWidth="1"/>
    <col min="8" max="8" width="9.44140625" style="86" customWidth="1"/>
    <col min="9" max="9" width="6.88671875" style="86" customWidth="1"/>
    <col min="10" max="10" width="8.44140625" style="86" customWidth="1"/>
    <col min="11" max="11" width="9.21875" style="86" customWidth="1"/>
    <col min="12" max="12" width="9.44140625" style="86" customWidth="1"/>
    <col min="13" max="13" width="6.77734375" style="86" customWidth="1"/>
    <col min="14" max="14" width="8.44140625" style="86" customWidth="1"/>
    <col min="15" max="15" width="9.21875" style="86" customWidth="1"/>
    <col min="16" max="16" width="9.44140625" style="86" customWidth="1"/>
    <col min="17" max="17" width="6.88671875" style="86" customWidth="1"/>
    <col min="18" max="18" width="8.21875" style="86" customWidth="1"/>
    <col min="19" max="19" width="8" style="86" customWidth="1"/>
    <col min="20" max="20" width="9.44140625" style="86" customWidth="1"/>
    <col min="21" max="21" width="6.77734375" style="86" customWidth="1"/>
    <col min="22" max="22" width="9.44140625" style="86" customWidth="1"/>
    <col min="23" max="23" width="9.109375" style="86" customWidth="1"/>
    <col min="24" max="24" width="10.21875" style="86" customWidth="1"/>
    <col min="25" max="25" width="6.88671875" style="86" customWidth="1"/>
    <col min="26" max="26" width="7.77734375" style="86" customWidth="1"/>
    <col min="27" max="29" width="9.109375" style="86" hidden="1" customWidth="1"/>
    <col min="30" max="30" width="0.33203125" style="86" hidden="1" customWidth="1"/>
    <col min="31" max="31" width="2.33203125" style="86" hidden="1" customWidth="1"/>
    <col min="32" max="32" width="10.44140625" style="86" hidden="1" customWidth="1"/>
    <col min="33" max="33" width="7.77734375" style="86" hidden="1" customWidth="1"/>
    <col min="34" max="55" width="7.77734375" style="86" customWidth="1"/>
    <col min="56" max="16384" width="9.77734375" style="86"/>
  </cols>
  <sheetData>
    <row r="1" spans="1:29" ht="17.25" customHeight="1"/>
    <row r="2" spans="1:29" s="84" customFormat="1" ht="24" customHeight="1">
      <c r="A2" s="279" t="s">
        <v>257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</row>
    <row r="3" spans="1:29" s="84" customFormat="1" ht="1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</row>
    <row r="4" spans="1:29" s="84" customFormat="1" ht="21" customHeight="1">
      <c r="A4" s="279" t="s">
        <v>131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</row>
    <row r="5" spans="1:29" ht="22.5" customHeight="1"/>
    <row r="6" spans="1:29" ht="22.5" customHeight="1">
      <c r="U6" s="17"/>
      <c r="Y6" s="17" t="s">
        <v>238</v>
      </c>
    </row>
    <row r="7" spans="1:29" ht="17.100000000000001" customHeight="1" thickBot="1">
      <c r="U7" s="17"/>
      <c r="Y7" s="17" t="s">
        <v>1</v>
      </c>
    </row>
    <row r="8" spans="1:29" s="89" customFormat="1" ht="18" customHeight="1">
      <c r="A8" s="301" t="s">
        <v>222</v>
      </c>
      <c r="B8" s="289" t="s">
        <v>122</v>
      </c>
      <c r="C8" s="311"/>
      <c r="D8" s="311"/>
      <c r="E8" s="290"/>
      <c r="F8" s="289" t="s">
        <v>124</v>
      </c>
      <c r="G8" s="311"/>
      <c r="H8" s="311"/>
      <c r="I8" s="290"/>
      <c r="J8" s="289" t="s">
        <v>126</v>
      </c>
      <c r="K8" s="311"/>
      <c r="L8" s="311"/>
      <c r="M8" s="290"/>
      <c r="N8" s="289" t="s">
        <v>126</v>
      </c>
      <c r="O8" s="311"/>
      <c r="P8" s="311"/>
      <c r="Q8" s="290"/>
      <c r="R8" s="289" t="s">
        <v>166</v>
      </c>
      <c r="S8" s="311"/>
      <c r="T8" s="311"/>
      <c r="U8" s="290"/>
      <c r="V8" s="289" t="s">
        <v>168</v>
      </c>
      <c r="W8" s="311"/>
      <c r="X8" s="311"/>
      <c r="Y8" s="290"/>
    </row>
    <row r="9" spans="1:29" s="89" customFormat="1" ht="18" customHeight="1" thickBot="1">
      <c r="A9" s="302"/>
      <c r="B9" s="304" t="s">
        <v>123</v>
      </c>
      <c r="C9" s="305"/>
      <c r="D9" s="305"/>
      <c r="E9" s="306"/>
      <c r="F9" s="304" t="s">
        <v>125</v>
      </c>
      <c r="G9" s="305"/>
      <c r="H9" s="305"/>
      <c r="I9" s="306"/>
      <c r="J9" s="304" t="s">
        <v>127</v>
      </c>
      <c r="K9" s="305"/>
      <c r="L9" s="305"/>
      <c r="M9" s="306"/>
      <c r="N9" s="304" t="s">
        <v>128</v>
      </c>
      <c r="O9" s="305"/>
      <c r="P9" s="305"/>
      <c r="Q9" s="306"/>
      <c r="R9" s="304" t="s">
        <v>167</v>
      </c>
      <c r="S9" s="305"/>
      <c r="T9" s="305"/>
      <c r="U9" s="306"/>
      <c r="V9" s="304" t="s">
        <v>167</v>
      </c>
      <c r="W9" s="305"/>
      <c r="X9" s="305"/>
      <c r="Y9" s="306"/>
      <c r="AA9" s="328" t="s">
        <v>148</v>
      </c>
      <c r="AB9" s="328"/>
      <c r="AC9" s="328"/>
    </row>
    <row r="10" spans="1:29" s="87" customFormat="1" ht="18.75" customHeight="1">
      <c r="A10" s="302"/>
      <c r="B10" s="344" t="s">
        <v>229</v>
      </c>
      <c r="C10" s="343" t="s">
        <v>230</v>
      </c>
      <c r="D10" s="343" t="s">
        <v>246</v>
      </c>
      <c r="E10" s="29" t="s">
        <v>0</v>
      </c>
      <c r="F10" s="344" t="s">
        <v>229</v>
      </c>
      <c r="G10" s="343" t="s">
        <v>230</v>
      </c>
      <c r="H10" s="343" t="s">
        <v>246</v>
      </c>
      <c r="I10" s="29" t="s">
        <v>0</v>
      </c>
      <c r="J10" s="344" t="s">
        <v>229</v>
      </c>
      <c r="K10" s="343" t="s">
        <v>230</v>
      </c>
      <c r="L10" s="343" t="s">
        <v>246</v>
      </c>
      <c r="M10" s="29" t="s">
        <v>0</v>
      </c>
      <c r="N10" s="344" t="s">
        <v>229</v>
      </c>
      <c r="O10" s="343" t="s">
        <v>230</v>
      </c>
      <c r="P10" s="343" t="s">
        <v>246</v>
      </c>
      <c r="Q10" s="29" t="s">
        <v>0</v>
      </c>
      <c r="R10" s="344" t="s">
        <v>229</v>
      </c>
      <c r="S10" s="343" t="s">
        <v>230</v>
      </c>
      <c r="T10" s="343" t="s">
        <v>246</v>
      </c>
      <c r="U10" s="29" t="s">
        <v>0</v>
      </c>
      <c r="V10" s="344" t="s">
        <v>229</v>
      </c>
      <c r="W10" s="343" t="s">
        <v>230</v>
      </c>
      <c r="X10" s="343" t="s">
        <v>246</v>
      </c>
      <c r="Y10" s="29" t="s">
        <v>0</v>
      </c>
      <c r="AA10" s="317" t="s">
        <v>149</v>
      </c>
      <c r="AB10" s="317"/>
      <c r="AC10" s="317"/>
    </row>
    <row r="11" spans="1:29" s="87" customFormat="1" ht="18.75" customHeight="1" thickBot="1">
      <c r="A11" s="303"/>
      <c r="B11" s="313"/>
      <c r="C11" s="315"/>
      <c r="D11" s="315"/>
      <c r="E11" s="28" t="s">
        <v>11</v>
      </c>
      <c r="F11" s="313"/>
      <c r="G11" s="315"/>
      <c r="H11" s="315"/>
      <c r="I11" s="28" t="s">
        <v>11</v>
      </c>
      <c r="J11" s="313"/>
      <c r="K11" s="315"/>
      <c r="L11" s="315"/>
      <c r="M11" s="28" t="s">
        <v>11</v>
      </c>
      <c r="N11" s="313"/>
      <c r="O11" s="315"/>
      <c r="P11" s="315"/>
      <c r="Q11" s="28" t="s">
        <v>11</v>
      </c>
      <c r="R11" s="313"/>
      <c r="S11" s="315"/>
      <c r="T11" s="315"/>
      <c r="U11" s="28" t="s">
        <v>11</v>
      </c>
      <c r="V11" s="313"/>
      <c r="W11" s="315"/>
      <c r="X11" s="315"/>
      <c r="Y11" s="28" t="s">
        <v>11</v>
      </c>
      <c r="AA11" s="87" t="s">
        <v>12</v>
      </c>
      <c r="AB11" s="87" t="s">
        <v>13</v>
      </c>
      <c r="AC11" s="87" t="s">
        <v>150</v>
      </c>
    </row>
    <row r="12" spans="1:29" ht="15.95" hidden="1" customHeight="1" thickTop="1" thickBot="1">
      <c r="A12" s="24"/>
      <c r="B12" s="3"/>
      <c r="C12" s="90" t="s">
        <v>64</v>
      </c>
      <c r="D12" s="90"/>
      <c r="E12" s="91"/>
      <c r="F12" s="3"/>
      <c r="G12" s="90" t="s">
        <v>65</v>
      </c>
      <c r="H12" s="90"/>
      <c r="I12" s="91"/>
      <c r="J12" s="3"/>
      <c r="K12" s="90" t="s">
        <v>67</v>
      </c>
      <c r="L12" s="90"/>
      <c r="M12" s="91"/>
      <c r="N12" s="3"/>
      <c r="O12" s="90" t="s">
        <v>68</v>
      </c>
      <c r="P12" s="90"/>
      <c r="Q12" s="91"/>
      <c r="R12" s="3" t="s">
        <v>32</v>
      </c>
      <c r="S12" s="90"/>
      <c r="T12" s="90" t="s">
        <v>33</v>
      </c>
      <c r="U12" s="91" t="s">
        <v>0</v>
      </c>
      <c r="V12" s="3" t="s">
        <v>32</v>
      </c>
      <c r="W12" s="90"/>
      <c r="X12" s="90" t="s">
        <v>33</v>
      </c>
      <c r="Y12" s="91" t="s">
        <v>0</v>
      </c>
    </row>
    <row r="13" spans="1:29" ht="15.95" customHeight="1">
      <c r="A13" s="24"/>
      <c r="B13" s="318" t="s">
        <v>220</v>
      </c>
      <c r="C13" s="319"/>
      <c r="D13" s="319"/>
      <c r="E13" s="320"/>
      <c r="F13" s="318" t="s">
        <v>121</v>
      </c>
      <c r="G13" s="319"/>
      <c r="H13" s="319"/>
      <c r="I13" s="320"/>
      <c r="J13" s="318" t="s">
        <v>129</v>
      </c>
      <c r="K13" s="319"/>
      <c r="L13" s="319"/>
      <c r="M13" s="320"/>
      <c r="N13" s="318" t="s">
        <v>129</v>
      </c>
      <c r="O13" s="319"/>
      <c r="P13" s="319"/>
      <c r="Q13" s="320"/>
      <c r="R13" s="318" t="s">
        <v>169</v>
      </c>
      <c r="S13" s="319"/>
      <c r="T13" s="319"/>
      <c r="U13" s="320"/>
      <c r="V13" s="318" t="s">
        <v>170</v>
      </c>
      <c r="W13" s="319"/>
      <c r="X13" s="319"/>
      <c r="Y13" s="320"/>
    </row>
    <row r="14" spans="1:29" ht="17.100000000000001" customHeight="1" thickBot="1">
      <c r="A14" s="24"/>
      <c r="B14" s="3"/>
      <c r="C14" s="90"/>
      <c r="D14" s="90"/>
      <c r="E14" s="80"/>
      <c r="F14" s="3"/>
      <c r="G14" s="90"/>
      <c r="H14" s="90"/>
      <c r="I14" s="91"/>
      <c r="J14" s="3"/>
      <c r="K14" s="90"/>
      <c r="L14" s="90"/>
      <c r="M14" s="91"/>
      <c r="N14" s="3"/>
      <c r="O14" s="90"/>
      <c r="P14" s="90"/>
      <c r="Q14" s="91"/>
      <c r="R14" s="3"/>
      <c r="S14" s="90"/>
      <c r="T14" s="90"/>
      <c r="U14" s="91"/>
      <c r="V14" s="3"/>
      <c r="W14" s="90"/>
      <c r="X14" s="90"/>
      <c r="Y14" s="91"/>
    </row>
    <row r="15" spans="1:29" ht="16.5" customHeight="1">
      <c r="A15" s="60" t="s">
        <v>184</v>
      </c>
      <c r="B15" s="7">
        <v>195661</v>
      </c>
      <c r="C15" s="8">
        <v>216929</v>
      </c>
      <c r="D15" s="8">
        <f>26247+388</f>
        <v>26635</v>
      </c>
      <c r="E15" s="81">
        <f t="shared" ref="E15:E25" si="0">D15/C15*100</f>
        <v>12.278210843179105</v>
      </c>
      <c r="F15" s="7"/>
      <c r="G15" s="8"/>
      <c r="H15" s="8"/>
      <c r="I15" s="52"/>
      <c r="J15" s="7"/>
      <c r="K15" s="8"/>
      <c r="L15" s="8"/>
      <c r="M15" s="52"/>
      <c r="N15" s="7"/>
      <c r="O15" s="8"/>
      <c r="P15" s="8"/>
      <c r="Q15" s="52"/>
      <c r="R15" s="7"/>
      <c r="S15" s="8"/>
      <c r="T15" s="8"/>
      <c r="U15" s="52"/>
      <c r="V15" s="7"/>
      <c r="W15" s="8"/>
      <c r="X15" s="8"/>
      <c r="Y15" s="52"/>
      <c r="AA15" s="1">
        <f>B15+F15+J15+N15+V15+R15</f>
        <v>195661</v>
      </c>
      <c r="AB15" s="1">
        <f>C15+G15+K15+O15+W15+S15</f>
        <v>216929</v>
      </c>
      <c r="AC15" s="1">
        <f>D15+H15+L15+P15+X15+T15</f>
        <v>26635</v>
      </c>
    </row>
    <row r="16" spans="1:29" ht="16.5" customHeight="1">
      <c r="A16" s="61" t="s">
        <v>185</v>
      </c>
      <c r="B16" s="4">
        <v>14350</v>
      </c>
      <c r="C16" s="2">
        <v>16069</v>
      </c>
      <c r="D16" s="2">
        <f>2965-3</f>
        <v>2962</v>
      </c>
      <c r="E16" s="53">
        <f t="shared" si="0"/>
        <v>18.433007654490012</v>
      </c>
      <c r="F16" s="4"/>
      <c r="G16" s="2"/>
      <c r="H16" s="2"/>
      <c r="I16" s="53"/>
      <c r="J16" s="4"/>
      <c r="K16" s="2"/>
      <c r="L16" s="2"/>
      <c r="M16" s="53"/>
      <c r="N16" s="4"/>
      <c r="O16" s="2"/>
      <c r="P16" s="2"/>
      <c r="Q16" s="53"/>
      <c r="R16" s="4"/>
      <c r="S16" s="2"/>
      <c r="T16" s="2"/>
      <c r="U16" s="53"/>
      <c r="V16" s="4"/>
      <c r="W16" s="2"/>
      <c r="X16" s="2"/>
      <c r="Y16" s="53"/>
      <c r="AA16" s="1">
        <f t="shared" ref="AA16:AA44" si="1">B16+F16+J16+N16+V16+R16</f>
        <v>14350</v>
      </c>
      <c r="AB16" s="1">
        <f t="shared" ref="AB16:AB44" si="2">C16+G16+K16+O16+W16+S16</f>
        <v>16069</v>
      </c>
      <c r="AC16" s="1">
        <f t="shared" ref="AC16:AC44" si="3">D16+H16+L16+P16+X16+T16</f>
        <v>2962</v>
      </c>
    </row>
    <row r="17" spans="1:29" ht="16.5" customHeight="1">
      <c r="A17" s="61" t="s">
        <v>186</v>
      </c>
      <c r="B17" s="4">
        <v>48999</v>
      </c>
      <c r="C17" s="2">
        <v>74918</v>
      </c>
      <c r="D17" s="2">
        <f>-19168+20</f>
        <v>-19148</v>
      </c>
      <c r="E17" s="53">
        <f t="shared" si="0"/>
        <v>-25.558610747750876</v>
      </c>
      <c r="F17" s="4"/>
      <c r="G17" s="2"/>
      <c r="H17" s="2"/>
      <c r="I17" s="53"/>
      <c r="J17" s="4"/>
      <c r="K17" s="2"/>
      <c r="L17" s="2"/>
      <c r="M17" s="53"/>
      <c r="N17" s="4"/>
      <c r="O17" s="2"/>
      <c r="P17" s="2"/>
      <c r="Q17" s="53"/>
      <c r="R17" s="4"/>
      <c r="S17" s="2"/>
      <c r="T17" s="2"/>
      <c r="U17" s="53"/>
      <c r="V17" s="4"/>
      <c r="W17" s="2"/>
      <c r="X17" s="2"/>
      <c r="Y17" s="53"/>
      <c r="AA17" s="1">
        <f t="shared" si="1"/>
        <v>48999</v>
      </c>
      <c r="AB17" s="1">
        <f t="shared" si="2"/>
        <v>74918</v>
      </c>
      <c r="AC17" s="1">
        <f t="shared" si="3"/>
        <v>-19148</v>
      </c>
    </row>
    <row r="18" spans="1:29" ht="16.5" customHeight="1">
      <c r="A18" s="61" t="s">
        <v>187</v>
      </c>
      <c r="B18" s="4">
        <v>3605</v>
      </c>
      <c r="C18" s="2">
        <v>2253</v>
      </c>
      <c r="D18" s="2">
        <f>-6615+1625</f>
        <v>-4990</v>
      </c>
      <c r="E18" s="53">
        <f t="shared" si="0"/>
        <v>-221.48246782068352</v>
      </c>
      <c r="F18" s="4"/>
      <c r="G18" s="2"/>
      <c r="H18" s="2"/>
      <c r="I18" s="53"/>
      <c r="J18" s="4">
        <v>-303</v>
      </c>
      <c r="K18" s="2">
        <v>-303</v>
      </c>
      <c r="L18" s="2">
        <v>-303</v>
      </c>
      <c r="M18" s="53">
        <f>L18/K18*100</f>
        <v>100</v>
      </c>
      <c r="N18" s="4">
        <v>-10351</v>
      </c>
      <c r="O18" s="2">
        <v>-10371</v>
      </c>
      <c r="P18" s="2">
        <v>-10370</v>
      </c>
      <c r="Q18" s="53">
        <f>P18/O18*100</f>
        <v>99.990357728280784</v>
      </c>
      <c r="R18" s="4"/>
      <c r="S18" s="2"/>
      <c r="T18" s="2">
        <f>82000-82000</f>
        <v>0</v>
      </c>
      <c r="U18" s="53"/>
      <c r="V18" s="4"/>
      <c r="W18" s="2"/>
      <c r="X18" s="2"/>
      <c r="Y18" s="53"/>
      <c r="AA18" s="1">
        <f t="shared" si="1"/>
        <v>-7049</v>
      </c>
      <c r="AB18" s="1">
        <f t="shared" si="2"/>
        <v>-8421</v>
      </c>
      <c r="AC18" s="1">
        <f t="shared" si="3"/>
        <v>-15663</v>
      </c>
    </row>
    <row r="19" spans="1:29" ht="16.5" customHeight="1">
      <c r="A19" s="61" t="s">
        <v>188</v>
      </c>
      <c r="B19" s="4">
        <v>8618</v>
      </c>
      <c r="C19" s="2">
        <v>4237</v>
      </c>
      <c r="D19" s="2">
        <f>-803+541+1</f>
        <v>-261</v>
      </c>
      <c r="E19" s="53">
        <f t="shared" si="0"/>
        <v>-6.1600188812839276</v>
      </c>
      <c r="F19" s="4"/>
      <c r="G19" s="2"/>
      <c r="H19" s="2"/>
      <c r="I19" s="53"/>
      <c r="J19" s="4"/>
      <c r="K19" s="2"/>
      <c r="L19" s="2"/>
      <c r="M19" s="53"/>
      <c r="N19" s="4">
        <v>-10000</v>
      </c>
      <c r="O19" s="2">
        <v>-10000</v>
      </c>
      <c r="P19" s="2">
        <f>-9970+1</f>
        <v>-9969</v>
      </c>
      <c r="Q19" s="53">
        <f>P19/O19*100</f>
        <v>99.69</v>
      </c>
      <c r="R19" s="4"/>
      <c r="S19" s="2"/>
      <c r="T19" s="2"/>
      <c r="U19" s="53"/>
      <c r="V19" s="4"/>
      <c r="W19" s="2"/>
      <c r="X19" s="2"/>
      <c r="Y19" s="53"/>
      <c r="AA19" s="1">
        <f t="shared" si="1"/>
        <v>-1382</v>
      </c>
      <c r="AB19" s="1">
        <f t="shared" si="2"/>
        <v>-5763</v>
      </c>
      <c r="AC19" s="1">
        <f t="shared" si="3"/>
        <v>-10230</v>
      </c>
    </row>
    <row r="20" spans="1:29" ht="16.5" customHeight="1">
      <c r="A20" s="61" t="s">
        <v>189</v>
      </c>
      <c r="B20" s="4">
        <v>1062</v>
      </c>
      <c r="C20" s="2">
        <v>2330</v>
      </c>
      <c r="D20" s="2">
        <f>-1388-98</f>
        <v>-1486</v>
      </c>
      <c r="E20" s="53">
        <f t="shared" si="0"/>
        <v>-63.776824034334766</v>
      </c>
      <c r="F20" s="4"/>
      <c r="G20" s="2"/>
      <c r="H20" s="2"/>
      <c r="I20" s="53"/>
      <c r="J20" s="4"/>
      <c r="K20" s="2"/>
      <c r="L20" s="2"/>
      <c r="M20" s="53"/>
      <c r="N20" s="4"/>
      <c r="O20" s="2"/>
      <c r="P20" s="2"/>
      <c r="Q20" s="53"/>
      <c r="R20" s="4"/>
      <c r="S20" s="2"/>
      <c r="T20" s="2"/>
      <c r="U20" s="53"/>
      <c r="V20" s="4"/>
      <c r="W20" s="2"/>
      <c r="X20" s="2"/>
      <c r="Y20" s="53"/>
      <c r="AA20" s="1">
        <f t="shared" si="1"/>
        <v>1062</v>
      </c>
      <c r="AB20" s="1">
        <f t="shared" si="2"/>
        <v>2330</v>
      </c>
      <c r="AC20" s="1">
        <f t="shared" si="3"/>
        <v>-1486</v>
      </c>
    </row>
    <row r="21" spans="1:29" ht="16.5" customHeight="1">
      <c r="A21" s="61" t="s">
        <v>190</v>
      </c>
      <c r="B21" s="4">
        <v>1000</v>
      </c>
      <c r="C21" s="2">
        <v>11870</v>
      </c>
      <c r="D21" s="2">
        <f>21142-39</f>
        <v>21103</v>
      </c>
      <c r="E21" s="53">
        <f t="shared" si="0"/>
        <v>177.7843302443134</v>
      </c>
      <c r="F21" s="4"/>
      <c r="G21" s="2"/>
      <c r="H21" s="2"/>
      <c r="I21" s="53"/>
      <c r="J21" s="4">
        <v>-1104</v>
      </c>
      <c r="K21" s="2">
        <v>-1104</v>
      </c>
      <c r="L21" s="2">
        <v>-1104</v>
      </c>
      <c r="M21" s="53">
        <f>L21/K21*100</f>
        <v>100</v>
      </c>
      <c r="N21" s="4">
        <v>-2227</v>
      </c>
      <c r="O21" s="2">
        <v>-2227</v>
      </c>
      <c r="P21" s="2">
        <v>-2227</v>
      </c>
      <c r="Q21" s="53">
        <f>P21/O21*100</f>
        <v>100</v>
      </c>
      <c r="R21" s="4"/>
      <c r="S21" s="2"/>
      <c r="T21" s="2"/>
      <c r="U21" s="53"/>
      <c r="V21" s="4"/>
      <c r="W21" s="2"/>
      <c r="X21" s="2"/>
      <c r="Y21" s="53"/>
      <c r="AA21" s="1">
        <f t="shared" si="1"/>
        <v>-2331</v>
      </c>
      <c r="AB21" s="1">
        <f t="shared" si="2"/>
        <v>8539</v>
      </c>
      <c r="AC21" s="1">
        <f t="shared" si="3"/>
        <v>17772</v>
      </c>
    </row>
    <row r="22" spans="1:29" ht="16.5" customHeight="1">
      <c r="A22" s="61" t="s">
        <v>191</v>
      </c>
      <c r="B22" s="4">
        <v>70147</v>
      </c>
      <c r="C22" s="2">
        <v>142677</v>
      </c>
      <c r="D22" s="2">
        <f>-60204-222</f>
        <v>-60426</v>
      </c>
      <c r="E22" s="53">
        <f t="shared" si="0"/>
        <v>-42.351605374377087</v>
      </c>
      <c r="F22" s="4"/>
      <c r="G22" s="2"/>
      <c r="H22" s="2"/>
      <c r="I22" s="53"/>
      <c r="J22" s="4"/>
      <c r="K22" s="2"/>
      <c r="L22" s="2"/>
      <c r="M22" s="53"/>
      <c r="N22" s="4">
        <v>-3840</v>
      </c>
      <c r="O22" s="2">
        <v>-3840</v>
      </c>
      <c r="P22" s="2">
        <v>-3840</v>
      </c>
      <c r="Q22" s="53">
        <f>P22/O22*100</f>
        <v>100</v>
      </c>
      <c r="R22" s="4"/>
      <c r="S22" s="2"/>
      <c r="T22" s="2">
        <f>270000-270000</f>
        <v>0</v>
      </c>
      <c r="U22" s="53"/>
      <c r="V22" s="4"/>
      <c r="W22" s="2"/>
      <c r="X22" s="2"/>
      <c r="Y22" s="53"/>
      <c r="AA22" s="1">
        <f t="shared" si="1"/>
        <v>66307</v>
      </c>
      <c r="AB22" s="1">
        <f t="shared" si="2"/>
        <v>138837</v>
      </c>
      <c r="AC22" s="1">
        <f t="shared" si="3"/>
        <v>-64266</v>
      </c>
    </row>
    <row r="23" spans="1:29" ht="16.5" customHeight="1">
      <c r="A23" s="61" t="s">
        <v>192</v>
      </c>
      <c r="B23" s="4"/>
      <c r="C23" s="2">
        <v>1530</v>
      </c>
      <c r="D23" s="2">
        <f>-3657-24-1</f>
        <v>-3682</v>
      </c>
      <c r="E23" s="53">
        <f t="shared" si="0"/>
        <v>-240.65359477124181</v>
      </c>
      <c r="F23" s="4"/>
      <c r="G23" s="2"/>
      <c r="H23" s="2"/>
      <c r="I23" s="53"/>
      <c r="J23" s="4"/>
      <c r="K23" s="2"/>
      <c r="L23" s="2"/>
      <c r="M23" s="53"/>
      <c r="N23" s="4"/>
      <c r="O23" s="2"/>
      <c r="P23" s="2"/>
      <c r="Q23" s="53"/>
      <c r="R23" s="4"/>
      <c r="S23" s="2"/>
      <c r="T23" s="2"/>
      <c r="U23" s="53"/>
      <c r="V23" s="4"/>
      <c r="W23" s="2"/>
      <c r="X23" s="2"/>
      <c r="Y23" s="53"/>
      <c r="AA23" s="1">
        <f t="shared" si="1"/>
        <v>0</v>
      </c>
      <c r="AB23" s="1">
        <f t="shared" si="2"/>
        <v>1530</v>
      </c>
      <c r="AC23" s="1">
        <f t="shared" si="3"/>
        <v>-3682</v>
      </c>
    </row>
    <row r="24" spans="1:29" ht="16.5" customHeight="1">
      <c r="A24" s="61" t="s">
        <v>193</v>
      </c>
      <c r="B24" s="4"/>
      <c r="C24" s="2">
        <v>1859</v>
      </c>
      <c r="D24" s="2">
        <f>-6052-9</f>
        <v>-6061</v>
      </c>
      <c r="E24" s="53">
        <f t="shared" si="0"/>
        <v>-326.03550295857985</v>
      </c>
      <c r="F24" s="4"/>
      <c r="G24" s="2"/>
      <c r="H24" s="2"/>
      <c r="I24" s="53"/>
      <c r="J24" s="4"/>
      <c r="K24" s="2"/>
      <c r="L24" s="2"/>
      <c r="M24" s="53"/>
      <c r="N24" s="4"/>
      <c r="O24" s="2"/>
      <c r="P24" s="2"/>
      <c r="Q24" s="53"/>
      <c r="R24" s="4"/>
      <c r="S24" s="2"/>
      <c r="T24" s="2"/>
      <c r="U24" s="53"/>
      <c r="V24" s="4"/>
      <c r="W24" s="2"/>
      <c r="X24" s="2"/>
      <c r="Y24" s="53"/>
      <c r="AA24" s="1">
        <f t="shared" si="1"/>
        <v>0</v>
      </c>
      <c r="AB24" s="1">
        <f t="shared" si="2"/>
        <v>1859</v>
      </c>
      <c r="AC24" s="1">
        <f t="shared" si="3"/>
        <v>-6061</v>
      </c>
    </row>
    <row r="25" spans="1:29" ht="16.5" customHeight="1">
      <c r="A25" s="61" t="s">
        <v>194</v>
      </c>
      <c r="B25" s="4">
        <v>5830</v>
      </c>
      <c r="C25" s="2">
        <v>7194</v>
      </c>
      <c r="D25" s="2">
        <v>11301</v>
      </c>
      <c r="E25" s="53">
        <f t="shared" si="0"/>
        <v>157.08924103419517</v>
      </c>
      <c r="F25" s="4"/>
      <c r="G25" s="2"/>
      <c r="H25" s="2"/>
      <c r="I25" s="53"/>
      <c r="J25" s="4"/>
      <c r="K25" s="2"/>
      <c r="L25" s="2"/>
      <c r="M25" s="53"/>
      <c r="N25" s="4"/>
      <c r="O25" s="2"/>
      <c r="P25" s="2"/>
      <c r="Q25" s="53"/>
      <c r="R25" s="4"/>
      <c r="S25" s="2"/>
      <c r="T25" s="2">
        <v>-10000</v>
      </c>
      <c r="U25" s="53"/>
      <c r="V25" s="4"/>
      <c r="W25" s="2"/>
      <c r="X25" s="2"/>
      <c r="Y25" s="53"/>
      <c r="AA25" s="1">
        <f t="shared" si="1"/>
        <v>5830</v>
      </c>
      <c r="AB25" s="1">
        <f t="shared" si="2"/>
        <v>7194</v>
      </c>
      <c r="AC25" s="1">
        <f t="shared" si="3"/>
        <v>1301</v>
      </c>
    </row>
    <row r="26" spans="1:29" ht="16.5" customHeight="1">
      <c r="A26" s="61" t="s">
        <v>195</v>
      </c>
      <c r="B26" s="4">
        <v>500</v>
      </c>
      <c r="C26" s="2">
        <v>3989</v>
      </c>
      <c r="D26" s="2">
        <v>-11225</v>
      </c>
      <c r="E26" s="53">
        <f t="shared" ref="E26:E43" si="4">D26/C26*100</f>
        <v>-281.39884682877914</v>
      </c>
      <c r="F26" s="4"/>
      <c r="G26" s="2"/>
      <c r="H26" s="2"/>
      <c r="I26" s="53"/>
      <c r="J26" s="4"/>
      <c r="K26" s="2"/>
      <c r="L26" s="2"/>
      <c r="M26" s="53"/>
      <c r="N26" s="4"/>
      <c r="O26" s="2"/>
      <c r="P26" s="2"/>
      <c r="Q26" s="53"/>
      <c r="R26" s="4"/>
      <c r="S26" s="2"/>
      <c r="T26" s="2"/>
      <c r="U26" s="53"/>
      <c r="V26" s="4"/>
      <c r="W26" s="2"/>
      <c r="X26" s="2"/>
      <c r="Y26" s="53"/>
      <c r="AA26" s="1">
        <f t="shared" si="1"/>
        <v>500</v>
      </c>
      <c r="AB26" s="1">
        <f t="shared" si="2"/>
        <v>3989</v>
      </c>
      <c r="AC26" s="1">
        <f t="shared" si="3"/>
        <v>-11225</v>
      </c>
    </row>
    <row r="27" spans="1:29" ht="16.5" customHeight="1">
      <c r="A27" s="61" t="s">
        <v>196</v>
      </c>
      <c r="B27" s="4">
        <v>72341</v>
      </c>
      <c r="C27" s="2">
        <v>146757</v>
      </c>
      <c r="D27" s="2">
        <f>11816+661</f>
        <v>12477</v>
      </c>
      <c r="E27" s="53">
        <f t="shared" si="4"/>
        <v>8.5018091130235707</v>
      </c>
      <c r="F27" s="4"/>
      <c r="G27" s="2">
        <v>5400</v>
      </c>
      <c r="H27" s="2">
        <v>5400</v>
      </c>
      <c r="I27" s="53">
        <f>H27/G27*100</f>
        <v>100</v>
      </c>
      <c r="J27" s="4">
        <v>-8024</v>
      </c>
      <c r="K27" s="2">
        <v>-8024</v>
      </c>
      <c r="L27" s="2">
        <f>-8023-1</f>
        <v>-8024</v>
      </c>
      <c r="M27" s="53">
        <f>L27/K27*100</f>
        <v>100</v>
      </c>
      <c r="N27" s="4"/>
      <c r="O27" s="2"/>
      <c r="P27" s="2"/>
      <c r="Q27" s="53"/>
      <c r="R27" s="4"/>
      <c r="S27" s="2"/>
      <c r="T27" s="2"/>
      <c r="U27" s="53"/>
      <c r="V27" s="4"/>
      <c r="W27" s="2"/>
      <c r="X27" s="2"/>
      <c r="Y27" s="53"/>
      <c r="AA27" s="1">
        <f t="shared" si="1"/>
        <v>64317</v>
      </c>
      <c r="AB27" s="1">
        <f t="shared" si="2"/>
        <v>144133</v>
      </c>
      <c r="AC27" s="1">
        <f t="shared" si="3"/>
        <v>9853</v>
      </c>
    </row>
    <row r="28" spans="1:29" ht="16.5" customHeight="1">
      <c r="A28" s="61" t="s">
        <v>197</v>
      </c>
      <c r="B28" s="4">
        <v>2605</v>
      </c>
      <c r="C28" s="2">
        <v>4169</v>
      </c>
      <c r="D28" s="2">
        <f>936+62</f>
        <v>998</v>
      </c>
      <c r="E28" s="53">
        <f t="shared" si="4"/>
        <v>23.938594387143201</v>
      </c>
      <c r="F28" s="4"/>
      <c r="G28" s="2"/>
      <c r="H28" s="2"/>
      <c r="I28" s="53"/>
      <c r="J28" s="4"/>
      <c r="K28" s="2"/>
      <c r="L28" s="2"/>
      <c r="M28" s="53"/>
      <c r="N28" s="4"/>
      <c r="O28" s="2"/>
      <c r="P28" s="2"/>
      <c r="Q28" s="53"/>
      <c r="R28" s="4"/>
      <c r="S28" s="2"/>
      <c r="T28" s="2"/>
      <c r="U28" s="53"/>
      <c r="V28" s="4"/>
      <c r="W28" s="2"/>
      <c r="X28" s="2"/>
      <c r="Y28" s="53"/>
      <c r="AA28" s="1">
        <f t="shared" si="1"/>
        <v>2605</v>
      </c>
      <c r="AB28" s="1">
        <f t="shared" si="2"/>
        <v>4169</v>
      </c>
      <c r="AC28" s="1">
        <f t="shared" si="3"/>
        <v>998</v>
      </c>
    </row>
    <row r="29" spans="1:29" ht="16.5" customHeight="1">
      <c r="A29" s="61" t="s">
        <v>198</v>
      </c>
      <c r="B29" s="4"/>
      <c r="C29" s="2">
        <v>52159</v>
      </c>
      <c r="D29" s="2">
        <f>10242+607</f>
        <v>10849</v>
      </c>
      <c r="E29" s="53">
        <f t="shared" si="4"/>
        <v>20.799861960543723</v>
      </c>
      <c r="F29" s="4"/>
      <c r="G29" s="2"/>
      <c r="H29" s="2"/>
      <c r="I29" s="53"/>
      <c r="J29" s="4">
        <v>-953</v>
      </c>
      <c r="K29" s="2">
        <v>-953</v>
      </c>
      <c r="L29" s="2">
        <v>-953</v>
      </c>
      <c r="M29" s="53">
        <f>L30/K30*100</f>
        <v>100</v>
      </c>
      <c r="N29" s="4">
        <v>-14964</v>
      </c>
      <c r="O29" s="2">
        <v>-14964</v>
      </c>
      <c r="P29" s="2">
        <v>-15008</v>
      </c>
      <c r="Q29" s="53">
        <f>P29/O29*100</f>
        <v>100.29403902699814</v>
      </c>
      <c r="R29" s="4"/>
      <c r="S29" s="2"/>
      <c r="T29" s="2"/>
      <c r="U29" s="53"/>
      <c r="V29" s="4"/>
      <c r="W29" s="2"/>
      <c r="X29" s="2"/>
      <c r="Y29" s="53"/>
      <c r="AA29" s="1">
        <f t="shared" si="1"/>
        <v>-15917</v>
      </c>
      <c r="AB29" s="1">
        <f t="shared" si="2"/>
        <v>36242</v>
      </c>
      <c r="AC29" s="1">
        <f t="shared" si="3"/>
        <v>-5112</v>
      </c>
    </row>
    <row r="30" spans="1:29" ht="16.5" customHeight="1">
      <c r="A30" s="61" t="s">
        <v>199</v>
      </c>
      <c r="B30" s="4">
        <v>21929</v>
      </c>
      <c r="C30" s="2">
        <v>29875</v>
      </c>
      <c r="D30" s="2">
        <f>-23805+1005</f>
        <v>-22800</v>
      </c>
      <c r="E30" s="53">
        <f t="shared" si="4"/>
        <v>-76.31799163179916</v>
      </c>
      <c r="F30" s="4"/>
      <c r="G30" s="2">
        <v>12667</v>
      </c>
      <c r="H30" s="2">
        <v>8746</v>
      </c>
      <c r="I30" s="53">
        <f>H30/G30*100</f>
        <v>69.045551432857039</v>
      </c>
      <c r="J30" s="4">
        <v>-1881</v>
      </c>
      <c r="K30" s="2">
        <v>-1881</v>
      </c>
      <c r="L30" s="2">
        <v>-1881</v>
      </c>
      <c r="M30" s="53">
        <f>L31/K31*100</f>
        <v>100</v>
      </c>
      <c r="N30" s="4">
        <v>-2191</v>
      </c>
      <c r="O30" s="2">
        <v>-2191</v>
      </c>
      <c r="P30" s="2">
        <v>-2191</v>
      </c>
      <c r="Q30" s="53">
        <f>P30/O30*100</f>
        <v>100</v>
      </c>
      <c r="R30" s="4"/>
      <c r="S30" s="2"/>
      <c r="T30" s="2"/>
      <c r="U30" s="53"/>
      <c r="V30" s="4"/>
      <c r="W30" s="2"/>
      <c r="X30" s="2"/>
      <c r="Y30" s="53"/>
      <c r="AA30" s="1">
        <f t="shared" si="1"/>
        <v>17857</v>
      </c>
      <c r="AB30" s="1">
        <f t="shared" si="2"/>
        <v>38470</v>
      </c>
      <c r="AC30" s="1">
        <f t="shared" si="3"/>
        <v>-18126</v>
      </c>
    </row>
    <row r="31" spans="1:29" ht="16.5" customHeight="1">
      <c r="A31" s="61" t="s">
        <v>200</v>
      </c>
      <c r="B31" s="4">
        <v>12530</v>
      </c>
      <c r="C31" s="2">
        <v>50373</v>
      </c>
      <c r="D31" s="2">
        <v>-32682</v>
      </c>
      <c r="E31" s="53">
        <f t="shared" si="4"/>
        <v>-64.87999523554285</v>
      </c>
      <c r="F31" s="4"/>
      <c r="G31" s="2"/>
      <c r="H31" s="2"/>
      <c r="I31" s="53"/>
      <c r="J31" s="4">
        <v>-1276</v>
      </c>
      <c r="K31" s="2">
        <v>-1276</v>
      </c>
      <c r="L31" s="2">
        <v>-1276</v>
      </c>
      <c r="M31" s="53">
        <f t="shared" ref="M31" si="5">L31/K31*100</f>
        <v>100</v>
      </c>
      <c r="N31" s="4"/>
      <c r="O31" s="2"/>
      <c r="P31" s="2"/>
      <c r="Q31" s="53"/>
      <c r="R31" s="4"/>
      <c r="S31" s="2"/>
      <c r="T31" s="2">
        <f>10000-10000</f>
        <v>0</v>
      </c>
      <c r="U31" s="53"/>
      <c r="V31" s="4"/>
      <c r="W31" s="2"/>
      <c r="X31" s="2"/>
      <c r="Y31" s="53"/>
      <c r="AA31" s="1">
        <f t="shared" si="1"/>
        <v>11254</v>
      </c>
      <c r="AB31" s="1">
        <f t="shared" si="2"/>
        <v>49097</v>
      </c>
      <c r="AC31" s="1">
        <f t="shared" si="3"/>
        <v>-33958</v>
      </c>
    </row>
    <row r="32" spans="1:29" ht="16.5" customHeight="1">
      <c r="A32" s="61" t="s">
        <v>201</v>
      </c>
      <c r="B32" s="4">
        <v>12467</v>
      </c>
      <c r="C32" s="2">
        <v>-2800</v>
      </c>
      <c r="D32" s="2">
        <f>-13601+441</f>
        <v>-13160</v>
      </c>
      <c r="E32" s="53">
        <f t="shared" si="4"/>
        <v>470</v>
      </c>
      <c r="F32" s="4"/>
      <c r="G32" s="2"/>
      <c r="H32" s="2"/>
      <c r="I32" s="53"/>
      <c r="J32" s="4"/>
      <c r="K32" s="2"/>
      <c r="L32" s="2"/>
      <c r="M32" s="53"/>
      <c r="N32" s="4">
        <v>-8467</v>
      </c>
      <c r="O32" s="2">
        <v>-8467</v>
      </c>
      <c r="P32" s="2">
        <v>-8467</v>
      </c>
      <c r="Q32" s="53">
        <f>P32/O32*100</f>
        <v>100</v>
      </c>
      <c r="R32" s="4"/>
      <c r="S32" s="2"/>
      <c r="T32" s="2"/>
      <c r="U32" s="53"/>
      <c r="V32" s="4"/>
      <c r="W32" s="2"/>
      <c r="X32" s="2"/>
      <c r="Y32" s="53"/>
      <c r="AA32" s="1">
        <f t="shared" si="1"/>
        <v>4000</v>
      </c>
      <c r="AB32" s="1">
        <f t="shared" si="2"/>
        <v>-11267</v>
      </c>
      <c r="AC32" s="1">
        <f t="shared" si="3"/>
        <v>-21627</v>
      </c>
    </row>
    <row r="33" spans="1:30" ht="16.5" customHeight="1">
      <c r="A33" s="61" t="s">
        <v>202</v>
      </c>
      <c r="B33" s="4">
        <v>39101</v>
      </c>
      <c r="C33" s="2">
        <v>58580</v>
      </c>
      <c r="D33" s="2">
        <f>-24298-44</f>
        <v>-24342</v>
      </c>
      <c r="E33" s="53">
        <f t="shared" si="4"/>
        <v>-41.553431205189483</v>
      </c>
      <c r="F33" s="4"/>
      <c r="G33" s="2"/>
      <c r="H33" s="2"/>
      <c r="I33" s="53"/>
      <c r="J33" s="4"/>
      <c r="K33" s="2"/>
      <c r="L33" s="2"/>
      <c r="M33" s="53"/>
      <c r="N33" s="4">
        <v>-9000</v>
      </c>
      <c r="O33" s="2">
        <v>-9000</v>
      </c>
      <c r="P33" s="2">
        <v>-9000</v>
      </c>
      <c r="Q33" s="53">
        <f>P33/O33*100</f>
        <v>100</v>
      </c>
      <c r="R33" s="4"/>
      <c r="S33" s="2"/>
      <c r="T33" s="2"/>
      <c r="U33" s="53"/>
      <c r="V33" s="4"/>
      <c r="W33" s="2"/>
      <c r="X33" s="2"/>
      <c r="Y33" s="53"/>
      <c r="AA33" s="1">
        <f t="shared" si="1"/>
        <v>30101</v>
      </c>
      <c r="AB33" s="1">
        <f t="shared" si="2"/>
        <v>49580</v>
      </c>
      <c r="AC33" s="1">
        <f t="shared" si="3"/>
        <v>-33342</v>
      </c>
    </row>
    <row r="34" spans="1:30" ht="16.5" customHeight="1">
      <c r="A34" s="61" t="s">
        <v>203</v>
      </c>
      <c r="B34" s="4"/>
      <c r="C34" s="2">
        <v>6296</v>
      </c>
      <c r="D34" s="2">
        <f>3077-13</f>
        <v>3064</v>
      </c>
      <c r="E34" s="53">
        <f t="shared" si="4"/>
        <v>48.665819567979668</v>
      </c>
      <c r="F34" s="4"/>
      <c r="G34" s="2"/>
      <c r="H34" s="2"/>
      <c r="I34" s="53"/>
      <c r="J34" s="4"/>
      <c r="K34" s="2"/>
      <c r="L34" s="2"/>
      <c r="M34" s="53"/>
      <c r="N34" s="4">
        <v>-11756</v>
      </c>
      <c r="O34" s="2">
        <v>-11756</v>
      </c>
      <c r="P34" s="2">
        <v>-11756</v>
      </c>
      <c r="Q34" s="53">
        <f>P34/O34*100</f>
        <v>100</v>
      </c>
      <c r="R34" s="4"/>
      <c r="S34" s="2"/>
      <c r="T34" s="2"/>
      <c r="U34" s="53"/>
      <c r="V34" s="4"/>
      <c r="W34" s="2"/>
      <c r="X34" s="2"/>
      <c r="Y34" s="53"/>
      <c r="AA34" s="1">
        <f t="shared" si="1"/>
        <v>-11756</v>
      </c>
      <c r="AB34" s="1">
        <f t="shared" si="2"/>
        <v>-5460</v>
      </c>
      <c r="AC34" s="1">
        <f t="shared" si="3"/>
        <v>-8692</v>
      </c>
    </row>
    <row r="35" spans="1:30" ht="16.5" customHeight="1">
      <c r="A35" s="61" t="s">
        <v>204</v>
      </c>
      <c r="B35" s="4">
        <v>377</v>
      </c>
      <c r="C35" s="2">
        <v>6556</v>
      </c>
      <c r="D35" s="2">
        <f>1767+33</f>
        <v>1800</v>
      </c>
      <c r="E35" s="53">
        <f t="shared" si="4"/>
        <v>27.45576571079927</v>
      </c>
      <c r="F35" s="4"/>
      <c r="G35" s="2"/>
      <c r="H35" s="2"/>
      <c r="I35" s="53"/>
      <c r="J35" s="4"/>
      <c r="K35" s="2"/>
      <c r="L35" s="2"/>
      <c r="M35" s="53"/>
      <c r="N35" s="4"/>
      <c r="O35" s="2"/>
      <c r="P35" s="2"/>
      <c r="Q35" s="53"/>
      <c r="R35" s="4"/>
      <c r="S35" s="2"/>
      <c r="T35" s="2"/>
      <c r="U35" s="53"/>
      <c r="V35" s="4"/>
      <c r="W35" s="2"/>
      <c r="X35" s="2"/>
      <c r="Y35" s="53"/>
      <c r="AA35" s="1">
        <f t="shared" si="1"/>
        <v>377</v>
      </c>
      <c r="AB35" s="1">
        <f t="shared" si="2"/>
        <v>6556</v>
      </c>
      <c r="AC35" s="1">
        <f t="shared" si="3"/>
        <v>1800</v>
      </c>
    </row>
    <row r="36" spans="1:30" ht="16.5" customHeight="1">
      <c r="A36" s="61" t="s">
        <v>205</v>
      </c>
      <c r="B36" s="4"/>
      <c r="C36" s="2">
        <v>3320</v>
      </c>
      <c r="D36" s="2">
        <f>-1926-28</f>
        <v>-1954</v>
      </c>
      <c r="E36" s="53">
        <f t="shared" si="4"/>
        <v>-58.855421686746986</v>
      </c>
      <c r="F36" s="4"/>
      <c r="G36" s="2"/>
      <c r="H36" s="2"/>
      <c r="I36" s="53"/>
      <c r="J36" s="4"/>
      <c r="K36" s="2"/>
      <c r="L36" s="2"/>
      <c r="M36" s="53"/>
      <c r="N36" s="4"/>
      <c r="O36" s="2"/>
      <c r="P36" s="2"/>
      <c r="Q36" s="53"/>
      <c r="R36" s="4"/>
      <c r="S36" s="2"/>
      <c r="T36" s="2"/>
      <c r="U36" s="53"/>
      <c r="V36" s="4"/>
      <c r="W36" s="2"/>
      <c r="X36" s="2"/>
      <c r="Y36" s="53"/>
      <c r="AA36" s="1">
        <f t="shared" si="1"/>
        <v>0</v>
      </c>
      <c r="AB36" s="1">
        <f t="shared" si="2"/>
        <v>3320</v>
      </c>
      <c r="AC36" s="1">
        <f t="shared" si="3"/>
        <v>-1954</v>
      </c>
    </row>
    <row r="37" spans="1:30" ht="16.5" customHeight="1">
      <c r="A37" s="61" t="s">
        <v>206</v>
      </c>
      <c r="B37" s="4">
        <v>155078</v>
      </c>
      <c r="C37" s="2">
        <v>160104</v>
      </c>
      <c r="D37" s="2">
        <f>71763+827</f>
        <v>72590</v>
      </c>
      <c r="E37" s="53">
        <f t="shared" si="4"/>
        <v>45.33927946834558</v>
      </c>
      <c r="F37" s="4"/>
      <c r="G37" s="2"/>
      <c r="H37" s="2"/>
      <c r="I37" s="53"/>
      <c r="J37" s="4"/>
      <c r="K37" s="2"/>
      <c r="L37" s="2"/>
      <c r="M37" s="53"/>
      <c r="N37" s="4"/>
      <c r="O37" s="2"/>
      <c r="P37" s="2"/>
      <c r="Q37" s="53"/>
      <c r="R37" s="4"/>
      <c r="S37" s="2"/>
      <c r="T37" s="2">
        <f>138953-174953</f>
        <v>-36000</v>
      </c>
      <c r="U37" s="53"/>
      <c r="V37" s="4"/>
      <c r="W37" s="2"/>
      <c r="X37" s="2">
        <v>-15000</v>
      </c>
      <c r="Y37" s="53"/>
      <c r="AA37" s="1">
        <f t="shared" si="1"/>
        <v>155078</v>
      </c>
      <c r="AB37" s="1">
        <f t="shared" si="2"/>
        <v>160104</v>
      </c>
      <c r="AC37" s="1">
        <f t="shared" si="3"/>
        <v>21590</v>
      </c>
    </row>
    <row r="38" spans="1:30" ht="16.5" customHeight="1">
      <c r="A38" s="61" t="s">
        <v>207</v>
      </c>
      <c r="B38" s="4">
        <v>3715</v>
      </c>
      <c r="C38" s="2">
        <v>-3536</v>
      </c>
      <c r="D38" s="2">
        <f>-7582-237-1</f>
        <v>-7820</v>
      </c>
      <c r="E38" s="53">
        <f t="shared" si="4"/>
        <v>221.15384615384616</v>
      </c>
      <c r="F38" s="4"/>
      <c r="G38" s="2"/>
      <c r="H38" s="2"/>
      <c r="I38" s="53"/>
      <c r="J38" s="4"/>
      <c r="K38" s="2"/>
      <c r="L38" s="2"/>
      <c r="M38" s="53"/>
      <c r="N38" s="4"/>
      <c r="O38" s="2"/>
      <c r="P38" s="2"/>
      <c r="Q38" s="53"/>
      <c r="R38" s="4"/>
      <c r="S38" s="2"/>
      <c r="T38" s="2"/>
      <c r="U38" s="53"/>
      <c r="V38" s="4"/>
      <c r="W38" s="2"/>
      <c r="X38" s="2"/>
      <c r="Y38" s="53"/>
      <c r="AA38" s="1">
        <f t="shared" si="1"/>
        <v>3715</v>
      </c>
      <c r="AB38" s="1">
        <f t="shared" si="2"/>
        <v>-3536</v>
      </c>
      <c r="AC38" s="1">
        <f t="shared" si="3"/>
        <v>-7820</v>
      </c>
    </row>
    <row r="39" spans="1:30" ht="16.5" customHeight="1">
      <c r="A39" s="61" t="s">
        <v>208</v>
      </c>
      <c r="B39" s="4">
        <v>21820</v>
      </c>
      <c r="C39" s="2">
        <v>20864</v>
      </c>
      <c r="D39" s="2">
        <f>11971+276</f>
        <v>12247</v>
      </c>
      <c r="E39" s="53">
        <f t="shared" si="4"/>
        <v>58.699194785276077</v>
      </c>
      <c r="F39" s="4"/>
      <c r="G39" s="2"/>
      <c r="H39" s="2"/>
      <c r="I39" s="53"/>
      <c r="J39" s="4"/>
      <c r="K39" s="2"/>
      <c r="L39" s="2"/>
      <c r="M39" s="53"/>
      <c r="N39" s="4"/>
      <c r="O39" s="2"/>
      <c r="P39" s="2"/>
      <c r="Q39" s="53"/>
      <c r="R39" s="4"/>
      <c r="S39" s="2"/>
      <c r="T39" s="2"/>
      <c r="U39" s="53"/>
      <c r="V39" s="4"/>
      <c r="W39" s="2"/>
      <c r="X39" s="2"/>
      <c r="Y39" s="53"/>
      <c r="AA39" s="1">
        <f t="shared" si="1"/>
        <v>21820</v>
      </c>
      <c r="AB39" s="1">
        <f t="shared" si="2"/>
        <v>20864</v>
      </c>
      <c r="AC39" s="1">
        <f t="shared" si="3"/>
        <v>12247</v>
      </c>
    </row>
    <row r="40" spans="1:30" ht="16.5" customHeight="1">
      <c r="A40" s="61" t="s">
        <v>209</v>
      </c>
      <c r="B40" s="4"/>
      <c r="C40" s="2">
        <v>902</v>
      </c>
      <c r="D40" s="2">
        <f>-165-7</f>
        <v>-172</v>
      </c>
      <c r="E40" s="53">
        <f t="shared" si="4"/>
        <v>-19.068736141906871</v>
      </c>
      <c r="F40" s="4"/>
      <c r="G40" s="2"/>
      <c r="H40" s="2"/>
      <c r="I40" s="53"/>
      <c r="J40" s="4"/>
      <c r="K40" s="2"/>
      <c r="L40" s="2"/>
      <c r="M40" s="53"/>
      <c r="N40" s="4"/>
      <c r="O40" s="2"/>
      <c r="P40" s="2"/>
      <c r="Q40" s="53"/>
      <c r="R40" s="4"/>
      <c r="S40" s="2"/>
      <c r="T40" s="2"/>
      <c r="U40" s="53"/>
      <c r="V40" s="4"/>
      <c r="W40" s="2"/>
      <c r="X40" s="2"/>
      <c r="Y40" s="53"/>
      <c r="AA40" s="1">
        <f t="shared" si="1"/>
        <v>0</v>
      </c>
      <c r="AB40" s="1">
        <f t="shared" si="2"/>
        <v>902</v>
      </c>
      <c r="AC40" s="1">
        <f t="shared" si="3"/>
        <v>-172</v>
      </c>
    </row>
    <row r="41" spans="1:30" ht="16.5" customHeight="1">
      <c r="A41" s="61" t="s">
        <v>210</v>
      </c>
      <c r="B41" s="4"/>
      <c r="C41" s="2">
        <v>931</v>
      </c>
      <c r="D41" s="2">
        <f>-73+1</f>
        <v>-72</v>
      </c>
      <c r="E41" s="53">
        <f t="shared" si="4"/>
        <v>-7.7336197636949517</v>
      </c>
      <c r="F41" s="4"/>
      <c r="G41" s="2"/>
      <c r="H41" s="2"/>
      <c r="I41" s="53"/>
      <c r="J41" s="4"/>
      <c r="K41" s="2"/>
      <c r="L41" s="2"/>
      <c r="M41" s="53"/>
      <c r="N41" s="4"/>
      <c r="O41" s="2"/>
      <c r="P41" s="2"/>
      <c r="Q41" s="53"/>
      <c r="R41" s="4"/>
      <c r="S41" s="2"/>
      <c r="T41" s="2"/>
      <c r="U41" s="53"/>
      <c r="V41" s="4"/>
      <c r="W41" s="2"/>
      <c r="X41" s="2"/>
      <c r="Y41" s="53"/>
      <c r="AA41" s="1">
        <f t="shared" si="1"/>
        <v>0</v>
      </c>
      <c r="AB41" s="1">
        <f t="shared" si="2"/>
        <v>931</v>
      </c>
      <c r="AC41" s="1">
        <f t="shared" si="3"/>
        <v>-72</v>
      </c>
    </row>
    <row r="42" spans="1:30" ht="16.5" customHeight="1">
      <c r="A42" s="61" t="s">
        <v>211</v>
      </c>
      <c r="B42" s="4"/>
      <c r="C42" s="2">
        <v>496</v>
      </c>
      <c r="D42" s="2">
        <v>-499</v>
      </c>
      <c r="E42" s="53">
        <f t="shared" si="4"/>
        <v>-100.60483870967742</v>
      </c>
      <c r="F42" s="4"/>
      <c r="G42" s="2"/>
      <c r="H42" s="2"/>
      <c r="I42" s="53"/>
      <c r="J42" s="4"/>
      <c r="K42" s="2"/>
      <c r="L42" s="2"/>
      <c r="M42" s="53"/>
      <c r="N42" s="4"/>
      <c r="O42" s="2"/>
      <c r="P42" s="2"/>
      <c r="Q42" s="53"/>
      <c r="R42" s="4"/>
      <c r="S42" s="2"/>
      <c r="T42" s="2"/>
      <c r="U42" s="53"/>
      <c r="V42" s="4"/>
      <c r="W42" s="2"/>
      <c r="X42" s="2"/>
      <c r="Y42" s="53"/>
      <c r="AA42" s="1">
        <f t="shared" si="1"/>
        <v>0</v>
      </c>
      <c r="AB42" s="1">
        <f t="shared" si="2"/>
        <v>496</v>
      </c>
      <c r="AC42" s="1">
        <f t="shared" si="3"/>
        <v>-499</v>
      </c>
    </row>
    <row r="43" spans="1:30" ht="16.5" customHeight="1" thickBot="1">
      <c r="A43" s="62" t="s">
        <v>212</v>
      </c>
      <c r="B43" s="5"/>
      <c r="C43" s="6">
        <v>574</v>
      </c>
      <c r="D43" s="6">
        <f>106-1</f>
        <v>105</v>
      </c>
      <c r="E43" s="54">
        <f t="shared" si="4"/>
        <v>18.292682926829269</v>
      </c>
      <c r="F43" s="5"/>
      <c r="G43" s="6"/>
      <c r="H43" s="6"/>
      <c r="I43" s="54"/>
      <c r="J43" s="5"/>
      <c r="K43" s="6"/>
      <c r="L43" s="6"/>
      <c r="M43" s="54"/>
      <c r="N43" s="5"/>
      <c r="O43" s="6"/>
      <c r="P43" s="6"/>
      <c r="Q43" s="54"/>
      <c r="R43" s="5"/>
      <c r="S43" s="6"/>
      <c r="T43" s="6"/>
      <c r="U43" s="54"/>
      <c r="V43" s="5"/>
      <c r="W43" s="6"/>
      <c r="X43" s="6"/>
      <c r="Y43" s="54"/>
      <c r="AA43" s="1">
        <f t="shared" si="1"/>
        <v>0</v>
      </c>
      <c r="AB43" s="1">
        <f t="shared" si="2"/>
        <v>574</v>
      </c>
      <c r="AC43" s="1">
        <f t="shared" si="3"/>
        <v>105</v>
      </c>
    </row>
    <row r="44" spans="1:30" ht="15" customHeight="1" thickBot="1">
      <c r="A44" s="24"/>
      <c r="B44" s="74"/>
      <c r="C44" s="73"/>
      <c r="D44" s="73"/>
      <c r="E44" s="55"/>
      <c r="F44" s="74"/>
      <c r="G44" s="73"/>
      <c r="H44" s="73"/>
      <c r="I44" s="55"/>
      <c r="J44" s="74"/>
      <c r="K44" s="73"/>
      <c r="L44" s="73"/>
      <c r="M44" s="55"/>
      <c r="N44" s="74"/>
      <c r="O44" s="73"/>
      <c r="P44" s="73"/>
      <c r="Q44" s="55"/>
      <c r="R44" s="74"/>
      <c r="S44" s="73"/>
      <c r="T44" s="73"/>
      <c r="U44" s="55"/>
      <c r="V44" s="74"/>
      <c r="W44" s="73"/>
      <c r="X44" s="73"/>
      <c r="Y44" s="55"/>
      <c r="AA44" s="1">
        <f t="shared" si="1"/>
        <v>0</v>
      </c>
      <c r="AB44" s="1">
        <f t="shared" si="2"/>
        <v>0</v>
      </c>
      <c r="AC44" s="1">
        <f t="shared" si="3"/>
        <v>0</v>
      </c>
    </row>
    <row r="45" spans="1:30" s="89" customFormat="1" ht="18" customHeight="1" thickBot="1">
      <c r="A45" s="63" t="s">
        <v>231</v>
      </c>
      <c r="B45" s="57">
        <f>SUM(B15:B43)</f>
        <v>691735</v>
      </c>
      <c r="C45" s="50">
        <f>SUM(C15:C43)</f>
        <v>1021475</v>
      </c>
      <c r="D45" s="50">
        <f>SUM(D15:D43)</f>
        <v>-34649</v>
      </c>
      <c r="E45" s="50">
        <f>SUM(E15:E43)</f>
        <v>-267.99986194162449</v>
      </c>
      <c r="F45" s="57"/>
      <c r="G45" s="50">
        <f>SUM(G15:G43)</f>
        <v>18067</v>
      </c>
      <c r="H45" s="50">
        <f>SUM(H15:H43)</f>
        <v>14146</v>
      </c>
      <c r="I45" s="56"/>
      <c r="J45" s="57">
        <f>SUM(J15:J43)</f>
        <v>-13541</v>
      </c>
      <c r="K45" s="50">
        <f>SUM(K15:K43)</f>
        <v>-13541</v>
      </c>
      <c r="L45" s="50">
        <f>SUM(L15:L43)</f>
        <v>-13541</v>
      </c>
      <c r="M45" s="56">
        <f>L45/K45*100</f>
        <v>100</v>
      </c>
      <c r="N45" s="57">
        <f>SUM(N15:N43)</f>
        <v>-72796</v>
      </c>
      <c r="O45" s="50">
        <f>SUM(O15:O43)</f>
        <v>-72816</v>
      </c>
      <c r="P45" s="50">
        <f>SUM(P15:P43)</f>
        <v>-72828</v>
      </c>
      <c r="Q45" s="56">
        <f>P45/O45*100</f>
        <v>100.01647989452866</v>
      </c>
      <c r="R45" s="57">
        <f>SUM(R15:R43)</f>
        <v>0</v>
      </c>
      <c r="S45" s="50">
        <f>SUM(S15:S43)</f>
        <v>0</v>
      </c>
      <c r="T45" s="50">
        <f>SUM(T15:T43)</f>
        <v>-46000</v>
      </c>
      <c r="U45" s="56"/>
      <c r="V45" s="57">
        <f>SUM(V15:V43)</f>
        <v>0</v>
      </c>
      <c r="W45" s="50">
        <f>SUM(W15:W43)</f>
        <v>0</v>
      </c>
      <c r="X45" s="50">
        <f>SUM(X15:X43)</f>
        <v>-15000</v>
      </c>
      <c r="Y45" s="56"/>
      <c r="AD45" s="89">
        <f>SUM(AD15:AD44)</f>
        <v>0</v>
      </c>
    </row>
    <row r="46" spans="1:30" ht="15.95" customHeight="1">
      <c r="Y46" s="83"/>
      <c r="AD46" s="86" t="e">
        <f>#REF!+AD45</f>
        <v>#REF!</v>
      </c>
    </row>
    <row r="47" spans="1:30" ht="15.95" hidden="1" customHeight="1">
      <c r="AA47" s="86">
        <v>605398</v>
      </c>
      <c r="AB47" s="86">
        <v>953185</v>
      </c>
      <c r="AC47" s="86">
        <v>-167872</v>
      </c>
    </row>
    <row r="48" spans="1:30" ht="15.95" hidden="1" customHeight="1">
      <c r="A48" s="89">
        <v>2012</v>
      </c>
      <c r="B48" s="86">
        <v>362113</v>
      </c>
      <c r="C48" s="86">
        <v>469891</v>
      </c>
      <c r="D48" s="86">
        <f>-485090+2488</f>
        <v>-482602</v>
      </c>
      <c r="J48" s="86">
        <v>-23578</v>
      </c>
      <c r="K48" s="86">
        <v>-32909</v>
      </c>
      <c r="L48" s="86">
        <v>-32909</v>
      </c>
      <c r="N48" s="86">
        <v>-73311</v>
      </c>
      <c r="O48" s="86">
        <v>-75238</v>
      </c>
      <c r="P48" s="86">
        <v>-75218</v>
      </c>
      <c r="T48" s="86">
        <f>4863500-4863500</f>
        <v>0</v>
      </c>
    </row>
    <row r="49" spans="1:29" ht="15.95" hidden="1" customHeight="1"/>
    <row r="50" spans="1:29" ht="15.95" hidden="1" customHeight="1">
      <c r="A50" s="89">
        <v>2013</v>
      </c>
      <c r="B50" s="86">
        <v>691735</v>
      </c>
      <c r="C50" s="86">
        <v>1021475</v>
      </c>
      <c r="D50" s="86">
        <f>-40411+5762</f>
        <v>-34649</v>
      </c>
      <c r="G50" s="86">
        <v>18067</v>
      </c>
      <c r="H50" s="86">
        <v>14146</v>
      </c>
      <c r="J50" s="86">
        <v>-13541</v>
      </c>
      <c r="K50" s="86">
        <v>-13541</v>
      </c>
      <c r="L50" s="86">
        <v>-13541</v>
      </c>
      <c r="N50" s="86">
        <v>-72796</v>
      </c>
      <c r="O50" s="86">
        <v>-72816</v>
      </c>
      <c r="P50" s="86">
        <v>-72828</v>
      </c>
      <c r="T50" s="86">
        <f>515953-561953</f>
        <v>-46000</v>
      </c>
      <c r="X50" s="86">
        <v>-15000</v>
      </c>
      <c r="AA50" s="86">
        <f>SUM(AA15:AA43)</f>
        <v>605398</v>
      </c>
      <c r="AB50" s="86">
        <f t="shared" ref="AB50:AC50" si="6">SUM(AB15:AB43)</f>
        <v>953185</v>
      </c>
      <c r="AC50" s="86">
        <f t="shared" si="6"/>
        <v>-167872</v>
      </c>
    </row>
    <row r="51" spans="1:29" hidden="1">
      <c r="B51" s="1"/>
      <c r="D51" s="345">
        <f>-485089831+2487754</f>
        <v>-482602077</v>
      </c>
      <c r="E51" s="345"/>
    </row>
    <row r="52" spans="1:29" hidden="1">
      <c r="C52" s="86">
        <f>C50-C45</f>
        <v>0</v>
      </c>
      <c r="D52" s="86">
        <f>D50-D45</f>
        <v>0</v>
      </c>
      <c r="E52" s="86">
        <f>9+328</f>
        <v>337</v>
      </c>
    </row>
    <row r="53" spans="1:29" hidden="1">
      <c r="C53" s="86">
        <f>C52/2</f>
        <v>0</v>
      </c>
      <c r="E53" s="316"/>
      <c r="F53" s="316"/>
      <c r="G53" s="316"/>
      <c r="H53" s="316"/>
    </row>
    <row r="54" spans="1:29" hidden="1">
      <c r="D54" s="86">
        <f>D53/2</f>
        <v>0</v>
      </c>
      <c r="E54" s="316"/>
      <c r="F54" s="316"/>
      <c r="G54" s="316"/>
      <c r="H54" s="316"/>
    </row>
    <row r="55" spans="1:29" hidden="1">
      <c r="E55" s="316"/>
      <c r="F55" s="316"/>
      <c r="G55" s="316"/>
      <c r="H55" s="316"/>
    </row>
    <row r="56" spans="1:29" hidden="1"/>
    <row r="57" spans="1:29" hidden="1"/>
    <row r="58" spans="1:29" hidden="1"/>
    <row r="59" spans="1:29" hidden="1"/>
    <row r="60" spans="1:29" hidden="1"/>
    <row r="61" spans="1:29" hidden="1"/>
    <row r="62" spans="1:29" hidden="1"/>
    <row r="63" spans="1:29" hidden="1"/>
    <row r="64" spans="1:29" hidden="1"/>
    <row r="65" spans="6:6" hidden="1"/>
    <row r="66" spans="6:6" hidden="1"/>
    <row r="67" spans="6:6" hidden="1"/>
    <row r="68" spans="6:6" hidden="1">
      <c r="F68" s="86">
        <f>800+400+380+380</f>
        <v>1960</v>
      </c>
    </row>
    <row r="69" spans="6:6" hidden="1">
      <c r="F69" s="86">
        <v>500</v>
      </c>
    </row>
    <row r="70" spans="6:6" hidden="1"/>
  </sheetData>
  <mergeCells count="48">
    <mergeCell ref="A2:Y2"/>
    <mergeCell ref="B9:E9"/>
    <mergeCell ref="F9:I9"/>
    <mergeCell ref="J9:M9"/>
    <mergeCell ref="N9:Q9"/>
    <mergeCell ref="V8:Y8"/>
    <mergeCell ref="A3:Y3"/>
    <mergeCell ref="A4:Y4"/>
    <mergeCell ref="V9:Y9"/>
    <mergeCell ref="R8:U8"/>
    <mergeCell ref="R9:U9"/>
    <mergeCell ref="A8:A11"/>
    <mergeCell ref="B8:E8"/>
    <mergeCell ref="F8:I8"/>
    <mergeCell ref="J8:M8"/>
    <mergeCell ref="N8:Q8"/>
    <mergeCell ref="E55:F55"/>
    <mergeCell ref="G55:H55"/>
    <mergeCell ref="AA9:AC9"/>
    <mergeCell ref="AA10:AC10"/>
    <mergeCell ref="E53:H53"/>
    <mergeCell ref="E54:F54"/>
    <mergeCell ref="G54:H54"/>
    <mergeCell ref="V13:Y13"/>
    <mergeCell ref="B13:E13"/>
    <mergeCell ref="R13:U13"/>
    <mergeCell ref="F13:I13"/>
    <mergeCell ref="J13:M13"/>
    <mergeCell ref="N13:Q13"/>
    <mergeCell ref="D51:E51"/>
    <mergeCell ref="W10:W11"/>
    <mergeCell ref="B10:B11"/>
    <mergeCell ref="C10:C11"/>
    <mergeCell ref="D10:D11"/>
    <mergeCell ref="F10:F11"/>
    <mergeCell ref="G10:G11"/>
    <mergeCell ref="H10:H11"/>
    <mergeCell ref="J10:J11"/>
    <mergeCell ref="K10:K11"/>
    <mergeCell ref="L10:L11"/>
    <mergeCell ref="N10:N11"/>
    <mergeCell ref="O10:O11"/>
    <mergeCell ref="X10:X11"/>
    <mergeCell ref="P10:P11"/>
    <mergeCell ref="R10:R11"/>
    <mergeCell ref="S10:S11"/>
    <mergeCell ref="T10:T11"/>
    <mergeCell ref="V10:V11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5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codeName="List2">
    <pageSetUpPr fitToPage="1"/>
  </sheetPr>
  <dimension ref="A1:T107"/>
  <sheetViews>
    <sheetView showZeros="0" zoomScaleNormal="100" zoomScaleSheetLayoutView="70" workbookViewId="0">
      <pane xSplit="1" ySplit="9" topLeftCell="B10" activePane="bottomRight" state="frozen"/>
      <selection activeCell="C37" sqref="C37"/>
      <selection pane="topRight" activeCell="C37" sqref="C37"/>
      <selection pane="bottomLeft" activeCell="C37" sqref="C37"/>
      <selection pane="bottomRight"/>
    </sheetView>
  </sheetViews>
  <sheetFormatPr defaultColWidth="9.77734375" defaultRowHeight="15.75"/>
  <cols>
    <col min="1" max="1" width="27.33203125" style="234" customWidth="1"/>
    <col min="2" max="4" width="11.77734375" style="233" customWidth="1"/>
    <col min="5" max="5" width="13.33203125" style="233" hidden="1" customWidth="1"/>
    <col min="6" max="6" width="6.33203125" style="233" hidden="1" customWidth="1"/>
    <col min="7" max="7" width="6.77734375" style="233" customWidth="1"/>
    <col min="8" max="10" width="11.77734375" style="233" customWidth="1"/>
    <col min="11" max="11" width="6.77734375" style="233" customWidth="1"/>
    <col min="12" max="14" width="11.77734375" style="233" customWidth="1"/>
    <col min="15" max="15" width="6.77734375" style="233" customWidth="1"/>
    <col min="16" max="18" width="11.77734375" style="233" customWidth="1"/>
    <col min="19" max="19" width="6.77734375" style="233" customWidth="1"/>
    <col min="20" max="20" width="7.77734375" style="233" customWidth="1"/>
    <col min="21" max="21" width="0" style="233" hidden="1" customWidth="1"/>
    <col min="22" max="24" width="9.77734375" style="233"/>
    <col min="25" max="25" width="10.77734375" style="233" customWidth="1"/>
    <col min="26" max="28" width="9.77734375" style="233"/>
    <col min="29" max="29" width="10.77734375" style="233" customWidth="1"/>
    <col min="30" max="32" width="9.77734375" style="233"/>
    <col min="33" max="33" width="10.77734375" style="233" customWidth="1"/>
    <col min="34" max="36" width="9.77734375" style="233"/>
    <col min="37" max="37" width="10.77734375" style="233" customWidth="1"/>
    <col min="38" max="16384" width="9.77734375" style="233"/>
  </cols>
  <sheetData>
    <row r="1" spans="1:20" ht="17.25" customHeight="1"/>
    <row r="2" spans="1:20" s="20" customFormat="1" ht="24" customHeight="1">
      <c r="A2" s="285" t="s">
        <v>245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19"/>
    </row>
    <row r="3" spans="1:20" s="20" customFormat="1" ht="15" customHeight="1">
      <c r="A3" s="230"/>
      <c r="P3" s="20" t="s">
        <v>10</v>
      </c>
    </row>
    <row r="4" spans="1:20" s="20" customFormat="1" ht="21" customHeight="1">
      <c r="A4" s="285" t="s">
        <v>17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</row>
    <row r="5" spans="1:20" ht="22.5" customHeight="1">
      <c r="S5" s="17" t="s">
        <v>9</v>
      </c>
    </row>
    <row r="6" spans="1:20" ht="22.5" customHeight="1" thickBot="1">
      <c r="S6" s="17" t="s">
        <v>1</v>
      </c>
    </row>
    <row r="7" spans="1:20" ht="21.75" customHeight="1" thickBot="1">
      <c r="A7" s="282" t="s">
        <v>222</v>
      </c>
      <c r="B7" s="294" t="s">
        <v>14</v>
      </c>
      <c r="C7" s="295"/>
      <c r="D7" s="295"/>
      <c r="E7" s="295"/>
      <c r="F7" s="295"/>
      <c r="G7" s="296"/>
      <c r="H7" s="294" t="s">
        <v>16</v>
      </c>
      <c r="I7" s="295"/>
      <c r="J7" s="295"/>
      <c r="K7" s="296"/>
      <c r="L7" s="294" t="s">
        <v>18</v>
      </c>
      <c r="M7" s="295"/>
      <c r="N7" s="295"/>
      <c r="O7" s="296"/>
      <c r="P7" s="294" t="s">
        <v>135</v>
      </c>
      <c r="Q7" s="295"/>
      <c r="R7" s="295"/>
      <c r="S7" s="296"/>
    </row>
    <row r="8" spans="1:20" ht="18" customHeight="1">
      <c r="A8" s="283"/>
      <c r="B8" s="293" t="s">
        <v>229</v>
      </c>
      <c r="C8" s="278" t="s">
        <v>230</v>
      </c>
      <c r="D8" s="278" t="s">
        <v>246</v>
      </c>
      <c r="E8" s="21" t="s">
        <v>0</v>
      </c>
      <c r="F8" s="22"/>
      <c r="G8" s="23" t="s">
        <v>0</v>
      </c>
      <c r="H8" s="293" t="s">
        <v>229</v>
      </c>
      <c r="I8" s="278" t="s">
        <v>230</v>
      </c>
      <c r="J8" s="278" t="s">
        <v>246</v>
      </c>
      <c r="K8" s="23" t="s">
        <v>0</v>
      </c>
      <c r="L8" s="293" t="s">
        <v>229</v>
      </c>
      <c r="M8" s="278" t="s">
        <v>230</v>
      </c>
      <c r="N8" s="278" t="s">
        <v>246</v>
      </c>
      <c r="O8" s="23" t="s">
        <v>0</v>
      </c>
      <c r="P8" s="293" t="s">
        <v>229</v>
      </c>
      <c r="Q8" s="278" t="s">
        <v>230</v>
      </c>
      <c r="R8" s="278" t="s">
        <v>246</v>
      </c>
      <c r="S8" s="23" t="s">
        <v>0</v>
      </c>
    </row>
    <row r="9" spans="1:20" ht="18" customHeight="1" thickBot="1">
      <c r="A9" s="284"/>
      <c r="B9" s="281"/>
      <c r="C9" s="277"/>
      <c r="D9" s="277"/>
      <c r="E9" s="12" t="s">
        <v>11</v>
      </c>
      <c r="F9" s="13"/>
      <c r="G9" s="14" t="s">
        <v>11</v>
      </c>
      <c r="H9" s="281"/>
      <c r="I9" s="277"/>
      <c r="J9" s="277"/>
      <c r="K9" s="14" t="s">
        <v>11</v>
      </c>
      <c r="L9" s="281"/>
      <c r="M9" s="277"/>
      <c r="N9" s="277"/>
      <c r="O9" s="14" t="s">
        <v>11</v>
      </c>
      <c r="P9" s="281"/>
      <c r="Q9" s="277"/>
      <c r="R9" s="277"/>
      <c r="S9" s="14" t="s">
        <v>11</v>
      </c>
    </row>
    <row r="10" spans="1:20" ht="17.100000000000001" customHeight="1" thickBot="1">
      <c r="A10" s="24"/>
      <c r="B10" s="3"/>
      <c r="C10" s="235"/>
      <c r="D10" s="235"/>
      <c r="E10" s="235"/>
      <c r="F10" s="235"/>
      <c r="G10" s="236"/>
      <c r="H10" s="3"/>
      <c r="I10" s="235"/>
      <c r="J10" s="235"/>
      <c r="K10" s="236"/>
      <c r="L10" s="3"/>
      <c r="M10" s="235"/>
      <c r="N10" s="235"/>
      <c r="O10" s="236"/>
      <c r="P10" s="3"/>
      <c r="Q10" s="235"/>
      <c r="R10" s="235"/>
      <c r="S10" s="236"/>
    </row>
    <row r="11" spans="1:20" ht="17.100000000000001" customHeight="1">
      <c r="A11" s="60" t="s">
        <v>184</v>
      </c>
      <c r="B11" s="7">
        <f>'Daňové příjmy'!B12+'Daňové příjmy'!F12++'Daňové příjmy'!J12+'Daňové příjmy'!N12+'Ost.daně=Místní popl.'!B13</f>
        <v>53597</v>
      </c>
      <c r="C11" s="8">
        <f>'Daňové příjmy'!C12+'Daňové příjmy'!G12++'Daňové příjmy'!K12+'Daňové příjmy'!O12+'Ost.daně=Místní popl.'!C13</f>
        <v>70603</v>
      </c>
      <c r="D11" s="8">
        <f>'Daňové příjmy'!D12+'Daňové příjmy'!H12+'Daňové příjmy'!L12+'Daňové příjmy'!P12+'Ost.daně=Místní popl.'!D13</f>
        <v>65308</v>
      </c>
      <c r="E11" s="92">
        <v>-85288736.079999998</v>
      </c>
      <c r="F11" s="92">
        <f>-E11/1000-D11</f>
        <v>19980.736080000002</v>
      </c>
      <c r="G11" s="52">
        <f t="shared" ref="G11:G39" si="0">SUM(D11/C11*100)</f>
        <v>92.500318683342059</v>
      </c>
      <c r="H11" s="7">
        <f>'Nedaňové příjmy'!B14+'Nedaňové příjmy'!F14+'Nedaňové příjmy'!J14+'Nedaňové příjmy'!N14+'Nedaňové příjmy'!R14+'Nedaňové příjmy'!V14</f>
        <v>21320</v>
      </c>
      <c r="I11" s="8">
        <f>'Nedaňové příjmy'!C14+'Nedaňové příjmy'!G14+'Nedaňové příjmy'!K14+'Nedaňové příjmy'!O14+'Nedaňové příjmy'!S14+'Nedaňové příjmy'!W14</f>
        <v>56093</v>
      </c>
      <c r="J11" s="8">
        <f>'Nedaňové příjmy'!D14+'Nedaňové příjmy'!H14+'Nedaňové příjmy'!L14+'Nedaňové příjmy'!P14+'Nedaňové příjmy'!T14+'Nedaňové příjmy'!X14</f>
        <v>49152</v>
      </c>
      <c r="K11" s="52">
        <f>SUM(J11/I11*100)</f>
        <v>87.625906975915001</v>
      </c>
      <c r="L11" s="7">
        <f>'Kapitálové příjmy'!B12+'Kapitálové příjmy'!F12</f>
        <v>0</v>
      </c>
      <c r="M11" s="8">
        <f>'Kapitálové příjmy'!C12+'Kapitálové příjmy'!G12</f>
        <v>0</v>
      </c>
      <c r="N11" s="8">
        <f>'Kapitálové příjmy'!D12+'Kapitálové příjmy'!H12</f>
        <v>259</v>
      </c>
      <c r="O11" s="52"/>
      <c r="P11" s="7">
        <f>'Transfery neinvestiční 2.5'!B13+'Transfery neinvestiční 2.5'!F13+'Transfery neinvestiční 2.5'!J13+'Transfery neinvestiční 2.5'!N13+'Transfery nein.2.5a'!B14+'Transfery nein.2.5a'!N14+'Transfery nein.2.5a'!R14+'Transfery nein.2.5a'!V14+'Transfery neinvestiční 2.5'!R13+'Transfery investiční'!E13+'Transfery investiční'!I13+'Transfery investiční'!M13+'Transfery investiční'!Q13+'Transfery investiční'!U13+'Transfery nein.2.5a'!Z14+'Transfery investiční'!Y13</f>
        <v>249799</v>
      </c>
      <c r="Q11" s="8">
        <f>'Transfery neinvestiční 2.5'!C13+'Transfery neinvestiční 2.5'!G13+'Transfery neinvestiční 2.5'!K13+'Transfery neinvestiční 2.5'!O13+'Transfery nein.2.5a'!C14+'Transfery nein.2.5a'!O14+'Transfery nein.2.5a'!S14+'Transfery nein.2.5a'!W14+'Transfery neinvestiční 2.5'!S13+'Transfery investiční'!B13+'Transfery investiční'!F13+'Transfery investiční'!J13+'Transfery investiční'!N13+'Transfery investiční'!R13+'Transfery investiční'!V13+'Transfery nein.2.5a'!AA14+'Transfery investiční'!Z13</f>
        <v>366578</v>
      </c>
      <c r="R11" s="8">
        <f>'Transfery neinvestiční 2.5'!D13+'Transfery neinvestiční 2.5'!H13+'Transfery neinvestiční 2.5'!L13+'Transfery neinvestiční 2.5'!P13+'Transfery nein.2.5a'!D14+'Transfery nein.2.5a'!P14+'Transfery nein.2.5a'!T14+'Transfery nein.2.5a'!X14+'Transfery neinvestiční 2.5'!T13+'Transfery investiční'!C13+'Transfery investiční'!G13+'Transfery investiční'!K13+'Transfery investiční'!O13+'Transfery investiční'!S13+'Transfery investiční'!W13+'Transfery nein.2.5a'!AB14+'Transfery investiční'!AA13</f>
        <v>285571</v>
      </c>
      <c r="S11" s="52">
        <f>SUM(R11/Q11*100)</f>
        <v>77.90183808084501</v>
      </c>
    </row>
    <row r="12" spans="1:20" ht="17.100000000000001" customHeight="1">
      <c r="A12" s="61" t="s">
        <v>185</v>
      </c>
      <c r="B12" s="4">
        <f>'Daňové příjmy'!B13+'Daňové příjmy'!F13++'Daňové příjmy'!J13+'Daňové příjmy'!N13+'Ost.daně=Místní popl.'!B14</f>
        <v>2950</v>
      </c>
      <c r="C12" s="2">
        <f>'Daňové příjmy'!C13+'Daňové příjmy'!G13++'Daňové příjmy'!K13+'Daňové příjmy'!O13+'Ost.daně=Místní popl.'!C14</f>
        <v>3410</v>
      </c>
      <c r="D12" s="2">
        <f>'Daňové příjmy'!D13+'Daňové příjmy'!H13+'Daňové příjmy'!L13+'Daňové příjmy'!P13+'Ost.daně=Místní popl.'!D14</f>
        <v>3361</v>
      </c>
      <c r="E12" s="95">
        <v>-5982635</v>
      </c>
      <c r="F12" s="95">
        <f t="shared" ref="F12:F39" si="1">-E12/1000-D12</f>
        <v>2621.6350000000002</v>
      </c>
      <c r="G12" s="53">
        <f t="shared" si="0"/>
        <v>98.563049853372434</v>
      </c>
      <c r="H12" s="4">
        <f>'Nedaňové příjmy'!B15+'Nedaňové příjmy'!F15+'Nedaňové příjmy'!J15+'Nedaňové příjmy'!N15+'Nedaňové příjmy'!R15+'Nedaňové příjmy'!V15</f>
        <v>4331</v>
      </c>
      <c r="I12" s="2">
        <f>'Nedaňové příjmy'!C15+'Nedaňové příjmy'!G15+'Nedaňové příjmy'!K15+'Nedaňové příjmy'!O15+'Nedaňové příjmy'!S15+'Nedaňové příjmy'!W15</f>
        <v>11260</v>
      </c>
      <c r="J12" s="2">
        <f>'Nedaňové příjmy'!D15+'Nedaňové příjmy'!H15+'Nedaňové příjmy'!L15+'Nedaňové příjmy'!P15+'Nedaňové příjmy'!T15+'Nedaňové příjmy'!X15</f>
        <v>11239</v>
      </c>
      <c r="K12" s="53">
        <f t="shared" ref="K12:K39" si="2">SUM(J12/I12*100)</f>
        <v>99.813499111900526</v>
      </c>
      <c r="L12" s="4">
        <f>'Kapitálové příjmy'!B13+'Kapitálové příjmy'!F13</f>
        <v>0</v>
      </c>
      <c r="M12" s="2">
        <f>'Kapitálové příjmy'!C13+'Kapitálové příjmy'!G13</f>
        <v>0</v>
      </c>
      <c r="N12" s="2">
        <f>'Kapitálové příjmy'!D13+'Kapitálové příjmy'!H13</f>
        <v>0</v>
      </c>
      <c r="O12" s="53"/>
      <c r="P12" s="4">
        <f>'Transfery neinvestiční 2.5'!B14+'Transfery neinvestiční 2.5'!F14+'Transfery neinvestiční 2.5'!J14+'Transfery neinvestiční 2.5'!N14+'Transfery nein.2.5a'!B15+'Transfery nein.2.5a'!N15+'Transfery nein.2.5a'!R15+'Transfery nein.2.5a'!V15+'Transfery neinvestiční 2.5'!R14+'Transfery investiční'!E14+'Transfery investiční'!I14+'Transfery investiční'!M14+'Transfery investiční'!Q14+'Transfery investiční'!U14+'Transfery nein.2.5a'!Z15+'Transfery investiční'!Y14</f>
        <v>38658</v>
      </c>
      <c r="Q12" s="2">
        <f>'Transfery neinvestiční 2.5'!C14+'Transfery neinvestiční 2.5'!G14+'Transfery neinvestiční 2.5'!K14+'Transfery neinvestiční 2.5'!O14+'Transfery nein.2.5a'!C15+'Transfery nein.2.5a'!O15+'Transfery nein.2.5a'!S15+'Transfery nein.2.5a'!W15+'Transfery neinvestiční 2.5'!S14+'Transfery investiční'!B14+'Transfery investiční'!F14+'Transfery investiční'!J14+'Transfery investiční'!N14+'Transfery investiční'!R14+'Transfery investiční'!V14+'Transfery nein.2.5a'!AA15+'Transfery investiční'!Z14</f>
        <v>51715</v>
      </c>
      <c r="R12" s="2">
        <f>'Transfery neinvestiční 2.5'!D14+'Transfery neinvestiční 2.5'!H14+'Transfery neinvestiční 2.5'!L14+'Transfery neinvestiční 2.5'!P14+'Transfery nein.2.5a'!D15+'Transfery nein.2.5a'!P15+'Transfery nein.2.5a'!T15+'Transfery nein.2.5a'!X15+'Transfery neinvestiční 2.5'!T14+'Transfery investiční'!C14+'Transfery investiční'!G14+'Transfery investiční'!K14+'Transfery investiční'!O14+'Transfery investiční'!S14+'Transfery investiční'!W14+'Transfery nein.2.5a'!AB15+'Transfery investiční'!AA14</f>
        <v>51715</v>
      </c>
      <c r="S12" s="53">
        <f t="shared" ref="S12:S39" si="3">SUM(R12/Q12*100)</f>
        <v>100</v>
      </c>
    </row>
    <row r="13" spans="1:20" ht="17.100000000000001" customHeight="1">
      <c r="A13" s="61" t="s">
        <v>186</v>
      </c>
      <c r="B13" s="4">
        <f>'Daňové příjmy'!B14+'Daňové příjmy'!F14++'Daňové příjmy'!J14+'Daňové příjmy'!N14+'Ost.daně=Místní popl.'!B15</f>
        <v>6177</v>
      </c>
      <c r="C13" s="2">
        <f>'Daňové příjmy'!C14+'Daňové příjmy'!G14++'Daňové příjmy'!K14+'Daňové příjmy'!O14+'Ost.daně=Místní popl.'!C15</f>
        <v>9380</v>
      </c>
      <c r="D13" s="2">
        <f>'Daňové příjmy'!D14+'Daňové příjmy'!H14+'Daňové příjmy'!L14+'Daňové příjmy'!P14+'Ost.daně=Místní popl.'!D15</f>
        <v>9298</v>
      </c>
      <c r="E13" s="95">
        <v>-9125358.8599999994</v>
      </c>
      <c r="F13" s="95">
        <f t="shared" si="1"/>
        <v>-172.64113999999972</v>
      </c>
      <c r="G13" s="53">
        <f t="shared" si="0"/>
        <v>99.125799573560769</v>
      </c>
      <c r="H13" s="4">
        <f>'Nedaňové příjmy'!B16+'Nedaňové příjmy'!F16+'Nedaňové příjmy'!J16+'Nedaňové příjmy'!N16+'Nedaňové příjmy'!R16+'Nedaňové příjmy'!V16</f>
        <v>4415</v>
      </c>
      <c r="I13" s="2">
        <f>'Nedaňové příjmy'!C16+'Nedaňové příjmy'!G16+'Nedaňové příjmy'!K16+'Nedaňové příjmy'!O16+'Nedaňové příjmy'!S16+'Nedaňové příjmy'!W16</f>
        <v>21908</v>
      </c>
      <c r="J13" s="2">
        <f>'Nedaňové příjmy'!D16+'Nedaňové příjmy'!H16+'Nedaňové příjmy'!L16+'Nedaňové příjmy'!P16+'Nedaňové příjmy'!T16+'Nedaňové příjmy'!X16</f>
        <v>21166</v>
      </c>
      <c r="K13" s="53">
        <f t="shared" si="2"/>
        <v>96.613109366441492</v>
      </c>
      <c r="L13" s="4">
        <f>'Kapitálové příjmy'!B14+'Kapitálové příjmy'!F14</f>
        <v>0</v>
      </c>
      <c r="M13" s="2">
        <f>'Kapitálové příjmy'!C14+'Kapitálové příjmy'!G14</f>
        <v>162</v>
      </c>
      <c r="N13" s="2">
        <f>'Kapitálové příjmy'!D14+'Kapitálové příjmy'!H14</f>
        <v>162</v>
      </c>
      <c r="O13" s="53">
        <f t="shared" ref="O13" si="4">SUM(N13/M13*100)</f>
        <v>100</v>
      </c>
      <c r="P13" s="4">
        <f>'Transfery neinvestiční 2.5'!B15+'Transfery neinvestiční 2.5'!F15+'Transfery neinvestiční 2.5'!J15+'Transfery neinvestiční 2.5'!N15+'Transfery nein.2.5a'!B16+'Transfery nein.2.5a'!N16+'Transfery nein.2.5a'!R16+'Transfery nein.2.5a'!V16+'Transfery neinvestiční 2.5'!R15+'Transfery investiční'!E15+'Transfery investiční'!I15+'Transfery investiční'!M15+'Transfery investiční'!Q15+'Transfery investiční'!U15+'Transfery nein.2.5a'!Z16+'Transfery investiční'!Y15</f>
        <v>35772</v>
      </c>
      <c r="Q13" s="2">
        <f>'Transfery neinvestiční 2.5'!C15+'Transfery neinvestiční 2.5'!G15+'Transfery neinvestiční 2.5'!K15+'Transfery neinvestiční 2.5'!O15+'Transfery nein.2.5a'!C16+'Transfery nein.2.5a'!O16+'Transfery nein.2.5a'!S16+'Transfery nein.2.5a'!W16+'Transfery neinvestiční 2.5'!S15+'Transfery investiční'!B15+'Transfery investiční'!F15+'Transfery investiční'!J15+'Transfery investiční'!N15+'Transfery investiční'!R15+'Transfery investiční'!V15+'Transfery nein.2.5a'!AA16+'Transfery investiční'!Z15</f>
        <v>39951</v>
      </c>
      <c r="R13" s="2">
        <f>'Transfery neinvestiční 2.5'!D15+'Transfery neinvestiční 2.5'!H15+'Transfery neinvestiční 2.5'!L15+'Transfery neinvestiční 2.5'!P15+'Transfery nein.2.5a'!D16+'Transfery nein.2.5a'!P16+'Transfery nein.2.5a'!T16+'Transfery nein.2.5a'!X16+'Transfery neinvestiční 2.5'!T15+'Transfery investiční'!C15+'Transfery investiční'!G15+'Transfery investiční'!K15+'Transfery investiční'!O15+'Transfery investiční'!S15+'Transfery investiční'!W15+'Transfery nein.2.5a'!AB16+'Transfery investiční'!AA15</f>
        <v>39950</v>
      </c>
      <c r="S13" s="53">
        <f t="shared" si="3"/>
        <v>99.997496933743832</v>
      </c>
    </row>
    <row r="14" spans="1:20" ht="17.100000000000001" customHeight="1">
      <c r="A14" s="61" t="s">
        <v>187</v>
      </c>
      <c r="B14" s="4">
        <f>'Daňové příjmy'!B15+'Daňové příjmy'!F15++'Daňové příjmy'!J15+'Daňové příjmy'!N15+'Ost.daně=Místní popl.'!B16</f>
        <v>695</v>
      </c>
      <c r="C14" s="2">
        <f>'Daňové příjmy'!C15+'Daňové příjmy'!G15++'Daňové příjmy'!K15+'Daňové příjmy'!O15+'Ost.daně=Místní popl.'!C16</f>
        <v>8044</v>
      </c>
      <c r="D14" s="2">
        <f>'Daňové příjmy'!D15+'Daňové příjmy'!H15+'Daňové příjmy'!L15+'Daňové příjmy'!P15+'Ost.daně=Místní popl.'!D16</f>
        <v>8329</v>
      </c>
      <c r="E14" s="95">
        <v>-5627695</v>
      </c>
      <c r="F14" s="95">
        <f t="shared" si="1"/>
        <v>-2701.3050000000003</v>
      </c>
      <c r="G14" s="53">
        <f t="shared" si="0"/>
        <v>103.54301342615615</v>
      </c>
      <c r="H14" s="4">
        <f>'Nedaňové příjmy'!B17+'Nedaňové příjmy'!F17+'Nedaňové příjmy'!J17+'Nedaňové příjmy'!N17+'Nedaňové příjmy'!R17+'Nedaňové příjmy'!V17</f>
        <v>1733</v>
      </c>
      <c r="I14" s="2">
        <f>'Nedaňové příjmy'!C17+'Nedaňové příjmy'!G17+'Nedaňové příjmy'!K17+'Nedaňové příjmy'!O17+'Nedaňové příjmy'!S17+'Nedaňové příjmy'!W17</f>
        <v>5479</v>
      </c>
      <c r="J14" s="2">
        <f>'Nedaňové příjmy'!D17+'Nedaňové příjmy'!H17+'Nedaňové příjmy'!L17+'Nedaňové příjmy'!P17+'Nedaňové příjmy'!T17+'Nedaňové příjmy'!X17</f>
        <v>5585</v>
      </c>
      <c r="K14" s="53">
        <f t="shared" si="2"/>
        <v>101.93465960941776</v>
      </c>
      <c r="L14" s="4">
        <f>'Kapitálové příjmy'!B15+'Kapitálové příjmy'!F15</f>
        <v>0</v>
      </c>
      <c r="M14" s="2">
        <f>'Kapitálové příjmy'!C15+'Kapitálové příjmy'!G15</f>
        <v>0</v>
      </c>
      <c r="N14" s="2">
        <f>'Kapitálové příjmy'!D15+'Kapitálové příjmy'!H15</f>
        <v>0</v>
      </c>
      <c r="O14" s="53"/>
      <c r="P14" s="4">
        <f>'Transfery neinvestiční 2.5'!B16+'Transfery neinvestiční 2.5'!F16+'Transfery neinvestiční 2.5'!J16+'Transfery neinvestiční 2.5'!N16+'Transfery nein.2.5a'!B17+'Transfery nein.2.5a'!N17+'Transfery nein.2.5a'!R17+'Transfery nein.2.5a'!V17+'Transfery neinvestiční 2.5'!R16+'Transfery investiční'!E16+'Transfery investiční'!I16+'Transfery investiční'!M16+'Transfery investiční'!Q16+'Transfery investiční'!U16+'Transfery nein.2.5a'!Z17+'Transfery investiční'!Y16</f>
        <v>51007</v>
      </c>
      <c r="Q14" s="2">
        <f>'Transfery neinvestiční 2.5'!C16+'Transfery neinvestiční 2.5'!G16+'Transfery neinvestiční 2.5'!K16+'Transfery neinvestiční 2.5'!O16+'Transfery nein.2.5a'!C17+'Transfery nein.2.5a'!O17+'Transfery nein.2.5a'!S17+'Transfery nein.2.5a'!W17+'Transfery neinvestiční 2.5'!S16+'Transfery investiční'!B16+'Transfery investiční'!F16+'Transfery investiční'!J16+'Transfery investiční'!N16+'Transfery investiční'!R16+'Transfery investiční'!V16+'Transfery nein.2.5a'!AA17+'Transfery investiční'!Z16</f>
        <v>81881</v>
      </c>
      <c r="R14" s="2">
        <f>'Transfery neinvestiční 2.5'!D16+'Transfery neinvestiční 2.5'!H16+'Transfery neinvestiční 2.5'!L16+'Transfery neinvestiční 2.5'!P16+'Transfery nein.2.5a'!D17+'Transfery nein.2.5a'!P17+'Transfery nein.2.5a'!T17+'Transfery nein.2.5a'!X17+'Transfery neinvestiční 2.5'!T16+'Transfery investiční'!C16+'Transfery investiční'!G16+'Transfery investiční'!K16+'Transfery investiční'!O16+'Transfery investiční'!S16+'Transfery investiční'!W16+'Transfery nein.2.5a'!AB17+'Transfery investiční'!AA16</f>
        <v>81881</v>
      </c>
      <c r="S14" s="53">
        <f t="shared" si="3"/>
        <v>100</v>
      </c>
    </row>
    <row r="15" spans="1:20" ht="17.100000000000001" customHeight="1">
      <c r="A15" s="61" t="s">
        <v>188</v>
      </c>
      <c r="B15" s="4">
        <f>'Daňové příjmy'!B16+'Daňové příjmy'!F16++'Daňové příjmy'!J16+'Daňové příjmy'!N16+'Ost.daně=Místní popl.'!B17</f>
        <v>1051</v>
      </c>
      <c r="C15" s="2">
        <f>'Daňové příjmy'!C16+'Daňové příjmy'!G16++'Daňové příjmy'!K16+'Daňové příjmy'!O16+'Ost.daně=Místní popl.'!C17</f>
        <v>8052</v>
      </c>
      <c r="D15" s="2">
        <f>'Daňové příjmy'!D16+'Daňové příjmy'!H16+'Daňové příjmy'!L16+'Daňové příjmy'!P16+'Ost.daně=Místní popl.'!D17</f>
        <v>8076</v>
      </c>
      <c r="E15" s="95">
        <v>-3603461.08</v>
      </c>
      <c r="F15" s="95">
        <f t="shared" si="1"/>
        <v>-4472.53892</v>
      </c>
      <c r="G15" s="53">
        <f t="shared" si="0"/>
        <v>100.29806259314455</v>
      </c>
      <c r="H15" s="4">
        <f>'Nedaňové příjmy'!B18+'Nedaňové příjmy'!F18+'Nedaňové příjmy'!J18+'Nedaňové příjmy'!N18+'Nedaňové příjmy'!R18+'Nedaňové příjmy'!V18</f>
        <v>3822</v>
      </c>
      <c r="I15" s="2">
        <f>'Nedaňové příjmy'!C18+'Nedaňové příjmy'!G18+'Nedaňové příjmy'!K18+'Nedaňové příjmy'!O18+'Nedaňové příjmy'!S18+'Nedaňové příjmy'!W18</f>
        <v>8861</v>
      </c>
      <c r="J15" s="2">
        <f>'Nedaňové příjmy'!D18+'Nedaňové příjmy'!H18+'Nedaňové příjmy'!L18+'Nedaňové příjmy'!P18+'Nedaňové příjmy'!T18+'Nedaňové příjmy'!X18</f>
        <v>9159</v>
      </c>
      <c r="K15" s="53">
        <f t="shared" si="2"/>
        <v>103.3630515743144</v>
      </c>
      <c r="L15" s="4">
        <f>'Kapitálové příjmy'!B16+'Kapitálové příjmy'!F16</f>
        <v>0</v>
      </c>
      <c r="M15" s="2">
        <f>'Kapitálové příjmy'!C16+'Kapitálové příjmy'!G16</f>
        <v>0</v>
      </c>
      <c r="N15" s="2">
        <f>'Kapitálové příjmy'!D16+'Kapitálové příjmy'!H16</f>
        <v>0</v>
      </c>
      <c r="O15" s="53"/>
      <c r="P15" s="4">
        <f>'Transfery neinvestiční 2.5'!B17+'Transfery neinvestiční 2.5'!F17+'Transfery neinvestiční 2.5'!J17+'Transfery neinvestiční 2.5'!N17+'Transfery nein.2.5a'!B18+'Transfery nein.2.5a'!N18+'Transfery nein.2.5a'!R18+'Transfery nein.2.5a'!V18+'Transfery neinvestiční 2.5'!R17+'Transfery investiční'!E17+'Transfery investiční'!I17+'Transfery investiční'!M17+'Transfery investiční'!Q17+'Transfery investiční'!U17+'Transfery nein.2.5a'!Z18+'Transfery investiční'!Y17</f>
        <v>59042</v>
      </c>
      <c r="Q15" s="2">
        <f>'Transfery neinvestiční 2.5'!C17+'Transfery neinvestiční 2.5'!G17+'Transfery neinvestiční 2.5'!K17+'Transfery neinvestiční 2.5'!O17+'Transfery nein.2.5a'!C18+'Transfery nein.2.5a'!O18+'Transfery nein.2.5a'!S18+'Transfery nein.2.5a'!W18+'Transfery neinvestiční 2.5'!S17+'Transfery investiční'!B17+'Transfery investiční'!F17+'Transfery investiční'!J17+'Transfery investiční'!N17+'Transfery investiční'!R17+'Transfery investiční'!V17+'Transfery nein.2.5a'!AA18+'Transfery investiční'!Z17</f>
        <v>71964</v>
      </c>
      <c r="R15" s="2">
        <f>'Transfery neinvestiční 2.5'!D17+'Transfery neinvestiční 2.5'!H17+'Transfery neinvestiční 2.5'!L17+'Transfery neinvestiční 2.5'!P17+'Transfery nein.2.5a'!D18+'Transfery nein.2.5a'!P18+'Transfery nein.2.5a'!T18+'Transfery nein.2.5a'!X18+'Transfery neinvestiční 2.5'!T17+'Transfery investiční'!C17+'Transfery investiční'!G17+'Transfery investiční'!K17+'Transfery investiční'!O17+'Transfery investiční'!S17+'Transfery investiční'!W17+'Transfery nein.2.5a'!AB18+'Transfery investiční'!AA17</f>
        <v>71702</v>
      </c>
      <c r="S15" s="53">
        <f t="shared" si="3"/>
        <v>99.635929075648932</v>
      </c>
    </row>
    <row r="16" spans="1:20" ht="17.100000000000001" customHeight="1">
      <c r="A16" s="61" t="s">
        <v>189</v>
      </c>
      <c r="B16" s="4">
        <f>'Daňové příjmy'!B17+'Daňové příjmy'!F17++'Daňové příjmy'!J17+'Daňové příjmy'!N17+'Ost.daně=Místní popl.'!B18</f>
        <v>757</v>
      </c>
      <c r="C16" s="2">
        <f>'Daňové příjmy'!C17+'Daňové příjmy'!G17++'Daňové příjmy'!K17+'Daňové příjmy'!O17+'Ost.daně=Místní popl.'!C18</f>
        <v>936</v>
      </c>
      <c r="D16" s="2">
        <f>'Daňové příjmy'!D17+'Daňové příjmy'!H17+'Daňové příjmy'!L17+'Daňové příjmy'!P17+'Ost.daně=Místní popl.'!D18</f>
        <v>967</v>
      </c>
      <c r="E16" s="95">
        <v>-1079676</v>
      </c>
      <c r="F16" s="95">
        <f t="shared" si="1"/>
        <v>112.67599999999993</v>
      </c>
      <c r="G16" s="53">
        <f t="shared" si="0"/>
        <v>103.31196581196582</v>
      </c>
      <c r="H16" s="4">
        <f>'Nedaňové příjmy'!B19+'Nedaňové příjmy'!F19+'Nedaňové příjmy'!J19+'Nedaňové příjmy'!N19+'Nedaňové příjmy'!R19+'Nedaňové příjmy'!V19</f>
        <v>3329</v>
      </c>
      <c r="I16" s="2">
        <f>'Nedaňové příjmy'!C19+'Nedaňové příjmy'!G19+'Nedaňové příjmy'!K19+'Nedaňové příjmy'!O19+'Nedaňové příjmy'!S19+'Nedaňové příjmy'!W19</f>
        <v>4710</v>
      </c>
      <c r="J16" s="2">
        <f>'Nedaňové příjmy'!D19+'Nedaňové příjmy'!H19+'Nedaňové příjmy'!L19+'Nedaňové příjmy'!P19+'Nedaňové příjmy'!T19+'Nedaňové příjmy'!X19</f>
        <v>4946</v>
      </c>
      <c r="K16" s="53">
        <f t="shared" si="2"/>
        <v>105.01061571125265</v>
      </c>
      <c r="L16" s="4">
        <f>'Kapitálové příjmy'!B17+'Kapitálové příjmy'!F17</f>
        <v>0</v>
      </c>
      <c r="M16" s="2">
        <f>'Kapitálové příjmy'!C17+'Kapitálové příjmy'!G17</f>
        <v>0</v>
      </c>
      <c r="N16" s="2">
        <f>'Kapitálové příjmy'!D17+'Kapitálové příjmy'!H17</f>
        <v>0</v>
      </c>
      <c r="O16" s="53"/>
      <c r="P16" s="4">
        <f>'Transfery neinvestiční 2.5'!B18+'Transfery neinvestiční 2.5'!F18+'Transfery neinvestiční 2.5'!J18+'Transfery neinvestiční 2.5'!N18+'Transfery nein.2.5a'!B19+'Transfery nein.2.5a'!N19+'Transfery nein.2.5a'!R19+'Transfery nein.2.5a'!V19+'Transfery neinvestiční 2.5'!R18+'Transfery investiční'!E18+'Transfery investiční'!I18+'Transfery investiční'!M18+'Transfery investiční'!Q18+'Transfery investiční'!U18+'Transfery nein.2.5a'!Z19+'Transfery investiční'!Y18</f>
        <v>9444</v>
      </c>
      <c r="Q16" s="2">
        <f>'Transfery neinvestiční 2.5'!C18+'Transfery neinvestiční 2.5'!G18+'Transfery neinvestiční 2.5'!K18+'Transfery neinvestiční 2.5'!O18+'Transfery nein.2.5a'!C19+'Transfery nein.2.5a'!O19+'Transfery nein.2.5a'!S19+'Transfery nein.2.5a'!W19+'Transfery neinvestiční 2.5'!S18+'Transfery investiční'!B18+'Transfery investiční'!F18+'Transfery investiční'!J18+'Transfery investiční'!N18+'Transfery investiční'!R18+'Transfery investiční'!V18+'Transfery nein.2.5a'!AA19+'Transfery investiční'!Z18</f>
        <v>9861</v>
      </c>
      <c r="R16" s="2">
        <f>'Transfery neinvestiční 2.5'!D18+'Transfery neinvestiční 2.5'!H18+'Transfery neinvestiční 2.5'!L18+'Transfery neinvestiční 2.5'!P18+'Transfery nein.2.5a'!D19+'Transfery nein.2.5a'!P19+'Transfery nein.2.5a'!T19+'Transfery nein.2.5a'!X19+'Transfery neinvestiční 2.5'!T18+'Transfery investiční'!C18+'Transfery investiční'!G18+'Transfery investiční'!K18+'Transfery investiční'!O18+'Transfery investiční'!S18+'Transfery investiční'!W18+'Transfery nein.2.5a'!AB19+'Transfery investiční'!AA18</f>
        <v>9860</v>
      </c>
      <c r="S16" s="53">
        <f t="shared" si="3"/>
        <v>99.989859040665252</v>
      </c>
    </row>
    <row r="17" spans="1:19" ht="17.100000000000001" customHeight="1">
      <c r="A17" s="61" t="s">
        <v>190</v>
      </c>
      <c r="B17" s="4">
        <f>'Daňové příjmy'!B18+'Daňové příjmy'!F18++'Daňové příjmy'!J18+'Daňové příjmy'!N18+'Ost.daně=Místní popl.'!B19</f>
        <v>8640</v>
      </c>
      <c r="C17" s="2">
        <f>'Daňové příjmy'!C18+'Daňové příjmy'!G18++'Daňové příjmy'!K18+'Daňové příjmy'!O18+'Ost.daně=Místní popl.'!C19</f>
        <v>11307</v>
      </c>
      <c r="D17" s="2">
        <f>'Daňové příjmy'!D18+'Daňové příjmy'!H18+'Daňové příjmy'!L18+'Daňové příjmy'!P18+'Ost.daně=Místní popl.'!D19</f>
        <v>10694</v>
      </c>
      <c r="E17" s="95">
        <v>-6678982.9000000004</v>
      </c>
      <c r="F17" s="95">
        <f t="shared" si="1"/>
        <v>-4015.0171</v>
      </c>
      <c r="G17" s="53">
        <f t="shared" si="0"/>
        <v>94.5785796409304</v>
      </c>
      <c r="H17" s="4">
        <f>'Nedaňové příjmy'!B20+'Nedaňové příjmy'!F20+'Nedaňové příjmy'!J20+'Nedaňové příjmy'!N20+'Nedaňové příjmy'!R20+'Nedaňové příjmy'!V20</f>
        <v>14292</v>
      </c>
      <c r="I17" s="2">
        <f>'Nedaňové příjmy'!C20+'Nedaňové příjmy'!G20+'Nedaňové příjmy'!K20+'Nedaňové příjmy'!O20+'Nedaňové příjmy'!S20+'Nedaňové příjmy'!W20</f>
        <v>21181</v>
      </c>
      <c r="J17" s="2">
        <f>'Nedaňové příjmy'!D20+'Nedaňové příjmy'!H20+'Nedaňové příjmy'!L20+'Nedaňové příjmy'!P20+'Nedaňové příjmy'!T20+'Nedaňové příjmy'!X20</f>
        <v>21076</v>
      </c>
      <c r="K17" s="53">
        <f t="shared" si="2"/>
        <v>99.504272697228643</v>
      </c>
      <c r="L17" s="4">
        <f>'Kapitálové příjmy'!B18+'Kapitálové příjmy'!F18</f>
        <v>0</v>
      </c>
      <c r="M17" s="2">
        <f>'Kapitálové příjmy'!C18+'Kapitálové příjmy'!G18</f>
        <v>5</v>
      </c>
      <c r="N17" s="2">
        <f>'Kapitálové příjmy'!D18+'Kapitálové příjmy'!H18</f>
        <v>5</v>
      </c>
      <c r="O17" s="53">
        <f>SUM(N17/M17*100)</f>
        <v>100</v>
      </c>
      <c r="P17" s="4">
        <f>'Transfery neinvestiční 2.5'!B19+'Transfery neinvestiční 2.5'!F19+'Transfery neinvestiční 2.5'!J19+'Transfery neinvestiční 2.5'!N19+'Transfery nein.2.5a'!B20+'Transfery nein.2.5a'!N20+'Transfery nein.2.5a'!R20+'Transfery nein.2.5a'!V20+'Transfery neinvestiční 2.5'!R19+'Transfery investiční'!E19+'Transfery investiční'!I19+'Transfery investiční'!M19+'Transfery investiční'!Q19+'Transfery investiční'!U19+'Transfery nein.2.5a'!Z20+'Transfery investiční'!Y19</f>
        <v>99616</v>
      </c>
      <c r="Q17" s="2">
        <f>'Transfery neinvestiční 2.5'!C19+'Transfery neinvestiční 2.5'!G19+'Transfery neinvestiční 2.5'!K19+'Transfery neinvestiční 2.5'!O19+'Transfery nein.2.5a'!C20+'Transfery nein.2.5a'!O20+'Transfery nein.2.5a'!S20+'Transfery nein.2.5a'!W20+'Transfery neinvestiční 2.5'!S19+'Transfery investiční'!B19+'Transfery investiční'!F19+'Transfery investiční'!J19+'Transfery investiční'!N19+'Transfery investiční'!R19+'Transfery investiční'!V19+'Transfery nein.2.5a'!AA20+'Transfery investiční'!Z19</f>
        <v>145566</v>
      </c>
      <c r="R17" s="2">
        <f>'Transfery neinvestiční 2.5'!D19+'Transfery neinvestiční 2.5'!H19+'Transfery neinvestiční 2.5'!L19+'Transfery neinvestiční 2.5'!P19+'Transfery nein.2.5a'!D20+'Transfery nein.2.5a'!P20+'Transfery nein.2.5a'!T20+'Transfery nein.2.5a'!X20+'Transfery neinvestiční 2.5'!T19+'Transfery investiční'!C19+'Transfery investiční'!G19+'Transfery investiční'!K19+'Transfery investiční'!O19+'Transfery investiční'!S19+'Transfery investiční'!W19+'Transfery nein.2.5a'!AB20+'Transfery investiční'!AA19</f>
        <v>124392</v>
      </c>
      <c r="S17" s="53">
        <f t="shared" si="3"/>
        <v>85.454020856518696</v>
      </c>
    </row>
    <row r="18" spans="1:19" ht="17.100000000000001" customHeight="1">
      <c r="A18" s="61" t="s">
        <v>191</v>
      </c>
      <c r="B18" s="4">
        <f>'Daňové příjmy'!B19+'Daňové příjmy'!F19++'Daňové příjmy'!J19+'Daňové příjmy'!N19+'Ost.daně=Místní popl.'!B20</f>
        <v>2670</v>
      </c>
      <c r="C18" s="2">
        <f>'Daňové příjmy'!C19+'Daňové příjmy'!G19++'Daňové příjmy'!K19+'Daňové příjmy'!O19+'Ost.daně=Místní popl.'!C20</f>
        <v>17705</v>
      </c>
      <c r="D18" s="2">
        <f>'Daňové příjmy'!D19+'Daňové příjmy'!H19+'Daňové příjmy'!L19+'Daňové příjmy'!P19+'Ost.daně=Místní popl.'!D20</f>
        <v>18071</v>
      </c>
      <c r="E18" s="95">
        <v>-10823674.939999999</v>
      </c>
      <c r="F18" s="95">
        <f t="shared" si="1"/>
        <v>-7247.325060000001</v>
      </c>
      <c r="G18" s="53">
        <f t="shared" si="0"/>
        <v>102.06721265179328</v>
      </c>
      <c r="H18" s="4">
        <f>'Nedaňové příjmy'!B21+'Nedaňové příjmy'!F21+'Nedaňové příjmy'!J21+'Nedaňové příjmy'!N21+'Nedaňové příjmy'!R21+'Nedaňové příjmy'!V21</f>
        <v>12228</v>
      </c>
      <c r="I18" s="2">
        <f>'Nedaňové příjmy'!C21+'Nedaňové příjmy'!G21+'Nedaňové příjmy'!K21+'Nedaňové příjmy'!O21+'Nedaňové příjmy'!S21+'Nedaňové příjmy'!W21</f>
        <v>25910</v>
      </c>
      <c r="J18" s="2">
        <f>'Nedaňové příjmy'!D21+'Nedaňové příjmy'!H21+'Nedaňové příjmy'!L21+'Nedaňové příjmy'!P21+'Nedaňové příjmy'!T21+'Nedaňové příjmy'!X21</f>
        <v>26981</v>
      </c>
      <c r="K18" s="53">
        <f t="shared" si="2"/>
        <v>104.13353917406407</v>
      </c>
      <c r="L18" s="4">
        <f>'Kapitálové příjmy'!B19+'Kapitálové příjmy'!F19</f>
        <v>0</v>
      </c>
      <c r="M18" s="2">
        <f>'Kapitálové příjmy'!C19+'Kapitálové příjmy'!G19</f>
        <v>0</v>
      </c>
      <c r="N18" s="2">
        <f>'Kapitálové příjmy'!D19+'Kapitálové příjmy'!H19</f>
        <v>0</v>
      </c>
      <c r="O18" s="53"/>
      <c r="P18" s="4">
        <f>'Transfery neinvestiční 2.5'!B20+'Transfery neinvestiční 2.5'!F20+'Transfery neinvestiční 2.5'!J20+'Transfery neinvestiční 2.5'!N20+'Transfery nein.2.5a'!B21+'Transfery nein.2.5a'!N21+'Transfery nein.2.5a'!R21+'Transfery nein.2.5a'!V21+'Transfery neinvestiční 2.5'!R20+'Transfery investiční'!E20+'Transfery investiční'!I20+'Transfery investiční'!M20+'Transfery investiční'!Q20+'Transfery investiční'!U20+'Transfery nein.2.5a'!Z21+'Transfery investiční'!Y20</f>
        <v>137142</v>
      </c>
      <c r="Q18" s="2">
        <f>'Transfery neinvestiční 2.5'!C20+'Transfery neinvestiční 2.5'!G20+'Transfery neinvestiční 2.5'!K20+'Transfery neinvestiční 2.5'!O20+'Transfery nein.2.5a'!C21+'Transfery nein.2.5a'!O21+'Transfery nein.2.5a'!S21+'Transfery nein.2.5a'!W21+'Transfery neinvestiční 2.5'!S20+'Transfery investiční'!B20+'Transfery investiční'!F20+'Transfery investiční'!J20+'Transfery investiční'!N20+'Transfery investiční'!R20+'Transfery investiční'!V20+'Transfery nein.2.5a'!AA21+'Transfery investiční'!Z20</f>
        <v>146784</v>
      </c>
      <c r="R18" s="2">
        <f>'Transfery neinvestiční 2.5'!D20+'Transfery neinvestiční 2.5'!H20+'Transfery neinvestiční 2.5'!L20+'Transfery neinvestiční 2.5'!P20+'Transfery nein.2.5a'!D21+'Transfery nein.2.5a'!P21+'Transfery nein.2.5a'!T21+'Transfery nein.2.5a'!X21+'Transfery neinvestiční 2.5'!T20+'Transfery investiční'!C20+'Transfery investiční'!G20+'Transfery investiční'!K20+'Transfery investiční'!O20+'Transfery investiční'!S20+'Transfery investiční'!W20+'Transfery nein.2.5a'!AB21+'Transfery investiční'!AA20</f>
        <v>145889</v>
      </c>
      <c r="S18" s="53">
        <f t="shared" si="3"/>
        <v>99.390260518857644</v>
      </c>
    </row>
    <row r="19" spans="1:19" ht="17.100000000000001" customHeight="1">
      <c r="A19" s="61" t="s">
        <v>192</v>
      </c>
      <c r="B19" s="4">
        <f>'Daňové příjmy'!B20+'Daňové příjmy'!F20++'Daňové příjmy'!J20+'Daňové příjmy'!N20+'Ost.daně=Místní popl.'!B21</f>
        <v>145</v>
      </c>
      <c r="C19" s="2">
        <f>'Daňové příjmy'!C20+'Daňové příjmy'!G20++'Daňové příjmy'!K20+'Daňové příjmy'!O20+'Ost.daně=Místní popl.'!C21</f>
        <v>359</v>
      </c>
      <c r="D19" s="2">
        <f>'Daňové příjmy'!D20+'Daňové příjmy'!H20+'Daňové příjmy'!L20+'Daňové příjmy'!P20+'Ost.daně=Místní popl.'!D21</f>
        <v>340</v>
      </c>
      <c r="E19" s="95">
        <v>-190102</v>
      </c>
      <c r="F19" s="95">
        <f t="shared" si="1"/>
        <v>-149.898</v>
      </c>
      <c r="G19" s="53">
        <f t="shared" si="0"/>
        <v>94.707520891364908</v>
      </c>
      <c r="H19" s="4">
        <f>'Nedaňové příjmy'!B22+'Nedaňové příjmy'!F22+'Nedaňové příjmy'!J22+'Nedaňové příjmy'!N22+'Nedaňové příjmy'!R22+'Nedaňové příjmy'!V22</f>
        <v>245</v>
      </c>
      <c r="I19" s="2">
        <f>'Nedaňové příjmy'!C22+'Nedaňové příjmy'!G22+'Nedaňové příjmy'!K22+'Nedaňové příjmy'!O22+'Nedaňové příjmy'!S22+'Nedaňové příjmy'!W22</f>
        <v>1852</v>
      </c>
      <c r="J19" s="2">
        <f>'Nedaňové příjmy'!D22+'Nedaňové příjmy'!H22+'Nedaňové příjmy'!L22+'Nedaňové příjmy'!P22+'Nedaňové příjmy'!T22+'Nedaňové příjmy'!X22</f>
        <v>1784</v>
      </c>
      <c r="K19" s="53">
        <f t="shared" si="2"/>
        <v>96.328293736501081</v>
      </c>
      <c r="L19" s="4">
        <f>'Kapitálové příjmy'!B20+'Kapitálové příjmy'!F20</f>
        <v>0</v>
      </c>
      <c r="M19" s="2">
        <f>'Kapitálové příjmy'!C20+'Kapitálové příjmy'!G20</f>
        <v>0</v>
      </c>
      <c r="N19" s="2">
        <f>'Kapitálové příjmy'!D20+'Kapitálové příjmy'!H20</f>
        <v>0</v>
      </c>
      <c r="O19" s="53"/>
      <c r="P19" s="4">
        <f>'Transfery neinvestiční 2.5'!B21+'Transfery neinvestiční 2.5'!F21+'Transfery neinvestiční 2.5'!J21+'Transfery neinvestiční 2.5'!N21+'Transfery nein.2.5a'!B22+'Transfery nein.2.5a'!N22+'Transfery nein.2.5a'!R22+'Transfery nein.2.5a'!V22+'Transfery neinvestiční 2.5'!R21+'Transfery investiční'!E21+'Transfery investiční'!I21+'Transfery investiční'!M21+'Transfery investiční'!Q21+'Transfery investiční'!U21+'Transfery nein.2.5a'!Z22+'Transfery investiční'!Y21</f>
        <v>8804</v>
      </c>
      <c r="Q19" s="2">
        <f>'Transfery neinvestiční 2.5'!C21+'Transfery neinvestiční 2.5'!G21+'Transfery neinvestiční 2.5'!K21+'Transfery neinvestiční 2.5'!O21+'Transfery nein.2.5a'!C22+'Transfery nein.2.5a'!O22+'Transfery nein.2.5a'!S22+'Transfery nein.2.5a'!W22+'Transfery neinvestiční 2.5'!S21+'Transfery investiční'!B21+'Transfery investiční'!F21+'Transfery investiční'!J21+'Transfery investiční'!N21+'Transfery investiční'!R21+'Transfery investiční'!V21+'Transfery nein.2.5a'!AA22+'Transfery investiční'!Z21</f>
        <v>9001</v>
      </c>
      <c r="R19" s="2">
        <f>'Transfery neinvestiční 2.5'!D21+'Transfery neinvestiční 2.5'!H21+'Transfery neinvestiční 2.5'!L21+'Transfery neinvestiční 2.5'!P21+'Transfery nein.2.5a'!D22+'Transfery nein.2.5a'!P22+'Transfery nein.2.5a'!T22+'Transfery nein.2.5a'!X22+'Transfery neinvestiční 2.5'!T21+'Transfery investiční'!C21+'Transfery investiční'!G21+'Transfery investiční'!K21+'Transfery investiční'!O21+'Transfery investiční'!S21+'Transfery investiční'!W21+'Transfery nein.2.5a'!AB22+'Transfery investiční'!AA21</f>
        <v>9001</v>
      </c>
      <c r="S19" s="53">
        <f t="shared" si="3"/>
        <v>100</v>
      </c>
    </row>
    <row r="20" spans="1:19" ht="17.100000000000001" customHeight="1">
      <c r="A20" s="61" t="s">
        <v>193</v>
      </c>
      <c r="B20" s="4">
        <f>'Daňové příjmy'!B21+'Daňové příjmy'!F21++'Daňové příjmy'!J21+'Daňové příjmy'!N21+'Ost.daně=Místní popl.'!B22</f>
        <v>1285</v>
      </c>
      <c r="C20" s="2">
        <f>'Daňové příjmy'!C21+'Daňové příjmy'!G21++'Daňové příjmy'!K21+'Daňové příjmy'!O21+'Ost.daně=Místní popl.'!C22</f>
        <v>1794</v>
      </c>
      <c r="D20" s="2">
        <f>'Daňové příjmy'!D21+'Daňové příjmy'!H21+'Daňové příjmy'!L21+'Daňové příjmy'!P21+'Ost.daně=Místní popl.'!D22</f>
        <v>1923</v>
      </c>
      <c r="E20" s="95">
        <v>-1842467</v>
      </c>
      <c r="F20" s="95">
        <f t="shared" si="1"/>
        <v>-80.532999999999902</v>
      </c>
      <c r="G20" s="53">
        <f t="shared" si="0"/>
        <v>107.19063545150502</v>
      </c>
      <c r="H20" s="4">
        <f>'Nedaňové příjmy'!B23+'Nedaňové příjmy'!F23+'Nedaňové příjmy'!J23+'Nedaňové příjmy'!N23+'Nedaňové příjmy'!R23+'Nedaňové příjmy'!V23</f>
        <v>1290</v>
      </c>
      <c r="I20" s="2">
        <f>'Nedaňové příjmy'!C23+'Nedaňové příjmy'!G23+'Nedaňové příjmy'!K23+'Nedaňové příjmy'!O23+'Nedaňové příjmy'!S23+'Nedaňové příjmy'!W23</f>
        <v>4636</v>
      </c>
      <c r="J20" s="2">
        <f>'Nedaňové příjmy'!D23+'Nedaňové příjmy'!H23+'Nedaňové příjmy'!L23+'Nedaňové příjmy'!P23+'Nedaňové příjmy'!T23+'Nedaňové příjmy'!X23</f>
        <v>4495</v>
      </c>
      <c r="K20" s="53">
        <f t="shared" si="2"/>
        <v>96.958584987057804</v>
      </c>
      <c r="L20" s="4">
        <f>'Kapitálové příjmy'!B21+'Kapitálové příjmy'!F21</f>
        <v>0</v>
      </c>
      <c r="M20" s="2">
        <f>'Kapitálové příjmy'!C21+'Kapitálové příjmy'!G21</f>
        <v>0</v>
      </c>
      <c r="N20" s="2">
        <f>'Kapitálové příjmy'!D21+'Kapitálové příjmy'!H21</f>
        <v>0</v>
      </c>
      <c r="O20" s="53"/>
      <c r="P20" s="4">
        <f>'Transfery neinvestiční 2.5'!B22+'Transfery neinvestiční 2.5'!F22+'Transfery neinvestiční 2.5'!J22+'Transfery neinvestiční 2.5'!N22+'Transfery nein.2.5a'!B23+'Transfery nein.2.5a'!N23+'Transfery nein.2.5a'!R23+'Transfery nein.2.5a'!V23+'Transfery neinvestiční 2.5'!R22+'Transfery investiční'!E22+'Transfery investiční'!I22+'Transfery investiční'!M22+'Transfery investiční'!Q22+'Transfery investiční'!U22+'Transfery nein.2.5a'!Z23+'Transfery investiční'!Y22</f>
        <v>23293</v>
      </c>
      <c r="Q20" s="2">
        <f>'Transfery neinvestiční 2.5'!C22+'Transfery neinvestiční 2.5'!G22+'Transfery neinvestiční 2.5'!K22+'Transfery neinvestiční 2.5'!O22+'Transfery nein.2.5a'!C23+'Transfery nein.2.5a'!O23+'Transfery nein.2.5a'!S23+'Transfery nein.2.5a'!W23+'Transfery neinvestiční 2.5'!S22+'Transfery investiční'!B22+'Transfery investiční'!F22+'Transfery investiční'!J22+'Transfery investiční'!N22+'Transfery investiční'!R22+'Transfery investiční'!V22+'Transfery nein.2.5a'!AA23+'Transfery investiční'!Z22</f>
        <v>28483</v>
      </c>
      <c r="R20" s="2">
        <f>'Transfery neinvestiční 2.5'!D22+'Transfery neinvestiční 2.5'!H22+'Transfery neinvestiční 2.5'!L22+'Transfery neinvestiční 2.5'!P22+'Transfery nein.2.5a'!D23+'Transfery nein.2.5a'!P23+'Transfery nein.2.5a'!T23+'Transfery nein.2.5a'!X23+'Transfery neinvestiční 2.5'!T22+'Transfery investiční'!C22+'Transfery investiční'!G22+'Transfery investiční'!K22+'Transfery investiční'!O22+'Transfery investiční'!S22+'Transfery investiční'!W22+'Transfery nein.2.5a'!AB23+'Transfery investiční'!AA22</f>
        <v>29530</v>
      </c>
      <c r="S20" s="53">
        <f t="shared" si="3"/>
        <v>103.67587683881614</v>
      </c>
    </row>
    <row r="21" spans="1:19" ht="17.100000000000001" customHeight="1">
      <c r="A21" s="61" t="s">
        <v>194</v>
      </c>
      <c r="B21" s="4">
        <f>'Daňové příjmy'!B22+'Daňové příjmy'!F22++'Daňové příjmy'!J22+'Daňové příjmy'!N22+'Ost.daně=Místní popl.'!B23</f>
        <v>1867</v>
      </c>
      <c r="C21" s="2">
        <f>'Daňové příjmy'!C22+'Daňové příjmy'!G22++'Daňové příjmy'!K22+'Daňové příjmy'!O22+'Ost.daně=Místní popl.'!C23</f>
        <v>2040</v>
      </c>
      <c r="D21" s="2">
        <f>'Daňové příjmy'!D22+'Daňové příjmy'!H22+'Daňové příjmy'!L22+'Daňové příjmy'!P22+'Ost.daně=Místní popl.'!D23</f>
        <v>2066</v>
      </c>
      <c r="E21" s="95">
        <v>-2004898</v>
      </c>
      <c r="F21" s="95">
        <f t="shared" si="1"/>
        <v>-61.102000000000089</v>
      </c>
      <c r="G21" s="53">
        <f t="shared" si="0"/>
        <v>101.27450980392156</v>
      </c>
      <c r="H21" s="4">
        <f>'Nedaňové příjmy'!B24+'Nedaňové příjmy'!F24+'Nedaňové příjmy'!J24+'Nedaňové příjmy'!N24+'Nedaňové příjmy'!R24+'Nedaňové příjmy'!V24</f>
        <v>1598</v>
      </c>
      <c r="I21" s="2">
        <f>'Nedaňové příjmy'!C24+'Nedaňové příjmy'!G24+'Nedaňové příjmy'!K24+'Nedaňové příjmy'!O24+'Nedaňové příjmy'!S24+'Nedaňové příjmy'!W24</f>
        <v>3212</v>
      </c>
      <c r="J21" s="2">
        <f>'Nedaňové příjmy'!D24+'Nedaňové příjmy'!H24+'Nedaňové příjmy'!L24+'Nedaňové příjmy'!P24+'Nedaňové příjmy'!T24+'Nedaňové příjmy'!X24</f>
        <v>3374</v>
      </c>
      <c r="K21" s="53">
        <f t="shared" si="2"/>
        <v>105.04358655043586</v>
      </c>
      <c r="L21" s="4">
        <f>'Kapitálové příjmy'!B22+'Kapitálové příjmy'!F22</f>
        <v>0</v>
      </c>
      <c r="M21" s="2">
        <f>'Kapitálové příjmy'!C22+'Kapitálové příjmy'!G22</f>
        <v>80</v>
      </c>
      <c r="N21" s="2">
        <f>'Kapitálové příjmy'!D22+'Kapitálové příjmy'!H22</f>
        <v>76</v>
      </c>
      <c r="O21" s="53">
        <f>SUM(N21/M21*100)</f>
        <v>95</v>
      </c>
      <c r="P21" s="4">
        <f>'Transfery neinvestiční 2.5'!B23+'Transfery neinvestiční 2.5'!F23+'Transfery neinvestiční 2.5'!J23+'Transfery neinvestiční 2.5'!N23+'Transfery nein.2.5a'!B24+'Transfery nein.2.5a'!N24+'Transfery nein.2.5a'!R24+'Transfery nein.2.5a'!V24+'Transfery neinvestiční 2.5'!R23+'Transfery investiční'!E23+'Transfery investiční'!I23+'Transfery investiční'!M23+'Transfery investiční'!Q23+'Transfery investiční'!U23+'Transfery nein.2.5a'!Z24+'Transfery investiční'!Y23</f>
        <v>21839</v>
      </c>
      <c r="Q21" s="2">
        <f>'Transfery neinvestiční 2.5'!C23+'Transfery neinvestiční 2.5'!G23+'Transfery neinvestiční 2.5'!K23+'Transfery neinvestiční 2.5'!O23+'Transfery nein.2.5a'!C24+'Transfery nein.2.5a'!O24+'Transfery nein.2.5a'!S24+'Transfery nein.2.5a'!W24+'Transfery neinvestiční 2.5'!S23+'Transfery investiční'!B23+'Transfery investiční'!F23+'Transfery investiční'!J23+'Transfery investiční'!N23+'Transfery investiční'!R23+'Transfery investiční'!V23+'Transfery nein.2.5a'!AA24+'Transfery investiční'!Z23</f>
        <v>27969</v>
      </c>
      <c r="R21" s="2">
        <f>'Transfery neinvestiční 2.5'!D23+'Transfery neinvestiční 2.5'!H23+'Transfery neinvestiční 2.5'!L23+'Transfery neinvestiční 2.5'!P23+'Transfery nein.2.5a'!D24+'Transfery nein.2.5a'!P24+'Transfery nein.2.5a'!T24+'Transfery nein.2.5a'!X24+'Transfery neinvestiční 2.5'!T23+'Transfery investiční'!C23+'Transfery investiční'!G23+'Transfery investiční'!K23+'Transfery investiční'!O23+'Transfery investiční'!S23+'Transfery investiční'!W23+'Transfery nein.2.5a'!AB24+'Transfery investiční'!AA23</f>
        <v>25926</v>
      </c>
      <c r="S21" s="53">
        <f t="shared" si="3"/>
        <v>92.695484286173979</v>
      </c>
    </row>
    <row r="22" spans="1:19" ht="17.100000000000001" customHeight="1">
      <c r="A22" s="61" t="s">
        <v>195</v>
      </c>
      <c r="B22" s="4">
        <f>'Daňové příjmy'!B23+'Daňové příjmy'!F23++'Daňové příjmy'!J23+'Daňové příjmy'!N23+'Ost.daně=Místní popl.'!B24</f>
        <v>554</v>
      </c>
      <c r="C22" s="2">
        <f>'Daňové příjmy'!C23+'Daňové příjmy'!G23++'Daňové příjmy'!K23+'Daňové příjmy'!O23+'Ost.daně=Místní popl.'!C24</f>
        <v>1211</v>
      </c>
      <c r="D22" s="2">
        <f>'Daňové příjmy'!D23+'Daňové příjmy'!H23+'Daňové příjmy'!L23+'Daňové příjmy'!P23+'Ost.daně=Místní popl.'!D24</f>
        <v>1181</v>
      </c>
      <c r="E22" s="95">
        <v>-1060315.8</v>
      </c>
      <c r="F22" s="95">
        <f t="shared" si="1"/>
        <v>-120.68419999999992</v>
      </c>
      <c r="G22" s="53">
        <f t="shared" si="0"/>
        <v>97.522708505367461</v>
      </c>
      <c r="H22" s="4">
        <f>'Nedaňové příjmy'!B25+'Nedaňové příjmy'!F25+'Nedaňové příjmy'!J25+'Nedaňové příjmy'!N25+'Nedaňové příjmy'!R25+'Nedaňové příjmy'!V25</f>
        <v>439</v>
      </c>
      <c r="I22" s="2">
        <f>'Nedaňové příjmy'!C25+'Nedaňové příjmy'!G25+'Nedaňové příjmy'!K25+'Nedaňové příjmy'!O25+'Nedaňové příjmy'!S25+'Nedaňové příjmy'!W25</f>
        <v>3357</v>
      </c>
      <c r="J22" s="2">
        <f>'Nedaňové příjmy'!D25+'Nedaňové příjmy'!H25+'Nedaňové příjmy'!L25+'Nedaňové příjmy'!P25+'Nedaňové příjmy'!T25+'Nedaňové příjmy'!X25</f>
        <v>3360</v>
      </c>
      <c r="K22" s="53">
        <f t="shared" si="2"/>
        <v>100.08936550491509</v>
      </c>
      <c r="L22" s="4">
        <f>'Kapitálové příjmy'!B23+'Kapitálové příjmy'!F23</f>
        <v>0</v>
      </c>
      <c r="M22" s="2">
        <f>'Kapitálové příjmy'!C23+'Kapitálové příjmy'!G23</f>
        <v>0</v>
      </c>
      <c r="N22" s="2">
        <f>'Kapitálové příjmy'!D23+'Kapitálové příjmy'!H23</f>
        <v>0</v>
      </c>
      <c r="O22" s="53"/>
      <c r="P22" s="4">
        <f>'Transfery neinvestiční 2.5'!B24+'Transfery neinvestiční 2.5'!F24+'Transfery neinvestiční 2.5'!J24+'Transfery neinvestiční 2.5'!N24+'Transfery nein.2.5a'!B25+'Transfery nein.2.5a'!N25+'Transfery nein.2.5a'!R25+'Transfery nein.2.5a'!V25+'Transfery neinvestiční 2.5'!R24+'Transfery investiční'!E24+'Transfery investiční'!I24+'Transfery investiční'!M24+'Transfery investiční'!Q24+'Transfery investiční'!U24+'Transfery nein.2.5a'!Z25+'Transfery investiční'!Y24</f>
        <v>15095</v>
      </c>
      <c r="Q22" s="2">
        <f>'Transfery neinvestiční 2.5'!C24+'Transfery neinvestiční 2.5'!G24+'Transfery neinvestiční 2.5'!K24+'Transfery neinvestiční 2.5'!O24+'Transfery nein.2.5a'!C25+'Transfery nein.2.5a'!O25+'Transfery nein.2.5a'!S25+'Transfery nein.2.5a'!W25+'Transfery neinvestiční 2.5'!S24+'Transfery investiční'!B24+'Transfery investiční'!F24+'Transfery investiční'!J24+'Transfery investiční'!N24+'Transfery investiční'!R24+'Transfery investiční'!V24+'Transfery nein.2.5a'!AA25+'Transfery investiční'!Z24</f>
        <v>30593</v>
      </c>
      <c r="R22" s="2">
        <f>'Transfery neinvestiční 2.5'!D24+'Transfery neinvestiční 2.5'!H24+'Transfery neinvestiční 2.5'!L24+'Transfery neinvestiční 2.5'!P24+'Transfery nein.2.5a'!D25+'Transfery nein.2.5a'!P25+'Transfery nein.2.5a'!T25+'Transfery nein.2.5a'!X25+'Transfery neinvestiční 2.5'!T24+'Transfery investiční'!C24+'Transfery investiční'!G24+'Transfery investiční'!K24+'Transfery investiční'!O24+'Transfery investiční'!S24+'Transfery investiční'!W24+'Transfery nein.2.5a'!AB25+'Transfery investiční'!AA24</f>
        <v>30581</v>
      </c>
      <c r="S22" s="53">
        <f t="shared" si="3"/>
        <v>99.960775340764229</v>
      </c>
    </row>
    <row r="23" spans="1:19" ht="17.100000000000001" customHeight="1">
      <c r="A23" s="61" t="s">
        <v>196</v>
      </c>
      <c r="B23" s="4">
        <f>'Daňové příjmy'!B24+'Daňové příjmy'!F24++'Daňové příjmy'!J24+'Daňové příjmy'!N24+'Ost.daně=Místní popl.'!B25</f>
        <v>3986</v>
      </c>
      <c r="C23" s="2">
        <f>'Daňové příjmy'!C24+'Daňové příjmy'!G24++'Daňové příjmy'!K24+'Daňové příjmy'!O24+'Ost.daně=Místní popl.'!C25</f>
        <v>20411</v>
      </c>
      <c r="D23" s="2">
        <f>'Daňové příjmy'!D24+'Daňové příjmy'!H24+'Daňové příjmy'!L24+'Daňové příjmy'!P24+'Ost.daně=Místní popl.'!D25</f>
        <v>20983</v>
      </c>
      <c r="E23" s="95">
        <v>-12395865.939999999</v>
      </c>
      <c r="F23" s="95">
        <f t="shared" si="1"/>
        <v>-8587.1340600000003</v>
      </c>
      <c r="G23" s="53">
        <f t="shared" si="0"/>
        <v>102.80241046494538</v>
      </c>
      <c r="H23" s="4">
        <f>'Nedaňové příjmy'!B26+'Nedaňové příjmy'!F26+'Nedaňové příjmy'!J26+'Nedaňové příjmy'!N26+'Nedaňové příjmy'!R26+'Nedaňové příjmy'!V26</f>
        <v>15540</v>
      </c>
      <c r="I23" s="2">
        <f>'Nedaňové příjmy'!C26+'Nedaňové příjmy'!G26+'Nedaňové příjmy'!K26+'Nedaňové příjmy'!O26+'Nedaňové příjmy'!S26+'Nedaňové příjmy'!W26</f>
        <v>34924</v>
      </c>
      <c r="J23" s="2">
        <f>'Nedaňové příjmy'!D26+'Nedaňové příjmy'!H26+'Nedaňové příjmy'!L26+'Nedaňové příjmy'!P26+'Nedaňové příjmy'!T26+'Nedaňové příjmy'!X26</f>
        <v>35549</v>
      </c>
      <c r="K23" s="53">
        <f t="shared" si="2"/>
        <v>101.7896002748826</v>
      </c>
      <c r="L23" s="4">
        <f>'Kapitálové příjmy'!B24+'Kapitálové příjmy'!F24</f>
        <v>0</v>
      </c>
      <c r="M23" s="2">
        <f>'Kapitálové příjmy'!C24+'Kapitálové příjmy'!G24</f>
        <v>60</v>
      </c>
      <c r="N23" s="2">
        <f>'Kapitálové příjmy'!D24+'Kapitálové příjmy'!H24</f>
        <v>59</v>
      </c>
      <c r="O23" s="53">
        <f t="shared" ref="O23" si="5">SUM(N23/M23*100)</f>
        <v>98.333333333333329</v>
      </c>
      <c r="P23" s="4">
        <f>'Transfery neinvestiční 2.5'!B25+'Transfery neinvestiční 2.5'!F25+'Transfery neinvestiční 2.5'!J25+'Transfery neinvestiční 2.5'!N25+'Transfery nein.2.5a'!B26+'Transfery nein.2.5a'!N26+'Transfery nein.2.5a'!R26+'Transfery nein.2.5a'!V26+'Transfery neinvestiční 2.5'!R25+'Transfery investiční'!E25+'Transfery investiční'!I25+'Transfery investiční'!M25+'Transfery investiční'!Q25+'Transfery investiční'!U25+'Transfery nein.2.5a'!Z26+'Transfery investiční'!Y25</f>
        <v>193609</v>
      </c>
      <c r="Q23" s="2">
        <f>'Transfery neinvestiční 2.5'!C25+'Transfery neinvestiční 2.5'!G25+'Transfery neinvestiční 2.5'!K25+'Transfery neinvestiční 2.5'!O25+'Transfery nein.2.5a'!C26+'Transfery nein.2.5a'!O26+'Transfery nein.2.5a'!S26+'Transfery nein.2.5a'!W26+'Transfery neinvestiční 2.5'!S25+'Transfery investiční'!B25+'Transfery investiční'!F25+'Transfery investiční'!J25+'Transfery investiční'!N25+'Transfery investiční'!R25+'Transfery investiční'!V25+'Transfery nein.2.5a'!AA26+'Transfery investiční'!Z25</f>
        <v>278095</v>
      </c>
      <c r="R23" s="2">
        <f>'Transfery neinvestiční 2.5'!D25+'Transfery neinvestiční 2.5'!H25+'Transfery neinvestiční 2.5'!L25+'Transfery neinvestiční 2.5'!P25+'Transfery nein.2.5a'!D26+'Transfery nein.2.5a'!P26+'Transfery nein.2.5a'!T26+'Transfery nein.2.5a'!X26+'Transfery neinvestiční 2.5'!T25+'Transfery investiční'!C25+'Transfery investiční'!G25+'Transfery investiční'!K25+'Transfery investiční'!O25+'Transfery investiční'!S25+'Transfery investiční'!W25+'Transfery nein.2.5a'!AB26+'Transfery investiční'!AA25</f>
        <v>277602</v>
      </c>
      <c r="S23" s="53">
        <f t="shared" si="3"/>
        <v>99.822722450960995</v>
      </c>
    </row>
    <row r="24" spans="1:19" ht="17.100000000000001" customHeight="1">
      <c r="A24" s="61" t="s">
        <v>197</v>
      </c>
      <c r="B24" s="4">
        <f>'Daňové příjmy'!B25+'Daňové příjmy'!F25++'Daňové příjmy'!J25+'Daňové příjmy'!N25+'Ost.daně=Místní popl.'!B26</f>
        <v>847</v>
      </c>
      <c r="C24" s="2">
        <f>'Daňové příjmy'!C25+'Daňové příjmy'!G25++'Daňové příjmy'!K25+'Daňové příjmy'!O25+'Ost.daně=Místní popl.'!C26</f>
        <v>1243</v>
      </c>
      <c r="D24" s="2">
        <f>'Daňové příjmy'!D25+'Daňové příjmy'!H25+'Daňové příjmy'!L25+'Daňové příjmy'!P25+'Ost.daně=Místní popl.'!D26</f>
        <v>1312</v>
      </c>
      <c r="E24" s="95">
        <v>-1252383.3999999999</v>
      </c>
      <c r="F24" s="95">
        <f t="shared" si="1"/>
        <v>-59.616600000000062</v>
      </c>
      <c r="G24" s="53">
        <f t="shared" si="0"/>
        <v>105.55108608205954</v>
      </c>
      <c r="H24" s="4">
        <f>'Nedaňové příjmy'!B27+'Nedaňové příjmy'!F27+'Nedaňové příjmy'!J27+'Nedaňové příjmy'!N27+'Nedaňové příjmy'!R27+'Nedaňové příjmy'!V27</f>
        <v>504</v>
      </c>
      <c r="I24" s="2">
        <f>'Nedaňové příjmy'!C27+'Nedaňové příjmy'!G27+'Nedaňové příjmy'!K27+'Nedaňové příjmy'!O27+'Nedaňové příjmy'!S27+'Nedaňové příjmy'!W27</f>
        <v>3554</v>
      </c>
      <c r="J24" s="2">
        <f>'Nedaňové příjmy'!D27+'Nedaňové příjmy'!H27+'Nedaňové příjmy'!L27+'Nedaňové příjmy'!P27+'Nedaňové příjmy'!T27+'Nedaňové příjmy'!X27</f>
        <v>3570</v>
      </c>
      <c r="K24" s="53">
        <f t="shared" si="2"/>
        <v>100.45019696117051</v>
      </c>
      <c r="L24" s="4">
        <f>'Kapitálové příjmy'!B25+'Kapitálové příjmy'!F25</f>
        <v>0</v>
      </c>
      <c r="M24" s="2">
        <f>'Kapitálové příjmy'!C25+'Kapitálové příjmy'!G25</f>
        <v>0</v>
      </c>
      <c r="N24" s="2">
        <f>'Kapitálové příjmy'!D25+'Kapitálové příjmy'!H25</f>
        <v>0</v>
      </c>
      <c r="O24" s="53"/>
      <c r="P24" s="4">
        <f>'Transfery neinvestiční 2.5'!B26+'Transfery neinvestiční 2.5'!F26+'Transfery neinvestiční 2.5'!J26+'Transfery neinvestiční 2.5'!N26+'Transfery nein.2.5a'!B27+'Transfery nein.2.5a'!N27+'Transfery nein.2.5a'!R27+'Transfery nein.2.5a'!V27+'Transfery neinvestiční 2.5'!R26+'Transfery investiční'!E26+'Transfery investiční'!I26+'Transfery investiční'!M26+'Transfery investiční'!Q26+'Transfery investiční'!U26+'Transfery nein.2.5a'!Z27+'Transfery investiční'!Y26</f>
        <v>22637</v>
      </c>
      <c r="Q24" s="2">
        <f>'Transfery neinvestiční 2.5'!C26+'Transfery neinvestiční 2.5'!G26+'Transfery neinvestiční 2.5'!K26+'Transfery neinvestiční 2.5'!O26+'Transfery nein.2.5a'!C27+'Transfery nein.2.5a'!O27+'Transfery nein.2.5a'!S27+'Transfery nein.2.5a'!W27+'Transfery neinvestiční 2.5'!S26+'Transfery investiční'!B26+'Transfery investiční'!F26+'Transfery investiční'!J26+'Transfery investiční'!N26+'Transfery investiční'!R26+'Transfery investiční'!V26+'Transfery nein.2.5a'!AA27+'Transfery investiční'!Z26</f>
        <v>24401</v>
      </c>
      <c r="R24" s="2">
        <f>'Transfery neinvestiční 2.5'!D26+'Transfery neinvestiční 2.5'!H26+'Transfery neinvestiční 2.5'!L26+'Transfery neinvestiční 2.5'!P26+'Transfery nein.2.5a'!D27+'Transfery nein.2.5a'!P27+'Transfery nein.2.5a'!T27+'Transfery nein.2.5a'!X27+'Transfery neinvestiční 2.5'!T26+'Transfery investiční'!C26+'Transfery investiční'!G26+'Transfery investiční'!K26+'Transfery investiční'!O26+'Transfery investiční'!S26+'Transfery investiční'!W26+'Transfery nein.2.5a'!AB27+'Transfery investiční'!AA26</f>
        <v>24183</v>
      </c>
      <c r="S24" s="53">
        <f t="shared" si="3"/>
        <v>99.106593992049511</v>
      </c>
    </row>
    <row r="25" spans="1:19" ht="17.100000000000001" customHeight="1">
      <c r="A25" s="61" t="s">
        <v>198</v>
      </c>
      <c r="B25" s="4">
        <f>'Daňové příjmy'!B26+'Daňové příjmy'!F26++'Daňové příjmy'!J26+'Daňové příjmy'!N26+'Ost.daně=Místní popl.'!B27</f>
        <v>16261</v>
      </c>
      <c r="C25" s="2">
        <f>'Daňové příjmy'!C26+'Daňové příjmy'!G26++'Daňové příjmy'!K26+'Daňové příjmy'!O26+'Ost.daně=Místní popl.'!C27</f>
        <v>15668</v>
      </c>
      <c r="D25" s="2">
        <f>'Daňové příjmy'!D26+'Daňové příjmy'!H26+'Daňové příjmy'!L26+'Daňové příjmy'!P26+'Ost.daně=Místní popl.'!D27</f>
        <v>15532</v>
      </c>
      <c r="E25" s="95">
        <v>-18265461.43</v>
      </c>
      <c r="F25" s="95">
        <f t="shared" si="1"/>
        <v>2733.4614299999994</v>
      </c>
      <c r="G25" s="53">
        <f t="shared" si="0"/>
        <v>99.131988766913466</v>
      </c>
      <c r="H25" s="4">
        <f>'Nedaňové příjmy'!B28+'Nedaňové příjmy'!F28+'Nedaňové příjmy'!J28+'Nedaňové příjmy'!N28+'Nedaňové příjmy'!R28+'Nedaňové příjmy'!V28</f>
        <v>7446</v>
      </c>
      <c r="I25" s="2">
        <f>'Nedaňové příjmy'!C28+'Nedaňové příjmy'!G28+'Nedaňové příjmy'!K28+'Nedaňové příjmy'!O28+'Nedaňové příjmy'!S28+'Nedaňové příjmy'!W28</f>
        <v>20809</v>
      </c>
      <c r="J25" s="2">
        <f>'Nedaňové příjmy'!D28+'Nedaňové příjmy'!H28+'Nedaňové příjmy'!L28+'Nedaňové příjmy'!P28+'Nedaňové příjmy'!T28+'Nedaňové příjmy'!X28</f>
        <v>21989</v>
      </c>
      <c r="K25" s="53">
        <f t="shared" si="2"/>
        <v>105.67062328800039</v>
      </c>
      <c r="L25" s="4">
        <f>'Kapitálové příjmy'!B26+'Kapitálové příjmy'!F26</f>
        <v>0</v>
      </c>
      <c r="M25" s="2">
        <f>'Kapitálové příjmy'!C26+'Kapitálové příjmy'!G26</f>
        <v>0</v>
      </c>
      <c r="N25" s="2">
        <f>'Kapitálové příjmy'!D26+'Kapitálové příjmy'!H26</f>
        <v>0</v>
      </c>
      <c r="O25" s="53"/>
      <c r="P25" s="4">
        <f>'Transfery neinvestiční 2.5'!B27+'Transfery neinvestiční 2.5'!F27+'Transfery neinvestiční 2.5'!J27+'Transfery neinvestiční 2.5'!N27+'Transfery nein.2.5a'!B28+'Transfery nein.2.5a'!N28+'Transfery nein.2.5a'!R28+'Transfery nein.2.5a'!V28+'Transfery neinvestiční 2.5'!R27+'Transfery investiční'!E27+'Transfery investiční'!I27+'Transfery investiční'!M27+'Transfery investiční'!Q27+'Transfery investiční'!U27+'Transfery nein.2.5a'!Z28+'Transfery investiční'!Y27</f>
        <v>146903</v>
      </c>
      <c r="Q25" s="2">
        <f>'Transfery neinvestiční 2.5'!C27+'Transfery neinvestiční 2.5'!G27+'Transfery neinvestiční 2.5'!K27+'Transfery neinvestiční 2.5'!O27+'Transfery nein.2.5a'!C28+'Transfery nein.2.5a'!O28+'Transfery nein.2.5a'!S28+'Transfery nein.2.5a'!W28+'Transfery neinvestiční 2.5'!S27+'Transfery investiční'!B27+'Transfery investiční'!F27+'Transfery investiční'!J27+'Transfery investiční'!N27+'Transfery investiční'!R27+'Transfery investiční'!V27+'Transfery nein.2.5a'!AA28+'Transfery investiční'!Z27</f>
        <v>145953</v>
      </c>
      <c r="R25" s="2">
        <f>'Transfery neinvestiční 2.5'!D27+'Transfery neinvestiční 2.5'!H27+'Transfery neinvestiční 2.5'!L27+'Transfery neinvestiční 2.5'!P27+'Transfery nein.2.5a'!D28+'Transfery nein.2.5a'!P28+'Transfery nein.2.5a'!T28+'Transfery nein.2.5a'!X28+'Transfery neinvestiční 2.5'!T27+'Transfery investiční'!C27+'Transfery investiční'!G27+'Transfery investiční'!K27+'Transfery investiční'!O27+'Transfery investiční'!S27+'Transfery investiční'!W27+'Transfery nein.2.5a'!AB28+'Transfery investiční'!AA27</f>
        <v>145916</v>
      </c>
      <c r="S25" s="53">
        <f t="shared" si="3"/>
        <v>99.974649373428434</v>
      </c>
    </row>
    <row r="26" spans="1:19" ht="17.100000000000001" customHeight="1">
      <c r="A26" s="61" t="s">
        <v>199</v>
      </c>
      <c r="B26" s="4">
        <f>'Daňové příjmy'!B27+'Daňové příjmy'!F27++'Daňové příjmy'!J27+'Daňové příjmy'!N27+'Ost.daně=Místní popl.'!B28</f>
        <v>1155</v>
      </c>
      <c r="C26" s="2">
        <f>'Daňové příjmy'!C27+'Daňové příjmy'!G27++'Daňové příjmy'!K27+'Daňové příjmy'!O27+'Ost.daně=Místní popl.'!C28</f>
        <v>4555</v>
      </c>
      <c r="D26" s="2">
        <f>'Daňové příjmy'!D27+'Daňové příjmy'!H27+'Daňové příjmy'!L27+'Daňové příjmy'!P27+'Ost.daně=Místní popl.'!D28</f>
        <v>4519</v>
      </c>
      <c r="E26" s="95">
        <v>-7784245.1600000001</v>
      </c>
      <c r="F26" s="95">
        <f t="shared" si="1"/>
        <v>3265.2451600000004</v>
      </c>
      <c r="G26" s="53">
        <f t="shared" si="0"/>
        <v>99.20965971459934</v>
      </c>
      <c r="H26" s="4">
        <f>'Nedaňové příjmy'!B29+'Nedaňové příjmy'!F29+'Nedaňové příjmy'!J29+'Nedaňové příjmy'!N29+'Nedaňové příjmy'!R29+'Nedaňové příjmy'!V29</f>
        <v>5690</v>
      </c>
      <c r="I26" s="2">
        <f>'Nedaňové příjmy'!C29+'Nedaňové příjmy'!G29+'Nedaňové příjmy'!K29+'Nedaňové příjmy'!O29+'Nedaňové příjmy'!S29+'Nedaňové příjmy'!W29</f>
        <v>12863</v>
      </c>
      <c r="J26" s="2">
        <f>'Nedaňové příjmy'!D29+'Nedaňové příjmy'!H29+'Nedaňové příjmy'!L29+'Nedaňové příjmy'!P29+'Nedaňové příjmy'!T29+'Nedaňové příjmy'!X29</f>
        <v>12867</v>
      </c>
      <c r="K26" s="53">
        <f t="shared" si="2"/>
        <v>100.03109694472518</v>
      </c>
      <c r="L26" s="4">
        <f>'Kapitálové příjmy'!B27+'Kapitálové příjmy'!F27</f>
        <v>0</v>
      </c>
      <c r="M26" s="2">
        <f>'Kapitálové příjmy'!C27+'Kapitálové příjmy'!G27</f>
        <v>0</v>
      </c>
      <c r="N26" s="2">
        <f>'Kapitálové příjmy'!D27+'Kapitálové příjmy'!H27</f>
        <v>0</v>
      </c>
      <c r="O26" s="53"/>
      <c r="P26" s="4">
        <f>'Transfery neinvestiční 2.5'!B28+'Transfery neinvestiční 2.5'!F28+'Transfery neinvestiční 2.5'!J28+'Transfery neinvestiční 2.5'!N28+'Transfery nein.2.5a'!B29+'Transfery nein.2.5a'!N29+'Transfery nein.2.5a'!R29+'Transfery nein.2.5a'!V29+'Transfery neinvestiční 2.5'!R28+'Transfery investiční'!E28+'Transfery investiční'!I28+'Transfery investiční'!M28+'Transfery investiční'!Q28+'Transfery investiční'!U28+'Transfery nein.2.5a'!Z29+'Transfery investiční'!Y28</f>
        <v>40316</v>
      </c>
      <c r="Q26" s="2">
        <f>'Transfery neinvestiční 2.5'!C28+'Transfery neinvestiční 2.5'!G28+'Transfery neinvestiční 2.5'!K28+'Transfery neinvestiční 2.5'!O28+'Transfery nein.2.5a'!C29+'Transfery nein.2.5a'!O29+'Transfery nein.2.5a'!S29+'Transfery nein.2.5a'!W29+'Transfery neinvestiční 2.5'!S28+'Transfery investiční'!B28+'Transfery investiční'!F28+'Transfery investiční'!J28+'Transfery investiční'!N28+'Transfery investiční'!R28+'Transfery investiční'!V28+'Transfery nein.2.5a'!AA29+'Transfery investiční'!Z28</f>
        <v>52887</v>
      </c>
      <c r="R26" s="2">
        <f>'Transfery neinvestiční 2.5'!D28+'Transfery neinvestiční 2.5'!H28+'Transfery neinvestiční 2.5'!L28+'Transfery neinvestiční 2.5'!P28+'Transfery nein.2.5a'!D29+'Transfery nein.2.5a'!P29+'Transfery nein.2.5a'!T29+'Transfery nein.2.5a'!X29+'Transfery neinvestiční 2.5'!T28+'Transfery investiční'!C28+'Transfery investiční'!G28+'Transfery investiční'!K28+'Transfery investiční'!O28+'Transfery investiční'!S28+'Transfery investiční'!W28+'Transfery nein.2.5a'!AB29+'Transfery investiční'!AA28</f>
        <v>52560</v>
      </c>
      <c r="S26" s="53">
        <f t="shared" si="3"/>
        <v>99.381700606954453</v>
      </c>
    </row>
    <row r="27" spans="1:19" ht="17.100000000000001" customHeight="1">
      <c r="A27" s="61" t="s">
        <v>200</v>
      </c>
      <c r="B27" s="4">
        <f>'Daňové příjmy'!B28+'Daňové příjmy'!F28++'Daňové příjmy'!J28+'Daňové příjmy'!N28+'Ost.daně=Místní popl.'!B29</f>
        <v>1700</v>
      </c>
      <c r="C27" s="2">
        <f>'Daňové příjmy'!C28+'Daňové příjmy'!G28++'Daňové příjmy'!K28+'Daňové příjmy'!O28+'Ost.daně=Místní popl.'!C29</f>
        <v>6192</v>
      </c>
      <c r="D27" s="2">
        <f>'Daňové příjmy'!D28+'Daňové příjmy'!H28+'Daňové příjmy'!L28+'Daňové příjmy'!P28+'Ost.daně=Místní popl.'!D29</f>
        <v>7224</v>
      </c>
      <c r="E27" s="95">
        <v>-6678131.8700000001</v>
      </c>
      <c r="F27" s="95">
        <f t="shared" si="1"/>
        <v>-545.86812999999984</v>
      </c>
      <c r="G27" s="53">
        <f t="shared" si="0"/>
        <v>116.66666666666667</v>
      </c>
      <c r="H27" s="4">
        <f>'Nedaňové příjmy'!B30+'Nedaňové příjmy'!F30+'Nedaňové příjmy'!J30+'Nedaňové příjmy'!N30+'Nedaňové příjmy'!R30+'Nedaňové příjmy'!V30</f>
        <v>7971</v>
      </c>
      <c r="I27" s="2">
        <f>'Nedaňové příjmy'!C30+'Nedaňové příjmy'!G30+'Nedaňové příjmy'!K30+'Nedaňové příjmy'!O30+'Nedaňové příjmy'!S30+'Nedaňové příjmy'!W30</f>
        <v>15824</v>
      </c>
      <c r="J27" s="2">
        <f>'Nedaňové příjmy'!D30+'Nedaňové příjmy'!H30+'Nedaňové příjmy'!L30+'Nedaňové příjmy'!P30+'Nedaňové příjmy'!T30+'Nedaňové příjmy'!X30</f>
        <v>16030</v>
      </c>
      <c r="K27" s="53">
        <f t="shared" si="2"/>
        <v>101.30182002022245</v>
      </c>
      <c r="L27" s="4">
        <f>'Kapitálové příjmy'!B28+'Kapitálové příjmy'!F28</f>
        <v>0</v>
      </c>
      <c r="M27" s="2">
        <f>'Kapitálové příjmy'!C28+'Kapitálové příjmy'!G28</f>
        <v>0</v>
      </c>
      <c r="N27" s="2">
        <f>'Kapitálové příjmy'!D28+'Kapitálové příjmy'!H28</f>
        <v>0</v>
      </c>
      <c r="O27" s="53"/>
      <c r="P27" s="4">
        <f>'Transfery neinvestiční 2.5'!B29+'Transfery neinvestiční 2.5'!F29+'Transfery neinvestiční 2.5'!J29+'Transfery neinvestiční 2.5'!N29+'Transfery nein.2.5a'!B30+'Transfery nein.2.5a'!N30+'Transfery nein.2.5a'!R30+'Transfery nein.2.5a'!V30+'Transfery neinvestiční 2.5'!R29+'Transfery investiční'!E29+'Transfery investiční'!I29+'Transfery investiční'!M29+'Transfery investiční'!Q29+'Transfery investiční'!U29+'Transfery nein.2.5a'!Z30+'Transfery investiční'!Y29</f>
        <v>48150</v>
      </c>
      <c r="Q27" s="2">
        <f>'Transfery neinvestiční 2.5'!C29+'Transfery neinvestiční 2.5'!G29+'Transfery neinvestiční 2.5'!K29+'Transfery neinvestiční 2.5'!O29+'Transfery nein.2.5a'!C30+'Transfery nein.2.5a'!O30+'Transfery nein.2.5a'!S30+'Transfery nein.2.5a'!W30+'Transfery neinvestiční 2.5'!S29+'Transfery investiční'!B29+'Transfery investiční'!F29+'Transfery investiční'!J29+'Transfery investiční'!N29+'Transfery investiční'!R29+'Transfery investiční'!V29+'Transfery nein.2.5a'!AA30+'Transfery investiční'!Z29</f>
        <v>94346</v>
      </c>
      <c r="R27" s="2">
        <f>'Transfery neinvestiční 2.5'!D29+'Transfery neinvestiční 2.5'!H29+'Transfery neinvestiční 2.5'!L29+'Transfery neinvestiční 2.5'!P29+'Transfery nein.2.5a'!D30+'Transfery nein.2.5a'!P30+'Transfery nein.2.5a'!T30+'Transfery nein.2.5a'!X30+'Transfery neinvestiční 2.5'!T29+'Transfery investiční'!C29+'Transfery investiční'!G29+'Transfery investiční'!K29+'Transfery investiční'!O29+'Transfery investiční'!S29+'Transfery investiční'!W29+'Transfery nein.2.5a'!AB30+'Transfery investiční'!AA29</f>
        <v>94244</v>
      </c>
      <c r="S27" s="53">
        <f t="shared" si="3"/>
        <v>99.891887308417949</v>
      </c>
    </row>
    <row r="28" spans="1:19" ht="17.100000000000001" customHeight="1">
      <c r="A28" s="61" t="s">
        <v>201</v>
      </c>
      <c r="B28" s="4">
        <f>'Daňové příjmy'!B29+'Daňové příjmy'!F29++'Daňové příjmy'!J29+'Daňové příjmy'!N29+'Ost.daně=Místní popl.'!B30</f>
        <v>1155</v>
      </c>
      <c r="C28" s="2">
        <f>'Daňové příjmy'!C29+'Daňové příjmy'!G29++'Daňové příjmy'!K29+'Daňové příjmy'!O29+'Ost.daně=Místní popl.'!C30</f>
        <v>6827</v>
      </c>
      <c r="D28" s="2">
        <f>'Daňové příjmy'!D29+'Daňové příjmy'!H29+'Daňové příjmy'!L29+'Daňové příjmy'!P29+'Ost.daně=Místní popl.'!D30</f>
        <v>6837</v>
      </c>
      <c r="E28" s="95">
        <v>-8545227.5</v>
      </c>
      <c r="F28" s="95">
        <f t="shared" si="1"/>
        <v>1708.2275000000009</v>
      </c>
      <c r="G28" s="53">
        <f t="shared" si="0"/>
        <v>100.14647722279186</v>
      </c>
      <c r="H28" s="4">
        <f>'Nedaňové příjmy'!B31+'Nedaňové příjmy'!F31+'Nedaňové příjmy'!J31+'Nedaňové příjmy'!N31+'Nedaňové příjmy'!R31+'Nedaňové příjmy'!V31</f>
        <v>6926</v>
      </c>
      <c r="I28" s="2">
        <f>'Nedaňové příjmy'!C31+'Nedaňové příjmy'!G31+'Nedaňové příjmy'!K31+'Nedaňové příjmy'!O31+'Nedaňové příjmy'!S31+'Nedaňové příjmy'!W31</f>
        <v>14744</v>
      </c>
      <c r="J28" s="2">
        <f>'Nedaňové příjmy'!D31+'Nedaňové příjmy'!H31+'Nedaňové příjmy'!L31+'Nedaňové příjmy'!P31+'Nedaňové příjmy'!T31+'Nedaňové příjmy'!X31</f>
        <v>15287</v>
      </c>
      <c r="K28" s="53">
        <f t="shared" si="2"/>
        <v>103.68285404232229</v>
      </c>
      <c r="L28" s="4">
        <f>'Kapitálové příjmy'!B29+'Kapitálové příjmy'!F29</f>
        <v>0</v>
      </c>
      <c r="M28" s="2">
        <f>'Kapitálové příjmy'!C29+'Kapitálové příjmy'!G29</f>
        <v>0</v>
      </c>
      <c r="N28" s="2">
        <f>'Kapitálové příjmy'!D29+'Kapitálové příjmy'!H29</f>
        <v>0</v>
      </c>
      <c r="O28" s="53"/>
      <c r="P28" s="4">
        <f>'Transfery neinvestiční 2.5'!B30+'Transfery neinvestiční 2.5'!F30+'Transfery neinvestiční 2.5'!J30+'Transfery neinvestiční 2.5'!N30+'Transfery nein.2.5a'!B31+'Transfery nein.2.5a'!N31+'Transfery nein.2.5a'!R31+'Transfery nein.2.5a'!V31+'Transfery neinvestiční 2.5'!R30+'Transfery investiční'!E30+'Transfery investiční'!I30+'Transfery investiční'!M30+'Transfery investiční'!Q30+'Transfery investiční'!U30+'Transfery nein.2.5a'!Z31+'Transfery investiční'!Y30</f>
        <v>41419</v>
      </c>
      <c r="Q28" s="2">
        <f>'Transfery neinvestiční 2.5'!C30+'Transfery neinvestiční 2.5'!G30+'Transfery neinvestiční 2.5'!K30+'Transfery neinvestiční 2.5'!O30+'Transfery nein.2.5a'!C31+'Transfery nein.2.5a'!O31+'Transfery nein.2.5a'!S31+'Transfery nein.2.5a'!W31+'Transfery neinvestiční 2.5'!S30+'Transfery investiční'!B30+'Transfery investiční'!F30+'Transfery investiční'!J30+'Transfery investiční'!N30+'Transfery investiční'!R30+'Transfery investiční'!V30+'Transfery nein.2.5a'!AA31+'Transfery investiční'!Z30</f>
        <v>52303</v>
      </c>
      <c r="R28" s="2">
        <f>'Transfery neinvestiční 2.5'!D30+'Transfery neinvestiční 2.5'!H30+'Transfery neinvestiční 2.5'!L30+'Transfery neinvestiční 2.5'!P30+'Transfery nein.2.5a'!D31+'Transfery nein.2.5a'!P31+'Transfery nein.2.5a'!T31+'Transfery nein.2.5a'!X31+'Transfery neinvestiční 2.5'!T30+'Transfery investiční'!C30+'Transfery investiční'!G30+'Transfery investiční'!K30+'Transfery investiční'!O30+'Transfery investiční'!S30+'Transfery investiční'!W30+'Transfery nein.2.5a'!AB31+'Transfery investiční'!AA30</f>
        <v>52302</v>
      </c>
      <c r="S28" s="53">
        <f t="shared" si="3"/>
        <v>99.998088063782191</v>
      </c>
    </row>
    <row r="29" spans="1:19" ht="17.100000000000001" customHeight="1">
      <c r="A29" s="61" t="s">
        <v>202</v>
      </c>
      <c r="B29" s="4">
        <f>'Daňové příjmy'!B30+'Daňové příjmy'!F30++'Daňové příjmy'!J30+'Daňové příjmy'!N30+'Ost.daně=Místní popl.'!B31</f>
        <v>14760</v>
      </c>
      <c r="C29" s="2">
        <f>'Daňové příjmy'!C30+'Daňové příjmy'!G30++'Daňové příjmy'!K30+'Daňové příjmy'!O30+'Ost.daně=Místní popl.'!C31</f>
        <v>16535</v>
      </c>
      <c r="D29" s="2">
        <f>'Daňové příjmy'!D30+'Daňové příjmy'!H30+'Daňové příjmy'!L30+'Daňové příjmy'!P30+'Ost.daně=Místní popl.'!D31</f>
        <v>17018</v>
      </c>
      <c r="E29" s="95">
        <v>-14112277.6</v>
      </c>
      <c r="F29" s="95">
        <f t="shared" si="1"/>
        <v>-2905.7224000000006</v>
      </c>
      <c r="G29" s="53">
        <f t="shared" si="0"/>
        <v>102.92107650438464</v>
      </c>
      <c r="H29" s="4">
        <f>'Nedaňové příjmy'!B32+'Nedaňové příjmy'!F32+'Nedaňové příjmy'!J32+'Nedaňové příjmy'!N32+'Nedaňové příjmy'!R32+'Nedaňové příjmy'!V32</f>
        <v>11753</v>
      </c>
      <c r="I29" s="2">
        <f>'Nedaňové příjmy'!C32+'Nedaňové příjmy'!G32+'Nedaňové příjmy'!K32+'Nedaňové příjmy'!O32+'Nedaňové příjmy'!S32+'Nedaňové příjmy'!W32</f>
        <v>21444</v>
      </c>
      <c r="J29" s="2">
        <f>'Nedaňové příjmy'!D32+'Nedaňové příjmy'!H32+'Nedaňové příjmy'!L32+'Nedaňové příjmy'!P32+'Nedaňové příjmy'!T32+'Nedaňové příjmy'!X32</f>
        <v>21723</v>
      </c>
      <c r="K29" s="53">
        <f t="shared" si="2"/>
        <v>101.30106323447119</v>
      </c>
      <c r="L29" s="4">
        <f>'Kapitálové příjmy'!B30+'Kapitálové příjmy'!F30</f>
        <v>0</v>
      </c>
      <c r="M29" s="2">
        <f>'Kapitálové příjmy'!C30+'Kapitálové příjmy'!G30</f>
        <v>0</v>
      </c>
      <c r="N29" s="2">
        <f>'Kapitálové příjmy'!D30+'Kapitálové příjmy'!H30</f>
        <v>0</v>
      </c>
      <c r="O29" s="53"/>
      <c r="P29" s="4">
        <f>'Transfery neinvestiční 2.5'!B31+'Transfery neinvestiční 2.5'!F31+'Transfery neinvestiční 2.5'!J31+'Transfery neinvestiční 2.5'!N31+'Transfery nein.2.5a'!B32+'Transfery nein.2.5a'!N32+'Transfery nein.2.5a'!R32+'Transfery nein.2.5a'!V32+'Transfery neinvestiční 2.5'!R31+'Transfery investiční'!E31+'Transfery investiční'!I31+'Transfery investiční'!M31+'Transfery investiční'!Q31+'Transfery investiční'!U31+'Transfery nein.2.5a'!Z32+'Transfery investiční'!Y31</f>
        <v>112867</v>
      </c>
      <c r="Q29" s="2">
        <f>'Transfery neinvestiční 2.5'!C31+'Transfery neinvestiční 2.5'!G31+'Transfery neinvestiční 2.5'!K31+'Transfery neinvestiční 2.5'!O31+'Transfery nein.2.5a'!C32+'Transfery nein.2.5a'!O32+'Transfery nein.2.5a'!S32+'Transfery nein.2.5a'!W32+'Transfery neinvestiční 2.5'!S31+'Transfery investiční'!B31+'Transfery investiční'!F31+'Transfery investiční'!J31+'Transfery investiční'!N31+'Transfery investiční'!R31+'Transfery investiční'!V31+'Transfery nein.2.5a'!AA32+'Transfery investiční'!Z31</f>
        <v>131369</v>
      </c>
      <c r="R29" s="2">
        <f>'Transfery neinvestiční 2.5'!D31+'Transfery neinvestiční 2.5'!H31+'Transfery neinvestiční 2.5'!L31+'Transfery neinvestiční 2.5'!P31+'Transfery nein.2.5a'!D32+'Transfery nein.2.5a'!P32+'Transfery nein.2.5a'!T32+'Transfery nein.2.5a'!X32+'Transfery neinvestiční 2.5'!T31+'Transfery investiční'!C31+'Transfery investiční'!G31+'Transfery investiční'!K31+'Transfery investiční'!O31+'Transfery investiční'!S31+'Transfery investiční'!W31+'Transfery nein.2.5a'!AB32+'Transfery investiční'!AA31</f>
        <v>131370</v>
      </c>
      <c r="S29" s="53">
        <f t="shared" si="3"/>
        <v>100.00076121459401</v>
      </c>
    </row>
    <row r="30" spans="1:19" ht="17.100000000000001" customHeight="1">
      <c r="A30" s="61" t="s">
        <v>203</v>
      </c>
      <c r="B30" s="4">
        <f>'Daňové příjmy'!B31+'Daňové příjmy'!F31++'Daňové příjmy'!J31+'Daňové příjmy'!N31+'Ost.daně=Místní popl.'!B32</f>
        <v>4511</v>
      </c>
      <c r="C30" s="2">
        <f>'Daňové příjmy'!C31+'Daňové příjmy'!G31++'Daňové příjmy'!K31+'Daňové příjmy'!O31+'Ost.daně=Místní popl.'!C32</f>
        <v>5369</v>
      </c>
      <c r="D30" s="2">
        <f>'Daňové příjmy'!D31+'Daňové příjmy'!H31+'Daňové příjmy'!L31+'Daňové příjmy'!P31+'Ost.daně=Místní popl.'!D32</f>
        <v>5656</v>
      </c>
      <c r="E30" s="95">
        <v>-5303691.51</v>
      </c>
      <c r="F30" s="95">
        <f t="shared" si="1"/>
        <v>-352.30849000000035</v>
      </c>
      <c r="G30" s="53">
        <f t="shared" si="0"/>
        <v>105.34550195567145</v>
      </c>
      <c r="H30" s="4">
        <f>'Nedaňové příjmy'!B33+'Nedaňové příjmy'!F33+'Nedaňové příjmy'!J33+'Nedaňové příjmy'!N33+'Nedaňové příjmy'!R33+'Nedaňové příjmy'!V33</f>
        <v>2467</v>
      </c>
      <c r="I30" s="2">
        <f>'Nedaňové příjmy'!C33+'Nedaňové příjmy'!G33+'Nedaňové příjmy'!K33+'Nedaňové příjmy'!O33+'Nedaňové příjmy'!S33+'Nedaňové příjmy'!W33</f>
        <v>10055</v>
      </c>
      <c r="J30" s="2">
        <f>'Nedaňové příjmy'!D33+'Nedaňové příjmy'!H33+'Nedaňové příjmy'!L33+'Nedaňové příjmy'!P33+'Nedaňové příjmy'!T33+'Nedaňové příjmy'!X33</f>
        <v>9762</v>
      </c>
      <c r="K30" s="53">
        <f t="shared" si="2"/>
        <v>97.086026852312273</v>
      </c>
      <c r="L30" s="4">
        <f>'Kapitálové příjmy'!B31+'Kapitálové příjmy'!F31</f>
        <v>0</v>
      </c>
      <c r="M30" s="2">
        <f>'Kapitálové příjmy'!C31+'Kapitálové příjmy'!G31</f>
        <v>0</v>
      </c>
      <c r="N30" s="2">
        <f>'Kapitálové příjmy'!D31+'Kapitálové příjmy'!H31</f>
        <v>0</v>
      </c>
      <c r="O30" s="53"/>
      <c r="P30" s="4">
        <f>'Transfery neinvestiční 2.5'!B32+'Transfery neinvestiční 2.5'!F32+'Transfery neinvestiční 2.5'!J32+'Transfery neinvestiční 2.5'!N32+'Transfery nein.2.5a'!B33+'Transfery nein.2.5a'!N33+'Transfery nein.2.5a'!R33+'Transfery nein.2.5a'!V33+'Transfery neinvestiční 2.5'!R32+'Transfery investiční'!E32+'Transfery investiční'!I32+'Transfery investiční'!M32+'Transfery investiční'!Q32+'Transfery investiční'!U32+'Transfery nein.2.5a'!Z33+'Transfery investiční'!Y32</f>
        <v>45990</v>
      </c>
      <c r="Q30" s="2">
        <f>'Transfery neinvestiční 2.5'!C32+'Transfery neinvestiční 2.5'!G32+'Transfery neinvestiční 2.5'!K32+'Transfery neinvestiční 2.5'!O32+'Transfery nein.2.5a'!C33+'Transfery nein.2.5a'!O33+'Transfery nein.2.5a'!S33+'Transfery nein.2.5a'!W33+'Transfery neinvestiční 2.5'!S32+'Transfery investiční'!B32+'Transfery investiční'!F32+'Transfery investiční'!J32+'Transfery investiční'!N32+'Transfery investiční'!R32+'Transfery investiční'!V32+'Transfery nein.2.5a'!AA33+'Transfery investiční'!Z32</f>
        <v>49054</v>
      </c>
      <c r="R30" s="2">
        <f>'Transfery neinvestiční 2.5'!D32+'Transfery neinvestiční 2.5'!H32+'Transfery neinvestiční 2.5'!L32+'Transfery neinvestiční 2.5'!P32+'Transfery nein.2.5a'!D33+'Transfery nein.2.5a'!P33+'Transfery nein.2.5a'!T33+'Transfery nein.2.5a'!X33+'Transfery neinvestiční 2.5'!T32+'Transfery investiční'!C32+'Transfery investiční'!G32+'Transfery investiční'!K32+'Transfery investiční'!O32+'Transfery investiční'!S32+'Transfery investiční'!W32+'Transfery nein.2.5a'!AB33+'Transfery investiční'!AA32</f>
        <v>48172</v>
      </c>
      <c r="S30" s="53">
        <f t="shared" si="3"/>
        <v>98.20198148978676</v>
      </c>
    </row>
    <row r="31" spans="1:19" ht="17.100000000000001" customHeight="1">
      <c r="A31" s="61" t="s">
        <v>204</v>
      </c>
      <c r="B31" s="4">
        <f>'Daňové příjmy'!B32+'Daňové příjmy'!F32++'Daňové příjmy'!J32+'Daňové příjmy'!N32+'Ost.daně=Místní popl.'!B33</f>
        <v>388</v>
      </c>
      <c r="C31" s="2">
        <f>'Daňové příjmy'!C32+'Daňové příjmy'!G32++'Daňové příjmy'!K32+'Daňové příjmy'!O32+'Ost.daně=Místní popl.'!C33</f>
        <v>1131</v>
      </c>
      <c r="D31" s="2">
        <f>'Daňové příjmy'!D32+'Daňové příjmy'!H32+'Daňové příjmy'!L32+'Daňové příjmy'!P32+'Ost.daně=Místní popl.'!D33</f>
        <v>1189</v>
      </c>
      <c r="E31" s="95">
        <v>-1289579.5</v>
      </c>
      <c r="F31" s="95">
        <f t="shared" si="1"/>
        <v>100.57950000000005</v>
      </c>
      <c r="G31" s="53">
        <f t="shared" si="0"/>
        <v>105.12820512820514</v>
      </c>
      <c r="H31" s="4">
        <f>'Nedaňové příjmy'!B34+'Nedaňové příjmy'!F34+'Nedaňové příjmy'!J34+'Nedaňové příjmy'!N34+'Nedaňové příjmy'!R34+'Nedaňové příjmy'!V34</f>
        <v>2472</v>
      </c>
      <c r="I31" s="2">
        <f>'Nedaňové příjmy'!C34+'Nedaňové příjmy'!G34+'Nedaňové příjmy'!K34+'Nedaňové příjmy'!O34+'Nedaňové příjmy'!S34+'Nedaňové příjmy'!W34</f>
        <v>5982</v>
      </c>
      <c r="J31" s="2">
        <f>'Nedaňové příjmy'!D34+'Nedaňové příjmy'!H34+'Nedaňové příjmy'!L34+'Nedaňové příjmy'!P34+'Nedaňové příjmy'!T34+'Nedaňové příjmy'!X34</f>
        <v>5946</v>
      </c>
      <c r="K31" s="53">
        <f t="shared" si="2"/>
        <v>99.398194583751248</v>
      </c>
      <c r="L31" s="4">
        <f>'Kapitálové příjmy'!B32+'Kapitálové příjmy'!F32</f>
        <v>0</v>
      </c>
      <c r="M31" s="2">
        <f>'Kapitálové příjmy'!C32+'Kapitálové příjmy'!G32</f>
        <v>0</v>
      </c>
      <c r="N31" s="2">
        <f>'Kapitálové příjmy'!D32+'Kapitálové příjmy'!H32</f>
        <v>0</v>
      </c>
      <c r="O31" s="53"/>
      <c r="P31" s="4">
        <f>'Transfery neinvestiční 2.5'!B33+'Transfery neinvestiční 2.5'!F33+'Transfery neinvestiční 2.5'!J33+'Transfery neinvestiční 2.5'!N33+'Transfery nein.2.5a'!B34+'Transfery nein.2.5a'!N34+'Transfery nein.2.5a'!R34+'Transfery nein.2.5a'!V34+'Transfery neinvestiční 2.5'!R33+'Transfery investiční'!E33+'Transfery investiční'!I33+'Transfery investiční'!M33+'Transfery investiční'!Q33+'Transfery investiční'!U33+'Transfery nein.2.5a'!Z34+'Transfery investiční'!Y33</f>
        <v>25366</v>
      </c>
      <c r="Q31" s="2">
        <f>'Transfery neinvestiční 2.5'!C33+'Transfery neinvestiční 2.5'!G33+'Transfery neinvestiční 2.5'!K33+'Transfery neinvestiční 2.5'!O33+'Transfery nein.2.5a'!C34+'Transfery nein.2.5a'!O34+'Transfery nein.2.5a'!S34+'Transfery nein.2.5a'!W34+'Transfery neinvestiční 2.5'!S33+'Transfery investiční'!B33+'Transfery investiční'!F33+'Transfery investiční'!J33+'Transfery investiční'!N33+'Transfery investiční'!R33+'Transfery investiční'!V33+'Transfery nein.2.5a'!AA34+'Transfery investiční'!Z33</f>
        <v>29951</v>
      </c>
      <c r="R31" s="2">
        <f>'Transfery neinvestiční 2.5'!D33+'Transfery neinvestiční 2.5'!H33+'Transfery neinvestiční 2.5'!L33+'Transfery neinvestiční 2.5'!P33+'Transfery nein.2.5a'!D34+'Transfery nein.2.5a'!P34+'Transfery nein.2.5a'!T34+'Transfery nein.2.5a'!X34+'Transfery neinvestiční 2.5'!T33+'Transfery investiční'!C33+'Transfery investiční'!G33+'Transfery investiční'!K33+'Transfery investiční'!O33+'Transfery investiční'!S33+'Transfery investiční'!W33+'Transfery nein.2.5a'!AB34+'Transfery investiční'!AA33</f>
        <v>29951</v>
      </c>
      <c r="S31" s="53">
        <f t="shared" si="3"/>
        <v>100</v>
      </c>
    </row>
    <row r="32" spans="1:19" ht="17.100000000000001" customHeight="1">
      <c r="A32" s="61" t="s">
        <v>205</v>
      </c>
      <c r="B32" s="4">
        <f>'Daňové příjmy'!B33+'Daňové příjmy'!F33++'Daňové příjmy'!J33+'Daňové příjmy'!N33+'Ost.daně=Místní popl.'!B34</f>
        <v>281</v>
      </c>
      <c r="C32" s="2">
        <f>'Daňové příjmy'!C33+'Daňové příjmy'!G33++'Daňové příjmy'!K33+'Daňové příjmy'!O33+'Ost.daně=Místní popl.'!C34</f>
        <v>644</v>
      </c>
      <c r="D32" s="2">
        <f>'Daňové příjmy'!D33+'Daňové příjmy'!H33+'Daňové příjmy'!L33+'Daňové příjmy'!P33+'Ost.daně=Místní popl.'!D34</f>
        <v>630</v>
      </c>
      <c r="E32" s="95">
        <v>-936716</v>
      </c>
      <c r="F32" s="95">
        <f t="shared" si="1"/>
        <v>306.71600000000001</v>
      </c>
      <c r="G32" s="53">
        <f t="shared" si="0"/>
        <v>97.826086956521735</v>
      </c>
      <c r="H32" s="4">
        <f>'Nedaňové příjmy'!B35+'Nedaňové příjmy'!F35+'Nedaňové příjmy'!J35+'Nedaňové příjmy'!N35+'Nedaňové příjmy'!R35+'Nedaňové příjmy'!V35</f>
        <v>910</v>
      </c>
      <c r="I32" s="2">
        <f>'Nedaňové příjmy'!C35+'Nedaňové příjmy'!G35+'Nedaňové příjmy'!K35+'Nedaňové příjmy'!O35+'Nedaňové příjmy'!S35+'Nedaňové příjmy'!W35</f>
        <v>3486</v>
      </c>
      <c r="J32" s="2">
        <f>'Nedaňové příjmy'!D35+'Nedaňové příjmy'!H35+'Nedaňové příjmy'!L35+'Nedaňové příjmy'!P35+'Nedaňové příjmy'!T35+'Nedaňové příjmy'!X35</f>
        <v>3422</v>
      </c>
      <c r="K32" s="53">
        <f t="shared" si="2"/>
        <v>98.164084911072862</v>
      </c>
      <c r="L32" s="4">
        <f>'Kapitálové příjmy'!B33+'Kapitálové příjmy'!F33</f>
        <v>0</v>
      </c>
      <c r="M32" s="2">
        <f>'Kapitálové příjmy'!C33+'Kapitálové příjmy'!G33</f>
        <v>0</v>
      </c>
      <c r="N32" s="2">
        <f>'Kapitálové příjmy'!D33+'Kapitálové příjmy'!H33</f>
        <v>0</v>
      </c>
      <c r="O32" s="53"/>
      <c r="P32" s="4">
        <f>'Transfery neinvestiční 2.5'!B34+'Transfery neinvestiční 2.5'!F34+'Transfery neinvestiční 2.5'!J34+'Transfery neinvestiční 2.5'!N34+'Transfery nein.2.5a'!B35+'Transfery nein.2.5a'!N35+'Transfery nein.2.5a'!R35+'Transfery nein.2.5a'!V35+'Transfery neinvestiční 2.5'!R34+'Transfery investiční'!E34+'Transfery investiční'!I34+'Transfery investiční'!M34+'Transfery investiční'!Q34+'Transfery investiční'!U34+'Transfery nein.2.5a'!Z35+'Transfery investiční'!Y34</f>
        <v>14831</v>
      </c>
      <c r="Q32" s="2">
        <f>'Transfery neinvestiční 2.5'!C34+'Transfery neinvestiční 2.5'!G34+'Transfery neinvestiční 2.5'!K34+'Transfery neinvestiční 2.5'!O34+'Transfery nein.2.5a'!C35+'Transfery nein.2.5a'!O35+'Transfery nein.2.5a'!S35+'Transfery nein.2.5a'!W35+'Transfery neinvestiční 2.5'!S34+'Transfery investiční'!B34+'Transfery investiční'!F34+'Transfery investiční'!J34+'Transfery investiční'!N34+'Transfery investiční'!R34+'Transfery investiční'!V34+'Transfery nein.2.5a'!AA35+'Transfery investiční'!Z34</f>
        <v>15593</v>
      </c>
      <c r="R32" s="2">
        <f>'Transfery neinvestiční 2.5'!D34+'Transfery neinvestiční 2.5'!H34+'Transfery neinvestiční 2.5'!L34+'Transfery neinvestiční 2.5'!P34+'Transfery nein.2.5a'!D35+'Transfery nein.2.5a'!P35+'Transfery nein.2.5a'!T35+'Transfery nein.2.5a'!X35+'Transfery neinvestiční 2.5'!T34+'Transfery investiční'!C34+'Transfery investiční'!G34+'Transfery investiční'!K34+'Transfery investiční'!O34+'Transfery investiční'!S34+'Transfery investiční'!W34+'Transfery nein.2.5a'!AB35+'Transfery investiční'!AA34</f>
        <v>15593</v>
      </c>
      <c r="S32" s="53">
        <f t="shared" si="3"/>
        <v>100</v>
      </c>
    </row>
    <row r="33" spans="1:19" ht="17.100000000000001" customHeight="1">
      <c r="A33" s="61" t="s">
        <v>206</v>
      </c>
      <c r="B33" s="4">
        <f>'Daňové příjmy'!B34+'Daňové příjmy'!F34++'Daňové příjmy'!J34+'Daňové příjmy'!N34+'Ost.daně=Místní popl.'!B35</f>
        <v>29945</v>
      </c>
      <c r="C33" s="2">
        <f>'Daňové příjmy'!C34+'Daňové příjmy'!G34++'Daňové příjmy'!K34+'Daňové příjmy'!O34+'Ost.daně=Místní popl.'!C35</f>
        <v>35259</v>
      </c>
      <c r="D33" s="2">
        <f>'Daňové příjmy'!D34+'Daňové příjmy'!H34+'Daňové příjmy'!L34+'Daňové příjmy'!P34+'Ost.daně=Místní popl.'!D35</f>
        <v>35115</v>
      </c>
      <c r="E33" s="95">
        <v>-25626998.170000002</v>
      </c>
      <c r="F33" s="95">
        <f t="shared" si="1"/>
        <v>-9488.0018299999974</v>
      </c>
      <c r="G33" s="53">
        <f t="shared" si="0"/>
        <v>99.591593635667479</v>
      </c>
      <c r="H33" s="4">
        <f>'Nedaňové příjmy'!B36+'Nedaňové příjmy'!F36+'Nedaňové příjmy'!J36+'Nedaňové příjmy'!N36+'Nedaňové příjmy'!R36+'Nedaňové příjmy'!V36</f>
        <v>12495</v>
      </c>
      <c r="I33" s="2">
        <f>'Nedaňové příjmy'!C36+'Nedaňové příjmy'!G36+'Nedaňové příjmy'!K36+'Nedaňové příjmy'!O36+'Nedaňové příjmy'!S36+'Nedaňové příjmy'!W36</f>
        <v>36139</v>
      </c>
      <c r="J33" s="2">
        <f>'Nedaňové příjmy'!D36+'Nedaňové příjmy'!H36+'Nedaňové příjmy'!L36+'Nedaňové příjmy'!P36+'Nedaňové příjmy'!T36+'Nedaňové příjmy'!X36</f>
        <v>36119</v>
      </c>
      <c r="K33" s="53">
        <f t="shared" si="2"/>
        <v>99.944658125570712</v>
      </c>
      <c r="L33" s="4">
        <f>'Kapitálové příjmy'!B34+'Kapitálové příjmy'!F34</f>
        <v>0</v>
      </c>
      <c r="M33" s="2">
        <f>'Kapitálové příjmy'!C34+'Kapitálové příjmy'!G34</f>
        <v>0</v>
      </c>
      <c r="N33" s="2">
        <f>'Kapitálové příjmy'!D34+'Kapitálové příjmy'!H34</f>
        <v>0</v>
      </c>
      <c r="O33" s="53"/>
      <c r="P33" s="4">
        <f>'Transfery neinvestiční 2.5'!B35+'Transfery neinvestiční 2.5'!F35+'Transfery neinvestiční 2.5'!J35+'Transfery neinvestiční 2.5'!N35+'Transfery nein.2.5a'!B36+'Transfery nein.2.5a'!N36+'Transfery nein.2.5a'!R36+'Transfery nein.2.5a'!V36+'Transfery neinvestiční 2.5'!R35+'Transfery investiční'!E35+'Transfery investiční'!I35+'Transfery investiční'!M35+'Transfery investiční'!Q35+'Transfery investiční'!U35+'Transfery nein.2.5a'!Z36+'Transfery investiční'!Y35</f>
        <v>130020</v>
      </c>
      <c r="Q33" s="2">
        <f>'Transfery neinvestiční 2.5'!C35+'Transfery neinvestiční 2.5'!G35+'Transfery neinvestiční 2.5'!K35+'Transfery neinvestiční 2.5'!O35+'Transfery nein.2.5a'!C36+'Transfery nein.2.5a'!O36+'Transfery nein.2.5a'!S36+'Transfery nein.2.5a'!W36+'Transfery neinvestiční 2.5'!S35+'Transfery investiční'!B35+'Transfery investiční'!F35+'Transfery investiční'!J35+'Transfery investiční'!N35+'Transfery investiční'!R35+'Transfery investiční'!V35+'Transfery nein.2.5a'!AA36+'Transfery investiční'!Z35</f>
        <v>140219</v>
      </c>
      <c r="R33" s="2">
        <f>'Transfery neinvestiční 2.5'!D35+'Transfery neinvestiční 2.5'!H35+'Transfery neinvestiční 2.5'!L35+'Transfery neinvestiční 2.5'!P35+'Transfery nein.2.5a'!D36+'Transfery nein.2.5a'!P36+'Transfery nein.2.5a'!T36+'Transfery nein.2.5a'!X36+'Transfery neinvestiční 2.5'!T35+'Transfery investiční'!C35+'Transfery investiční'!G35+'Transfery investiční'!K35+'Transfery investiční'!O35+'Transfery investiční'!S35+'Transfery investiční'!W35+'Transfery nein.2.5a'!AB36+'Transfery investiční'!AA35</f>
        <v>140119</v>
      </c>
      <c r="S33" s="53">
        <f t="shared" si="3"/>
        <v>99.928682988753309</v>
      </c>
    </row>
    <row r="34" spans="1:19" ht="17.100000000000001" customHeight="1">
      <c r="A34" s="61" t="s">
        <v>207</v>
      </c>
      <c r="B34" s="4">
        <f>'Daňové příjmy'!B35+'Daňové příjmy'!F35++'Daňové příjmy'!J35+'Daňové příjmy'!N35+'Ost.daně=Místní popl.'!B36</f>
        <v>1919</v>
      </c>
      <c r="C34" s="2">
        <f>'Daňové příjmy'!C35+'Daňové příjmy'!G35++'Daňové příjmy'!K35+'Daňové příjmy'!O35+'Ost.daně=Místní popl.'!C36</f>
        <v>1404</v>
      </c>
      <c r="D34" s="2">
        <f>'Daňové příjmy'!D35+'Daňové příjmy'!H35+'Daňové příjmy'!L35+'Daňové příjmy'!P35+'Ost.daně=Místní popl.'!D36</f>
        <v>1354</v>
      </c>
      <c r="E34" s="95">
        <v>-2107846</v>
      </c>
      <c r="F34" s="95">
        <f t="shared" si="1"/>
        <v>753.846</v>
      </c>
      <c r="G34" s="53">
        <f t="shared" si="0"/>
        <v>96.438746438746435</v>
      </c>
      <c r="H34" s="4">
        <f>'Nedaňové příjmy'!B37+'Nedaňové příjmy'!F37+'Nedaňové příjmy'!J37+'Nedaňové příjmy'!N37+'Nedaňové příjmy'!R37+'Nedaňové příjmy'!V37</f>
        <v>1384</v>
      </c>
      <c r="I34" s="2">
        <f>'Nedaňové příjmy'!C37+'Nedaňové příjmy'!G37+'Nedaňové příjmy'!K37+'Nedaňové příjmy'!O37+'Nedaňové příjmy'!S37+'Nedaňové příjmy'!W37</f>
        <v>12942</v>
      </c>
      <c r="J34" s="2">
        <f>'Nedaňové příjmy'!D37+'Nedaňové příjmy'!H37+'Nedaňové příjmy'!L37+'Nedaňové příjmy'!P37+'Nedaňové příjmy'!T37+'Nedaňové příjmy'!X37</f>
        <v>12298</v>
      </c>
      <c r="K34" s="53">
        <f t="shared" si="2"/>
        <v>95.02395302117138</v>
      </c>
      <c r="L34" s="4">
        <f>'Kapitálové příjmy'!B35+'Kapitálové příjmy'!F35</f>
        <v>0</v>
      </c>
      <c r="M34" s="2">
        <f>'Kapitálové příjmy'!C35+'Kapitálové příjmy'!G35</f>
        <v>0</v>
      </c>
      <c r="N34" s="2">
        <f>'Kapitálové příjmy'!D35+'Kapitálové příjmy'!H35</f>
        <v>0</v>
      </c>
      <c r="O34" s="53"/>
      <c r="P34" s="4">
        <f>'Transfery neinvestiční 2.5'!B36+'Transfery neinvestiční 2.5'!F36+'Transfery neinvestiční 2.5'!J36+'Transfery neinvestiční 2.5'!N36+'Transfery nein.2.5a'!B37+'Transfery nein.2.5a'!N37+'Transfery nein.2.5a'!R37+'Transfery nein.2.5a'!V37+'Transfery neinvestiční 2.5'!R36+'Transfery investiční'!E36+'Transfery investiční'!I36+'Transfery investiční'!M36+'Transfery investiční'!Q36+'Transfery investiční'!U36+'Transfery nein.2.5a'!Z37+'Transfery investiční'!Y36</f>
        <v>16238</v>
      </c>
      <c r="Q34" s="2">
        <f>'Transfery neinvestiční 2.5'!C36+'Transfery neinvestiční 2.5'!G36+'Transfery neinvestiční 2.5'!K36+'Transfery neinvestiční 2.5'!O36+'Transfery nein.2.5a'!C37+'Transfery nein.2.5a'!O37+'Transfery nein.2.5a'!S37+'Transfery nein.2.5a'!W37+'Transfery neinvestiční 2.5'!S36+'Transfery investiční'!B36+'Transfery investiční'!F36+'Transfery investiční'!J36+'Transfery investiční'!N36+'Transfery investiční'!R36+'Transfery investiční'!V36+'Transfery nein.2.5a'!AA37+'Transfery investiční'!Z36</f>
        <v>18973</v>
      </c>
      <c r="R34" s="2">
        <f>'Transfery neinvestiční 2.5'!D36+'Transfery neinvestiční 2.5'!H36+'Transfery neinvestiční 2.5'!L36+'Transfery neinvestiční 2.5'!P36+'Transfery nein.2.5a'!D37+'Transfery nein.2.5a'!P37+'Transfery nein.2.5a'!T37+'Transfery nein.2.5a'!X37+'Transfery neinvestiční 2.5'!T36+'Transfery investiční'!C36+'Transfery investiční'!G36+'Transfery investiční'!K36+'Transfery investiční'!O36+'Transfery investiční'!S36+'Transfery investiční'!W36+'Transfery nein.2.5a'!AB37+'Transfery investiční'!AA36</f>
        <v>18875</v>
      </c>
      <c r="S34" s="53">
        <f t="shared" si="3"/>
        <v>99.483476519264215</v>
      </c>
    </row>
    <row r="35" spans="1:19" ht="17.100000000000001" customHeight="1">
      <c r="A35" s="61" t="s">
        <v>208</v>
      </c>
      <c r="B35" s="4">
        <f>'Daňové příjmy'!B36+'Daňové příjmy'!F36++'Daňové příjmy'!J36+'Daňové příjmy'!N36+'Ost.daně=Místní popl.'!B37</f>
        <v>3815</v>
      </c>
      <c r="C35" s="2">
        <f>'Daňové příjmy'!C36+'Daňové příjmy'!G36++'Daňové příjmy'!K36+'Daňové příjmy'!O36+'Ost.daně=Místní popl.'!C37</f>
        <v>4297</v>
      </c>
      <c r="D35" s="2">
        <f>'Daňové příjmy'!D36+'Daňové příjmy'!H36+'Daňové příjmy'!L36+'Daňové příjmy'!P36+'Ost.daně=Místní popl.'!D37</f>
        <v>4502</v>
      </c>
      <c r="E35" s="95">
        <v>-6661431</v>
      </c>
      <c r="F35" s="95">
        <f t="shared" si="1"/>
        <v>2159.4309999999996</v>
      </c>
      <c r="G35" s="53">
        <f t="shared" si="0"/>
        <v>104.77077030486386</v>
      </c>
      <c r="H35" s="4">
        <f>'Nedaňové příjmy'!B38+'Nedaňové příjmy'!F38+'Nedaňové příjmy'!J38+'Nedaňové příjmy'!N38+'Nedaňové příjmy'!R38+'Nedaňové příjmy'!V38</f>
        <v>5960</v>
      </c>
      <c r="I35" s="2">
        <f>'Nedaňové příjmy'!C38+'Nedaňové příjmy'!G38+'Nedaňové příjmy'!K38+'Nedaňové příjmy'!O38+'Nedaňové příjmy'!S38+'Nedaňové příjmy'!W38</f>
        <v>11761</v>
      </c>
      <c r="J35" s="2">
        <f>'Nedaňové příjmy'!D38+'Nedaňové příjmy'!H38+'Nedaňové příjmy'!L38+'Nedaňové příjmy'!P38+'Nedaňové příjmy'!T38+'Nedaňové příjmy'!X38</f>
        <v>12175</v>
      </c>
      <c r="K35" s="53">
        <f t="shared" si="2"/>
        <v>103.52010883428279</v>
      </c>
      <c r="L35" s="4">
        <f>'Kapitálové příjmy'!B36+'Kapitálové příjmy'!F36</f>
        <v>10</v>
      </c>
      <c r="M35" s="2">
        <f>'Kapitálové příjmy'!C36+'Kapitálové příjmy'!G36</f>
        <v>10</v>
      </c>
      <c r="N35" s="2">
        <f>'Kapitálové příjmy'!D36+'Kapitálové příjmy'!H36</f>
        <v>12</v>
      </c>
      <c r="O35" s="53">
        <f>SUM(N35/M35*100)</f>
        <v>120</v>
      </c>
      <c r="P35" s="4">
        <f>'Transfery neinvestiční 2.5'!B37+'Transfery neinvestiční 2.5'!F37+'Transfery neinvestiční 2.5'!J37+'Transfery neinvestiční 2.5'!N37+'Transfery nein.2.5a'!B38+'Transfery nein.2.5a'!N38+'Transfery nein.2.5a'!R38+'Transfery nein.2.5a'!V38+'Transfery neinvestiční 2.5'!R37+'Transfery investiční'!E37+'Transfery investiční'!I37+'Transfery investiční'!M37+'Transfery investiční'!Q37+'Transfery investiční'!U37+'Transfery nein.2.5a'!Z38+'Transfery investiční'!Y37</f>
        <v>46077</v>
      </c>
      <c r="Q35" s="2">
        <f>'Transfery neinvestiční 2.5'!C37+'Transfery neinvestiční 2.5'!G37+'Transfery neinvestiční 2.5'!K37+'Transfery neinvestiční 2.5'!O37+'Transfery nein.2.5a'!C38+'Transfery nein.2.5a'!O38+'Transfery nein.2.5a'!S38+'Transfery nein.2.5a'!W38+'Transfery neinvestiční 2.5'!S37+'Transfery investiční'!B37+'Transfery investiční'!F37+'Transfery investiční'!J37+'Transfery investiční'!N37+'Transfery investiční'!R37+'Transfery investiční'!V37+'Transfery nein.2.5a'!AA38+'Transfery investiční'!Z37</f>
        <v>57556</v>
      </c>
      <c r="R35" s="2">
        <f>'Transfery neinvestiční 2.5'!D37+'Transfery neinvestiční 2.5'!H37+'Transfery neinvestiční 2.5'!L37+'Transfery neinvestiční 2.5'!P37+'Transfery nein.2.5a'!D38+'Transfery nein.2.5a'!P38+'Transfery nein.2.5a'!T38+'Transfery nein.2.5a'!X38+'Transfery neinvestiční 2.5'!T37+'Transfery investiční'!C37+'Transfery investiční'!G37+'Transfery investiční'!K37+'Transfery investiční'!O37+'Transfery investiční'!S37+'Transfery investiční'!W37+'Transfery nein.2.5a'!AB38+'Transfery investiční'!AA37</f>
        <v>57556</v>
      </c>
      <c r="S35" s="53">
        <f t="shared" si="3"/>
        <v>100</v>
      </c>
    </row>
    <row r="36" spans="1:19" ht="17.100000000000001" customHeight="1">
      <c r="A36" s="61" t="s">
        <v>209</v>
      </c>
      <c r="B36" s="4">
        <f>'Daňové příjmy'!B37+'Daňové příjmy'!F37++'Daňové příjmy'!J37+'Daňové příjmy'!N37+'Ost.daně=Místní popl.'!B38</f>
        <v>230</v>
      </c>
      <c r="C36" s="2">
        <f>'Daňové příjmy'!C37+'Daňové příjmy'!G37++'Daňové příjmy'!K37+'Daňové příjmy'!O37+'Ost.daně=Místní popl.'!C38</f>
        <v>480</v>
      </c>
      <c r="D36" s="2">
        <f>'Daňové příjmy'!D37+'Daňové příjmy'!H37+'Daňové příjmy'!L37+'Daňové příjmy'!P37+'Ost.daně=Místní popl.'!D38</f>
        <v>468</v>
      </c>
      <c r="E36" s="95">
        <v>-216515</v>
      </c>
      <c r="F36" s="95">
        <f t="shared" si="1"/>
        <v>-251.48500000000001</v>
      </c>
      <c r="G36" s="53">
        <f t="shared" si="0"/>
        <v>97.5</v>
      </c>
      <c r="H36" s="4">
        <f>'Nedaňové příjmy'!B39+'Nedaňové příjmy'!F39+'Nedaňové příjmy'!J39+'Nedaňové příjmy'!N39+'Nedaňové příjmy'!R39+'Nedaňové příjmy'!V39</f>
        <v>458</v>
      </c>
      <c r="I36" s="2">
        <f>'Nedaňové příjmy'!C39+'Nedaňové příjmy'!G39+'Nedaňové příjmy'!K39+'Nedaňové příjmy'!O39+'Nedaňové příjmy'!S39+'Nedaňové příjmy'!W39</f>
        <v>1066</v>
      </c>
      <c r="J36" s="2">
        <f>'Nedaňové příjmy'!D39+'Nedaňové příjmy'!H39+'Nedaňové příjmy'!L39+'Nedaňové příjmy'!P39+'Nedaňové příjmy'!T39+'Nedaňové příjmy'!X39</f>
        <v>1003</v>
      </c>
      <c r="K36" s="53">
        <f t="shared" si="2"/>
        <v>94.090056285178235</v>
      </c>
      <c r="L36" s="4">
        <f>'Kapitálové příjmy'!B37+'Kapitálové příjmy'!F37</f>
        <v>0</v>
      </c>
      <c r="M36" s="2">
        <f>'Kapitálové příjmy'!C37+'Kapitálové příjmy'!G37</f>
        <v>0</v>
      </c>
      <c r="N36" s="2">
        <f>'Kapitálové příjmy'!D37+'Kapitálové příjmy'!H37</f>
        <v>0</v>
      </c>
      <c r="O36" s="53"/>
      <c r="P36" s="4">
        <f>'Transfery neinvestiční 2.5'!B38+'Transfery neinvestiční 2.5'!F38+'Transfery neinvestiční 2.5'!J38+'Transfery neinvestiční 2.5'!N38+'Transfery nein.2.5a'!B39+'Transfery nein.2.5a'!N39+'Transfery nein.2.5a'!R39+'Transfery nein.2.5a'!V39+'Transfery neinvestiční 2.5'!R38+'Transfery investiční'!E38+'Transfery investiční'!I38+'Transfery investiční'!M38+'Transfery investiční'!Q38+'Transfery investiční'!U38+'Transfery nein.2.5a'!Z39+'Transfery investiční'!Y38</f>
        <v>4429</v>
      </c>
      <c r="Q36" s="2">
        <f>'Transfery neinvestiční 2.5'!C38+'Transfery neinvestiční 2.5'!G38+'Transfery neinvestiční 2.5'!K38+'Transfery neinvestiční 2.5'!O38+'Transfery nein.2.5a'!C39+'Transfery nein.2.5a'!O39+'Transfery nein.2.5a'!S39+'Transfery nein.2.5a'!W39+'Transfery neinvestiční 2.5'!S38+'Transfery investiční'!B38+'Transfery investiční'!F38+'Transfery investiční'!J38+'Transfery investiční'!N38+'Transfery investiční'!R38+'Transfery investiční'!V38+'Transfery nein.2.5a'!AA39+'Transfery investiční'!Z38</f>
        <v>5220</v>
      </c>
      <c r="R36" s="2">
        <f>'Transfery neinvestiční 2.5'!D38+'Transfery neinvestiční 2.5'!H38+'Transfery neinvestiční 2.5'!L38+'Transfery neinvestiční 2.5'!P38+'Transfery nein.2.5a'!D39+'Transfery nein.2.5a'!P39+'Transfery nein.2.5a'!T39+'Transfery nein.2.5a'!X39+'Transfery neinvestiční 2.5'!T38+'Transfery investiční'!C38+'Transfery investiční'!G38+'Transfery investiční'!K38+'Transfery investiční'!O38+'Transfery investiční'!S38+'Transfery investiční'!W38+'Transfery nein.2.5a'!AB39+'Transfery investiční'!AA38</f>
        <v>5198</v>
      </c>
      <c r="S36" s="53">
        <f t="shared" si="3"/>
        <v>99.578544061302694</v>
      </c>
    </row>
    <row r="37" spans="1:19" ht="17.100000000000001" customHeight="1">
      <c r="A37" s="61" t="s">
        <v>210</v>
      </c>
      <c r="B37" s="4">
        <f>'Daňové příjmy'!B38+'Daňové příjmy'!F38++'Daňové příjmy'!J38+'Daňové příjmy'!N38+'Ost.daně=Místní popl.'!B39</f>
        <v>0</v>
      </c>
      <c r="C37" s="2">
        <f>'Daňové příjmy'!C38+'Daňové příjmy'!G38++'Daňové příjmy'!K38+'Daňové příjmy'!O38+'Ost.daně=Místní popl.'!C39</f>
        <v>121</v>
      </c>
      <c r="D37" s="2">
        <f>'Daňové příjmy'!D38+'Daňové příjmy'!H38+'Daňové příjmy'!L38+'Daňové příjmy'!P38+'Ost.daně=Místní popl.'!D39</f>
        <v>120</v>
      </c>
      <c r="E37" s="95">
        <v>-106123</v>
      </c>
      <c r="F37" s="95">
        <f t="shared" si="1"/>
        <v>-13.876999999999995</v>
      </c>
      <c r="G37" s="53">
        <f t="shared" si="0"/>
        <v>99.173553719008268</v>
      </c>
      <c r="H37" s="4">
        <f>'Nedaňové příjmy'!B40+'Nedaňové příjmy'!F40+'Nedaňové příjmy'!J40+'Nedaňové příjmy'!N40+'Nedaňové příjmy'!R40+'Nedaňové příjmy'!V40</f>
        <v>0</v>
      </c>
      <c r="I37" s="2">
        <f>'Nedaňové příjmy'!C40+'Nedaňové příjmy'!G40+'Nedaňové příjmy'!K40+'Nedaňové příjmy'!O40+'Nedaňové příjmy'!S40+'Nedaňové příjmy'!W40</f>
        <v>1227</v>
      </c>
      <c r="J37" s="2">
        <f>'Nedaňové příjmy'!D40+'Nedaňové příjmy'!H40+'Nedaňové příjmy'!L40+'Nedaňové příjmy'!P40+'Nedaňové příjmy'!T40+'Nedaňové příjmy'!X40</f>
        <v>1220</v>
      </c>
      <c r="K37" s="53">
        <f t="shared" si="2"/>
        <v>99.42950285248574</v>
      </c>
      <c r="L37" s="4">
        <f>'Kapitálové příjmy'!B38+'Kapitálové příjmy'!F38</f>
        <v>0</v>
      </c>
      <c r="M37" s="2">
        <f>'Kapitálové příjmy'!C38+'Kapitálové příjmy'!G38</f>
        <v>0</v>
      </c>
      <c r="N37" s="2">
        <f>'Kapitálové příjmy'!D38+'Kapitálové příjmy'!H38</f>
        <v>0</v>
      </c>
      <c r="O37" s="53"/>
      <c r="P37" s="4">
        <f>'Transfery neinvestiční 2.5'!B39+'Transfery neinvestiční 2.5'!F39+'Transfery neinvestiční 2.5'!J39+'Transfery neinvestiční 2.5'!N39+'Transfery nein.2.5a'!B40+'Transfery nein.2.5a'!N40+'Transfery nein.2.5a'!R40+'Transfery nein.2.5a'!V40+'Transfery neinvestiční 2.5'!R39+'Transfery investiční'!E39+'Transfery investiční'!I39+'Transfery investiční'!M39+'Transfery investiční'!Q39+'Transfery investiční'!U39+'Transfery nein.2.5a'!Z40+'Transfery investiční'!Y39</f>
        <v>5508</v>
      </c>
      <c r="Q37" s="2">
        <f>'Transfery neinvestiční 2.5'!C39+'Transfery neinvestiční 2.5'!G39+'Transfery neinvestiční 2.5'!K39+'Transfery neinvestiční 2.5'!O39+'Transfery nein.2.5a'!C40+'Transfery nein.2.5a'!O40+'Transfery nein.2.5a'!S40+'Transfery nein.2.5a'!W40+'Transfery neinvestiční 2.5'!S39+'Transfery investiční'!B39+'Transfery investiční'!F39+'Transfery investiční'!J39+'Transfery investiční'!N39+'Transfery investiční'!R39+'Transfery investiční'!V39+'Transfery nein.2.5a'!AA40+'Transfery investiční'!Z39</f>
        <v>5620</v>
      </c>
      <c r="R37" s="2">
        <f>'Transfery neinvestiční 2.5'!D39+'Transfery neinvestiční 2.5'!H39+'Transfery neinvestiční 2.5'!L39+'Transfery neinvestiční 2.5'!P39+'Transfery nein.2.5a'!D40+'Transfery nein.2.5a'!P40+'Transfery nein.2.5a'!T40+'Transfery nein.2.5a'!X40+'Transfery neinvestiční 2.5'!T39+'Transfery investiční'!C39+'Transfery investiční'!G39+'Transfery investiční'!K39+'Transfery investiční'!O39+'Transfery investiční'!S39+'Transfery investiční'!W39+'Transfery nein.2.5a'!AB40+'Transfery investiční'!AA39</f>
        <v>5620</v>
      </c>
      <c r="S37" s="53">
        <f t="shared" si="3"/>
        <v>100</v>
      </c>
    </row>
    <row r="38" spans="1:19" ht="17.100000000000001" customHeight="1">
      <c r="A38" s="61" t="s">
        <v>211</v>
      </c>
      <c r="B38" s="4">
        <f>'Daňové příjmy'!B39+'Daňové příjmy'!F39++'Daňové příjmy'!J39+'Daňové příjmy'!N39+'Ost.daně=Místní popl.'!B40</f>
        <v>24</v>
      </c>
      <c r="C38" s="2">
        <f>'Daňové příjmy'!C39+'Daňové příjmy'!G39++'Daňové příjmy'!K39+'Daňové příjmy'!O39+'Ost.daně=Místní popl.'!C40</f>
        <v>365</v>
      </c>
      <c r="D38" s="2">
        <f>'Daňové příjmy'!D39+'Daňové příjmy'!H39+'Daňové příjmy'!L39+'Daňové příjmy'!P39+'Ost.daně=Místní popl.'!D40</f>
        <v>364</v>
      </c>
      <c r="E38" s="95">
        <v>-38127</v>
      </c>
      <c r="F38" s="95">
        <f t="shared" si="1"/>
        <v>-325.87299999999999</v>
      </c>
      <c r="G38" s="53">
        <f t="shared" si="0"/>
        <v>99.726027397260282</v>
      </c>
      <c r="H38" s="4">
        <f>'Nedaňové příjmy'!B41+'Nedaňové příjmy'!F41+'Nedaňové příjmy'!J41+'Nedaňové příjmy'!N41+'Nedaňové příjmy'!R41+'Nedaňové příjmy'!V41</f>
        <v>45</v>
      </c>
      <c r="I38" s="2">
        <f>'Nedaňové příjmy'!C41+'Nedaňové příjmy'!G41+'Nedaňové příjmy'!K41+'Nedaňové příjmy'!O41+'Nedaňové příjmy'!S41+'Nedaňové příjmy'!W41</f>
        <v>465</v>
      </c>
      <c r="J38" s="2">
        <f>'Nedaňové příjmy'!D41+'Nedaňové příjmy'!H41+'Nedaňové příjmy'!L41+'Nedaňové příjmy'!P41+'Nedaňové příjmy'!T41+'Nedaňové příjmy'!X41</f>
        <v>465</v>
      </c>
      <c r="K38" s="53">
        <f t="shared" si="2"/>
        <v>100</v>
      </c>
      <c r="L38" s="4">
        <f>'Kapitálové příjmy'!B39+'Kapitálové příjmy'!F39</f>
        <v>0</v>
      </c>
      <c r="M38" s="2">
        <f>'Kapitálové příjmy'!C39+'Kapitálové příjmy'!G39</f>
        <v>0</v>
      </c>
      <c r="N38" s="2">
        <f>'Kapitálové příjmy'!D39+'Kapitálové příjmy'!H39</f>
        <v>0</v>
      </c>
      <c r="O38" s="53"/>
      <c r="P38" s="4">
        <f>'Transfery neinvestiční 2.5'!B40+'Transfery neinvestiční 2.5'!F40+'Transfery neinvestiční 2.5'!J40+'Transfery neinvestiční 2.5'!N40+'Transfery nein.2.5a'!B41+'Transfery nein.2.5a'!N41+'Transfery nein.2.5a'!R41+'Transfery nein.2.5a'!V41+'Transfery neinvestiční 2.5'!R40+'Transfery investiční'!E40+'Transfery investiční'!I40+'Transfery investiční'!M40+'Transfery investiční'!Q40+'Transfery investiční'!U40+'Transfery nein.2.5a'!Z41+'Transfery investiční'!Y40</f>
        <v>2991</v>
      </c>
      <c r="Q38" s="2">
        <f>'Transfery neinvestiční 2.5'!C40+'Transfery neinvestiční 2.5'!G40+'Transfery neinvestiční 2.5'!K40+'Transfery neinvestiční 2.5'!O40+'Transfery nein.2.5a'!C41+'Transfery nein.2.5a'!O41+'Transfery nein.2.5a'!S41+'Transfery nein.2.5a'!W41+'Transfery neinvestiční 2.5'!S40+'Transfery investiční'!B40+'Transfery investiční'!F40+'Transfery investiční'!J40+'Transfery investiční'!N40+'Transfery investiční'!R40+'Transfery investiční'!V40+'Transfery nein.2.5a'!AA41+'Transfery investiční'!Z40</f>
        <v>3378</v>
      </c>
      <c r="R38" s="2">
        <f>'Transfery neinvestiční 2.5'!D40+'Transfery neinvestiční 2.5'!H40+'Transfery neinvestiční 2.5'!L40+'Transfery neinvestiční 2.5'!P40+'Transfery nein.2.5a'!D41+'Transfery nein.2.5a'!P41+'Transfery nein.2.5a'!T41+'Transfery nein.2.5a'!X41+'Transfery neinvestiční 2.5'!T40+'Transfery investiční'!C40+'Transfery investiční'!G40+'Transfery investiční'!K40+'Transfery investiční'!O40+'Transfery investiční'!S40+'Transfery investiční'!W40+'Transfery nein.2.5a'!AB41+'Transfery investiční'!AA40</f>
        <v>3369</v>
      </c>
      <c r="S38" s="53">
        <f t="shared" si="3"/>
        <v>99.733570159857905</v>
      </c>
    </row>
    <row r="39" spans="1:19" ht="17.100000000000001" customHeight="1" thickBot="1">
      <c r="A39" s="62" t="s">
        <v>212</v>
      </c>
      <c r="B39" s="5">
        <f>'Daňové příjmy'!B40+'Daňové příjmy'!F40++'Daňové příjmy'!J40+'Daňové příjmy'!N40+'Ost.daně=Místní popl.'!B41</f>
        <v>40</v>
      </c>
      <c r="C39" s="6">
        <f>'Daňové příjmy'!C40+'Daňové příjmy'!G40++'Daňové příjmy'!K40+'Daňové příjmy'!O40+'Ost.daně=Místní popl.'!C41</f>
        <v>69</v>
      </c>
      <c r="D39" s="6">
        <f>'Daňové příjmy'!D40+'Daňové příjmy'!H40+'Daňové příjmy'!L40+'Daňové příjmy'!P40+'Ost.daně=Místní popl.'!D41</f>
        <v>69</v>
      </c>
      <c r="E39" s="96">
        <v>-100710</v>
      </c>
      <c r="F39" s="96">
        <f t="shared" si="1"/>
        <v>31.709999999999994</v>
      </c>
      <c r="G39" s="54">
        <f t="shared" si="0"/>
        <v>100</v>
      </c>
      <c r="H39" s="5">
        <f>'Nedaňové příjmy'!B42+'Nedaňové příjmy'!F42+'Nedaňové příjmy'!J42+'Nedaňové příjmy'!N42+'Nedaňové příjmy'!R42+'Nedaňové příjmy'!V42</f>
        <v>76</v>
      </c>
      <c r="I39" s="6">
        <f>'Nedaňové příjmy'!C42+'Nedaňové příjmy'!G42+'Nedaňové příjmy'!K42+'Nedaňové příjmy'!O42+'Nedaňové příjmy'!S42+'Nedaňové příjmy'!W42</f>
        <v>432</v>
      </c>
      <c r="J39" s="6">
        <f>'Nedaňové příjmy'!D42+'Nedaňové příjmy'!H42+'Nedaňové příjmy'!L42+'Nedaňové příjmy'!P42+'Nedaňové příjmy'!T42+'Nedaňové příjmy'!X42</f>
        <v>404</v>
      </c>
      <c r="K39" s="54">
        <f t="shared" si="2"/>
        <v>93.518518518518519</v>
      </c>
      <c r="L39" s="5">
        <f>'Kapitálové příjmy'!B40+'Kapitálové příjmy'!F40</f>
        <v>0</v>
      </c>
      <c r="M39" s="6">
        <f>'Kapitálové příjmy'!C40+'Kapitálové příjmy'!G40</f>
        <v>83</v>
      </c>
      <c r="N39" s="6">
        <f>'Kapitálové příjmy'!D40+'Kapitálové příjmy'!H40</f>
        <v>83</v>
      </c>
      <c r="O39" s="54">
        <f>SUM(N39/M39*100)</f>
        <v>100</v>
      </c>
      <c r="P39" s="5">
        <f>'Transfery neinvestiční 2.5'!B41+'Transfery neinvestiční 2.5'!F41+'Transfery neinvestiční 2.5'!J41+'Transfery neinvestiční 2.5'!N41+'Transfery nein.2.5a'!B42+'Transfery nein.2.5a'!N42+'Transfery nein.2.5a'!R42+'Transfery nein.2.5a'!V42+'Transfery neinvestiční 2.5'!R41+'Transfery investiční'!E41+'Transfery investiční'!I41+'Transfery investiční'!M41+'Transfery investiční'!Q41+'Transfery investiční'!U41+'Transfery nein.2.5a'!Z42+'Transfery investiční'!Y41</f>
        <v>2317</v>
      </c>
      <c r="Q39" s="6">
        <f>'Transfery neinvestiční 2.5'!C41+'Transfery neinvestiční 2.5'!G41+'Transfery neinvestiční 2.5'!K41+'Transfery neinvestiční 2.5'!O41+'Transfery nein.2.5a'!C42+'Transfery nein.2.5a'!O42+'Transfery nein.2.5a'!S42+'Transfery nein.2.5a'!W42+'Transfery neinvestiční 2.5'!S41+'Transfery investiční'!B41+'Transfery investiční'!F41+'Transfery investiční'!J41+'Transfery investiční'!N41+'Transfery investiční'!R41+'Transfery investiční'!V41+'Transfery nein.2.5a'!AA42+'Transfery investiční'!Z41</f>
        <v>2427</v>
      </c>
      <c r="R39" s="6">
        <f>'Transfery neinvestiční 2.5'!D41+'Transfery neinvestiční 2.5'!H41+'Transfery neinvestiční 2.5'!L41+'Transfery neinvestiční 2.5'!P41+'Transfery nein.2.5a'!D42+'Transfery nein.2.5a'!P42+'Transfery nein.2.5a'!T42+'Transfery nein.2.5a'!X42+'Transfery neinvestiční 2.5'!T41+'Transfery investiční'!C41+'Transfery investiční'!G41+'Transfery investiční'!K41+'Transfery investiční'!O41+'Transfery investiční'!S41+'Transfery investiční'!W41+'Transfery nein.2.5a'!AB42+'Transfery investiční'!AA41</f>
        <v>2427</v>
      </c>
      <c r="S39" s="54">
        <f t="shared" si="3"/>
        <v>100</v>
      </c>
    </row>
    <row r="40" spans="1:19" ht="15" customHeight="1" thickBot="1">
      <c r="A40" s="24"/>
      <c r="B40" s="74"/>
      <c r="C40" s="73"/>
      <c r="D40" s="73"/>
      <c r="E40" s="235"/>
      <c r="F40" s="235"/>
      <c r="G40" s="55"/>
      <c r="H40" s="74"/>
      <c r="I40" s="73"/>
      <c r="J40" s="73"/>
      <c r="K40" s="55"/>
      <c r="L40" s="74"/>
      <c r="M40" s="73"/>
      <c r="N40" s="73"/>
      <c r="O40" s="55"/>
      <c r="P40" s="74"/>
      <c r="Q40" s="73"/>
      <c r="R40" s="73"/>
      <c r="S40" s="55"/>
    </row>
    <row r="41" spans="1:19" s="234" customFormat="1" ht="20.25" customHeight="1" thickBot="1">
      <c r="A41" s="63" t="s">
        <v>231</v>
      </c>
      <c r="B41" s="57">
        <f>SUM(B11:B39)</f>
        <v>161405</v>
      </c>
      <c r="C41" s="50">
        <f>SUM(C11:C39)</f>
        <v>255411</v>
      </c>
      <c r="D41" s="50">
        <f>SUM(D11:D39)</f>
        <v>252506</v>
      </c>
      <c r="E41" s="240">
        <f>SUM(E11:E39)</f>
        <v>-244729332.74000001</v>
      </c>
      <c r="F41" s="240"/>
      <c r="G41" s="59">
        <f>SUM(D41/C41*100)</f>
        <v>98.862617506685297</v>
      </c>
      <c r="H41" s="57">
        <f>SUM(H11:H39)</f>
        <v>151139</v>
      </c>
      <c r="I41" s="50">
        <f>SUM(I11:I39)</f>
        <v>376176</v>
      </c>
      <c r="J41" s="50">
        <f>SUM(J11:J39)</f>
        <v>372146</v>
      </c>
      <c r="K41" s="59">
        <f>SUM(J41/I41*100)</f>
        <v>98.928692952235124</v>
      </c>
      <c r="L41" s="57">
        <f>SUM(L11:L39)</f>
        <v>10</v>
      </c>
      <c r="M41" s="50">
        <f>SUM(M11:M39)</f>
        <v>400</v>
      </c>
      <c r="N41" s="50">
        <f>SUM(N11:N39)</f>
        <v>656</v>
      </c>
      <c r="O41" s="59">
        <f>SUM(N41/M41*100)</f>
        <v>164</v>
      </c>
      <c r="P41" s="57">
        <f>SUM(P11:P39)</f>
        <v>1649179</v>
      </c>
      <c r="Q41" s="50">
        <f>SUM(Q11:Q39)</f>
        <v>2117691</v>
      </c>
      <c r="R41" s="50">
        <f>SUM(R11:R39)</f>
        <v>2011055</v>
      </c>
      <c r="S41" s="59">
        <f>SUM(R41/Q41*100)</f>
        <v>94.964515597412472</v>
      </c>
    </row>
    <row r="43" spans="1:19">
      <c r="Q43" s="1"/>
    </row>
    <row r="44" spans="1:19" hidden="1"/>
    <row r="45" spans="1:19" ht="15.95" hidden="1" customHeight="1">
      <c r="A45" s="234">
        <v>2013</v>
      </c>
      <c r="B45" s="1">
        <v>161405</v>
      </c>
      <c r="C45" s="1">
        <v>255411</v>
      </c>
      <c r="D45" s="1">
        <v>252506</v>
      </c>
      <c r="E45" s="1"/>
      <c r="F45" s="1"/>
      <c r="G45" s="1"/>
      <c r="H45" s="1">
        <v>151139</v>
      </c>
      <c r="I45" s="1">
        <v>376176</v>
      </c>
      <c r="J45" s="1">
        <v>372146</v>
      </c>
      <c r="K45" s="1"/>
      <c r="L45" s="1">
        <v>10</v>
      </c>
      <c r="M45" s="1">
        <v>400</v>
      </c>
      <c r="N45" s="1">
        <v>656</v>
      </c>
      <c r="O45" s="1"/>
      <c r="P45" s="1">
        <v>1649179</v>
      </c>
      <c r="Q45" s="1">
        <v>2117691</v>
      </c>
      <c r="R45" s="1">
        <v>2011054</v>
      </c>
      <c r="S45" s="268" t="s">
        <v>259</v>
      </c>
    </row>
    <row r="46" spans="1:19" hidden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9" ht="15.95" hidden="1" customHeight="1">
      <c r="A47" s="234">
        <v>2012</v>
      </c>
      <c r="B47" s="1">
        <v>193996</v>
      </c>
      <c r="C47" s="1">
        <v>332563</v>
      </c>
      <c r="D47" s="1">
        <v>325090</v>
      </c>
      <c r="E47" s="1"/>
      <c r="F47" s="1"/>
      <c r="G47" s="1"/>
      <c r="H47" s="1">
        <v>151293</v>
      </c>
      <c r="I47" s="1">
        <v>286736</v>
      </c>
      <c r="J47" s="1">
        <v>290377</v>
      </c>
      <c r="K47" s="1"/>
      <c r="L47" s="1">
        <v>240</v>
      </c>
      <c r="M47" s="1">
        <v>914</v>
      </c>
      <c r="N47" s="1">
        <v>917</v>
      </c>
      <c r="O47" s="1"/>
      <c r="P47" s="1">
        <v>1690840</v>
      </c>
      <c r="Q47" s="1">
        <v>2139081</v>
      </c>
      <c r="R47" s="1">
        <v>2134382</v>
      </c>
    </row>
    <row r="48" spans="1:19" hidden="1"/>
    <row r="49" spans="4:18" hidden="1">
      <c r="D49" s="233">
        <f>(D47-D45)/D45*100</f>
        <v>28.7454555535314</v>
      </c>
      <c r="J49" s="233">
        <f>(J47-J45)/J45*100</f>
        <v>-21.97229044514787</v>
      </c>
      <c r="N49" s="233">
        <f>(N47-N45)/N45*100</f>
        <v>39.786585365853661</v>
      </c>
      <c r="R49" s="233">
        <f>(R47-R45)/R45*100</f>
        <v>6.1325056413204226</v>
      </c>
    </row>
    <row r="50" spans="4:18" ht="15.95" hidden="1" customHeight="1"/>
    <row r="51" spans="4:18" ht="15.95" hidden="1" customHeight="1">
      <c r="D51" s="1">
        <f>D47-D45</f>
        <v>72584</v>
      </c>
      <c r="E51" s="233">
        <f t="shared" ref="E51:O51" si="6">-E47+E45</f>
        <v>0</v>
      </c>
      <c r="F51" s="233">
        <f t="shared" si="6"/>
        <v>0</v>
      </c>
      <c r="G51" s="233">
        <f t="shared" si="6"/>
        <v>0</v>
      </c>
      <c r="J51" s="1">
        <f>J47-J45</f>
        <v>-81769</v>
      </c>
      <c r="K51" s="233">
        <f t="shared" si="6"/>
        <v>0</v>
      </c>
      <c r="N51" s="1">
        <f>N47-N45</f>
        <v>261</v>
      </c>
      <c r="O51" s="233">
        <f t="shared" si="6"/>
        <v>0</v>
      </c>
      <c r="R51" s="1">
        <f>R47-R45</f>
        <v>123328</v>
      </c>
    </row>
    <row r="52" spans="4:18" ht="15.95" hidden="1" customHeight="1"/>
    <row r="53" spans="4:18" ht="15.95" hidden="1" customHeight="1"/>
    <row r="54" spans="4:18" ht="15.95" hidden="1" customHeight="1"/>
    <row r="55" spans="4:18" ht="18" hidden="1" customHeight="1">
      <c r="D55" s="233">
        <f>D47/D45*100</f>
        <v>128.7454555535314</v>
      </c>
    </row>
    <row r="56" spans="4:18" ht="18" hidden="1" customHeight="1">
      <c r="D56" s="233">
        <f>D41/'Příjmy a Výdaje '!D41*100</f>
        <v>9.5778161049900952</v>
      </c>
      <c r="J56" s="233">
        <f>J41/'Příjmy a Výdaje '!D41*100</f>
        <v>14.115886165903557</v>
      </c>
      <c r="N56" s="233">
        <f>N41/'Příjmy a Výdaje '!D41*100</f>
        <v>2.4882764626874221E-2</v>
      </c>
      <c r="R56" s="233">
        <f>R41/'Příjmy a Výdaje '!D41*100</f>
        <v>76.281414964479481</v>
      </c>
    </row>
    <row r="57" spans="4:18" ht="13.9" hidden="1" customHeight="1"/>
    <row r="58" spans="4:18" hidden="1">
      <c r="J58" s="1">
        <f>J47-J45</f>
        <v>-81769</v>
      </c>
    </row>
    <row r="59" spans="4:18" ht="18" hidden="1" customHeight="1">
      <c r="J59" s="233">
        <f>-J58/J45*100</f>
        <v>21.97229044514787</v>
      </c>
    </row>
    <row r="60" spans="4:18" ht="13.9" hidden="1" customHeight="1"/>
    <row r="61" spans="4:18" ht="13.9" hidden="1" customHeight="1">
      <c r="J61" s="233">
        <f>J47/J45*100</f>
        <v>78.027709554852137</v>
      </c>
    </row>
    <row r="62" spans="4:18" ht="13.9" hidden="1" customHeight="1"/>
    <row r="63" spans="4:18" ht="13.9" hidden="1" customHeight="1"/>
    <row r="64" spans="4:18" ht="13.9" hidden="1" customHeight="1"/>
    <row r="65" spans="1:8" ht="13.9" hidden="1" customHeight="1">
      <c r="A65" s="234" t="s">
        <v>241</v>
      </c>
      <c r="B65" s="1">
        <f>B41+H41+L41</f>
        <v>312554</v>
      </c>
      <c r="C65" s="1">
        <f t="shared" ref="C65:D65" si="7">C41+I41+M41</f>
        <v>631987</v>
      </c>
      <c r="D65" s="1">
        <f t="shared" si="7"/>
        <v>625308</v>
      </c>
      <c r="H65" s="233">
        <f>D65/'Příjmy a Výdaje '!D41*100</f>
        <v>23.718585035520526</v>
      </c>
    </row>
    <row r="66" spans="1:8" ht="13.9" hidden="1" customHeight="1"/>
    <row r="67" spans="1:8" ht="13.9" hidden="1" customHeight="1">
      <c r="A67" s="234" t="s">
        <v>242</v>
      </c>
      <c r="B67" s="1">
        <f>B45+H45+L45</f>
        <v>312554</v>
      </c>
      <c r="C67" s="1">
        <f t="shared" ref="C67:F67" si="8">C45+I45+M45</f>
        <v>631987</v>
      </c>
      <c r="D67" s="1">
        <f t="shared" si="8"/>
        <v>625308</v>
      </c>
      <c r="E67" s="1">
        <f t="shared" si="8"/>
        <v>0</v>
      </c>
      <c r="F67" s="1">
        <f t="shared" si="8"/>
        <v>1649189</v>
      </c>
      <c r="H67" s="1">
        <f>D67-D65</f>
        <v>0</v>
      </c>
    </row>
    <row r="68" spans="1:8" ht="13.9" hidden="1" customHeight="1"/>
    <row r="69" spans="1:8" ht="13.9" hidden="1" customHeight="1">
      <c r="H69" s="233">
        <f>H67/D67*100</f>
        <v>0</v>
      </c>
    </row>
    <row r="70" spans="1:8" ht="13.9" hidden="1" customHeight="1">
      <c r="H70" s="233">
        <f>D65/D67*100</f>
        <v>100</v>
      </c>
    </row>
    <row r="71" spans="1:8" ht="13.9" hidden="1" customHeight="1"/>
    <row r="72" spans="1:8" ht="13.9" customHeight="1"/>
    <row r="73" spans="1:8" ht="13.9" customHeight="1"/>
    <row r="74" spans="1:8" ht="13.9" customHeight="1"/>
    <row r="75" spans="1:8" ht="13.9" customHeight="1"/>
    <row r="76" spans="1:8" ht="13.9" customHeight="1"/>
    <row r="77" spans="1:8" ht="13.9" customHeight="1"/>
    <row r="78" spans="1:8" ht="13.9" customHeight="1"/>
    <row r="79" spans="1:8" ht="13.9" customHeight="1"/>
    <row r="80" spans="1:8" ht="13.9" customHeight="1"/>
    <row r="81" ht="13.9" customHeight="1"/>
    <row r="82" ht="13.9" customHeight="1"/>
    <row r="83" ht="13.9" customHeight="1"/>
    <row r="84" ht="13.9" customHeight="1"/>
    <row r="85" ht="13.9" customHeight="1"/>
    <row r="86" ht="13.9" customHeight="1"/>
    <row r="87" ht="13.9" customHeight="1"/>
    <row r="88" ht="13.9" customHeight="1"/>
    <row r="89" ht="13.9" customHeight="1"/>
    <row r="90" ht="13.9" customHeight="1"/>
    <row r="91" ht="13.9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</sheetData>
  <mergeCells count="19">
    <mergeCell ref="A2:S2"/>
    <mergeCell ref="A4:S4"/>
    <mergeCell ref="B7:G7"/>
    <mergeCell ref="H7:K7"/>
    <mergeCell ref="L7:O7"/>
    <mergeCell ref="P7:S7"/>
    <mergeCell ref="A7:A9"/>
    <mergeCell ref="B8:B9"/>
    <mergeCell ref="C8:C9"/>
    <mergeCell ref="D8:D9"/>
    <mergeCell ref="H8:H9"/>
    <mergeCell ref="I8:I9"/>
    <mergeCell ref="J8:J9"/>
    <mergeCell ref="L8:L9"/>
    <mergeCell ref="M8:M9"/>
    <mergeCell ref="N8:N9"/>
    <mergeCell ref="P8:P9"/>
    <mergeCell ref="Q8:Q9"/>
    <mergeCell ref="R8:R9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59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 codeName="List3">
    <pageSetUpPr fitToPage="1"/>
  </sheetPr>
  <dimension ref="A1:AJ103"/>
  <sheetViews>
    <sheetView showZeros="0" zoomScale="85" zoomScaleNormal="85" zoomScaleSheetLayoutView="70" workbookViewId="0">
      <pane xSplit="1" ySplit="10" topLeftCell="B11" activePane="bottomRight" state="frozen"/>
      <selection activeCell="C37" sqref="C37"/>
      <selection pane="topRight" activeCell="C37" sqref="C37"/>
      <selection pane="bottomLeft" activeCell="C37" sqref="C37"/>
      <selection pane="bottomRight" activeCell="A6" sqref="A6"/>
    </sheetView>
  </sheetViews>
  <sheetFormatPr defaultRowHeight="15.75"/>
  <cols>
    <col min="1" max="1" width="31.44140625" style="234" customWidth="1"/>
    <col min="2" max="4" width="11.88671875" style="233" customWidth="1"/>
    <col min="5" max="5" width="6.77734375" style="233" customWidth="1"/>
    <col min="6" max="8" width="11.6640625" style="233" customWidth="1"/>
    <col min="9" max="9" width="6.77734375" style="233" customWidth="1"/>
    <col min="10" max="12" width="11.88671875" style="233" customWidth="1"/>
    <col min="13" max="13" width="6.77734375" style="233" customWidth="1"/>
    <col min="14" max="16" width="11.88671875" style="233" customWidth="1"/>
    <col min="17" max="17" width="6.77734375" style="233" customWidth="1"/>
    <col min="18" max="18" width="9.33203125" style="233" customWidth="1"/>
    <col min="19" max="19" width="4.5546875" style="233" hidden="1" customWidth="1"/>
    <col min="20" max="20" width="11.33203125" style="233" hidden="1" customWidth="1"/>
    <col min="21" max="22" width="0" style="233" hidden="1" customWidth="1"/>
    <col min="23" max="23" width="1" style="233" hidden="1" customWidth="1"/>
    <col min="24" max="25" width="11.33203125" style="233" hidden="1" customWidth="1"/>
    <col min="26" max="26" width="9.77734375" style="233" hidden="1" customWidth="1"/>
    <col min="27" max="27" width="6.5546875" style="233" hidden="1" customWidth="1"/>
    <col min="28" max="31" width="7.77734375" style="233" hidden="1" customWidth="1"/>
    <col min="32" max="34" width="8.77734375" style="233" hidden="1" customWidth="1"/>
    <col min="35" max="36" width="7.77734375" style="233" hidden="1" customWidth="1"/>
    <col min="37" max="38" width="7.77734375" style="233" customWidth="1"/>
    <col min="39" max="39" width="6.77734375" style="233" customWidth="1"/>
    <col min="40" max="42" width="8.77734375" style="233" customWidth="1"/>
    <col min="43" max="46" width="7.77734375" style="233" customWidth="1"/>
    <col min="47" max="47" width="6.77734375" style="233" customWidth="1"/>
    <col min="48" max="52" width="7.77734375" style="233" customWidth="1"/>
    <col min="53" max="53" width="5.77734375" style="233" customWidth="1"/>
    <col min="54" max="54" width="9.77734375" style="233"/>
    <col min="55" max="55" width="6.77734375" style="233" customWidth="1"/>
    <col min="56" max="58" width="9.77734375" style="233"/>
    <col min="59" max="59" width="4.77734375" style="233" customWidth="1"/>
    <col min="60" max="60" width="0" style="233" hidden="1" customWidth="1"/>
    <col min="61" max="16384" width="8.88671875" style="233"/>
  </cols>
  <sheetData>
    <row r="1" spans="1:26" s="234" customFormat="1" ht="17.25" customHeight="1"/>
    <row r="2" spans="1:26" s="230" customFormat="1" ht="24" customHeight="1">
      <c r="A2" s="279" t="s">
        <v>248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26" s="230" customFormat="1" ht="15" customHeight="1"/>
    <row r="4" spans="1:26" s="230" customFormat="1" ht="21" customHeight="1">
      <c r="A4" s="279" t="s">
        <v>26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</row>
    <row r="5" spans="1:26" s="234" customFormat="1" ht="22.5" customHeight="1">
      <c r="Q5" s="17" t="s">
        <v>27</v>
      </c>
    </row>
    <row r="6" spans="1:26" ht="22.5" customHeight="1" thickBot="1">
      <c r="Q6" s="17" t="s">
        <v>1</v>
      </c>
    </row>
    <row r="7" spans="1:26" ht="22.5" customHeight="1" thickBot="1">
      <c r="A7" s="282" t="s">
        <v>222</v>
      </c>
      <c r="B7" s="294" t="s">
        <v>28</v>
      </c>
      <c r="C7" s="295"/>
      <c r="D7" s="295"/>
      <c r="E7" s="296"/>
      <c r="F7" s="294" t="s">
        <v>29</v>
      </c>
      <c r="G7" s="295"/>
      <c r="H7" s="295"/>
      <c r="I7" s="296"/>
      <c r="J7" s="294" t="s">
        <v>30</v>
      </c>
      <c r="K7" s="295"/>
      <c r="L7" s="295"/>
      <c r="M7" s="296"/>
      <c r="N7" s="294" t="s">
        <v>31</v>
      </c>
      <c r="O7" s="295"/>
      <c r="P7" s="295"/>
      <c r="Q7" s="296"/>
    </row>
    <row r="8" spans="1:26" ht="18" customHeight="1">
      <c r="A8" s="283"/>
      <c r="B8" s="293" t="s">
        <v>229</v>
      </c>
      <c r="C8" s="278" t="s">
        <v>230</v>
      </c>
      <c r="D8" s="278" t="s">
        <v>246</v>
      </c>
      <c r="E8" s="23" t="s">
        <v>0</v>
      </c>
      <c r="F8" s="293" t="s">
        <v>229</v>
      </c>
      <c r="G8" s="278" t="s">
        <v>230</v>
      </c>
      <c r="H8" s="278" t="s">
        <v>246</v>
      </c>
      <c r="I8" s="23" t="s">
        <v>0</v>
      </c>
      <c r="J8" s="293" t="s">
        <v>229</v>
      </c>
      <c r="K8" s="278" t="s">
        <v>230</v>
      </c>
      <c r="L8" s="278" t="s">
        <v>246</v>
      </c>
      <c r="M8" s="23" t="s">
        <v>0</v>
      </c>
      <c r="N8" s="293" t="s">
        <v>229</v>
      </c>
      <c r="O8" s="278" t="s">
        <v>230</v>
      </c>
      <c r="P8" s="278" t="s">
        <v>246</v>
      </c>
      <c r="Q8" s="23" t="s">
        <v>0</v>
      </c>
    </row>
    <row r="9" spans="1:26" ht="18" customHeight="1" thickBot="1">
      <c r="A9" s="284"/>
      <c r="B9" s="281"/>
      <c r="C9" s="277"/>
      <c r="D9" s="277"/>
      <c r="E9" s="14" t="s">
        <v>11</v>
      </c>
      <c r="F9" s="281"/>
      <c r="G9" s="277"/>
      <c r="H9" s="277"/>
      <c r="I9" s="14" t="s">
        <v>11</v>
      </c>
      <c r="J9" s="281"/>
      <c r="K9" s="277"/>
      <c r="L9" s="277"/>
      <c r="M9" s="14" t="s">
        <v>11</v>
      </c>
      <c r="N9" s="281"/>
      <c r="O9" s="277"/>
      <c r="P9" s="277"/>
      <c r="Q9" s="14" t="s">
        <v>11</v>
      </c>
    </row>
    <row r="10" spans="1:26" ht="15.75" customHeight="1">
      <c r="A10" s="24"/>
      <c r="B10" s="297" t="s">
        <v>36</v>
      </c>
      <c r="C10" s="298"/>
      <c r="D10" s="298"/>
      <c r="E10" s="299"/>
      <c r="F10" s="297" t="s">
        <v>37</v>
      </c>
      <c r="G10" s="298"/>
      <c r="H10" s="298"/>
      <c r="I10" s="299"/>
      <c r="J10" s="297" t="s">
        <v>38</v>
      </c>
      <c r="K10" s="298"/>
      <c r="L10" s="298"/>
      <c r="M10" s="299"/>
      <c r="N10" s="297" t="s">
        <v>39</v>
      </c>
      <c r="O10" s="298"/>
      <c r="P10" s="298"/>
      <c r="Q10" s="299"/>
    </row>
    <row r="11" spans="1:26" ht="17.100000000000001" customHeight="1" thickBot="1">
      <c r="A11" s="24"/>
      <c r="B11" s="3"/>
      <c r="C11" s="235"/>
      <c r="D11" s="235"/>
      <c r="E11" s="236"/>
      <c r="F11" s="3"/>
      <c r="G11" s="235"/>
      <c r="H11" s="235"/>
      <c r="I11" s="236"/>
      <c r="J11" s="3"/>
      <c r="K11" s="235"/>
      <c r="L11" s="235"/>
      <c r="M11" s="236"/>
      <c r="N11" s="3"/>
      <c r="O11" s="235"/>
      <c r="P11" s="235"/>
      <c r="Q11" s="236"/>
      <c r="T11" s="237" t="s">
        <v>12</v>
      </c>
      <c r="U11" s="233" t="s">
        <v>13</v>
      </c>
      <c r="V11" s="233" t="s">
        <v>141</v>
      </c>
      <c r="X11" s="233" t="s">
        <v>12</v>
      </c>
      <c r="Y11" s="233" t="s">
        <v>13</v>
      </c>
      <c r="Z11" s="233" t="s">
        <v>141</v>
      </c>
    </row>
    <row r="12" spans="1:26" ht="15.75" customHeight="1">
      <c r="A12" s="60" t="s">
        <v>184</v>
      </c>
      <c r="B12" s="7">
        <v>7177</v>
      </c>
      <c r="C12" s="8">
        <v>23383</v>
      </c>
      <c r="D12" s="8">
        <v>23383</v>
      </c>
      <c r="E12" s="52">
        <f t="shared" ref="E12:E40" si="0">SUM(D12/C12*100)</f>
        <v>100</v>
      </c>
      <c r="F12" s="7">
        <v>20</v>
      </c>
      <c r="G12" s="8">
        <v>20</v>
      </c>
      <c r="H12" s="8"/>
      <c r="I12" s="52">
        <f>SUM(H12/G12*100)</f>
        <v>0</v>
      </c>
      <c r="J12" s="7"/>
      <c r="K12" s="8"/>
      <c r="L12" s="8">
        <v>8</v>
      </c>
      <c r="M12" s="52"/>
      <c r="N12" s="7">
        <v>2300</v>
      </c>
      <c r="O12" s="8">
        <v>3100</v>
      </c>
      <c r="P12" s="8">
        <v>3472</v>
      </c>
      <c r="Q12" s="52">
        <f t="shared" ref="Q12:Q37" si="1">SUM(P12/O12*100)</f>
        <v>112.00000000000001</v>
      </c>
      <c r="S12" s="238">
        <f>P12-O12</f>
        <v>372</v>
      </c>
      <c r="T12" s="233">
        <v>2000</v>
      </c>
      <c r="U12" s="233">
        <v>1384</v>
      </c>
      <c r="V12" s="233">
        <v>1384</v>
      </c>
      <c r="X12" s="233">
        <f>B12-T12</f>
        <v>5177</v>
      </c>
      <c r="Y12" s="233">
        <f t="shared" ref="Y12:Z27" si="2">C12-U12</f>
        <v>21999</v>
      </c>
      <c r="Z12" s="233">
        <f t="shared" si="2"/>
        <v>21999</v>
      </c>
    </row>
    <row r="13" spans="1:26" ht="17.100000000000001" customHeight="1">
      <c r="A13" s="61" t="s">
        <v>185</v>
      </c>
      <c r="B13" s="4">
        <v>750</v>
      </c>
      <c r="C13" s="2">
        <v>839</v>
      </c>
      <c r="D13" s="2">
        <v>839</v>
      </c>
      <c r="E13" s="53">
        <f t="shared" si="0"/>
        <v>100</v>
      </c>
      <c r="F13" s="4">
        <v>2</v>
      </c>
      <c r="G13" s="2">
        <v>2</v>
      </c>
      <c r="H13" s="2"/>
      <c r="I13" s="53">
        <f t="shared" ref="I13" si="3">SUM(H13/G13*100)</f>
        <v>0</v>
      </c>
      <c r="J13" s="4"/>
      <c r="K13" s="2"/>
      <c r="L13" s="2"/>
      <c r="M13" s="53"/>
      <c r="N13" s="4"/>
      <c r="O13" s="2">
        <v>470</v>
      </c>
      <c r="P13" s="2">
        <v>478</v>
      </c>
      <c r="Q13" s="53">
        <f t="shared" si="1"/>
        <v>101.70212765957447</v>
      </c>
      <c r="S13" s="239">
        <f t="shared" ref="S13:S40" si="4">P13-O13</f>
        <v>8</v>
      </c>
      <c r="T13" s="233">
        <v>1000</v>
      </c>
      <c r="U13" s="233">
        <v>1075</v>
      </c>
      <c r="V13" s="233">
        <v>1075</v>
      </c>
      <c r="X13" s="233">
        <f t="shared" ref="X13:Z41" si="5">B13-T13</f>
        <v>-250</v>
      </c>
      <c r="Y13" s="233">
        <f t="shared" si="2"/>
        <v>-236</v>
      </c>
      <c r="Z13" s="233">
        <f t="shared" si="2"/>
        <v>-236</v>
      </c>
    </row>
    <row r="14" spans="1:26" ht="17.100000000000001" customHeight="1">
      <c r="A14" s="61" t="s">
        <v>186</v>
      </c>
      <c r="B14" s="4">
        <v>5000</v>
      </c>
      <c r="C14" s="2">
        <v>8010</v>
      </c>
      <c r="D14" s="2">
        <v>8010</v>
      </c>
      <c r="E14" s="53">
        <f t="shared" si="0"/>
        <v>100</v>
      </c>
      <c r="F14" s="4"/>
      <c r="G14" s="2"/>
      <c r="H14" s="2"/>
      <c r="I14" s="53"/>
      <c r="J14" s="4"/>
      <c r="K14" s="2"/>
      <c r="L14" s="2"/>
      <c r="M14" s="53"/>
      <c r="N14" s="4">
        <v>120</v>
      </c>
      <c r="O14" s="2">
        <v>310</v>
      </c>
      <c r="P14" s="2">
        <v>310</v>
      </c>
      <c r="Q14" s="53">
        <f t="shared" si="1"/>
        <v>100</v>
      </c>
      <c r="S14" s="239">
        <f t="shared" si="4"/>
        <v>0</v>
      </c>
      <c r="T14" s="233">
        <v>1000</v>
      </c>
      <c r="U14" s="233">
        <v>561</v>
      </c>
      <c r="V14" s="233">
        <v>561</v>
      </c>
      <c r="X14" s="233">
        <f t="shared" si="5"/>
        <v>4000</v>
      </c>
      <c r="Y14" s="233">
        <f t="shared" si="2"/>
        <v>7449</v>
      </c>
      <c r="Z14" s="233">
        <f t="shared" si="2"/>
        <v>7449</v>
      </c>
    </row>
    <row r="15" spans="1:26" ht="17.100000000000001" customHeight="1">
      <c r="A15" s="61" t="s">
        <v>187</v>
      </c>
      <c r="B15" s="4">
        <v>0</v>
      </c>
      <c r="C15" s="2">
        <v>6673</v>
      </c>
      <c r="D15" s="2">
        <v>6673</v>
      </c>
      <c r="E15" s="53">
        <f t="shared" si="0"/>
        <v>100</v>
      </c>
      <c r="F15" s="4"/>
      <c r="G15" s="2"/>
      <c r="H15" s="2"/>
      <c r="I15" s="53"/>
      <c r="J15" s="4"/>
      <c r="K15" s="2"/>
      <c r="L15" s="2"/>
      <c r="M15" s="53"/>
      <c r="N15" s="4">
        <v>75</v>
      </c>
      <c r="O15" s="2">
        <v>75</v>
      </c>
      <c r="P15" s="2">
        <v>143</v>
      </c>
      <c r="Q15" s="53">
        <f t="shared" si="1"/>
        <v>190.66666666666669</v>
      </c>
      <c r="S15" s="239">
        <f t="shared" si="4"/>
        <v>68</v>
      </c>
      <c r="U15" s="233">
        <v>842</v>
      </c>
      <c r="V15" s="233">
        <v>842</v>
      </c>
      <c r="X15" s="233">
        <f t="shared" si="5"/>
        <v>0</v>
      </c>
      <c r="Y15" s="233">
        <f t="shared" si="2"/>
        <v>5831</v>
      </c>
      <c r="Z15" s="233">
        <f t="shared" si="2"/>
        <v>5831</v>
      </c>
    </row>
    <row r="16" spans="1:26" ht="17.100000000000001" customHeight="1">
      <c r="A16" s="61" t="s">
        <v>188</v>
      </c>
      <c r="B16" s="4">
        <v>0</v>
      </c>
      <c r="C16" s="2">
        <v>7001</v>
      </c>
      <c r="D16" s="2">
        <v>7001</v>
      </c>
      <c r="E16" s="53">
        <f t="shared" si="0"/>
        <v>100</v>
      </c>
      <c r="F16" s="4"/>
      <c r="G16" s="2"/>
      <c r="H16" s="2"/>
      <c r="I16" s="53"/>
      <c r="J16" s="4"/>
      <c r="K16" s="2"/>
      <c r="L16" s="2"/>
      <c r="M16" s="53"/>
      <c r="N16" s="4">
        <v>70</v>
      </c>
      <c r="O16" s="2">
        <v>70</v>
      </c>
      <c r="P16" s="2">
        <v>180</v>
      </c>
      <c r="Q16" s="53">
        <f t="shared" si="1"/>
        <v>257.14285714285717</v>
      </c>
      <c r="S16" s="239">
        <f t="shared" si="4"/>
        <v>110</v>
      </c>
      <c r="U16" s="233">
        <v>802</v>
      </c>
      <c r="V16" s="233">
        <v>802</v>
      </c>
      <c r="X16" s="233">
        <f t="shared" si="5"/>
        <v>0</v>
      </c>
      <c r="Y16" s="233">
        <f t="shared" si="2"/>
        <v>6199</v>
      </c>
      <c r="Z16" s="233">
        <f t="shared" si="2"/>
        <v>6199</v>
      </c>
    </row>
    <row r="17" spans="1:26" ht="17.100000000000001" customHeight="1">
      <c r="A17" s="61" t="s">
        <v>189</v>
      </c>
      <c r="B17" s="4">
        <v>640</v>
      </c>
      <c r="C17" s="2">
        <v>692</v>
      </c>
      <c r="D17" s="2">
        <v>692</v>
      </c>
      <c r="E17" s="53">
        <f t="shared" si="0"/>
        <v>100</v>
      </c>
      <c r="F17" s="4"/>
      <c r="G17" s="2"/>
      <c r="H17" s="2"/>
      <c r="I17" s="53"/>
      <c r="J17" s="4"/>
      <c r="K17" s="2"/>
      <c r="L17" s="2"/>
      <c r="M17" s="53"/>
      <c r="N17" s="4">
        <v>20</v>
      </c>
      <c r="O17" s="2">
        <v>110</v>
      </c>
      <c r="P17" s="2">
        <v>140</v>
      </c>
      <c r="Q17" s="53">
        <f t="shared" si="1"/>
        <v>127.27272727272727</v>
      </c>
      <c r="S17" s="239">
        <f t="shared" si="4"/>
        <v>30</v>
      </c>
      <c r="T17" s="233">
        <v>700</v>
      </c>
      <c r="U17" s="233">
        <v>623</v>
      </c>
      <c r="V17" s="233">
        <v>623</v>
      </c>
      <c r="X17" s="233">
        <f t="shared" si="5"/>
        <v>-60</v>
      </c>
      <c r="Y17" s="233">
        <f t="shared" si="2"/>
        <v>69</v>
      </c>
      <c r="Z17" s="233">
        <f t="shared" si="2"/>
        <v>69</v>
      </c>
    </row>
    <row r="18" spans="1:26" ht="17.100000000000001" customHeight="1">
      <c r="A18" s="61" t="s">
        <v>190</v>
      </c>
      <c r="B18" s="4">
        <v>5600</v>
      </c>
      <c r="C18" s="2">
        <v>8167</v>
      </c>
      <c r="D18" s="2">
        <v>8167</v>
      </c>
      <c r="E18" s="53">
        <f t="shared" si="0"/>
        <v>100</v>
      </c>
      <c r="F18" s="4"/>
      <c r="G18" s="2"/>
      <c r="H18" s="2"/>
      <c r="I18" s="53"/>
      <c r="J18" s="4"/>
      <c r="K18" s="2"/>
      <c r="L18" s="2"/>
      <c r="M18" s="53"/>
      <c r="N18" s="4">
        <v>400</v>
      </c>
      <c r="O18" s="2">
        <v>500</v>
      </c>
      <c r="P18" s="2">
        <v>514</v>
      </c>
      <c r="Q18" s="53">
        <f t="shared" si="1"/>
        <v>102.8</v>
      </c>
      <c r="S18" s="239">
        <f t="shared" si="4"/>
        <v>14</v>
      </c>
      <c r="T18" s="233">
        <v>80</v>
      </c>
      <c r="U18" s="233">
        <v>204</v>
      </c>
      <c r="V18" s="233">
        <f>204-1</f>
        <v>203</v>
      </c>
      <c r="X18" s="233">
        <f t="shared" si="5"/>
        <v>5520</v>
      </c>
      <c r="Y18" s="233">
        <f t="shared" si="2"/>
        <v>7963</v>
      </c>
      <c r="Z18" s="233">
        <f t="shared" si="2"/>
        <v>7964</v>
      </c>
    </row>
    <row r="19" spans="1:26" ht="17.100000000000001" customHeight="1">
      <c r="A19" s="61" t="s">
        <v>191</v>
      </c>
      <c r="B19" s="4">
        <v>0</v>
      </c>
      <c r="C19" s="2">
        <v>15074</v>
      </c>
      <c r="D19" s="2">
        <v>15074</v>
      </c>
      <c r="E19" s="53">
        <f t="shared" si="0"/>
        <v>100</v>
      </c>
      <c r="F19" s="4"/>
      <c r="G19" s="2">
        <v>1</v>
      </c>
      <c r="H19" s="2">
        <f>1-1</f>
        <v>0</v>
      </c>
      <c r="I19" s="53">
        <f>SUM(H19/G19*100)</f>
        <v>0</v>
      </c>
      <c r="J19" s="4"/>
      <c r="K19" s="2"/>
      <c r="L19" s="2"/>
      <c r="M19" s="53"/>
      <c r="N19" s="4">
        <v>350</v>
      </c>
      <c r="O19" s="2">
        <v>500</v>
      </c>
      <c r="P19" s="2">
        <v>628</v>
      </c>
      <c r="Q19" s="53">
        <f t="shared" si="1"/>
        <v>125.6</v>
      </c>
      <c r="S19" s="239">
        <f t="shared" si="4"/>
        <v>128</v>
      </c>
      <c r="U19" s="233">
        <v>379</v>
      </c>
      <c r="V19" s="233">
        <v>379</v>
      </c>
      <c r="X19" s="233">
        <f t="shared" si="5"/>
        <v>0</v>
      </c>
      <c r="Y19" s="233">
        <f t="shared" si="2"/>
        <v>14695</v>
      </c>
      <c r="Z19" s="233">
        <f t="shared" si="2"/>
        <v>14695</v>
      </c>
    </row>
    <row r="20" spans="1:26" ht="17.100000000000001" customHeight="1">
      <c r="A20" s="61" t="s">
        <v>192</v>
      </c>
      <c r="B20" s="4">
        <v>0</v>
      </c>
      <c r="C20" s="2">
        <v>46</v>
      </c>
      <c r="D20" s="2">
        <v>46</v>
      </c>
      <c r="E20" s="53">
        <f t="shared" si="0"/>
        <v>100</v>
      </c>
      <c r="F20" s="4"/>
      <c r="G20" s="2"/>
      <c r="H20" s="2"/>
      <c r="I20" s="53"/>
      <c r="J20" s="4"/>
      <c r="K20" s="2"/>
      <c r="L20" s="2"/>
      <c r="M20" s="53"/>
      <c r="N20" s="4">
        <v>30</v>
      </c>
      <c r="O20" s="2">
        <v>187</v>
      </c>
      <c r="P20" s="2">
        <f>187+1</f>
        <v>188</v>
      </c>
      <c r="Q20" s="53">
        <f t="shared" si="1"/>
        <v>100.53475935828877</v>
      </c>
      <c r="S20" s="239">
        <f t="shared" si="4"/>
        <v>1</v>
      </c>
      <c r="U20" s="233">
        <v>45</v>
      </c>
      <c r="V20" s="233">
        <f>46</f>
        <v>46</v>
      </c>
      <c r="X20" s="233">
        <f t="shared" si="5"/>
        <v>0</v>
      </c>
      <c r="Y20" s="233">
        <f t="shared" si="2"/>
        <v>1</v>
      </c>
      <c r="Z20" s="233">
        <f t="shared" si="2"/>
        <v>0</v>
      </c>
    </row>
    <row r="21" spans="1:26" ht="17.100000000000001" customHeight="1">
      <c r="A21" s="61" t="s">
        <v>193</v>
      </c>
      <c r="B21" s="4">
        <v>500</v>
      </c>
      <c r="C21" s="2">
        <v>929</v>
      </c>
      <c r="D21" s="2">
        <v>929</v>
      </c>
      <c r="E21" s="53">
        <f t="shared" si="0"/>
        <v>100</v>
      </c>
      <c r="F21" s="4"/>
      <c r="G21" s="2"/>
      <c r="H21" s="2"/>
      <c r="I21" s="53"/>
      <c r="J21" s="4"/>
      <c r="K21" s="2"/>
      <c r="L21" s="2"/>
      <c r="M21" s="53"/>
      <c r="N21" s="4">
        <v>150</v>
      </c>
      <c r="O21" s="2">
        <v>230</v>
      </c>
      <c r="P21" s="2">
        <v>246</v>
      </c>
      <c r="Q21" s="53">
        <f t="shared" si="1"/>
        <v>106.95652173913044</v>
      </c>
      <c r="S21" s="239">
        <f t="shared" si="4"/>
        <v>16</v>
      </c>
      <c r="T21" s="233">
        <v>400</v>
      </c>
      <c r="U21" s="233">
        <v>411</v>
      </c>
      <c r="V21" s="233">
        <v>411</v>
      </c>
      <c r="X21" s="233">
        <f t="shared" si="5"/>
        <v>100</v>
      </c>
      <c r="Y21" s="233">
        <f t="shared" si="2"/>
        <v>518</v>
      </c>
      <c r="Z21" s="233">
        <f t="shared" si="2"/>
        <v>518</v>
      </c>
    </row>
    <row r="22" spans="1:26" ht="17.100000000000001" customHeight="1">
      <c r="A22" s="61" t="s">
        <v>194</v>
      </c>
      <c r="B22" s="4">
        <v>1535</v>
      </c>
      <c r="C22" s="2">
        <v>1505</v>
      </c>
      <c r="D22" s="2">
        <v>1505</v>
      </c>
      <c r="E22" s="53">
        <f t="shared" si="0"/>
        <v>100</v>
      </c>
      <c r="F22" s="4"/>
      <c r="G22" s="2"/>
      <c r="H22" s="2"/>
      <c r="I22" s="53"/>
      <c r="J22" s="4"/>
      <c r="K22" s="2"/>
      <c r="L22" s="2"/>
      <c r="M22" s="53"/>
      <c r="N22" s="4">
        <v>80</v>
      </c>
      <c r="O22" s="2">
        <v>240</v>
      </c>
      <c r="P22" s="2">
        <v>263</v>
      </c>
      <c r="Q22" s="53">
        <f t="shared" si="1"/>
        <v>109.58333333333334</v>
      </c>
      <c r="S22" s="239">
        <f t="shared" si="4"/>
        <v>23</v>
      </c>
      <c r="T22" s="233">
        <v>300</v>
      </c>
      <c r="U22" s="233">
        <v>368</v>
      </c>
      <c r="V22" s="233">
        <f>368-1</f>
        <v>367</v>
      </c>
      <c r="X22" s="233">
        <f t="shared" si="5"/>
        <v>1235</v>
      </c>
      <c r="Y22" s="233">
        <f t="shared" si="2"/>
        <v>1137</v>
      </c>
      <c r="Z22" s="233">
        <f t="shared" si="2"/>
        <v>1138</v>
      </c>
    </row>
    <row r="23" spans="1:26" ht="17.100000000000001" customHeight="1">
      <c r="A23" s="61" t="s">
        <v>195</v>
      </c>
      <c r="B23" s="4">
        <v>0</v>
      </c>
      <c r="C23" s="2">
        <v>370</v>
      </c>
      <c r="D23" s="2">
        <v>370</v>
      </c>
      <c r="E23" s="53">
        <f t="shared" si="0"/>
        <v>100</v>
      </c>
      <c r="F23" s="4"/>
      <c r="G23" s="2"/>
      <c r="H23" s="2"/>
      <c r="I23" s="53"/>
      <c r="J23" s="4"/>
      <c r="K23" s="2"/>
      <c r="L23" s="2"/>
      <c r="M23" s="53"/>
      <c r="N23" s="4">
        <v>45</v>
      </c>
      <c r="O23" s="2">
        <v>255</v>
      </c>
      <c r="P23" s="2">
        <v>274</v>
      </c>
      <c r="Q23" s="53">
        <f t="shared" si="1"/>
        <v>107.45098039215686</v>
      </c>
      <c r="S23" s="239">
        <f t="shared" si="4"/>
        <v>19</v>
      </c>
      <c r="U23" s="233">
        <v>204</v>
      </c>
      <c r="V23" s="233">
        <v>204</v>
      </c>
      <c r="X23" s="233">
        <f t="shared" si="5"/>
        <v>0</v>
      </c>
      <c r="Y23" s="233">
        <f t="shared" si="2"/>
        <v>166</v>
      </c>
      <c r="Z23" s="233">
        <f t="shared" si="2"/>
        <v>166</v>
      </c>
    </row>
    <row r="24" spans="1:26" ht="17.100000000000001" customHeight="1">
      <c r="A24" s="61" t="s">
        <v>196</v>
      </c>
      <c r="B24" s="4">
        <v>0</v>
      </c>
      <c r="C24" s="2">
        <v>14272</v>
      </c>
      <c r="D24" s="2">
        <v>14272</v>
      </c>
      <c r="E24" s="53">
        <f t="shared" si="0"/>
        <v>100</v>
      </c>
      <c r="F24" s="4"/>
      <c r="G24" s="2"/>
      <c r="H24" s="2"/>
      <c r="I24" s="53"/>
      <c r="J24" s="4">
        <v>40</v>
      </c>
      <c r="K24" s="2">
        <v>40</v>
      </c>
      <c r="L24" s="2">
        <v>42</v>
      </c>
      <c r="M24" s="53">
        <f t="shared" ref="M24:M26" si="6">SUM(L24/K24*100)</f>
        <v>105</v>
      </c>
      <c r="N24" s="4">
        <v>436</v>
      </c>
      <c r="O24" s="2">
        <v>1036</v>
      </c>
      <c r="P24" s="2">
        <v>1157</v>
      </c>
      <c r="Q24" s="53">
        <f t="shared" si="1"/>
        <v>111.67953667953667</v>
      </c>
      <c r="S24" s="239">
        <f t="shared" si="4"/>
        <v>121</v>
      </c>
      <c r="U24" s="233">
        <v>790</v>
      </c>
      <c r="V24" s="233">
        <f>791-1</f>
        <v>790</v>
      </c>
      <c r="X24" s="233">
        <f t="shared" si="5"/>
        <v>0</v>
      </c>
      <c r="Y24" s="233">
        <f t="shared" si="2"/>
        <v>13482</v>
      </c>
      <c r="Z24" s="233">
        <f t="shared" si="2"/>
        <v>13482</v>
      </c>
    </row>
    <row r="25" spans="1:26" ht="17.100000000000001" customHeight="1">
      <c r="A25" s="61" t="s">
        <v>197</v>
      </c>
      <c r="B25" s="4">
        <v>345</v>
      </c>
      <c r="C25" s="2">
        <v>741</v>
      </c>
      <c r="D25" s="2">
        <v>741</v>
      </c>
      <c r="E25" s="53">
        <f t="shared" si="0"/>
        <v>100</v>
      </c>
      <c r="F25" s="4"/>
      <c r="G25" s="2"/>
      <c r="H25" s="2"/>
      <c r="I25" s="53"/>
      <c r="J25" s="4"/>
      <c r="K25" s="2"/>
      <c r="L25" s="2"/>
      <c r="M25" s="53"/>
      <c r="N25" s="4">
        <v>162</v>
      </c>
      <c r="O25" s="2">
        <v>162</v>
      </c>
      <c r="P25" s="2">
        <v>261</v>
      </c>
      <c r="Q25" s="53">
        <f t="shared" si="1"/>
        <v>161.11111111111111</v>
      </c>
      <c r="S25" s="239">
        <f t="shared" si="4"/>
        <v>99</v>
      </c>
      <c r="T25" s="233">
        <v>123</v>
      </c>
      <c r="U25" s="233">
        <v>132</v>
      </c>
      <c r="V25" s="233">
        <v>132</v>
      </c>
      <c r="X25" s="233">
        <f t="shared" si="5"/>
        <v>222</v>
      </c>
      <c r="Y25" s="233">
        <f t="shared" si="2"/>
        <v>609</v>
      </c>
      <c r="Z25" s="233">
        <f t="shared" si="2"/>
        <v>609</v>
      </c>
    </row>
    <row r="26" spans="1:26" ht="17.100000000000001" customHeight="1">
      <c r="A26" s="61" t="s">
        <v>198</v>
      </c>
      <c r="B26" s="4">
        <v>13345</v>
      </c>
      <c r="C26" s="2">
        <v>12732</v>
      </c>
      <c r="D26" s="2">
        <v>12732</v>
      </c>
      <c r="E26" s="53">
        <f t="shared" si="0"/>
        <v>100</v>
      </c>
      <c r="F26" s="4">
        <v>5</v>
      </c>
      <c r="G26" s="2">
        <v>5</v>
      </c>
      <c r="H26" s="2"/>
      <c r="I26" s="53">
        <f t="shared" ref="I26" si="7">SUM(H26/G26*100)</f>
        <v>0</v>
      </c>
      <c r="J26" s="4"/>
      <c r="K26" s="2">
        <v>20</v>
      </c>
      <c r="L26" s="2">
        <f>20-1</f>
        <v>19</v>
      </c>
      <c r="M26" s="53">
        <f t="shared" si="6"/>
        <v>95</v>
      </c>
      <c r="N26" s="4">
        <v>540</v>
      </c>
      <c r="O26" s="2">
        <v>540</v>
      </c>
      <c r="P26" s="2">
        <v>721</v>
      </c>
      <c r="Q26" s="53">
        <f t="shared" si="1"/>
        <v>133.51851851851853</v>
      </c>
      <c r="S26" s="239">
        <f t="shared" si="4"/>
        <v>181</v>
      </c>
      <c r="T26" s="233">
        <v>720</v>
      </c>
      <c r="U26" s="233">
        <v>846</v>
      </c>
      <c r="V26" s="233">
        <v>846</v>
      </c>
      <c r="X26" s="233">
        <f t="shared" si="5"/>
        <v>12625</v>
      </c>
      <c r="Y26" s="233">
        <f t="shared" si="2"/>
        <v>11886</v>
      </c>
      <c r="Z26" s="233">
        <f t="shared" si="2"/>
        <v>11886</v>
      </c>
    </row>
    <row r="27" spans="1:26" ht="17.100000000000001" customHeight="1">
      <c r="A27" s="61" t="s">
        <v>199</v>
      </c>
      <c r="B27" s="4">
        <v>0</v>
      </c>
      <c r="C27" s="2">
        <v>2934</v>
      </c>
      <c r="D27" s="2">
        <v>2934</v>
      </c>
      <c r="E27" s="53">
        <f t="shared" si="0"/>
        <v>100</v>
      </c>
      <c r="F27" s="4"/>
      <c r="G27" s="2"/>
      <c r="H27" s="2"/>
      <c r="I27" s="53"/>
      <c r="J27" s="4"/>
      <c r="K27" s="2"/>
      <c r="L27" s="2"/>
      <c r="M27" s="53"/>
      <c r="N27" s="4">
        <v>205</v>
      </c>
      <c r="O27" s="2">
        <v>571</v>
      </c>
      <c r="P27" s="2">
        <v>534</v>
      </c>
      <c r="Q27" s="53">
        <f t="shared" si="1"/>
        <v>93.520140105078809</v>
      </c>
      <c r="S27" s="239">
        <f t="shared" si="4"/>
        <v>-37</v>
      </c>
      <c r="U27" s="233">
        <v>1305</v>
      </c>
      <c r="V27" s="233">
        <v>1305</v>
      </c>
      <c r="X27" s="233">
        <f t="shared" si="5"/>
        <v>0</v>
      </c>
      <c r="Y27" s="233">
        <f t="shared" si="2"/>
        <v>1629</v>
      </c>
      <c r="Z27" s="233">
        <f t="shared" si="2"/>
        <v>1629</v>
      </c>
    </row>
    <row r="28" spans="1:26" ht="17.100000000000001" customHeight="1">
      <c r="A28" s="61" t="s">
        <v>200</v>
      </c>
      <c r="B28" s="4">
        <v>0</v>
      </c>
      <c r="C28" s="2">
        <v>4492</v>
      </c>
      <c r="D28" s="2">
        <v>4492</v>
      </c>
      <c r="E28" s="53">
        <f t="shared" si="0"/>
        <v>100</v>
      </c>
      <c r="F28" s="4"/>
      <c r="G28" s="2"/>
      <c r="H28" s="2"/>
      <c r="I28" s="53"/>
      <c r="J28" s="4"/>
      <c r="K28" s="2"/>
      <c r="L28" s="2"/>
      <c r="M28" s="53"/>
      <c r="N28" s="4">
        <v>230</v>
      </c>
      <c r="O28" s="2">
        <v>230</v>
      </c>
      <c r="P28" s="2">
        <v>1112</v>
      </c>
      <c r="Q28" s="53">
        <f t="shared" si="1"/>
        <v>483.47826086956519</v>
      </c>
      <c r="S28" s="238">
        <f t="shared" si="4"/>
        <v>882</v>
      </c>
      <c r="U28" s="233">
        <v>1786</v>
      </c>
      <c r="V28" s="233">
        <v>1786</v>
      </c>
      <c r="X28" s="233">
        <f t="shared" si="5"/>
        <v>0</v>
      </c>
      <c r="Y28" s="233">
        <f t="shared" si="5"/>
        <v>2706</v>
      </c>
      <c r="Z28" s="233">
        <f t="shared" si="5"/>
        <v>2706</v>
      </c>
    </row>
    <row r="29" spans="1:26" ht="17.100000000000001" customHeight="1">
      <c r="A29" s="61" t="s">
        <v>201</v>
      </c>
      <c r="B29" s="4">
        <v>0</v>
      </c>
      <c r="C29" s="2">
        <v>5683</v>
      </c>
      <c r="D29" s="2">
        <v>5683</v>
      </c>
      <c r="E29" s="53">
        <f t="shared" si="0"/>
        <v>100</v>
      </c>
      <c r="F29" s="4"/>
      <c r="G29" s="2"/>
      <c r="H29" s="2"/>
      <c r="I29" s="53"/>
      <c r="J29" s="4"/>
      <c r="K29" s="2"/>
      <c r="L29" s="2"/>
      <c r="M29" s="53"/>
      <c r="N29" s="4">
        <v>250</v>
      </c>
      <c r="O29" s="2">
        <v>310</v>
      </c>
      <c r="P29" s="2">
        <v>322</v>
      </c>
      <c r="Q29" s="53">
        <f t="shared" si="1"/>
        <v>103.87096774193549</v>
      </c>
      <c r="S29" s="239">
        <f t="shared" si="4"/>
        <v>12</v>
      </c>
      <c r="U29" s="233">
        <v>1104</v>
      </c>
      <c r="V29" s="233">
        <v>1104</v>
      </c>
      <c r="X29" s="233">
        <f t="shared" si="5"/>
        <v>0</v>
      </c>
      <c r="Y29" s="233">
        <f t="shared" si="5"/>
        <v>4579</v>
      </c>
      <c r="Z29" s="233">
        <f t="shared" si="5"/>
        <v>4579</v>
      </c>
    </row>
    <row r="30" spans="1:26" ht="17.100000000000001" customHeight="1">
      <c r="A30" s="61" t="s">
        <v>202</v>
      </c>
      <c r="B30" s="4">
        <v>12390</v>
      </c>
      <c r="C30" s="2">
        <v>13861</v>
      </c>
      <c r="D30" s="2">
        <v>13861</v>
      </c>
      <c r="E30" s="53">
        <f t="shared" si="0"/>
        <v>100</v>
      </c>
      <c r="F30" s="4">
        <v>3</v>
      </c>
      <c r="G30" s="2">
        <v>3</v>
      </c>
      <c r="H30" s="2"/>
      <c r="I30" s="53">
        <f>SUM(H30/G30*100)</f>
        <v>0</v>
      </c>
      <c r="J30" s="4"/>
      <c r="K30" s="2"/>
      <c r="L30" s="2"/>
      <c r="M30" s="53"/>
      <c r="N30" s="4">
        <v>313</v>
      </c>
      <c r="O30" s="2">
        <v>463</v>
      </c>
      <c r="P30" s="2">
        <v>878</v>
      </c>
      <c r="Q30" s="53">
        <f t="shared" si="1"/>
        <v>189.63282937365011</v>
      </c>
      <c r="S30" s="238">
        <f t="shared" si="4"/>
        <v>415</v>
      </c>
      <c r="T30" s="233">
        <v>1300</v>
      </c>
      <c r="U30" s="233">
        <v>1383</v>
      </c>
      <c r="V30" s="233">
        <v>1383</v>
      </c>
      <c r="X30" s="233">
        <f t="shared" si="5"/>
        <v>11090</v>
      </c>
      <c r="Y30" s="233">
        <f t="shared" si="5"/>
        <v>12478</v>
      </c>
      <c r="Z30" s="233">
        <f t="shared" si="5"/>
        <v>12478</v>
      </c>
    </row>
    <row r="31" spans="1:26" ht="17.100000000000001" customHeight="1">
      <c r="A31" s="61" t="s">
        <v>203</v>
      </c>
      <c r="B31" s="4">
        <v>3705</v>
      </c>
      <c r="C31" s="2">
        <v>4563</v>
      </c>
      <c r="D31" s="2">
        <v>4563</v>
      </c>
      <c r="E31" s="53">
        <f t="shared" si="0"/>
        <v>100</v>
      </c>
      <c r="F31" s="4">
        <v>23</v>
      </c>
      <c r="G31" s="2">
        <v>23</v>
      </c>
      <c r="H31" s="2"/>
      <c r="I31" s="53">
        <f>SUM(H31/G31*100)</f>
        <v>0</v>
      </c>
      <c r="J31" s="4"/>
      <c r="K31" s="2"/>
      <c r="L31" s="2"/>
      <c r="M31" s="53"/>
      <c r="N31" s="4">
        <v>210</v>
      </c>
      <c r="O31" s="2">
        <v>210</v>
      </c>
      <c r="P31" s="2">
        <v>556</v>
      </c>
      <c r="Q31" s="53">
        <f t="shared" si="1"/>
        <v>264.76190476190476</v>
      </c>
      <c r="S31" s="238">
        <f t="shared" si="4"/>
        <v>346</v>
      </c>
      <c r="T31" s="233">
        <v>534</v>
      </c>
      <c r="U31" s="233">
        <v>466</v>
      </c>
      <c r="V31" s="233">
        <v>466</v>
      </c>
      <c r="X31" s="233">
        <f t="shared" si="5"/>
        <v>3171</v>
      </c>
      <c r="Y31" s="233">
        <f t="shared" si="5"/>
        <v>4097</v>
      </c>
      <c r="Z31" s="233">
        <f t="shared" si="5"/>
        <v>4097</v>
      </c>
    </row>
    <row r="32" spans="1:26" ht="17.100000000000001" customHeight="1">
      <c r="A32" s="61" t="s">
        <v>204</v>
      </c>
      <c r="B32" s="4">
        <v>0</v>
      </c>
      <c r="C32" s="2">
        <v>477</v>
      </c>
      <c r="D32" s="2">
        <v>477</v>
      </c>
      <c r="E32" s="53">
        <f t="shared" si="0"/>
        <v>100</v>
      </c>
      <c r="F32" s="4">
        <v>0</v>
      </c>
      <c r="G32" s="2"/>
      <c r="H32" s="2"/>
      <c r="I32" s="53"/>
      <c r="J32" s="4"/>
      <c r="K32" s="2"/>
      <c r="L32" s="2"/>
      <c r="M32" s="53"/>
      <c r="N32" s="4">
        <v>120</v>
      </c>
      <c r="O32" s="2">
        <v>380</v>
      </c>
      <c r="P32" s="2">
        <f>433+1</f>
        <v>434</v>
      </c>
      <c r="Q32" s="53">
        <f t="shared" si="1"/>
        <v>114.21052631578948</v>
      </c>
      <c r="S32" s="239">
        <f t="shared" si="4"/>
        <v>54</v>
      </c>
      <c r="U32" s="233">
        <v>342</v>
      </c>
      <c r="V32" s="233">
        <v>342</v>
      </c>
      <c r="X32" s="233">
        <f t="shared" si="5"/>
        <v>0</v>
      </c>
      <c r="Y32" s="233">
        <f t="shared" si="5"/>
        <v>135</v>
      </c>
      <c r="Z32" s="233">
        <f t="shared" si="5"/>
        <v>135</v>
      </c>
    </row>
    <row r="33" spans="1:26" ht="17.100000000000001" customHeight="1">
      <c r="A33" s="61" t="s">
        <v>205</v>
      </c>
      <c r="B33" s="4">
        <v>0</v>
      </c>
      <c r="C33" s="2">
        <v>238</v>
      </c>
      <c r="D33" s="2">
        <v>238</v>
      </c>
      <c r="E33" s="53">
        <f t="shared" si="0"/>
        <v>100</v>
      </c>
      <c r="F33" s="4"/>
      <c r="G33" s="2"/>
      <c r="H33" s="2"/>
      <c r="I33" s="53"/>
      <c r="J33" s="4"/>
      <c r="K33" s="2"/>
      <c r="L33" s="2"/>
      <c r="M33" s="53"/>
      <c r="N33" s="4">
        <v>100</v>
      </c>
      <c r="O33" s="2">
        <v>220</v>
      </c>
      <c r="P33" s="2">
        <v>213</v>
      </c>
      <c r="Q33" s="53">
        <f t="shared" si="1"/>
        <v>96.818181818181813</v>
      </c>
      <c r="S33" s="239">
        <f t="shared" si="4"/>
        <v>-7</v>
      </c>
      <c r="U33" s="233">
        <v>172</v>
      </c>
      <c r="V33" s="233">
        <v>172</v>
      </c>
      <c r="X33" s="233">
        <f t="shared" si="5"/>
        <v>0</v>
      </c>
      <c r="Y33" s="233">
        <f t="shared" si="5"/>
        <v>66</v>
      </c>
      <c r="Z33" s="233">
        <f t="shared" si="5"/>
        <v>66</v>
      </c>
    </row>
    <row r="34" spans="1:26" ht="17.100000000000001" customHeight="1">
      <c r="A34" s="61" t="s">
        <v>206</v>
      </c>
      <c r="B34" s="4">
        <v>15050</v>
      </c>
      <c r="C34" s="2">
        <v>12224</v>
      </c>
      <c r="D34" s="2">
        <v>12224</v>
      </c>
      <c r="E34" s="53">
        <f t="shared" si="0"/>
        <v>100</v>
      </c>
      <c r="F34" s="4"/>
      <c r="G34" s="2"/>
      <c r="H34" s="2"/>
      <c r="I34" s="53"/>
      <c r="J34" s="4"/>
      <c r="K34" s="2"/>
      <c r="L34" s="2"/>
      <c r="M34" s="53"/>
      <c r="N34" s="4">
        <v>545</v>
      </c>
      <c r="O34" s="2">
        <v>1385</v>
      </c>
      <c r="P34" s="2">
        <v>1329</v>
      </c>
      <c r="Q34" s="53">
        <f t="shared" si="1"/>
        <v>95.95667870036101</v>
      </c>
      <c r="S34" s="239">
        <f t="shared" si="4"/>
        <v>-56</v>
      </c>
      <c r="T34" s="233">
        <v>2200</v>
      </c>
      <c r="U34" s="233">
        <v>1187</v>
      </c>
      <c r="V34" s="233">
        <v>1187</v>
      </c>
      <c r="X34" s="233">
        <f t="shared" si="5"/>
        <v>12850</v>
      </c>
      <c r="Y34" s="233">
        <f t="shared" si="5"/>
        <v>11037</v>
      </c>
      <c r="Z34" s="233">
        <f t="shared" si="5"/>
        <v>11037</v>
      </c>
    </row>
    <row r="35" spans="1:26" ht="17.100000000000001" customHeight="1">
      <c r="A35" s="61" t="s">
        <v>207</v>
      </c>
      <c r="B35" s="4">
        <v>1470</v>
      </c>
      <c r="C35" s="2">
        <v>876</v>
      </c>
      <c r="D35" s="2">
        <v>876</v>
      </c>
      <c r="E35" s="53">
        <f t="shared" si="0"/>
        <v>100</v>
      </c>
      <c r="F35" s="4"/>
      <c r="G35" s="2"/>
      <c r="H35" s="2"/>
      <c r="I35" s="53"/>
      <c r="J35" s="4"/>
      <c r="K35" s="2"/>
      <c r="L35" s="2"/>
      <c r="M35" s="53"/>
      <c r="N35" s="4">
        <v>120</v>
      </c>
      <c r="O35" s="2">
        <v>142</v>
      </c>
      <c r="P35" s="2">
        <v>142</v>
      </c>
      <c r="Q35" s="53">
        <f t="shared" si="1"/>
        <v>100</v>
      </c>
      <c r="S35" s="239">
        <f t="shared" si="4"/>
        <v>0</v>
      </c>
      <c r="T35" s="233">
        <v>420</v>
      </c>
      <c r="U35" s="233">
        <v>193</v>
      </c>
      <c r="V35" s="233">
        <v>193</v>
      </c>
      <c r="X35" s="233">
        <f t="shared" si="5"/>
        <v>1050</v>
      </c>
      <c r="Y35" s="233">
        <f t="shared" si="5"/>
        <v>683</v>
      </c>
      <c r="Z35" s="233">
        <f t="shared" si="5"/>
        <v>683</v>
      </c>
    </row>
    <row r="36" spans="1:26" ht="17.100000000000001" customHeight="1">
      <c r="A36" s="61" t="s">
        <v>208</v>
      </c>
      <c r="B36" s="4">
        <v>2400</v>
      </c>
      <c r="C36" s="2">
        <v>2882</v>
      </c>
      <c r="D36" s="2">
        <v>2882</v>
      </c>
      <c r="E36" s="53">
        <f t="shared" si="0"/>
        <v>100</v>
      </c>
      <c r="F36" s="4"/>
      <c r="G36" s="2"/>
      <c r="H36" s="2"/>
      <c r="I36" s="53"/>
      <c r="J36" s="4"/>
      <c r="K36" s="2"/>
      <c r="L36" s="2"/>
      <c r="M36" s="53"/>
      <c r="N36" s="4">
        <v>300</v>
      </c>
      <c r="O36" s="2">
        <v>300</v>
      </c>
      <c r="P36" s="2">
        <v>453</v>
      </c>
      <c r="Q36" s="53">
        <f t="shared" si="1"/>
        <v>151</v>
      </c>
      <c r="S36" s="239">
        <f t="shared" si="4"/>
        <v>153</v>
      </c>
      <c r="T36" s="233">
        <v>800</v>
      </c>
      <c r="U36" s="233">
        <v>678</v>
      </c>
      <c r="V36" s="233">
        <v>678</v>
      </c>
      <c r="X36" s="233">
        <f t="shared" si="5"/>
        <v>1600</v>
      </c>
      <c r="Y36" s="233">
        <f t="shared" si="5"/>
        <v>2204</v>
      </c>
      <c r="Z36" s="233">
        <f t="shared" si="5"/>
        <v>2204</v>
      </c>
    </row>
    <row r="37" spans="1:26" ht="17.100000000000001" customHeight="1">
      <c r="A37" s="61" t="s">
        <v>209</v>
      </c>
      <c r="B37" s="4">
        <v>0</v>
      </c>
      <c r="C37" s="2">
        <v>65</v>
      </c>
      <c r="D37" s="2">
        <v>65</v>
      </c>
      <c r="E37" s="53">
        <f t="shared" si="0"/>
        <v>100</v>
      </c>
      <c r="F37" s="4"/>
      <c r="G37" s="2"/>
      <c r="H37" s="2"/>
      <c r="I37" s="53"/>
      <c r="J37" s="4"/>
      <c r="K37" s="2"/>
      <c r="L37" s="2"/>
      <c r="M37" s="53"/>
      <c r="N37" s="4">
        <v>70</v>
      </c>
      <c r="O37" s="2">
        <v>255</v>
      </c>
      <c r="P37" s="2">
        <v>234</v>
      </c>
      <c r="Q37" s="53">
        <f t="shared" si="1"/>
        <v>91.764705882352942</v>
      </c>
      <c r="S37" s="239">
        <f t="shared" si="4"/>
        <v>-21</v>
      </c>
      <c r="U37" s="233">
        <v>103</v>
      </c>
      <c r="V37" s="233">
        <v>103</v>
      </c>
      <c r="X37" s="233">
        <f t="shared" si="5"/>
        <v>0</v>
      </c>
      <c r="Y37" s="233">
        <f t="shared" si="5"/>
        <v>-38</v>
      </c>
      <c r="Z37" s="233">
        <f t="shared" si="5"/>
        <v>-38</v>
      </c>
    </row>
    <row r="38" spans="1:26" ht="17.100000000000001" customHeight="1">
      <c r="A38" s="61" t="s">
        <v>210</v>
      </c>
      <c r="B38" s="4">
        <v>0</v>
      </c>
      <c r="C38" s="2">
        <v>86</v>
      </c>
      <c r="D38" s="2">
        <v>86</v>
      </c>
      <c r="E38" s="53">
        <f t="shared" si="0"/>
        <v>100</v>
      </c>
      <c r="F38" s="4"/>
      <c r="G38" s="2"/>
      <c r="H38" s="2"/>
      <c r="I38" s="53"/>
      <c r="J38" s="4"/>
      <c r="K38" s="2"/>
      <c r="L38" s="2"/>
      <c r="M38" s="53"/>
      <c r="N38" s="4"/>
      <c r="O38" s="2"/>
      <c r="P38" s="2"/>
      <c r="Q38" s="53"/>
      <c r="S38" s="239">
        <f t="shared" si="4"/>
        <v>0</v>
      </c>
      <c r="U38" s="233">
        <v>108</v>
      </c>
      <c r="V38" s="233">
        <f>109</f>
        <v>109</v>
      </c>
      <c r="X38" s="233">
        <f t="shared" si="5"/>
        <v>0</v>
      </c>
      <c r="Y38" s="233">
        <f t="shared" si="5"/>
        <v>-22</v>
      </c>
      <c r="Z38" s="233">
        <f>D38-V38</f>
        <v>-23</v>
      </c>
    </row>
    <row r="39" spans="1:26" ht="17.100000000000001" customHeight="1">
      <c r="A39" s="61" t="s">
        <v>211</v>
      </c>
      <c r="B39" s="4">
        <v>0</v>
      </c>
      <c r="C39" s="2">
        <v>14</v>
      </c>
      <c r="D39" s="2">
        <v>14</v>
      </c>
      <c r="E39" s="53">
        <f t="shared" si="0"/>
        <v>100</v>
      </c>
      <c r="F39" s="4"/>
      <c r="G39" s="2"/>
      <c r="H39" s="2"/>
      <c r="I39" s="53"/>
      <c r="J39" s="4"/>
      <c r="K39" s="2"/>
      <c r="L39" s="2"/>
      <c r="M39" s="53"/>
      <c r="N39" s="4">
        <v>2</v>
      </c>
      <c r="O39" s="2">
        <v>27</v>
      </c>
      <c r="P39" s="2">
        <v>26</v>
      </c>
      <c r="Q39" s="53">
        <f>SUM(P39/O39*100)</f>
        <v>96.296296296296291</v>
      </c>
      <c r="S39" s="239">
        <f t="shared" si="4"/>
        <v>-1</v>
      </c>
      <c r="U39" s="233">
        <v>71</v>
      </c>
      <c r="V39" s="233">
        <v>71</v>
      </c>
      <c r="X39" s="233">
        <f t="shared" si="5"/>
        <v>0</v>
      </c>
      <c r="Y39" s="233">
        <f t="shared" si="5"/>
        <v>-57</v>
      </c>
      <c r="Z39" s="233">
        <f t="shared" si="5"/>
        <v>-57</v>
      </c>
    </row>
    <row r="40" spans="1:26" ht="17.100000000000001" customHeight="1" thickBot="1">
      <c r="A40" s="62" t="s">
        <v>212</v>
      </c>
      <c r="B40" s="5">
        <v>0</v>
      </c>
      <c r="C40" s="6">
        <v>23</v>
      </c>
      <c r="D40" s="6">
        <v>23</v>
      </c>
      <c r="E40" s="54">
        <f t="shared" si="0"/>
        <v>100</v>
      </c>
      <c r="F40" s="5"/>
      <c r="G40" s="6"/>
      <c r="H40" s="6"/>
      <c r="I40" s="54"/>
      <c r="J40" s="5"/>
      <c r="K40" s="6"/>
      <c r="L40" s="6"/>
      <c r="M40" s="54"/>
      <c r="N40" s="5">
        <v>9</v>
      </c>
      <c r="O40" s="6">
        <v>11</v>
      </c>
      <c r="P40" s="6">
        <v>11</v>
      </c>
      <c r="Q40" s="54">
        <f>SUM(P40/O40*100)</f>
        <v>100</v>
      </c>
      <c r="S40" s="239">
        <f t="shared" si="4"/>
        <v>0</v>
      </c>
      <c r="U40" s="233">
        <v>39</v>
      </c>
      <c r="V40" s="233">
        <v>39</v>
      </c>
      <c r="X40" s="233">
        <f t="shared" si="5"/>
        <v>0</v>
      </c>
      <c r="Y40" s="233">
        <f t="shared" si="5"/>
        <v>-16</v>
      </c>
      <c r="Z40" s="233">
        <f t="shared" si="5"/>
        <v>-16</v>
      </c>
    </row>
    <row r="41" spans="1:26" ht="15" customHeight="1" thickBot="1">
      <c r="A41" s="24"/>
      <c r="B41" s="74"/>
      <c r="C41" s="73"/>
      <c r="D41" s="73"/>
      <c r="E41" s="55"/>
      <c r="F41" s="74"/>
      <c r="G41" s="73"/>
      <c r="H41" s="73"/>
      <c r="I41" s="55"/>
      <c r="J41" s="74"/>
      <c r="K41" s="73"/>
      <c r="L41" s="73"/>
      <c r="M41" s="55"/>
      <c r="N41" s="74"/>
      <c r="O41" s="73"/>
      <c r="P41" s="73"/>
      <c r="Q41" s="55"/>
      <c r="X41" s="233">
        <f t="shared" si="5"/>
        <v>0</v>
      </c>
      <c r="Y41" s="233">
        <f t="shared" si="5"/>
        <v>0</v>
      </c>
      <c r="Z41" s="233">
        <f t="shared" si="5"/>
        <v>0</v>
      </c>
    </row>
    <row r="42" spans="1:26" s="234" customFormat="1" ht="17.100000000000001" customHeight="1" thickBot="1">
      <c r="A42" s="63" t="s">
        <v>40</v>
      </c>
      <c r="B42" s="57">
        <f>SUM(B12:B40)</f>
        <v>69907</v>
      </c>
      <c r="C42" s="50">
        <f>SUM(C12:C40)</f>
        <v>148852</v>
      </c>
      <c r="D42" s="50">
        <f>SUM(D12:D40)</f>
        <v>148852</v>
      </c>
      <c r="E42" s="56">
        <f>SUM(D42/C42*100)</f>
        <v>100</v>
      </c>
      <c r="F42" s="57">
        <f t="shared" ref="F42:G42" si="8">SUM(F12:F40)</f>
        <v>53</v>
      </c>
      <c r="G42" s="50">
        <f t="shared" si="8"/>
        <v>54</v>
      </c>
      <c r="H42" s="50">
        <f>SUM(H12:H40)</f>
        <v>0</v>
      </c>
      <c r="I42" s="56">
        <f>SUM(H42/G42*100)</f>
        <v>0</v>
      </c>
      <c r="J42" s="57">
        <f>SUM(J12:J40)</f>
        <v>40</v>
      </c>
      <c r="K42" s="50">
        <f>SUM(K12:K40)</f>
        <v>60</v>
      </c>
      <c r="L42" s="50">
        <f>SUM(L12:L40)</f>
        <v>69</v>
      </c>
      <c r="M42" s="56">
        <f>SUM(L42/K42*100)</f>
        <v>114.99999999999999</v>
      </c>
      <c r="N42" s="57">
        <f>SUM(N12:N40)</f>
        <v>7252</v>
      </c>
      <c r="O42" s="50">
        <f>SUM(O12:O40)</f>
        <v>12289</v>
      </c>
      <c r="P42" s="50">
        <f>SUM(P12:P40)</f>
        <v>15219</v>
      </c>
      <c r="Q42" s="56">
        <f>SUM(P42/O42*100)</f>
        <v>123.84246073724469</v>
      </c>
    </row>
    <row r="44" spans="1:26" hidden="1">
      <c r="A44" s="234">
        <v>2012</v>
      </c>
      <c r="B44" s="233">
        <f>54005+9090</f>
        <v>63095</v>
      </c>
      <c r="C44" s="233">
        <f>103181+18705</f>
        <v>121886</v>
      </c>
      <c r="D44" s="233">
        <f>103182+18704</f>
        <v>121886</v>
      </c>
      <c r="F44" s="233">
        <v>51</v>
      </c>
      <c r="G44" s="233">
        <v>97</v>
      </c>
      <c r="H44" s="233">
        <v>116</v>
      </c>
      <c r="J44" s="233">
        <v>4441</v>
      </c>
      <c r="K44" s="233">
        <v>103211</v>
      </c>
      <c r="L44" s="233">
        <v>101082</v>
      </c>
      <c r="N44" s="233">
        <v>10390</v>
      </c>
      <c r="O44" s="233">
        <v>9041</v>
      </c>
      <c r="P44" s="233">
        <v>7537</v>
      </c>
    </row>
    <row r="45" spans="1:26" hidden="1"/>
    <row r="46" spans="1:26" hidden="1">
      <c r="A46" s="234">
        <v>2013</v>
      </c>
      <c r="B46" s="233">
        <f>59877+1030</f>
        <v>60907</v>
      </c>
      <c r="C46" s="233">
        <f>123345+25507</f>
        <v>148852</v>
      </c>
      <c r="D46" s="233">
        <f>123345+25507</f>
        <v>148852</v>
      </c>
      <c r="F46" s="233">
        <v>53</v>
      </c>
      <c r="G46" s="233">
        <v>54</v>
      </c>
      <c r="J46" s="233">
        <v>40</v>
      </c>
      <c r="K46" s="233">
        <v>60</v>
      </c>
      <c r="L46" s="233">
        <v>69</v>
      </c>
      <c r="N46" s="233">
        <v>7252</v>
      </c>
      <c r="O46" s="233">
        <v>12289</v>
      </c>
      <c r="P46" s="233">
        <v>15219</v>
      </c>
      <c r="T46" s="233">
        <v>11577</v>
      </c>
      <c r="U46" s="233">
        <v>17603</v>
      </c>
      <c r="V46" s="233">
        <v>17603</v>
      </c>
      <c r="X46" s="233">
        <v>35980</v>
      </c>
      <c r="Y46" s="233">
        <v>75952</v>
      </c>
      <c r="Z46" s="233">
        <v>75952</v>
      </c>
    </row>
    <row r="47" spans="1:26" ht="15.95" hidden="1" customHeight="1"/>
    <row r="48" spans="1:26" ht="15.95" hidden="1" customHeight="1">
      <c r="B48" s="233">
        <v>39257</v>
      </c>
      <c r="C48" s="233">
        <v>86613</v>
      </c>
      <c r="D48" s="233">
        <v>866143</v>
      </c>
      <c r="P48" s="233">
        <f>P46-P44</f>
        <v>7682</v>
      </c>
    </row>
    <row r="49" spans="2:16" ht="15.95" hidden="1" customHeight="1">
      <c r="B49" s="233">
        <v>13483</v>
      </c>
      <c r="C49" s="233">
        <v>19766</v>
      </c>
      <c r="D49" s="233">
        <v>19766</v>
      </c>
      <c r="P49" s="233">
        <f>P48/P46*100</f>
        <v>50.476378211446217</v>
      </c>
    </row>
    <row r="50" spans="2:16" ht="15.95" hidden="1" customHeight="1"/>
    <row r="51" spans="2:16" ht="15.95" hidden="1" customHeight="1"/>
    <row r="52" spans="2:16" ht="18" customHeight="1"/>
    <row r="53" spans="2:16" ht="18" customHeight="1"/>
    <row r="55" spans="2:16" ht="18" customHeight="1"/>
    <row r="56" spans="2:16" ht="13.9" customHeight="1"/>
    <row r="57" spans="2:16" ht="15.95" customHeight="1"/>
    <row r="59" spans="2:16" ht="13.9" customHeight="1"/>
    <row r="60" spans="2:16" ht="12" customHeight="1"/>
    <row r="61" spans="2:16" ht="15.95" customHeight="1"/>
    <row r="62" spans="2:16" ht="15.95" customHeight="1"/>
    <row r="64" spans="2:16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</sheetData>
  <mergeCells count="23">
    <mergeCell ref="N10:Q10"/>
    <mergeCell ref="H8:H9"/>
    <mergeCell ref="J8:J9"/>
    <mergeCell ref="K8:K9"/>
    <mergeCell ref="B10:E10"/>
    <mergeCell ref="F10:I10"/>
    <mergeCell ref="J10:M10"/>
    <mergeCell ref="L8:L9"/>
    <mergeCell ref="N8:N9"/>
    <mergeCell ref="O8:O9"/>
    <mergeCell ref="P8:P9"/>
    <mergeCell ref="A2:Q2"/>
    <mergeCell ref="F7:I7"/>
    <mergeCell ref="N7:Q7"/>
    <mergeCell ref="A4:Q4"/>
    <mergeCell ref="A7:A9"/>
    <mergeCell ref="B7:E7"/>
    <mergeCell ref="J7:M7"/>
    <mergeCell ref="B8:B9"/>
    <mergeCell ref="C8:C9"/>
    <mergeCell ref="D8:D9"/>
    <mergeCell ref="F8:F9"/>
    <mergeCell ref="G8:G9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58" orientation="landscape" horizontalDpi="180" verticalDpi="180" r:id="rId1"/>
  <headerFooter alignWithMargins="0"/>
  <rowBreaks count="1" manualBreakCount="1">
    <brk id="42" max="1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 codeName="List4"/>
  <dimension ref="A1:R100"/>
  <sheetViews>
    <sheetView showZeros="0" view="pageBreakPreview" zoomScale="70" zoomScaleNormal="70" zoomScaleSheetLayoutView="70" workbookViewId="0">
      <pane xSplit="1" ySplit="10" topLeftCell="B11" activePane="bottomRight" state="frozen"/>
      <selection activeCell="C37" sqref="C37"/>
      <selection pane="topRight" activeCell="C37" sqref="C37"/>
      <selection pane="bottomLeft" activeCell="C37" sqref="C37"/>
      <selection pane="bottomRight"/>
    </sheetView>
  </sheetViews>
  <sheetFormatPr defaultRowHeight="15.75"/>
  <cols>
    <col min="1" max="1" width="28.5546875" style="39" customWidth="1"/>
    <col min="2" max="4" width="11.77734375" style="36" customWidth="1"/>
    <col min="5" max="5" width="6.77734375" style="36" customWidth="1"/>
    <col min="6" max="8" width="11.44140625" style="36" customWidth="1"/>
    <col min="9" max="9" width="6.88671875" style="36" customWidth="1"/>
    <col min="10" max="12" width="12" style="36" customWidth="1"/>
    <col min="13" max="13" width="7.109375" style="36" customWidth="1"/>
    <col min="14" max="16" width="11.6640625" style="36" customWidth="1"/>
    <col min="17" max="17" width="6.77734375" style="36" customWidth="1"/>
    <col min="18" max="18" width="7.21875" style="36" customWidth="1"/>
    <col min="19" max="19" width="5.77734375" style="36" customWidth="1"/>
    <col min="20" max="22" width="6.77734375" style="36" customWidth="1"/>
    <col min="23" max="27" width="5.77734375" style="36" customWidth="1"/>
    <col min="28" max="30" width="12.6640625" style="36"/>
    <col min="31" max="31" width="6.77734375" style="36" customWidth="1"/>
    <col min="32" max="34" width="7.77734375" style="36" customWidth="1"/>
    <col min="35" max="35" width="5.77734375" style="36" customWidth="1"/>
    <col min="36" max="38" width="7.77734375" style="36" customWidth="1"/>
    <col min="39" max="39" width="5.77734375" style="36" customWidth="1"/>
    <col min="40" max="42" width="7.77734375" style="36" customWidth="1"/>
    <col min="43" max="43" width="5.77734375" style="36" customWidth="1"/>
    <col min="44" max="44" width="7.77734375" style="36" customWidth="1"/>
    <col min="45" max="45" width="6.77734375" style="36" customWidth="1"/>
    <col min="46" max="46" width="7.77734375" style="36" customWidth="1"/>
    <col min="47" max="47" width="5.77734375" style="36" customWidth="1"/>
    <col min="48" max="48" width="7.77734375" style="36" customWidth="1"/>
    <col min="49" max="49" width="6.77734375" style="36" customWidth="1"/>
    <col min="50" max="50" width="7.77734375" style="36" customWidth="1"/>
    <col min="51" max="51" width="5.77734375" style="36" customWidth="1"/>
    <col min="52" max="52" width="7.77734375" style="36" customWidth="1"/>
    <col min="53" max="53" width="6.77734375" style="36" customWidth="1"/>
    <col min="54" max="54" width="7.77734375" style="36" customWidth="1"/>
    <col min="55" max="55" width="5.77734375" style="36" customWidth="1"/>
    <col min="56" max="59" width="7.77734375" style="36" customWidth="1"/>
    <col min="60" max="16384" width="8.88671875" style="36"/>
  </cols>
  <sheetData>
    <row r="1" spans="1:18" ht="17.25" customHeight="1"/>
    <row r="2" spans="1:18" s="42" customFormat="1" ht="24" customHeight="1">
      <c r="A2" s="279" t="s">
        <v>257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</row>
    <row r="3" spans="1:18" s="42" customFormat="1" ht="15" customHeight="1"/>
    <row r="4" spans="1:18" s="42" customFormat="1" ht="21" customHeight="1">
      <c r="A4" s="279" t="s">
        <v>41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</row>
    <row r="5" spans="1:18" ht="22.5" customHeight="1">
      <c r="Q5" s="17"/>
    </row>
    <row r="6" spans="1:18" ht="22.5" customHeight="1" thickBot="1">
      <c r="Q6" s="17" t="s">
        <v>162</v>
      </c>
    </row>
    <row r="7" spans="1:18" ht="18" customHeight="1" thickBot="1">
      <c r="A7" s="301" t="s">
        <v>222</v>
      </c>
      <c r="B7" s="289" t="s">
        <v>42</v>
      </c>
      <c r="C7" s="311"/>
      <c r="D7" s="311"/>
      <c r="E7" s="290"/>
      <c r="F7" s="39" t="s">
        <v>43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17" t="s">
        <v>1</v>
      </c>
    </row>
    <row r="8" spans="1:18" ht="18" customHeight="1" thickBot="1">
      <c r="A8" s="302"/>
      <c r="B8" s="304" t="s">
        <v>44</v>
      </c>
      <c r="C8" s="305"/>
      <c r="D8" s="305"/>
      <c r="E8" s="306"/>
      <c r="F8" s="294" t="s">
        <v>45</v>
      </c>
      <c r="G8" s="295"/>
      <c r="H8" s="295"/>
      <c r="I8" s="296"/>
      <c r="J8" s="294" t="s">
        <v>46</v>
      </c>
      <c r="K8" s="295"/>
      <c r="L8" s="295"/>
      <c r="M8" s="296"/>
      <c r="N8" s="294" t="s">
        <v>47</v>
      </c>
      <c r="O8" s="295"/>
      <c r="P8" s="295"/>
      <c r="Q8" s="296"/>
    </row>
    <row r="9" spans="1:18" ht="18" customHeight="1">
      <c r="A9" s="302"/>
      <c r="B9" s="293" t="s">
        <v>229</v>
      </c>
      <c r="C9" s="278" t="s">
        <v>230</v>
      </c>
      <c r="D9" s="278" t="s">
        <v>246</v>
      </c>
      <c r="E9" s="23" t="s">
        <v>0</v>
      </c>
      <c r="F9" s="293" t="s">
        <v>229</v>
      </c>
      <c r="G9" s="278" t="s">
        <v>230</v>
      </c>
      <c r="H9" s="278" t="s">
        <v>246</v>
      </c>
      <c r="I9" s="23" t="s">
        <v>0</v>
      </c>
      <c r="J9" s="293" t="s">
        <v>229</v>
      </c>
      <c r="K9" s="278" t="s">
        <v>230</v>
      </c>
      <c r="L9" s="278" t="s">
        <v>246</v>
      </c>
      <c r="M9" s="23" t="s">
        <v>0</v>
      </c>
      <c r="N9" s="293" t="s">
        <v>229</v>
      </c>
      <c r="O9" s="278" t="s">
        <v>230</v>
      </c>
      <c r="P9" s="278" t="s">
        <v>246</v>
      </c>
      <c r="Q9" s="23" t="s">
        <v>0</v>
      </c>
    </row>
    <row r="10" spans="1:18" ht="18" customHeight="1" thickBot="1">
      <c r="A10" s="303"/>
      <c r="B10" s="281"/>
      <c r="C10" s="277"/>
      <c r="D10" s="277"/>
      <c r="E10" s="14" t="s">
        <v>11</v>
      </c>
      <c r="F10" s="281"/>
      <c r="G10" s="277"/>
      <c r="H10" s="277"/>
      <c r="I10" s="14" t="s">
        <v>11</v>
      </c>
      <c r="J10" s="281"/>
      <c r="K10" s="277"/>
      <c r="L10" s="277"/>
      <c r="M10" s="14" t="s">
        <v>11</v>
      </c>
      <c r="N10" s="281"/>
      <c r="O10" s="277"/>
      <c r="P10" s="277"/>
      <c r="Q10" s="14" t="s">
        <v>11</v>
      </c>
    </row>
    <row r="11" spans="1:18" ht="17.100000000000001" customHeight="1">
      <c r="A11" s="24"/>
      <c r="B11" s="3"/>
      <c r="C11" s="37"/>
      <c r="D11" s="37"/>
      <c r="E11" s="38"/>
      <c r="F11" s="3"/>
      <c r="G11" s="35" t="s">
        <v>48</v>
      </c>
      <c r="H11" s="37"/>
      <c r="I11" s="38"/>
      <c r="J11" s="3"/>
      <c r="K11" s="35" t="s">
        <v>49</v>
      </c>
      <c r="L11" s="37"/>
      <c r="M11" s="38"/>
      <c r="N11" s="3"/>
      <c r="O11" s="35" t="s">
        <v>50</v>
      </c>
      <c r="P11" s="37"/>
      <c r="Q11" s="38"/>
    </row>
    <row r="12" spans="1:18" ht="17.100000000000001" customHeight="1" thickBot="1">
      <c r="A12" s="24"/>
      <c r="B12" s="3"/>
      <c r="C12" s="37"/>
      <c r="D12" s="37"/>
      <c r="E12" s="38"/>
      <c r="F12" s="3"/>
      <c r="G12" s="37"/>
      <c r="H12" s="37"/>
      <c r="I12" s="38"/>
      <c r="J12" s="3"/>
      <c r="K12" s="37"/>
      <c r="L12" s="37"/>
      <c r="M12" s="38"/>
      <c r="N12" s="3"/>
      <c r="O12" s="37"/>
      <c r="P12" s="37"/>
      <c r="Q12" s="38"/>
    </row>
    <row r="13" spans="1:18" ht="17.100000000000001" customHeight="1">
      <c r="A13" s="60" t="s">
        <v>184</v>
      </c>
      <c r="B13" s="7">
        <f t="shared" ref="B13:B41" si="0">SUM(F13+J13+N13+B58+F58+J58+N58)</f>
        <v>44100</v>
      </c>
      <c r="C13" s="8">
        <f t="shared" ref="C13:C41" si="1">SUM(G13+K13+O13+C58+G58+K58+O58)</f>
        <v>44100</v>
      </c>
      <c r="D13" s="8">
        <f t="shared" ref="D13:D41" si="2">SUM(H13+L13+P13+D58+H58+L58+P58)</f>
        <v>38445</v>
      </c>
      <c r="E13" s="52">
        <f t="shared" ref="E13:E41" si="3">SUM(D13/C13*100)</f>
        <v>87.176870748299322</v>
      </c>
      <c r="F13" s="7">
        <v>1600</v>
      </c>
      <c r="G13" s="8">
        <v>1600</v>
      </c>
      <c r="H13" s="8">
        <v>1350</v>
      </c>
      <c r="I13" s="52">
        <f t="shared" ref="I13:I41" si="4">SUM(H13/G13*100)</f>
        <v>84.375</v>
      </c>
      <c r="J13" s="7">
        <v>800</v>
      </c>
      <c r="K13" s="8">
        <v>800</v>
      </c>
      <c r="L13" s="8">
        <v>1655</v>
      </c>
      <c r="M13" s="52">
        <f>SUM(L13/K13*100)</f>
        <v>206.875</v>
      </c>
      <c r="N13" s="7">
        <v>32000</v>
      </c>
      <c r="O13" s="8">
        <v>32000</v>
      </c>
      <c r="P13" s="8">
        <v>28225</v>
      </c>
      <c r="Q13" s="52">
        <f t="shared" ref="Q13:Q41" si="5">SUM(P13/O13*100)</f>
        <v>88.203125</v>
      </c>
    </row>
    <row r="14" spans="1:18" ht="17.100000000000001" customHeight="1">
      <c r="A14" s="61" t="s">
        <v>185</v>
      </c>
      <c r="B14" s="4">
        <f t="shared" si="0"/>
        <v>2198</v>
      </c>
      <c r="C14" s="2">
        <f t="shared" si="1"/>
        <v>2099</v>
      </c>
      <c r="D14" s="2">
        <f t="shared" si="2"/>
        <v>2044</v>
      </c>
      <c r="E14" s="53">
        <f t="shared" si="3"/>
        <v>97.379704621248209</v>
      </c>
      <c r="F14" s="4">
        <v>600</v>
      </c>
      <c r="G14" s="2">
        <v>600</v>
      </c>
      <c r="H14" s="2">
        <v>545</v>
      </c>
      <c r="I14" s="53">
        <f t="shared" si="4"/>
        <v>90.833333333333329</v>
      </c>
      <c r="J14" s="4">
        <v>3</v>
      </c>
      <c r="K14" s="2">
        <v>4</v>
      </c>
      <c r="L14" s="2">
        <v>3</v>
      </c>
      <c r="M14" s="53">
        <f>SUM(L14/K14*100)</f>
        <v>75</v>
      </c>
      <c r="N14" s="4">
        <v>650</v>
      </c>
      <c r="O14" s="2">
        <v>750</v>
      </c>
      <c r="P14" s="2">
        <v>750</v>
      </c>
      <c r="Q14" s="53">
        <f t="shared" si="5"/>
        <v>100</v>
      </c>
    </row>
    <row r="15" spans="1:18" ht="17.100000000000001" customHeight="1">
      <c r="A15" s="61" t="s">
        <v>186</v>
      </c>
      <c r="B15" s="4">
        <f t="shared" si="0"/>
        <v>1057</v>
      </c>
      <c r="C15" s="2">
        <f t="shared" si="1"/>
        <v>1060</v>
      </c>
      <c r="D15" s="2">
        <f t="shared" si="2"/>
        <v>978</v>
      </c>
      <c r="E15" s="53">
        <f t="shared" si="3"/>
        <v>92.264150943396231</v>
      </c>
      <c r="F15" s="4">
        <v>400</v>
      </c>
      <c r="G15" s="2">
        <v>400</v>
      </c>
      <c r="H15" s="2">
        <v>362</v>
      </c>
      <c r="I15" s="53">
        <f t="shared" si="4"/>
        <v>90.5</v>
      </c>
      <c r="J15" s="4">
        <v>5</v>
      </c>
      <c r="K15" s="2">
        <v>5</v>
      </c>
      <c r="L15" s="2">
        <v>5</v>
      </c>
      <c r="M15" s="53">
        <f>SUM(L15/K15*100)</f>
        <v>100</v>
      </c>
      <c r="N15" s="4">
        <v>650</v>
      </c>
      <c r="O15" s="2">
        <v>650</v>
      </c>
      <c r="P15" s="2">
        <v>606</v>
      </c>
      <c r="Q15" s="53">
        <f t="shared" si="5"/>
        <v>93.230769230769226</v>
      </c>
    </row>
    <row r="16" spans="1:18" ht="17.100000000000001" customHeight="1">
      <c r="A16" s="61" t="s">
        <v>187</v>
      </c>
      <c r="B16" s="4">
        <f t="shared" si="0"/>
        <v>620</v>
      </c>
      <c r="C16" s="2">
        <f t="shared" si="1"/>
        <v>1296</v>
      </c>
      <c r="D16" s="2">
        <f t="shared" si="2"/>
        <v>1513</v>
      </c>
      <c r="E16" s="53">
        <f t="shared" si="3"/>
        <v>116.74382716049382</v>
      </c>
      <c r="F16" s="4">
        <v>320</v>
      </c>
      <c r="G16" s="2">
        <v>320</v>
      </c>
      <c r="H16" s="2">
        <f>349+1</f>
        <v>350</v>
      </c>
      <c r="I16" s="53">
        <f t="shared" si="4"/>
        <v>109.375</v>
      </c>
      <c r="J16" s="4"/>
      <c r="K16" s="2"/>
      <c r="L16" s="2">
        <v>2</v>
      </c>
      <c r="M16" s="53"/>
      <c r="N16" s="4">
        <v>300</v>
      </c>
      <c r="O16" s="2">
        <v>300</v>
      </c>
      <c r="P16" s="2">
        <v>260</v>
      </c>
      <c r="Q16" s="53">
        <f t="shared" si="5"/>
        <v>86.666666666666671</v>
      </c>
    </row>
    <row r="17" spans="1:17" ht="17.100000000000001" customHeight="1">
      <c r="A17" s="61" t="s">
        <v>188</v>
      </c>
      <c r="B17" s="4">
        <f t="shared" si="0"/>
        <v>981</v>
      </c>
      <c r="C17" s="2">
        <f t="shared" si="1"/>
        <v>981</v>
      </c>
      <c r="D17" s="2">
        <f t="shared" si="2"/>
        <v>895</v>
      </c>
      <c r="E17" s="53">
        <f t="shared" si="3"/>
        <v>91.233435270132517</v>
      </c>
      <c r="F17" s="4">
        <v>360</v>
      </c>
      <c r="G17" s="2">
        <v>360</v>
      </c>
      <c r="H17" s="2">
        <v>337</v>
      </c>
      <c r="I17" s="53">
        <f t="shared" si="4"/>
        <v>93.611111111111114</v>
      </c>
      <c r="J17" s="4">
        <v>11</v>
      </c>
      <c r="K17" s="2">
        <v>11</v>
      </c>
      <c r="L17" s="2">
        <v>11</v>
      </c>
      <c r="M17" s="53">
        <f>SUM(L17/K17*100)</f>
        <v>100</v>
      </c>
      <c r="N17" s="4">
        <v>550</v>
      </c>
      <c r="O17" s="2">
        <v>550</v>
      </c>
      <c r="P17" s="2">
        <v>509</v>
      </c>
      <c r="Q17" s="53">
        <f t="shared" si="5"/>
        <v>92.545454545454547</v>
      </c>
    </row>
    <row r="18" spans="1:17" ht="17.100000000000001" customHeight="1">
      <c r="A18" s="61" t="s">
        <v>189</v>
      </c>
      <c r="B18" s="4">
        <f t="shared" si="0"/>
        <v>97</v>
      </c>
      <c r="C18" s="2">
        <f t="shared" si="1"/>
        <v>134</v>
      </c>
      <c r="D18" s="2">
        <f t="shared" si="2"/>
        <v>135</v>
      </c>
      <c r="E18" s="53">
        <f t="shared" si="3"/>
        <v>100.74626865671641</v>
      </c>
      <c r="F18" s="4">
        <v>82</v>
      </c>
      <c r="G18" s="2">
        <v>82</v>
      </c>
      <c r="H18" s="2">
        <v>83</v>
      </c>
      <c r="I18" s="53">
        <f t="shared" si="4"/>
        <v>101.21951219512195</v>
      </c>
      <c r="J18" s="4">
        <v>1</v>
      </c>
      <c r="K18" s="2">
        <v>1</v>
      </c>
      <c r="L18" s="2"/>
      <c r="M18" s="53">
        <f>SUM(L18/K18*100)</f>
        <v>0</v>
      </c>
      <c r="N18" s="4">
        <v>13</v>
      </c>
      <c r="O18" s="2">
        <v>20</v>
      </c>
      <c r="P18" s="2">
        <v>21</v>
      </c>
      <c r="Q18" s="53">
        <f t="shared" si="5"/>
        <v>105</v>
      </c>
    </row>
    <row r="19" spans="1:17" ht="17.100000000000001" customHeight="1">
      <c r="A19" s="61" t="s">
        <v>190</v>
      </c>
      <c r="B19" s="4">
        <f t="shared" si="0"/>
        <v>2640</v>
      </c>
      <c r="C19" s="2">
        <f t="shared" si="1"/>
        <v>2640</v>
      </c>
      <c r="D19" s="2">
        <f t="shared" si="2"/>
        <v>2013</v>
      </c>
      <c r="E19" s="53">
        <f t="shared" si="3"/>
        <v>76.25</v>
      </c>
      <c r="F19" s="4">
        <v>700</v>
      </c>
      <c r="G19" s="2">
        <v>700</v>
      </c>
      <c r="H19" s="2">
        <v>570</v>
      </c>
      <c r="I19" s="53">
        <f t="shared" si="4"/>
        <v>81.428571428571431</v>
      </c>
      <c r="J19" s="4"/>
      <c r="K19" s="2"/>
      <c r="L19" s="2"/>
      <c r="M19" s="53"/>
      <c r="N19" s="4">
        <v>1900</v>
      </c>
      <c r="O19" s="2">
        <v>1900</v>
      </c>
      <c r="P19" s="2">
        <v>1415</v>
      </c>
      <c r="Q19" s="53">
        <f t="shared" si="5"/>
        <v>74.473684210526315</v>
      </c>
    </row>
    <row r="20" spans="1:17" ht="17.100000000000001" customHeight="1">
      <c r="A20" s="61" t="s">
        <v>191</v>
      </c>
      <c r="B20" s="4">
        <f t="shared" si="0"/>
        <v>2320</v>
      </c>
      <c r="C20" s="2">
        <f t="shared" si="1"/>
        <v>2130</v>
      </c>
      <c r="D20" s="2">
        <f t="shared" si="2"/>
        <v>2369</v>
      </c>
      <c r="E20" s="53">
        <f t="shared" si="3"/>
        <v>111.22065727699531</v>
      </c>
      <c r="F20" s="4">
        <v>1000</v>
      </c>
      <c r="G20" s="2">
        <v>800</v>
      </c>
      <c r="H20" s="2">
        <v>815</v>
      </c>
      <c r="I20" s="53">
        <f t="shared" si="4"/>
        <v>101.875</v>
      </c>
      <c r="J20" s="4">
        <v>20</v>
      </c>
      <c r="K20" s="2">
        <v>10</v>
      </c>
      <c r="L20" s="2">
        <f>25+1</f>
        <v>26</v>
      </c>
      <c r="M20" s="53">
        <f>SUM(L20/K20*100)</f>
        <v>260</v>
      </c>
      <c r="N20" s="4">
        <v>1200</v>
      </c>
      <c r="O20" s="2">
        <v>1200</v>
      </c>
      <c r="P20" s="2">
        <v>1360</v>
      </c>
      <c r="Q20" s="53">
        <f t="shared" si="5"/>
        <v>113.33333333333333</v>
      </c>
    </row>
    <row r="21" spans="1:17" ht="17.100000000000001" customHeight="1">
      <c r="A21" s="61" t="s">
        <v>192</v>
      </c>
      <c r="B21" s="4">
        <f t="shared" si="0"/>
        <v>115</v>
      </c>
      <c r="C21" s="2">
        <f t="shared" si="1"/>
        <v>126</v>
      </c>
      <c r="D21" s="2">
        <f t="shared" si="2"/>
        <v>106</v>
      </c>
      <c r="E21" s="53">
        <f t="shared" si="3"/>
        <v>84.126984126984127</v>
      </c>
      <c r="F21" s="4">
        <v>35</v>
      </c>
      <c r="G21" s="2">
        <v>41</v>
      </c>
      <c r="H21" s="2">
        <v>40</v>
      </c>
      <c r="I21" s="53">
        <f t="shared" si="4"/>
        <v>97.560975609756099</v>
      </c>
      <c r="J21" s="4">
        <v>40</v>
      </c>
      <c r="K21" s="2">
        <v>40</v>
      </c>
      <c r="L21" s="2">
        <v>25</v>
      </c>
      <c r="M21" s="53">
        <f>SUM(L21/K21*100)</f>
        <v>62.5</v>
      </c>
      <c r="N21" s="4"/>
      <c r="O21" s="2"/>
      <c r="P21" s="2"/>
      <c r="Q21" s="53"/>
    </row>
    <row r="22" spans="1:17" ht="15" customHeight="1">
      <c r="A22" s="61" t="s">
        <v>193</v>
      </c>
      <c r="B22" s="4">
        <f t="shared" si="0"/>
        <v>635</v>
      </c>
      <c r="C22" s="2">
        <f t="shared" si="1"/>
        <v>635</v>
      </c>
      <c r="D22" s="2">
        <f t="shared" si="2"/>
        <v>748</v>
      </c>
      <c r="E22" s="53">
        <f t="shared" si="3"/>
        <v>117.79527559055119</v>
      </c>
      <c r="F22" s="4">
        <v>200</v>
      </c>
      <c r="G22" s="2">
        <v>200</v>
      </c>
      <c r="H22" s="2">
        <v>211</v>
      </c>
      <c r="I22" s="53">
        <f t="shared" si="4"/>
        <v>105.5</v>
      </c>
      <c r="J22" s="4"/>
      <c r="K22" s="2"/>
      <c r="L22" s="2"/>
      <c r="M22" s="53"/>
      <c r="N22" s="4">
        <v>380</v>
      </c>
      <c r="O22" s="2">
        <v>380</v>
      </c>
      <c r="P22" s="2">
        <v>489</v>
      </c>
      <c r="Q22" s="53">
        <f t="shared" si="5"/>
        <v>128.68421052631578</v>
      </c>
    </row>
    <row r="23" spans="1:17" ht="17.100000000000001" customHeight="1">
      <c r="A23" s="61" t="s">
        <v>194</v>
      </c>
      <c r="B23" s="4">
        <f t="shared" si="0"/>
        <v>252</v>
      </c>
      <c r="C23" s="2">
        <f t="shared" si="1"/>
        <v>295</v>
      </c>
      <c r="D23" s="2">
        <f t="shared" si="2"/>
        <v>298</v>
      </c>
      <c r="E23" s="53">
        <f t="shared" si="3"/>
        <v>101.01694915254238</v>
      </c>
      <c r="F23" s="4">
        <v>155</v>
      </c>
      <c r="G23" s="2">
        <v>158</v>
      </c>
      <c r="H23" s="2">
        <v>159</v>
      </c>
      <c r="I23" s="53">
        <f t="shared" si="4"/>
        <v>100.63291139240506</v>
      </c>
      <c r="J23" s="4">
        <v>2</v>
      </c>
      <c r="K23" s="2">
        <v>2</v>
      </c>
      <c r="L23" s="2">
        <v>2</v>
      </c>
      <c r="M23" s="53">
        <f>SUM(L23/K23*100)</f>
        <v>100</v>
      </c>
      <c r="N23" s="4">
        <v>80</v>
      </c>
      <c r="O23" s="2">
        <v>120</v>
      </c>
      <c r="P23" s="2">
        <v>123</v>
      </c>
      <c r="Q23" s="53">
        <f t="shared" si="5"/>
        <v>102.49999999999999</v>
      </c>
    </row>
    <row r="24" spans="1:17" ht="17.100000000000001" customHeight="1">
      <c r="A24" s="61" t="s">
        <v>195</v>
      </c>
      <c r="B24" s="4">
        <f t="shared" si="0"/>
        <v>509</v>
      </c>
      <c r="C24" s="2">
        <f t="shared" si="1"/>
        <v>586</v>
      </c>
      <c r="D24" s="2">
        <f t="shared" si="2"/>
        <v>537</v>
      </c>
      <c r="E24" s="53">
        <f t="shared" si="3"/>
        <v>91.638225255972699</v>
      </c>
      <c r="F24" s="4">
        <v>175</v>
      </c>
      <c r="G24" s="2">
        <v>167</v>
      </c>
      <c r="H24" s="2">
        <v>166</v>
      </c>
      <c r="I24" s="53">
        <f t="shared" si="4"/>
        <v>99.401197604790411</v>
      </c>
      <c r="J24" s="4">
        <v>2</v>
      </c>
      <c r="K24" s="2">
        <v>2</v>
      </c>
      <c r="L24" s="2">
        <v>1</v>
      </c>
      <c r="M24" s="53">
        <f>SUM(L24/K24*100)</f>
        <v>50</v>
      </c>
      <c r="N24" s="4">
        <v>75</v>
      </c>
      <c r="O24" s="2">
        <v>136</v>
      </c>
      <c r="P24" s="2">
        <v>88</v>
      </c>
      <c r="Q24" s="53">
        <f t="shared" si="5"/>
        <v>64.705882352941174</v>
      </c>
    </row>
    <row r="25" spans="1:17" ht="17.100000000000001" customHeight="1">
      <c r="A25" s="61" t="s">
        <v>196</v>
      </c>
      <c r="B25" s="4">
        <f t="shared" si="0"/>
        <v>3510</v>
      </c>
      <c r="C25" s="2">
        <f t="shared" si="1"/>
        <v>5063</v>
      </c>
      <c r="D25" s="2">
        <f t="shared" si="2"/>
        <v>5512</v>
      </c>
      <c r="E25" s="53">
        <f t="shared" si="3"/>
        <v>108.86825992494569</v>
      </c>
      <c r="F25" s="4">
        <v>1300</v>
      </c>
      <c r="G25" s="2">
        <v>1300</v>
      </c>
      <c r="H25" s="2">
        <v>1340</v>
      </c>
      <c r="I25" s="53">
        <f t="shared" si="4"/>
        <v>103.07692307692307</v>
      </c>
      <c r="J25" s="4">
        <v>80</v>
      </c>
      <c r="K25" s="2">
        <v>94</v>
      </c>
      <c r="L25" s="2">
        <v>94</v>
      </c>
      <c r="M25" s="53">
        <f>SUM(L25/K25*100)</f>
        <v>100</v>
      </c>
      <c r="N25" s="4">
        <v>2000</v>
      </c>
      <c r="O25" s="2">
        <v>3454</v>
      </c>
      <c r="P25" s="2">
        <v>3864</v>
      </c>
      <c r="Q25" s="53">
        <f t="shared" si="5"/>
        <v>111.87029530978576</v>
      </c>
    </row>
    <row r="26" spans="1:17" ht="17.100000000000001" customHeight="1">
      <c r="A26" s="61" t="s">
        <v>197</v>
      </c>
      <c r="B26" s="4">
        <f t="shared" si="0"/>
        <v>340</v>
      </c>
      <c r="C26" s="2">
        <f t="shared" si="1"/>
        <v>340</v>
      </c>
      <c r="D26" s="2">
        <f t="shared" si="2"/>
        <v>310</v>
      </c>
      <c r="E26" s="53">
        <f t="shared" si="3"/>
        <v>91.17647058823529</v>
      </c>
      <c r="F26" s="4">
        <v>190</v>
      </c>
      <c r="G26" s="2">
        <v>190</v>
      </c>
      <c r="H26" s="2">
        <v>92</v>
      </c>
      <c r="I26" s="53">
        <f t="shared" si="4"/>
        <v>48.421052631578945</v>
      </c>
      <c r="J26" s="4"/>
      <c r="K26" s="2"/>
      <c r="L26" s="2"/>
      <c r="M26" s="53"/>
      <c r="N26" s="4">
        <v>50</v>
      </c>
      <c r="O26" s="2">
        <v>50</v>
      </c>
      <c r="P26" s="2">
        <v>68</v>
      </c>
      <c r="Q26" s="53">
        <f t="shared" si="5"/>
        <v>136</v>
      </c>
    </row>
    <row r="27" spans="1:17" ht="17.100000000000001" customHeight="1">
      <c r="A27" s="61" t="s">
        <v>198</v>
      </c>
      <c r="B27" s="4">
        <f t="shared" si="0"/>
        <v>2371</v>
      </c>
      <c r="C27" s="2">
        <f t="shared" si="1"/>
        <v>2371</v>
      </c>
      <c r="D27" s="2">
        <f t="shared" si="2"/>
        <v>2060</v>
      </c>
      <c r="E27" s="53">
        <f t="shared" si="3"/>
        <v>86.883171657528464</v>
      </c>
      <c r="F27" s="4">
        <v>700</v>
      </c>
      <c r="G27" s="2">
        <v>700</v>
      </c>
      <c r="H27" s="2">
        <v>522</v>
      </c>
      <c r="I27" s="53">
        <f t="shared" si="4"/>
        <v>74.571428571428569</v>
      </c>
      <c r="J27" s="4">
        <v>1</v>
      </c>
      <c r="K27" s="2">
        <v>1</v>
      </c>
      <c r="L27" s="2"/>
      <c r="M27" s="53">
        <f>SUM(L27/K27*100)</f>
        <v>0</v>
      </c>
      <c r="N27" s="4">
        <v>1590</v>
      </c>
      <c r="O27" s="2">
        <v>1590</v>
      </c>
      <c r="P27" s="2">
        <v>1466</v>
      </c>
      <c r="Q27" s="53">
        <f t="shared" si="5"/>
        <v>92.201257861635227</v>
      </c>
    </row>
    <row r="28" spans="1:17" ht="17.100000000000001" customHeight="1">
      <c r="A28" s="61" t="s">
        <v>199</v>
      </c>
      <c r="B28" s="4">
        <f t="shared" si="0"/>
        <v>950</v>
      </c>
      <c r="C28" s="2">
        <f t="shared" si="1"/>
        <v>1050</v>
      </c>
      <c r="D28" s="2">
        <f t="shared" si="2"/>
        <v>1051</v>
      </c>
      <c r="E28" s="53">
        <f t="shared" si="3"/>
        <v>100.0952380952381</v>
      </c>
      <c r="F28" s="4">
        <v>260</v>
      </c>
      <c r="G28" s="2">
        <v>260</v>
      </c>
      <c r="H28" s="2">
        <v>257</v>
      </c>
      <c r="I28" s="53">
        <f t="shared" si="4"/>
        <v>98.846153846153854</v>
      </c>
      <c r="J28" s="4"/>
      <c r="K28" s="2"/>
      <c r="L28" s="2"/>
      <c r="M28" s="53"/>
      <c r="N28" s="4">
        <v>660</v>
      </c>
      <c r="O28" s="2">
        <v>760</v>
      </c>
      <c r="P28" s="2">
        <v>757</v>
      </c>
      <c r="Q28" s="53">
        <f t="shared" si="5"/>
        <v>99.60526315789474</v>
      </c>
    </row>
    <row r="29" spans="1:17" ht="17.100000000000001" customHeight="1">
      <c r="A29" s="61" t="s">
        <v>200</v>
      </c>
      <c r="B29" s="4">
        <f t="shared" si="0"/>
        <v>1470</v>
      </c>
      <c r="C29" s="2">
        <f t="shared" si="1"/>
        <v>1470</v>
      </c>
      <c r="D29" s="2">
        <f t="shared" si="2"/>
        <v>1620</v>
      </c>
      <c r="E29" s="53">
        <f t="shared" si="3"/>
        <v>110.20408163265304</v>
      </c>
      <c r="F29" s="4">
        <v>250</v>
      </c>
      <c r="G29" s="2">
        <v>250</v>
      </c>
      <c r="H29" s="2">
        <v>275</v>
      </c>
      <c r="I29" s="53">
        <f t="shared" si="4"/>
        <v>110.00000000000001</v>
      </c>
      <c r="J29" s="4"/>
      <c r="K29" s="2"/>
      <c r="L29" s="2"/>
      <c r="M29" s="53"/>
      <c r="N29" s="4">
        <v>1000</v>
      </c>
      <c r="O29" s="2">
        <v>1000</v>
      </c>
      <c r="P29" s="2">
        <v>996</v>
      </c>
      <c r="Q29" s="53">
        <f t="shared" si="5"/>
        <v>99.6</v>
      </c>
    </row>
    <row r="30" spans="1:17" ht="17.100000000000001" customHeight="1">
      <c r="A30" s="61" t="s">
        <v>201</v>
      </c>
      <c r="B30" s="4">
        <f t="shared" si="0"/>
        <v>905</v>
      </c>
      <c r="C30" s="2">
        <f t="shared" si="1"/>
        <v>834</v>
      </c>
      <c r="D30" s="2">
        <f t="shared" si="2"/>
        <v>832</v>
      </c>
      <c r="E30" s="53">
        <f t="shared" si="3"/>
        <v>99.760191846522787</v>
      </c>
      <c r="F30" s="4">
        <v>500</v>
      </c>
      <c r="G30" s="2">
        <v>420</v>
      </c>
      <c r="H30" s="2">
        <v>410</v>
      </c>
      <c r="I30" s="53">
        <f t="shared" si="4"/>
        <v>97.61904761904762</v>
      </c>
      <c r="J30" s="4">
        <v>1</v>
      </c>
      <c r="K30" s="2">
        <v>7</v>
      </c>
      <c r="L30" s="2">
        <v>6</v>
      </c>
      <c r="M30" s="53">
        <f t="shared" ref="M30:M31" si="6">SUM(L30/K30*100)</f>
        <v>85.714285714285708</v>
      </c>
      <c r="N30" s="4">
        <v>400</v>
      </c>
      <c r="O30" s="2">
        <v>400</v>
      </c>
      <c r="P30" s="2">
        <v>410</v>
      </c>
      <c r="Q30" s="53">
        <f t="shared" si="5"/>
        <v>102.49999999999999</v>
      </c>
    </row>
    <row r="31" spans="1:17" ht="17.100000000000001" customHeight="1">
      <c r="A31" s="61" t="s">
        <v>202</v>
      </c>
      <c r="B31" s="4">
        <f t="shared" si="0"/>
        <v>2054</v>
      </c>
      <c r="C31" s="2">
        <f t="shared" si="1"/>
        <v>2208</v>
      </c>
      <c r="D31" s="2">
        <f t="shared" si="2"/>
        <v>2279</v>
      </c>
      <c r="E31" s="53">
        <f t="shared" si="3"/>
        <v>103.21557971014492</v>
      </c>
      <c r="F31" s="4">
        <v>750</v>
      </c>
      <c r="G31" s="2">
        <v>690</v>
      </c>
      <c r="H31" s="2">
        <v>679</v>
      </c>
      <c r="I31" s="53">
        <f t="shared" si="4"/>
        <v>98.405797101449281</v>
      </c>
      <c r="J31" s="4">
        <v>4</v>
      </c>
      <c r="K31" s="2">
        <v>7</v>
      </c>
      <c r="L31" s="2">
        <v>7</v>
      </c>
      <c r="M31" s="53">
        <f t="shared" si="6"/>
        <v>100</v>
      </c>
      <c r="N31" s="4">
        <v>700</v>
      </c>
      <c r="O31" s="2">
        <v>700</v>
      </c>
      <c r="P31" s="2">
        <v>647</v>
      </c>
      <c r="Q31" s="53">
        <f t="shared" si="5"/>
        <v>92.428571428571431</v>
      </c>
    </row>
    <row r="32" spans="1:17" ht="17.100000000000001" customHeight="1">
      <c r="A32" s="61" t="s">
        <v>203</v>
      </c>
      <c r="B32" s="4">
        <f t="shared" si="0"/>
        <v>573</v>
      </c>
      <c r="C32" s="2">
        <f t="shared" si="1"/>
        <v>573</v>
      </c>
      <c r="D32" s="2">
        <f t="shared" si="2"/>
        <v>537</v>
      </c>
      <c r="E32" s="53">
        <f t="shared" si="3"/>
        <v>93.717277486911001</v>
      </c>
      <c r="F32" s="4">
        <v>250</v>
      </c>
      <c r="G32" s="2">
        <v>250</v>
      </c>
      <c r="H32" s="2">
        <v>227</v>
      </c>
      <c r="I32" s="53">
        <f t="shared" si="4"/>
        <v>90.8</v>
      </c>
      <c r="J32" s="4">
        <v>3</v>
      </c>
      <c r="K32" s="2">
        <v>3</v>
      </c>
      <c r="L32" s="2">
        <f>1+1</f>
        <v>2</v>
      </c>
      <c r="M32" s="53"/>
      <c r="N32" s="4">
        <v>280</v>
      </c>
      <c r="O32" s="2">
        <v>280</v>
      </c>
      <c r="P32" s="2">
        <v>276</v>
      </c>
      <c r="Q32" s="53">
        <f t="shared" si="5"/>
        <v>98.571428571428584</v>
      </c>
    </row>
    <row r="33" spans="1:18" ht="17.100000000000001" customHeight="1">
      <c r="A33" s="61" t="s">
        <v>204</v>
      </c>
      <c r="B33" s="4">
        <f t="shared" si="0"/>
        <v>268</v>
      </c>
      <c r="C33" s="2">
        <f t="shared" si="1"/>
        <v>274</v>
      </c>
      <c r="D33" s="2">
        <f t="shared" si="2"/>
        <v>278</v>
      </c>
      <c r="E33" s="53">
        <f t="shared" si="3"/>
        <v>101.45985401459853</v>
      </c>
      <c r="F33" s="4">
        <v>185</v>
      </c>
      <c r="G33" s="2">
        <v>185</v>
      </c>
      <c r="H33" s="2">
        <v>186</v>
      </c>
      <c r="I33" s="53">
        <f t="shared" si="4"/>
        <v>100.54054054054053</v>
      </c>
      <c r="J33" s="4"/>
      <c r="K33" s="2"/>
      <c r="L33" s="2"/>
      <c r="M33" s="53"/>
      <c r="N33" s="4">
        <v>70</v>
      </c>
      <c r="O33" s="2">
        <v>70</v>
      </c>
      <c r="P33" s="2">
        <v>73</v>
      </c>
      <c r="Q33" s="53">
        <f t="shared" si="5"/>
        <v>104.28571428571429</v>
      </c>
    </row>
    <row r="34" spans="1:18" ht="17.100000000000001" customHeight="1">
      <c r="A34" s="61" t="s">
        <v>205</v>
      </c>
      <c r="B34" s="4">
        <f t="shared" si="0"/>
        <v>181</v>
      </c>
      <c r="C34" s="2">
        <f t="shared" si="1"/>
        <v>186</v>
      </c>
      <c r="D34" s="2">
        <f t="shared" si="2"/>
        <v>179</v>
      </c>
      <c r="E34" s="53">
        <f t="shared" si="3"/>
        <v>96.236559139784944</v>
      </c>
      <c r="F34" s="4">
        <v>100</v>
      </c>
      <c r="G34" s="2">
        <v>100</v>
      </c>
      <c r="H34" s="2">
        <v>89</v>
      </c>
      <c r="I34" s="53">
        <f t="shared" si="4"/>
        <v>89</v>
      </c>
      <c r="J34" s="4"/>
      <c r="K34" s="2"/>
      <c r="L34" s="2"/>
      <c r="M34" s="53"/>
      <c r="N34" s="4">
        <v>60</v>
      </c>
      <c r="O34" s="2">
        <v>60</v>
      </c>
      <c r="P34" s="2">
        <v>67</v>
      </c>
      <c r="Q34" s="53">
        <f t="shared" si="5"/>
        <v>111.66666666666667</v>
      </c>
    </row>
    <row r="35" spans="1:18" ht="17.100000000000001" customHeight="1">
      <c r="A35" s="61" t="s">
        <v>206</v>
      </c>
      <c r="B35" s="4">
        <f t="shared" si="0"/>
        <v>14350</v>
      </c>
      <c r="C35" s="2">
        <f t="shared" si="1"/>
        <v>21650</v>
      </c>
      <c r="D35" s="2">
        <f t="shared" si="2"/>
        <v>21562</v>
      </c>
      <c r="E35" s="53">
        <f t="shared" si="3"/>
        <v>99.593533487297918</v>
      </c>
      <c r="F35" s="4">
        <v>850</v>
      </c>
      <c r="G35" s="2">
        <v>750</v>
      </c>
      <c r="H35" s="2">
        <v>724</v>
      </c>
      <c r="I35" s="53">
        <f t="shared" si="4"/>
        <v>96.533333333333331</v>
      </c>
      <c r="J35" s="4">
        <v>100</v>
      </c>
      <c r="K35" s="2">
        <v>130</v>
      </c>
      <c r="L35" s="2">
        <v>124</v>
      </c>
      <c r="M35" s="53">
        <f>SUM(L35/K35*100)</f>
        <v>95.384615384615387</v>
      </c>
      <c r="N35" s="4">
        <v>2850</v>
      </c>
      <c r="O35" s="2">
        <v>2820</v>
      </c>
      <c r="P35" s="2">
        <v>2906</v>
      </c>
      <c r="Q35" s="53">
        <f t="shared" si="5"/>
        <v>103.04964539007094</v>
      </c>
    </row>
    <row r="36" spans="1:18" ht="17.100000000000001" customHeight="1">
      <c r="A36" s="61" t="s">
        <v>207</v>
      </c>
      <c r="B36" s="4">
        <f t="shared" si="0"/>
        <v>329</v>
      </c>
      <c r="C36" s="2">
        <f t="shared" si="1"/>
        <v>386</v>
      </c>
      <c r="D36" s="2">
        <f t="shared" si="2"/>
        <v>336</v>
      </c>
      <c r="E36" s="53">
        <f t="shared" si="3"/>
        <v>87.046632124352328</v>
      </c>
      <c r="F36" s="4">
        <v>200</v>
      </c>
      <c r="G36" s="2">
        <v>200</v>
      </c>
      <c r="H36" s="2">
        <v>155</v>
      </c>
      <c r="I36" s="53">
        <f t="shared" si="4"/>
        <v>77.5</v>
      </c>
      <c r="J36" s="4">
        <v>9</v>
      </c>
      <c r="K36" s="2">
        <v>9</v>
      </c>
      <c r="L36" s="2">
        <v>5</v>
      </c>
      <c r="M36" s="53">
        <f>SUM(L36/K36*100)</f>
        <v>55.555555555555557</v>
      </c>
      <c r="N36" s="4">
        <v>50</v>
      </c>
      <c r="O36" s="2">
        <v>107</v>
      </c>
      <c r="P36" s="2">
        <v>107</v>
      </c>
      <c r="Q36" s="53">
        <f t="shared" si="5"/>
        <v>100</v>
      </c>
    </row>
    <row r="37" spans="1:18" ht="17.100000000000001" customHeight="1">
      <c r="A37" s="61" t="s">
        <v>208</v>
      </c>
      <c r="B37" s="4">
        <f t="shared" si="0"/>
        <v>1115</v>
      </c>
      <c r="C37" s="2">
        <f t="shared" si="1"/>
        <v>1115</v>
      </c>
      <c r="D37" s="2">
        <f t="shared" si="2"/>
        <v>1167</v>
      </c>
      <c r="E37" s="53">
        <f t="shared" si="3"/>
        <v>104.66367713004485</v>
      </c>
      <c r="F37" s="4">
        <v>500</v>
      </c>
      <c r="G37" s="2">
        <v>500</v>
      </c>
      <c r="H37" s="2">
        <v>521</v>
      </c>
      <c r="I37" s="53">
        <f t="shared" si="4"/>
        <v>104.2</v>
      </c>
      <c r="J37" s="4"/>
      <c r="K37" s="2"/>
      <c r="L37" s="2"/>
      <c r="M37" s="53"/>
      <c r="N37" s="4">
        <v>600</v>
      </c>
      <c r="O37" s="2">
        <v>600</v>
      </c>
      <c r="P37" s="2">
        <v>632</v>
      </c>
      <c r="Q37" s="53">
        <f t="shared" si="5"/>
        <v>105.33333333333333</v>
      </c>
    </row>
    <row r="38" spans="1:18" ht="17.100000000000001" customHeight="1">
      <c r="A38" s="61" t="s">
        <v>209</v>
      </c>
      <c r="B38" s="4">
        <f t="shared" si="0"/>
        <v>160</v>
      </c>
      <c r="C38" s="2">
        <f t="shared" si="1"/>
        <v>160</v>
      </c>
      <c r="D38" s="2">
        <f t="shared" si="2"/>
        <v>169</v>
      </c>
      <c r="E38" s="53">
        <f t="shared" si="3"/>
        <v>105.62499999999999</v>
      </c>
      <c r="F38" s="4">
        <v>50</v>
      </c>
      <c r="G38" s="2">
        <v>50</v>
      </c>
      <c r="H38" s="2">
        <v>49</v>
      </c>
      <c r="I38" s="53">
        <f t="shared" si="4"/>
        <v>98</v>
      </c>
      <c r="J38" s="4"/>
      <c r="K38" s="2"/>
      <c r="L38" s="2"/>
      <c r="M38" s="53"/>
      <c r="N38" s="4">
        <v>100</v>
      </c>
      <c r="O38" s="2">
        <v>100</v>
      </c>
      <c r="P38" s="2">
        <v>117</v>
      </c>
      <c r="Q38" s="53">
        <f t="shared" si="5"/>
        <v>117</v>
      </c>
    </row>
    <row r="39" spans="1:18" ht="17.100000000000001" customHeight="1">
      <c r="A39" s="61" t="s">
        <v>210</v>
      </c>
      <c r="B39" s="4">
        <f t="shared" si="0"/>
        <v>0</v>
      </c>
      <c r="C39" s="2">
        <f t="shared" si="1"/>
        <v>35</v>
      </c>
      <c r="D39" s="2">
        <f t="shared" si="2"/>
        <v>34</v>
      </c>
      <c r="E39" s="53">
        <f t="shared" si="3"/>
        <v>97.142857142857139</v>
      </c>
      <c r="F39" s="4"/>
      <c r="G39" s="2">
        <v>24</v>
      </c>
      <c r="H39" s="2">
        <v>23</v>
      </c>
      <c r="I39" s="53">
        <f t="shared" si="4"/>
        <v>95.833333333333343</v>
      </c>
      <c r="J39" s="4"/>
      <c r="K39" s="2"/>
      <c r="L39" s="2"/>
      <c r="M39" s="53"/>
      <c r="N39" s="4"/>
      <c r="O39" s="2">
        <v>11</v>
      </c>
      <c r="P39" s="2">
        <v>11</v>
      </c>
      <c r="Q39" s="53">
        <f t="shared" si="5"/>
        <v>100</v>
      </c>
    </row>
    <row r="40" spans="1:18" ht="17.100000000000001" customHeight="1">
      <c r="A40" s="61" t="s">
        <v>211</v>
      </c>
      <c r="B40" s="4">
        <f t="shared" si="0"/>
        <v>22</v>
      </c>
      <c r="C40" s="2">
        <f t="shared" si="1"/>
        <v>324</v>
      </c>
      <c r="D40" s="2">
        <f t="shared" si="2"/>
        <v>324</v>
      </c>
      <c r="E40" s="53">
        <f t="shared" si="3"/>
        <v>100</v>
      </c>
      <c r="F40" s="4">
        <v>21</v>
      </c>
      <c r="G40" s="2">
        <v>20</v>
      </c>
      <c r="H40" s="2">
        <v>20</v>
      </c>
      <c r="I40" s="53">
        <f t="shared" si="4"/>
        <v>100</v>
      </c>
      <c r="J40" s="4"/>
      <c r="K40" s="2"/>
      <c r="L40" s="2"/>
      <c r="M40" s="53"/>
      <c r="N40" s="4">
        <v>1</v>
      </c>
      <c r="O40" s="2">
        <v>304</v>
      </c>
      <c r="P40" s="2">
        <v>304</v>
      </c>
      <c r="Q40" s="53">
        <f t="shared" si="5"/>
        <v>100</v>
      </c>
    </row>
    <row r="41" spans="1:18" ht="15" customHeight="1" thickBot="1">
      <c r="A41" s="62" t="s">
        <v>212</v>
      </c>
      <c r="B41" s="5">
        <f t="shared" si="0"/>
        <v>31</v>
      </c>
      <c r="C41" s="6">
        <f t="shared" si="1"/>
        <v>35</v>
      </c>
      <c r="D41" s="6">
        <f t="shared" si="2"/>
        <v>35</v>
      </c>
      <c r="E41" s="54">
        <f t="shared" si="3"/>
        <v>100</v>
      </c>
      <c r="F41" s="5">
        <v>28</v>
      </c>
      <c r="G41" s="6">
        <v>28</v>
      </c>
      <c r="H41" s="6">
        <v>28</v>
      </c>
      <c r="I41" s="54">
        <f t="shared" si="4"/>
        <v>100</v>
      </c>
      <c r="J41" s="5"/>
      <c r="K41" s="6"/>
      <c r="L41" s="6"/>
      <c r="M41" s="54"/>
      <c r="N41" s="5">
        <v>3</v>
      </c>
      <c r="O41" s="6">
        <v>7</v>
      </c>
      <c r="P41" s="6">
        <v>7</v>
      </c>
      <c r="Q41" s="54">
        <f t="shared" si="5"/>
        <v>100</v>
      </c>
    </row>
    <row r="42" spans="1:18" ht="15" customHeight="1" thickBot="1">
      <c r="A42" s="24"/>
      <c r="B42" s="3"/>
      <c r="C42" s="37"/>
      <c r="D42" s="37"/>
      <c r="E42" s="55"/>
      <c r="F42" s="3"/>
      <c r="G42" s="37"/>
      <c r="H42" s="37"/>
      <c r="I42" s="55"/>
      <c r="J42" s="3"/>
      <c r="K42" s="37"/>
      <c r="L42" s="37"/>
      <c r="M42" s="55"/>
      <c r="N42" s="3"/>
      <c r="O42" s="37"/>
      <c r="P42" s="37"/>
      <c r="Q42" s="55"/>
    </row>
    <row r="43" spans="1:18" s="39" customFormat="1" ht="18" customHeight="1" thickBot="1">
      <c r="A43" s="63" t="s">
        <v>231</v>
      </c>
      <c r="B43" s="49">
        <f>SUM(B13:B41)</f>
        <v>84153</v>
      </c>
      <c r="C43" s="51">
        <f>SUM(C13:C42)</f>
        <v>94156</v>
      </c>
      <c r="D43" s="51">
        <f>SUM(D13:D41)</f>
        <v>88366</v>
      </c>
      <c r="E43" s="56">
        <f>SUM(D43/C43*100)</f>
        <v>93.850630867921325</v>
      </c>
      <c r="F43" s="57">
        <f>SUM(F13:F41)</f>
        <v>11761</v>
      </c>
      <c r="G43" s="58">
        <f>SUM(G13:G41)</f>
        <v>11345</v>
      </c>
      <c r="H43" s="51">
        <f>SUM(H13:H41)</f>
        <v>10585</v>
      </c>
      <c r="I43" s="56">
        <f>SUM(H43/G43*100)</f>
        <v>93.301013662406348</v>
      </c>
      <c r="J43" s="57">
        <f>SUM(J13:J41)</f>
        <v>1082</v>
      </c>
      <c r="K43" s="58">
        <f>SUM(K13:K41)</f>
        <v>1126</v>
      </c>
      <c r="L43" s="50">
        <f>SUM(L13:L41)</f>
        <v>1968</v>
      </c>
      <c r="M43" s="59">
        <f>SUM(L43/K43*100)</f>
        <v>174.77797513321491</v>
      </c>
      <c r="N43" s="57">
        <f>SUM(N13:N41)</f>
        <v>48212</v>
      </c>
      <c r="O43" s="50">
        <f>SUM(O13:O41)</f>
        <v>50319</v>
      </c>
      <c r="P43" s="58">
        <f>SUM(P13:P41)</f>
        <v>46554</v>
      </c>
      <c r="Q43" s="56">
        <f>SUM(P43/O43*100)</f>
        <v>92.517736838967394</v>
      </c>
      <c r="R43" s="39" t="s">
        <v>51</v>
      </c>
    </row>
    <row r="44" spans="1:18" ht="18" customHeight="1"/>
    <row r="45" spans="1:18" ht="17.100000000000001" hidden="1" customHeight="1">
      <c r="A45" s="39" t="s">
        <v>4</v>
      </c>
      <c r="B45" s="1"/>
      <c r="C45" s="1"/>
      <c r="D45" s="1">
        <f>H45+L45+P45+D94+H94+L94+P94</f>
        <v>88366</v>
      </c>
      <c r="E45" s="1"/>
      <c r="F45" s="1"/>
      <c r="G45" s="1"/>
      <c r="H45" s="1">
        <f>ROUND(H47/1000,0)</f>
        <v>10585</v>
      </c>
      <c r="I45" s="1"/>
      <c r="J45" s="1"/>
      <c r="K45" s="1"/>
      <c r="L45" s="1">
        <f>ROUND(L47/1000,0)</f>
        <v>1968</v>
      </c>
      <c r="M45" s="1"/>
      <c r="N45" s="1"/>
      <c r="O45" s="1"/>
      <c r="P45" s="1">
        <f>ROUND(P47/1000,0)</f>
        <v>46554</v>
      </c>
      <c r="Q45" s="1"/>
    </row>
    <row r="46" spans="1:18" ht="17.100000000000001" hidden="1" customHeight="1">
      <c r="A46" s="39">
        <v>2012</v>
      </c>
      <c r="B46" s="1">
        <v>116019</v>
      </c>
      <c r="C46" s="1">
        <v>98328</v>
      </c>
      <c r="D46" s="1">
        <v>94469</v>
      </c>
      <c r="E46" s="1"/>
      <c r="F46" s="1">
        <v>11647</v>
      </c>
      <c r="G46" s="1">
        <v>12496</v>
      </c>
      <c r="H46" s="1">
        <v>11254696</v>
      </c>
      <c r="I46" s="1"/>
      <c r="J46" s="1">
        <v>776</v>
      </c>
      <c r="K46" s="1">
        <v>928</v>
      </c>
      <c r="L46" s="1">
        <v>1269868</v>
      </c>
      <c r="M46" s="1"/>
      <c r="N46" s="1">
        <v>42946</v>
      </c>
      <c r="O46" s="1">
        <v>50946</v>
      </c>
      <c r="P46" s="1">
        <v>48020126.960000001</v>
      </c>
      <c r="Q46" s="1"/>
    </row>
    <row r="47" spans="1:18" ht="16.5" hidden="1" customHeight="1">
      <c r="A47" s="39">
        <v>2013</v>
      </c>
      <c r="B47" s="1">
        <v>84153</v>
      </c>
      <c r="C47" s="1">
        <v>94156</v>
      </c>
      <c r="D47" s="1">
        <v>88366</v>
      </c>
      <c r="E47" s="1"/>
      <c r="F47" s="1">
        <v>11761</v>
      </c>
      <c r="G47" s="1">
        <v>11345</v>
      </c>
      <c r="H47" s="1">
        <v>10584616</v>
      </c>
      <c r="I47" s="1">
        <v>97.393924586692719</v>
      </c>
      <c r="J47" s="1">
        <v>1082</v>
      </c>
      <c r="K47" s="1">
        <v>1126</v>
      </c>
      <c r="L47" s="1">
        <v>1968494</v>
      </c>
      <c r="M47" s="1">
        <v>106.47291941875825</v>
      </c>
      <c r="N47" s="1">
        <v>48212</v>
      </c>
      <c r="O47" s="1">
        <v>50319</v>
      </c>
      <c r="P47" s="1">
        <v>46554094</v>
      </c>
      <c r="Q47" s="1">
        <v>109.64879937318524</v>
      </c>
    </row>
    <row r="48" spans="1:18" ht="17.100000000000001" hidden="1" customHeight="1">
      <c r="B48" s="1"/>
      <c r="C48" s="1"/>
      <c r="D48" s="64">
        <f>D46/D47*100</f>
        <v>106.90650250096189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4.75" customHeight="1">
      <c r="A49" s="279" t="s">
        <v>41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</row>
    <row r="50" spans="1:17" ht="17.100000000000001" customHeight="1">
      <c r="Q50" s="39"/>
    </row>
    <row r="51" spans="1:17" ht="17.100000000000001" customHeight="1" thickBot="1">
      <c r="Q51" s="17" t="s">
        <v>162</v>
      </c>
    </row>
    <row r="52" spans="1:17" ht="17.100000000000001" customHeight="1" thickBot="1">
      <c r="A52" s="301" t="s">
        <v>222</v>
      </c>
      <c r="B52" s="39" t="s">
        <v>43</v>
      </c>
      <c r="C52" s="39" t="s">
        <v>52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17" t="s">
        <v>1</v>
      </c>
    </row>
    <row r="53" spans="1:17" ht="17.100000000000001" customHeight="1" thickBot="1">
      <c r="A53" s="302"/>
      <c r="B53" s="308" t="s">
        <v>239</v>
      </c>
      <c r="C53" s="309"/>
      <c r="D53" s="309"/>
      <c r="E53" s="310"/>
      <c r="F53" s="308" t="s">
        <v>53</v>
      </c>
      <c r="G53" s="309"/>
      <c r="H53" s="309"/>
      <c r="I53" s="310"/>
      <c r="J53" s="308" t="s">
        <v>223</v>
      </c>
      <c r="K53" s="309"/>
      <c r="L53" s="309"/>
      <c r="M53" s="310"/>
      <c r="N53" s="308" t="s">
        <v>54</v>
      </c>
      <c r="O53" s="309"/>
      <c r="P53" s="309"/>
      <c r="Q53" s="310"/>
    </row>
    <row r="54" spans="1:17" ht="17.100000000000001" customHeight="1">
      <c r="A54" s="302"/>
      <c r="B54" s="307" t="s">
        <v>229</v>
      </c>
      <c r="C54" s="300" t="s">
        <v>230</v>
      </c>
      <c r="D54" s="300" t="s">
        <v>246</v>
      </c>
      <c r="E54" s="26" t="s">
        <v>0</v>
      </c>
      <c r="F54" s="307" t="s">
        <v>229</v>
      </c>
      <c r="G54" s="300" t="s">
        <v>230</v>
      </c>
      <c r="H54" s="300" t="s">
        <v>246</v>
      </c>
      <c r="I54" s="26" t="s">
        <v>0</v>
      </c>
      <c r="J54" s="307" t="s">
        <v>229</v>
      </c>
      <c r="K54" s="300" t="s">
        <v>230</v>
      </c>
      <c r="L54" s="300" t="s">
        <v>246</v>
      </c>
      <c r="M54" s="26" t="s">
        <v>0</v>
      </c>
      <c r="N54" s="307" t="s">
        <v>229</v>
      </c>
      <c r="O54" s="300" t="s">
        <v>230</v>
      </c>
      <c r="P54" s="300" t="s">
        <v>246</v>
      </c>
      <c r="Q54" s="26" t="s">
        <v>0</v>
      </c>
    </row>
    <row r="55" spans="1:17" ht="17.100000000000001" customHeight="1" thickBot="1">
      <c r="A55" s="303"/>
      <c r="B55" s="281"/>
      <c r="C55" s="277"/>
      <c r="D55" s="277"/>
      <c r="E55" s="14" t="s">
        <v>11</v>
      </c>
      <c r="F55" s="281"/>
      <c r="G55" s="277"/>
      <c r="H55" s="277"/>
      <c r="I55" s="14" t="s">
        <v>11</v>
      </c>
      <c r="J55" s="281"/>
      <c r="K55" s="277"/>
      <c r="L55" s="277"/>
      <c r="M55" s="14" t="s">
        <v>11</v>
      </c>
      <c r="N55" s="281"/>
      <c r="O55" s="277"/>
      <c r="P55" s="277"/>
      <c r="Q55" s="14" t="s">
        <v>11</v>
      </c>
    </row>
    <row r="56" spans="1:17" ht="17.100000000000001" customHeight="1">
      <c r="A56" s="24"/>
      <c r="B56" s="3"/>
      <c r="C56" s="35" t="s">
        <v>55</v>
      </c>
      <c r="D56" s="37"/>
      <c r="E56" s="38"/>
      <c r="F56" s="3"/>
      <c r="G56" s="35" t="s">
        <v>56</v>
      </c>
      <c r="H56" s="37"/>
      <c r="I56" s="38"/>
      <c r="J56" s="3"/>
      <c r="K56" s="35" t="s">
        <v>57</v>
      </c>
      <c r="L56" s="37"/>
      <c r="M56" s="38"/>
      <c r="N56" s="3"/>
      <c r="O56" s="35" t="s">
        <v>58</v>
      </c>
      <c r="P56" s="37"/>
      <c r="Q56" s="38"/>
    </row>
    <row r="57" spans="1:17" ht="17.100000000000001" customHeight="1" thickBot="1">
      <c r="A57" s="24"/>
      <c r="B57" s="3"/>
      <c r="C57" s="37"/>
      <c r="D57" s="37"/>
      <c r="E57" s="38"/>
      <c r="F57" s="3"/>
      <c r="G57" s="37"/>
      <c r="H57" s="37"/>
      <c r="I57" s="38"/>
      <c r="J57" s="3"/>
      <c r="K57" s="37"/>
      <c r="L57" s="37"/>
      <c r="M57" s="38"/>
      <c r="N57" s="3"/>
      <c r="O57" s="37"/>
      <c r="P57" s="37"/>
      <c r="Q57" s="38"/>
    </row>
    <row r="58" spans="1:17" ht="17.100000000000001" customHeight="1">
      <c r="A58" s="60" t="s">
        <v>184</v>
      </c>
      <c r="B58" s="7">
        <v>6500</v>
      </c>
      <c r="C58" s="8">
        <v>6500</v>
      </c>
      <c r="D58" s="8">
        <v>4572</v>
      </c>
      <c r="E58" s="52">
        <f>SUM(D58/C58*100)</f>
        <v>70.338461538461544</v>
      </c>
      <c r="F58" s="7">
        <v>3200</v>
      </c>
      <c r="G58" s="8">
        <v>3200</v>
      </c>
      <c r="H58" s="8">
        <v>3135</v>
      </c>
      <c r="I58" s="52">
        <f>SUM(H58/G58*100)</f>
        <v>97.96875</v>
      </c>
      <c r="J58" s="7"/>
      <c r="K58" s="8"/>
      <c r="L58" s="8">
        <v>-492</v>
      </c>
      <c r="M58" s="52"/>
      <c r="N58" s="7"/>
      <c r="O58" s="8"/>
      <c r="P58" s="8"/>
      <c r="Q58" s="52"/>
    </row>
    <row r="59" spans="1:17" ht="17.100000000000001" customHeight="1">
      <c r="A59" s="61" t="s">
        <v>185</v>
      </c>
      <c r="B59" s="4">
        <v>10</v>
      </c>
      <c r="C59" s="2">
        <v>10</v>
      </c>
      <c r="D59" s="2">
        <v>10</v>
      </c>
      <c r="E59" s="53">
        <f>SUM(D59/C59*100)</f>
        <v>100</v>
      </c>
      <c r="F59" s="4">
        <v>935</v>
      </c>
      <c r="G59" s="2">
        <v>735</v>
      </c>
      <c r="H59" s="2">
        <v>736</v>
      </c>
      <c r="I59" s="53">
        <f>SUM(H59/G59*100)</f>
        <v>100.13605442176872</v>
      </c>
      <c r="J59" s="4"/>
      <c r="K59" s="2"/>
      <c r="L59" s="2"/>
      <c r="M59" s="53"/>
      <c r="N59" s="4"/>
      <c r="O59" s="2"/>
      <c r="P59" s="2"/>
      <c r="Q59" s="53"/>
    </row>
    <row r="60" spans="1:17" ht="17.100000000000001" customHeight="1">
      <c r="A60" s="61" t="s">
        <v>186</v>
      </c>
      <c r="B60" s="4"/>
      <c r="C60" s="2"/>
      <c r="D60" s="2"/>
      <c r="E60" s="53"/>
      <c r="F60" s="4">
        <v>2</v>
      </c>
      <c r="G60" s="2">
        <v>5</v>
      </c>
      <c r="H60" s="2">
        <v>5</v>
      </c>
      <c r="I60" s="53">
        <f>SUM(H60/G60*100)</f>
        <v>100</v>
      </c>
      <c r="J60" s="4"/>
      <c r="K60" s="2"/>
      <c r="L60" s="2"/>
      <c r="M60" s="53"/>
      <c r="N60" s="4"/>
      <c r="O60" s="2"/>
      <c r="P60" s="2"/>
      <c r="Q60" s="53"/>
    </row>
    <row r="61" spans="1:17" ht="17.100000000000001" customHeight="1">
      <c r="A61" s="61" t="s">
        <v>187</v>
      </c>
      <c r="B61" s="4"/>
      <c r="C61" s="2"/>
      <c r="D61" s="2"/>
      <c r="E61" s="53"/>
      <c r="F61" s="4"/>
      <c r="G61" s="2"/>
      <c r="H61" s="2"/>
      <c r="I61" s="53"/>
      <c r="J61" s="4">
        <v>0</v>
      </c>
      <c r="K61" s="2">
        <v>676</v>
      </c>
      <c r="L61" s="2">
        <v>901</v>
      </c>
      <c r="M61" s="53">
        <f t="shared" ref="M61:M63" si="7">SUM(L61/K61*100)</f>
        <v>133.28402366863907</v>
      </c>
      <c r="N61" s="4"/>
      <c r="O61" s="2"/>
      <c r="P61" s="2"/>
      <c r="Q61" s="53"/>
    </row>
    <row r="62" spans="1:17" ht="17.100000000000001" customHeight="1">
      <c r="A62" s="61" t="s">
        <v>188</v>
      </c>
      <c r="B62" s="4"/>
      <c r="C62" s="2"/>
      <c r="D62" s="2"/>
      <c r="E62" s="53"/>
      <c r="F62" s="4">
        <v>60</v>
      </c>
      <c r="G62" s="2">
        <v>60</v>
      </c>
      <c r="H62" s="2">
        <v>38</v>
      </c>
      <c r="I62" s="53">
        <f t="shared" ref="I62:I83" si="8">SUM(H62/G62*100)</f>
        <v>63.333333333333329</v>
      </c>
      <c r="J62" s="4"/>
      <c r="K62" s="2"/>
      <c r="L62" s="2"/>
      <c r="M62" s="53"/>
      <c r="N62" s="4"/>
      <c r="O62" s="2"/>
      <c r="P62" s="2"/>
      <c r="Q62" s="53"/>
    </row>
    <row r="63" spans="1:17" ht="17.100000000000001" customHeight="1">
      <c r="A63" s="61" t="s">
        <v>189</v>
      </c>
      <c r="B63" s="4"/>
      <c r="C63" s="2"/>
      <c r="D63" s="2"/>
      <c r="E63" s="53"/>
      <c r="F63" s="4">
        <v>1</v>
      </c>
      <c r="G63" s="2">
        <v>1</v>
      </c>
      <c r="H63" s="2">
        <v>1</v>
      </c>
      <c r="I63" s="53">
        <f t="shared" si="8"/>
        <v>100</v>
      </c>
      <c r="J63" s="4"/>
      <c r="K63" s="2">
        <v>30</v>
      </c>
      <c r="L63" s="2">
        <v>30</v>
      </c>
      <c r="M63" s="53">
        <f t="shared" si="7"/>
        <v>100</v>
      </c>
      <c r="N63" s="4"/>
      <c r="O63" s="2"/>
      <c r="P63" s="2"/>
      <c r="Q63" s="53"/>
    </row>
    <row r="64" spans="1:17" ht="17.100000000000001" customHeight="1">
      <c r="A64" s="61" t="s">
        <v>190</v>
      </c>
      <c r="B64" s="4"/>
      <c r="C64" s="2"/>
      <c r="D64" s="2"/>
      <c r="E64" s="53"/>
      <c r="F64" s="4">
        <v>40</v>
      </c>
      <c r="G64" s="2">
        <v>40</v>
      </c>
      <c r="H64" s="2">
        <v>28</v>
      </c>
      <c r="I64" s="53">
        <f t="shared" si="8"/>
        <v>70</v>
      </c>
      <c r="J64" s="4"/>
      <c r="K64" s="2"/>
      <c r="L64" s="2"/>
      <c r="M64" s="53"/>
      <c r="N64" s="4"/>
      <c r="O64" s="2"/>
      <c r="P64" s="2"/>
      <c r="Q64" s="53"/>
    </row>
    <row r="65" spans="1:17" ht="17.100000000000001" customHeight="1">
      <c r="A65" s="61" t="s">
        <v>191</v>
      </c>
      <c r="B65" s="4">
        <v>0</v>
      </c>
      <c r="C65" s="2"/>
      <c r="D65" s="2">
        <v>0</v>
      </c>
      <c r="E65" s="53"/>
      <c r="F65" s="4">
        <v>100</v>
      </c>
      <c r="G65" s="2">
        <v>120</v>
      </c>
      <c r="H65" s="2">
        <v>168</v>
      </c>
      <c r="I65" s="53">
        <f t="shared" si="8"/>
        <v>140</v>
      </c>
      <c r="J65" s="4"/>
      <c r="K65" s="2"/>
      <c r="L65" s="2"/>
      <c r="M65" s="53"/>
      <c r="N65" s="4"/>
      <c r="O65" s="2"/>
      <c r="P65" s="2"/>
      <c r="Q65" s="53"/>
    </row>
    <row r="66" spans="1:17" ht="17.100000000000001" customHeight="1">
      <c r="A66" s="61" t="s">
        <v>192</v>
      </c>
      <c r="B66" s="4"/>
      <c r="C66" s="2"/>
      <c r="D66" s="2"/>
      <c r="E66" s="53"/>
      <c r="F66" s="4">
        <v>40</v>
      </c>
      <c r="G66" s="2">
        <v>45</v>
      </c>
      <c r="H66" s="2">
        <v>41</v>
      </c>
      <c r="I66" s="53">
        <f t="shared" si="8"/>
        <v>91.111111111111114</v>
      </c>
      <c r="J66" s="4"/>
      <c r="K66" s="2"/>
      <c r="L66" s="2"/>
      <c r="M66" s="53"/>
      <c r="N66" s="4"/>
      <c r="O66" s="2"/>
      <c r="P66" s="2"/>
      <c r="Q66" s="53"/>
    </row>
    <row r="67" spans="1:17" ht="17.100000000000001" customHeight="1">
      <c r="A67" s="61" t="s">
        <v>193</v>
      </c>
      <c r="B67" s="4"/>
      <c r="C67" s="2"/>
      <c r="D67" s="2"/>
      <c r="E67" s="53"/>
      <c r="F67" s="4">
        <v>55</v>
      </c>
      <c r="G67" s="2">
        <v>55</v>
      </c>
      <c r="H67" s="2">
        <v>48</v>
      </c>
      <c r="I67" s="53">
        <f t="shared" si="8"/>
        <v>87.272727272727266</v>
      </c>
      <c r="J67" s="4"/>
      <c r="K67" s="2"/>
      <c r="L67" s="2"/>
      <c r="M67" s="53"/>
      <c r="N67" s="4"/>
      <c r="O67" s="2"/>
      <c r="P67" s="2"/>
      <c r="Q67" s="53"/>
    </row>
    <row r="68" spans="1:17" ht="17.100000000000001" customHeight="1">
      <c r="A68" s="61" t="s">
        <v>194</v>
      </c>
      <c r="B68" s="4"/>
      <c r="C68" s="2"/>
      <c r="D68" s="2"/>
      <c r="E68" s="53"/>
      <c r="F68" s="4">
        <v>15</v>
      </c>
      <c r="G68" s="2">
        <v>15</v>
      </c>
      <c r="H68" s="2">
        <v>14</v>
      </c>
      <c r="I68" s="53">
        <f t="shared" si="8"/>
        <v>93.333333333333329</v>
      </c>
      <c r="J68" s="4"/>
      <c r="K68" s="2"/>
      <c r="L68" s="2"/>
      <c r="M68" s="53"/>
      <c r="N68" s="4"/>
      <c r="O68" s="2"/>
      <c r="P68" s="2"/>
      <c r="Q68" s="53"/>
    </row>
    <row r="69" spans="1:17" ht="17.100000000000001" customHeight="1">
      <c r="A69" s="61" t="s">
        <v>195</v>
      </c>
      <c r="B69" s="4">
        <v>250</v>
      </c>
      <c r="C69" s="2">
        <v>274</v>
      </c>
      <c r="D69" s="2">
        <v>274</v>
      </c>
      <c r="E69" s="53">
        <f>SUM(D69/C69*100)</f>
        <v>100</v>
      </c>
      <c r="F69" s="4">
        <v>7</v>
      </c>
      <c r="G69" s="2">
        <v>7</v>
      </c>
      <c r="H69" s="2">
        <v>8</v>
      </c>
      <c r="I69" s="53">
        <f t="shared" si="8"/>
        <v>114.28571428571428</v>
      </c>
      <c r="J69" s="4"/>
      <c r="K69" s="2"/>
      <c r="L69" s="2"/>
      <c r="M69" s="53"/>
      <c r="N69" s="4"/>
      <c r="O69" s="2"/>
      <c r="P69" s="2"/>
      <c r="Q69" s="53"/>
    </row>
    <row r="70" spans="1:17" ht="17.100000000000001" customHeight="1">
      <c r="A70" s="61" t="s">
        <v>196</v>
      </c>
      <c r="B70" s="4"/>
      <c r="C70" s="2"/>
      <c r="D70" s="2"/>
      <c r="E70" s="53"/>
      <c r="F70" s="4">
        <v>130</v>
      </c>
      <c r="G70" s="2">
        <v>157</v>
      </c>
      <c r="H70" s="2">
        <v>157</v>
      </c>
      <c r="I70" s="53">
        <f t="shared" si="8"/>
        <v>100</v>
      </c>
      <c r="J70" s="4"/>
      <c r="K70" s="2">
        <v>58</v>
      </c>
      <c r="L70" s="2">
        <v>57</v>
      </c>
      <c r="M70" s="53">
        <f t="shared" ref="M70:M80" si="9">SUM(L70/K70*100)</f>
        <v>98.275862068965509</v>
      </c>
      <c r="N70" s="4"/>
      <c r="O70" s="2"/>
      <c r="P70" s="2"/>
      <c r="Q70" s="53"/>
    </row>
    <row r="71" spans="1:17" ht="17.100000000000001" customHeight="1">
      <c r="A71" s="61" t="s">
        <v>197</v>
      </c>
      <c r="B71" s="4"/>
      <c r="C71" s="2"/>
      <c r="D71" s="2"/>
      <c r="E71" s="53"/>
      <c r="F71" s="4">
        <v>100</v>
      </c>
      <c r="G71" s="2">
        <v>100</v>
      </c>
      <c r="H71" s="2">
        <f>151-1</f>
        <v>150</v>
      </c>
      <c r="I71" s="53">
        <f t="shared" si="8"/>
        <v>150</v>
      </c>
      <c r="J71" s="4"/>
      <c r="K71" s="2"/>
      <c r="L71" s="2"/>
      <c r="M71" s="53"/>
      <c r="N71" s="4"/>
      <c r="O71" s="2"/>
      <c r="P71" s="2"/>
      <c r="Q71" s="53"/>
    </row>
    <row r="72" spans="1:17" ht="17.100000000000001" customHeight="1">
      <c r="A72" s="61" t="s">
        <v>198</v>
      </c>
      <c r="B72" s="4"/>
      <c r="C72" s="2"/>
      <c r="D72" s="2"/>
      <c r="E72" s="53"/>
      <c r="F72" s="4">
        <v>80</v>
      </c>
      <c r="G72" s="2">
        <v>80</v>
      </c>
      <c r="H72" s="2">
        <v>72</v>
      </c>
      <c r="I72" s="53">
        <f t="shared" si="8"/>
        <v>90</v>
      </c>
      <c r="J72" s="4"/>
      <c r="K72" s="2"/>
      <c r="L72" s="2"/>
      <c r="M72" s="53"/>
      <c r="N72" s="4"/>
      <c r="O72" s="2"/>
      <c r="P72" s="2"/>
      <c r="Q72" s="53"/>
    </row>
    <row r="73" spans="1:17" ht="17.100000000000001" customHeight="1">
      <c r="A73" s="61" t="s">
        <v>199</v>
      </c>
      <c r="B73" s="4"/>
      <c r="C73" s="2"/>
      <c r="D73" s="2"/>
      <c r="E73" s="53"/>
      <c r="F73" s="4">
        <v>30</v>
      </c>
      <c r="G73" s="2">
        <v>30</v>
      </c>
      <c r="H73" s="2">
        <v>37</v>
      </c>
      <c r="I73" s="53">
        <f t="shared" si="8"/>
        <v>123.33333333333334</v>
      </c>
      <c r="J73" s="4"/>
      <c r="K73" s="2"/>
      <c r="L73" s="2"/>
      <c r="M73" s="53"/>
      <c r="N73" s="4"/>
      <c r="O73" s="2"/>
      <c r="P73" s="2"/>
      <c r="Q73" s="53"/>
    </row>
    <row r="74" spans="1:17" ht="17.100000000000001" customHeight="1">
      <c r="A74" s="61" t="s">
        <v>200</v>
      </c>
      <c r="B74" s="4"/>
      <c r="C74" s="2"/>
      <c r="D74" s="2"/>
      <c r="E74" s="53"/>
      <c r="F74" s="4">
        <v>220</v>
      </c>
      <c r="G74" s="2">
        <v>220</v>
      </c>
      <c r="H74" s="2">
        <v>349</v>
      </c>
      <c r="I74" s="53">
        <f t="shared" si="8"/>
        <v>158.63636363636365</v>
      </c>
      <c r="J74" s="4"/>
      <c r="K74" s="2"/>
      <c r="L74" s="2"/>
      <c r="M74" s="53"/>
      <c r="N74" s="4"/>
      <c r="O74" s="2"/>
      <c r="P74" s="2"/>
      <c r="Q74" s="53"/>
    </row>
    <row r="75" spans="1:17" ht="17.100000000000001" customHeight="1">
      <c r="A75" s="61" t="s">
        <v>201</v>
      </c>
      <c r="B75" s="4"/>
      <c r="C75" s="2"/>
      <c r="D75" s="2"/>
      <c r="E75" s="53"/>
      <c r="F75" s="4">
        <v>4</v>
      </c>
      <c r="G75" s="2">
        <v>7</v>
      </c>
      <c r="H75" s="2">
        <v>6</v>
      </c>
      <c r="I75" s="53">
        <f t="shared" si="8"/>
        <v>85.714285714285708</v>
      </c>
      <c r="J75" s="4"/>
      <c r="K75" s="2"/>
      <c r="L75" s="2"/>
      <c r="M75" s="53"/>
      <c r="N75" s="4"/>
      <c r="O75" s="2"/>
      <c r="P75" s="2"/>
      <c r="Q75" s="53"/>
    </row>
    <row r="76" spans="1:17" ht="17.100000000000001" customHeight="1">
      <c r="A76" s="61" t="s">
        <v>202</v>
      </c>
      <c r="B76" s="4"/>
      <c r="C76" s="2"/>
      <c r="D76" s="2"/>
      <c r="E76" s="53"/>
      <c r="F76" s="4">
        <v>600</v>
      </c>
      <c r="G76" s="2">
        <v>626</v>
      </c>
      <c r="H76" s="2">
        <v>626</v>
      </c>
      <c r="I76" s="53">
        <f t="shared" si="8"/>
        <v>100</v>
      </c>
      <c r="J76" s="4"/>
      <c r="K76" s="2">
        <v>185</v>
      </c>
      <c r="L76" s="2">
        <v>320</v>
      </c>
      <c r="M76" s="53">
        <f t="shared" si="9"/>
        <v>172.97297297297297</v>
      </c>
      <c r="N76" s="4"/>
      <c r="O76" s="2"/>
      <c r="P76" s="2"/>
      <c r="Q76" s="53"/>
    </row>
    <row r="77" spans="1:17" ht="17.100000000000001" customHeight="1">
      <c r="A77" s="61" t="s">
        <v>203</v>
      </c>
      <c r="B77" s="4"/>
      <c r="C77" s="2"/>
      <c r="D77" s="2"/>
      <c r="E77" s="53"/>
      <c r="F77" s="4">
        <v>40</v>
      </c>
      <c r="G77" s="2">
        <v>40</v>
      </c>
      <c r="H77" s="2">
        <v>32</v>
      </c>
      <c r="I77" s="53">
        <f t="shared" si="8"/>
        <v>80</v>
      </c>
      <c r="J77" s="4"/>
      <c r="K77" s="2"/>
      <c r="L77" s="2"/>
      <c r="M77" s="53"/>
      <c r="N77" s="4"/>
      <c r="O77" s="2"/>
      <c r="P77" s="2"/>
      <c r="Q77" s="53"/>
    </row>
    <row r="78" spans="1:17" ht="17.100000000000001" customHeight="1">
      <c r="A78" s="61" t="s">
        <v>204</v>
      </c>
      <c r="B78" s="4">
        <v>0</v>
      </c>
      <c r="C78" s="2">
        <v>0</v>
      </c>
      <c r="D78" s="2">
        <f>1-1</f>
        <v>0</v>
      </c>
      <c r="E78" s="53"/>
      <c r="F78" s="4">
        <v>13</v>
      </c>
      <c r="G78" s="2">
        <v>19</v>
      </c>
      <c r="H78" s="2">
        <v>19</v>
      </c>
      <c r="I78" s="53">
        <f t="shared" si="8"/>
        <v>100</v>
      </c>
      <c r="J78" s="4"/>
      <c r="K78" s="2"/>
      <c r="L78" s="2"/>
      <c r="M78" s="53"/>
      <c r="N78" s="4"/>
      <c r="O78" s="2"/>
      <c r="P78" s="2"/>
      <c r="Q78" s="53"/>
    </row>
    <row r="79" spans="1:17" ht="17.100000000000001" customHeight="1">
      <c r="A79" s="61" t="s">
        <v>205</v>
      </c>
      <c r="B79" s="4">
        <v>15</v>
      </c>
      <c r="C79" s="2">
        <v>20</v>
      </c>
      <c r="D79" s="2">
        <v>19</v>
      </c>
      <c r="E79" s="53">
        <f>SUM(D79/C79*100)</f>
        <v>95</v>
      </c>
      <c r="F79" s="4">
        <v>6</v>
      </c>
      <c r="G79" s="2">
        <v>6</v>
      </c>
      <c r="H79" s="2">
        <v>4</v>
      </c>
      <c r="I79" s="53">
        <f t="shared" si="8"/>
        <v>66.666666666666657</v>
      </c>
      <c r="J79" s="4"/>
      <c r="K79" s="2"/>
      <c r="L79" s="2"/>
      <c r="M79" s="53"/>
      <c r="N79" s="4"/>
      <c r="O79" s="2"/>
      <c r="P79" s="2"/>
      <c r="Q79" s="53"/>
    </row>
    <row r="80" spans="1:17" ht="17.100000000000001" customHeight="1">
      <c r="A80" s="61" t="s">
        <v>206</v>
      </c>
      <c r="B80" s="4">
        <v>0</v>
      </c>
      <c r="C80" s="2">
        <v>0</v>
      </c>
      <c r="D80" s="2"/>
      <c r="E80" s="53"/>
      <c r="F80" s="4">
        <v>550</v>
      </c>
      <c r="G80" s="2">
        <v>450</v>
      </c>
      <c r="H80" s="2">
        <v>436</v>
      </c>
      <c r="I80" s="53">
        <f t="shared" si="8"/>
        <v>96.888888888888886</v>
      </c>
      <c r="J80" s="4">
        <v>10000</v>
      </c>
      <c r="K80" s="2">
        <v>17500</v>
      </c>
      <c r="L80" s="2">
        <v>17372</v>
      </c>
      <c r="M80" s="53">
        <f t="shared" si="9"/>
        <v>99.268571428571434</v>
      </c>
      <c r="N80" s="4"/>
      <c r="O80" s="2"/>
      <c r="P80" s="2"/>
      <c r="Q80" s="53"/>
    </row>
    <row r="81" spans="1:17" ht="17.100000000000001" customHeight="1">
      <c r="A81" s="61" t="s">
        <v>207</v>
      </c>
      <c r="B81" s="4"/>
      <c r="C81" s="2"/>
      <c r="D81" s="2"/>
      <c r="E81" s="53"/>
      <c r="F81" s="4">
        <v>70</v>
      </c>
      <c r="G81" s="2">
        <v>70</v>
      </c>
      <c r="H81" s="2">
        <v>69</v>
      </c>
      <c r="I81" s="53">
        <f t="shared" si="8"/>
        <v>98.571428571428584</v>
      </c>
      <c r="J81" s="4"/>
      <c r="K81" s="2"/>
      <c r="L81" s="2"/>
      <c r="M81" s="53"/>
      <c r="N81" s="4"/>
      <c r="O81" s="2"/>
      <c r="P81" s="2"/>
      <c r="Q81" s="53"/>
    </row>
    <row r="82" spans="1:17" ht="17.100000000000001" customHeight="1">
      <c r="A82" s="61" t="s">
        <v>208</v>
      </c>
      <c r="B82" s="4"/>
      <c r="C82" s="2"/>
      <c r="D82" s="2"/>
      <c r="E82" s="53"/>
      <c r="F82" s="4">
        <v>15</v>
      </c>
      <c r="G82" s="2">
        <v>15</v>
      </c>
      <c r="H82" s="2">
        <v>14</v>
      </c>
      <c r="I82" s="53">
        <f t="shared" si="8"/>
        <v>93.333333333333329</v>
      </c>
      <c r="J82" s="4"/>
      <c r="K82" s="2"/>
      <c r="L82" s="2"/>
      <c r="M82" s="53"/>
      <c r="N82" s="4"/>
      <c r="O82" s="2"/>
      <c r="P82" s="2"/>
      <c r="Q82" s="53"/>
    </row>
    <row r="83" spans="1:17" ht="17.100000000000001" customHeight="1">
      <c r="A83" s="61" t="s">
        <v>209</v>
      </c>
      <c r="B83" s="4"/>
      <c r="C83" s="2"/>
      <c r="D83" s="2"/>
      <c r="E83" s="53"/>
      <c r="F83" s="4">
        <v>10</v>
      </c>
      <c r="G83" s="2">
        <v>10</v>
      </c>
      <c r="H83" s="2">
        <v>3</v>
      </c>
      <c r="I83" s="53">
        <f t="shared" si="8"/>
        <v>30</v>
      </c>
      <c r="J83" s="4"/>
      <c r="K83" s="2"/>
      <c r="L83" s="2"/>
      <c r="M83" s="53"/>
      <c r="N83" s="4"/>
      <c r="O83" s="2"/>
      <c r="P83" s="2"/>
      <c r="Q83" s="53"/>
    </row>
    <row r="84" spans="1:17" ht="17.100000000000001" customHeight="1">
      <c r="A84" s="61" t="s">
        <v>210</v>
      </c>
      <c r="B84" s="4"/>
      <c r="C84" s="2"/>
      <c r="D84" s="2"/>
      <c r="E84" s="53"/>
      <c r="F84" s="4"/>
      <c r="G84" s="2"/>
      <c r="H84" s="2"/>
      <c r="I84" s="53"/>
      <c r="J84" s="4"/>
      <c r="K84" s="2"/>
      <c r="L84" s="2"/>
      <c r="M84" s="53"/>
      <c r="N84" s="4"/>
      <c r="O84" s="2"/>
      <c r="P84" s="2"/>
      <c r="Q84" s="53"/>
    </row>
    <row r="85" spans="1:17" ht="17.100000000000001" customHeight="1">
      <c r="A85" s="61" t="s">
        <v>211</v>
      </c>
      <c r="B85" s="4"/>
      <c r="C85" s="2"/>
      <c r="D85" s="2"/>
      <c r="E85" s="53"/>
      <c r="F85" s="4"/>
      <c r="G85" s="2"/>
      <c r="H85" s="2"/>
      <c r="I85" s="53"/>
      <c r="J85" s="4"/>
      <c r="K85" s="2"/>
      <c r="L85" s="2"/>
      <c r="M85" s="53"/>
      <c r="N85" s="4"/>
      <c r="O85" s="2"/>
      <c r="P85" s="2"/>
      <c r="Q85" s="53"/>
    </row>
    <row r="86" spans="1:17" ht="17.100000000000001" customHeight="1" thickBot="1">
      <c r="A86" s="62" t="s">
        <v>212</v>
      </c>
      <c r="B86" s="5"/>
      <c r="C86" s="6"/>
      <c r="D86" s="6"/>
      <c r="E86" s="54"/>
      <c r="F86" s="5"/>
      <c r="G86" s="6"/>
      <c r="H86" s="6"/>
      <c r="I86" s="54"/>
      <c r="J86" s="5"/>
      <c r="K86" s="6"/>
      <c r="L86" s="6"/>
      <c r="M86" s="54"/>
      <c r="N86" s="5"/>
      <c r="O86" s="6"/>
      <c r="P86" s="6"/>
      <c r="Q86" s="54"/>
    </row>
    <row r="87" spans="1:17" ht="17.100000000000001" customHeight="1" thickBot="1">
      <c r="A87" s="24"/>
      <c r="B87" s="3"/>
      <c r="C87" s="37"/>
      <c r="D87" s="37"/>
      <c r="E87" s="55"/>
      <c r="F87" s="3"/>
      <c r="G87" s="37"/>
      <c r="H87" s="37"/>
      <c r="I87" s="55"/>
      <c r="J87" s="3"/>
      <c r="K87" s="37"/>
      <c r="L87" s="37"/>
      <c r="M87" s="55"/>
      <c r="N87" s="3"/>
      <c r="O87" s="37"/>
      <c r="P87" s="37"/>
      <c r="Q87" s="55"/>
    </row>
    <row r="88" spans="1:17" s="39" customFormat="1" ht="18" customHeight="1" thickBot="1">
      <c r="A88" s="63" t="s">
        <v>231</v>
      </c>
      <c r="B88" s="49">
        <f>SUM(B58:B86)</f>
        <v>6775</v>
      </c>
      <c r="C88" s="50">
        <f>SUM(C58:C86)</f>
        <v>6804</v>
      </c>
      <c r="D88" s="58">
        <f>SUM(D58:D86)</f>
        <v>4875</v>
      </c>
      <c r="E88" s="56">
        <f>SUM(D88/C88*100)</f>
        <v>71.649029982363317</v>
      </c>
      <c r="F88" s="49">
        <f>SUM(F58:F86)</f>
        <v>6323</v>
      </c>
      <c r="G88" s="51">
        <f>SUM(G58:G86)</f>
        <v>6113</v>
      </c>
      <c r="H88" s="50">
        <f>SUM(H58:H86)</f>
        <v>6196</v>
      </c>
      <c r="I88" s="59">
        <f>SUM(H88/G88*100)</f>
        <v>101.3577621462457</v>
      </c>
      <c r="J88" s="49">
        <f>SUM(J58:J86)</f>
        <v>10000</v>
      </c>
      <c r="K88" s="51">
        <f>SUM(K58:K86)</f>
        <v>18449</v>
      </c>
      <c r="L88" s="51">
        <f>SUM(L58:L86)</f>
        <v>18188</v>
      </c>
      <c r="M88" s="56">
        <f>SUM(L88/K88*100)</f>
        <v>98.585289175565066</v>
      </c>
      <c r="N88" s="49">
        <f>SUM(N58:N86)</f>
        <v>0</v>
      </c>
      <c r="O88" s="50">
        <f>SUM(O58:O87)</f>
        <v>0</v>
      </c>
      <c r="P88" s="58">
        <f>SUM(P57:P87)</f>
        <v>0</v>
      </c>
      <c r="Q88" s="56"/>
    </row>
    <row r="89" spans="1:17" ht="15.75" hidden="1" customHeight="1"/>
    <row r="90" spans="1:17" ht="15" hidden="1" customHeight="1">
      <c r="B90" s="36">
        <v>16323</v>
      </c>
      <c r="C90" s="36">
        <v>12708</v>
      </c>
      <c r="D90" s="36">
        <v>9371878</v>
      </c>
      <c r="F90" s="36">
        <v>3188</v>
      </c>
      <c r="G90" s="36">
        <v>3385</v>
      </c>
      <c r="H90" s="36">
        <v>3727599</v>
      </c>
      <c r="J90" s="36">
        <v>42549</v>
      </c>
      <c r="K90" s="36">
        <v>49819</v>
      </c>
      <c r="L90" s="36">
        <v>51136393</v>
      </c>
      <c r="N90" s="36">
        <v>17</v>
      </c>
      <c r="O90" s="36">
        <v>205</v>
      </c>
      <c r="P90" s="36">
        <v>204843</v>
      </c>
    </row>
    <row r="91" spans="1:17" ht="15.75" hidden="1" customHeight="1"/>
    <row r="92" spans="1:17" ht="15.75" hidden="1" customHeight="1"/>
    <row r="94" spans="1:17" hidden="1">
      <c r="B94" s="1"/>
      <c r="C94" s="1"/>
      <c r="D94" s="1">
        <f>ROUND(D96/1000,0)</f>
        <v>4875</v>
      </c>
      <c r="E94" s="1"/>
      <c r="F94" s="1"/>
      <c r="G94" s="1"/>
      <c r="H94" s="1">
        <f>ROUND(H96/1000,0)</f>
        <v>6196</v>
      </c>
      <c r="I94" s="1"/>
      <c r="J94" s="1"/>
      <c r="K94" s="1"/>
      <c r="L94" s="1">
        <f>ROUND(L96/1000,0)</f>
        <v>18188</v>
      </c>
      <c r="M94" s="1"/>
      <c r="P94" s="1">
        <f>ROUND(P96/1000,0)</f>
        <v>0</v>
      </c>
    </row>
    <row r="95" spans="1:17" hidden="1">
      <c r="A95" s="39">
        <v>2012</v>
      </c>
      <c r="B95" s="1">
        <v>5278</v>
      </c>
      <c r="C95" s="1">
        <v>6791</v>
      </c>
      <c r="D95" s="1">
        <v>6144690</v>
      </c>
      <c r="E95" s="1"/>
      <c r="F95" s="1">
        <v>5412</v>
      </c>
      <c r="G95" s="1">
        <v>5891</v>
      </c>
      <c r="H95" s="1">
        <v>6187760</v>
      </c>
      <c r="I95" s="1"/>
      <c r="J95" s="1">
        <v>49960</v>
      </c>
      <c r="K95" s="1">
        <v>21276</v>
      </c>
      <c r="L95" s="1">
        <v>21591573</v>
      </c>
      <c r="M95" s="1"/>
      <c r="O95" s="36">
        <v>0</v>
      </c>
    </row>
    <row r="96" spans="1:17" hidden="1">
      <c r="A96" s="39">
        <v>2013</v>
      </c>
      <c r="B96" s="1">
        <v>6775</v>
      </c>
      <c r="C96" s="1">
        <v>6804</v>
      </c>
      <c r="D96" s="1">
        <v>4875075</v>
      </c>
      <c r="E96" s="1"/>
      <c r="F96" s="1">
        <v>6323</v>
      </c>
      <c r="G96" s="1">
        <v>6113</v>
      </c>
      <c r="H96" s="1">
        <v>6195913</v>
      </c>
      <c r="I96" s="1"/>
      <c r="J96" s="1">
        <v>10000</v>
      </c>
      <c r="K96" s="1">
        <v>18449</v>
      </c>
      <c r="L96" s="1">
        <v>18188053</v>
      </c>
      <c r="M96" s="1"/>
    </row>
    <row r="97" hidden="1"/>
    <row r="98" hidden="1"/>
    <row r="99" hidden="1"/>
    <row r="100" hidden="1"/>
  </sheetData>
  <mergeCells count="38">
    <mergeCell ref="A2:R2"/>
    <mergeCell ref="A4:Q4"/>
    <mergeCell ref="B7:E7"/>
    <mergeCell ref="F8:I8"/>
    <mergeCell ref="J8:M8"/>
    <mergeCell ref="N8:Q8"/>
    <mergeCell ref="B53:E53"/>
    <mergeCell ref="F53:I53"/>
    <mergeCell ref="J53:M53"/>
    <mergeCell ref="N53:Q53"/>
    <mergeCell ref="B9:B10"/>
    <mergeCell ref="C9:C10"/>
    <mergeCell ref="D9:D10"/>
    <mergeCell ref="F9:F10"/>
    <mergeCell ref="G9:G10"/>
    <mergeCell ref="H9:H10"/>
    <mergeCell ref="J9:J10"/>
    <mergeCell ref="K9:K10"/>
    <mergeCell ref="L9:L10"/>
    <mergeCell ref="N9:N10"/>
    <mergeCell ref="O9:O10"/>
    <mergeCell ref="P9:P10"/>
    <mergeCell ref="O54:O55"/>
    <mergeCell ref="P54:P55"/>
    <mergeCell ref="A7:A10"/>
    <mergeCell ref="B8:E8"/>
    <mergeCell ref="A52:A55"/>
    <mergeCell ref="A49:Q49"/>
    <mergeCell ref="H54:H55"/>
    <mergeCell ref="J54:J55"/>
    <mergeCell ref="K54:K55"/>
    <mergeCell ref="L54:L55"/>
    <mergeCell ref="N54:N55"/>
    <mergeCell ref="B54:B55"/>
    <mergeCell ref="C54:C55"/>
    <mergeCell ref="D54:D55"/>
    <mergeCell ref="F54:F55"/>
    <mergeCell ref="G54:G55"/>
  </mergeCells>
  <phoneticPr fontId="8" type="noConversion"/>
  <printOptions horizontalCentered="1" verticalCentered="1"/>
  <pageMargins left="0.19685039370078741" right="0.19685039370078741" top="0.74803149606299213" bottom="0.74803149606299213" header="0.51181102362204722" footer="0.51181102362204722"/>
  <pageSetup paperSize="9" scale="55" orientation="landscape" r:id="rId1"/>
  <headerFooter alignWithMargins="0"/>
  <rowBreaks count="1" manualBreakCount="1">
    <brk id="44" max="1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 codeName="List5"/>
  <dimension ref="A1:AH56"/>
  <sheetViews>
    <sheetView showZeros="0" view="pageBreakPreview" zoomScale="70" zoomScaleNormal="70" zoomScaleSheetLayoutView="70" workbookViewId="0">
      <pane xSplit="1" ySplit="12" topLeftCell="B13" activePane="bottomRight" state="frozen"/>
      <selection activeCell="C37" sqref="C37"/>
      <selection pane="topRight" activeCell="C37" sqref="C37"/>
      <selection pane="bottomLeft" activeCell="C37" sqref="C37"/>
      <selection pane="bottomRight"/>
    </sheetView>
  </sheetViews>
  <sheetFormatPr defaultRowHeight="15.75"/>
  <cols>
    <col min="1" max="1" width="26.6640625" style="69" customWidth="1"/>
    <col min="2" max="3" width="9.6640625" style="66" customWidth="1"/>
    <col min="4" max="4" width="9.44140625" style="66" customWidth="1"/>
    <col min="5" max="5" width="6.5546875" style="66" customWidth="1"/>
    <col min="6" max="7" width="9" style="66" customWidth="1"/>
    <col min="8" max="8" width="9.6640625" style="66" customWidth="1"/>
    <col min="9" max="9" width="6.5546875" style="66" customWidth="1"/>
    <col min="10" max="10" width="9" style="66" customWidth="1"/>
    <col min="11" max="11" width="8.88671875" style="66" customWidth="1"/>
    <col min="12" max="12" width="10" style="66" customWidth="1"/>
    <col min="13" max="13" width="6.5546875" style="66" customWidth="1"/>
    <col min="14" max="15" width="9" style="66" customWidth="1"/>
    <col min="16" max="16" width="9.88671875" style="66" customWidth="1"/>
    <col min="17" max="17" width="6.21875" style="66" customWidth="1"/>
    <col min="18" max="19" width="9" style="66" customWidth="1"/>
    <col min="20" max="20" width="9.44140625" style="66" customWidth="1"/>
    <col min="21" max="21" width="6.5546875" style="66" customWidth="1"/>
    <col min="22" max="22" width="9" style="66" customWidth="1"/>
    <col min="23" max="23" width="8.88671875" style="66" customWidth="1"/>
    <col min="24" max="24" width="9.6640625" style="66" customWidth="1"/>
    <col min="25" max="25" width="6.5546875" style="66" customWidth="1"/>
    <col min="26" max="26" width="5.21875" style="66" customWidth="1"/>
    <col min="27" max="29" width="13.44140625" style="66" hidden="1" customWidth="1"/>
    <col min="30" max="34" width="7.77734375" style="66" hidden="1" customWidth="1"/>
    <col min="35" max="47" width="7.77734375" style="66" customWidth="1"/>
    <col min="48" max="16384" width="8.88671875" style="66"/>
  </cols>
  <sheetData>
    <row r="1" spans="1:30" ht="17.25" customHeight="1"/>
    <row r="2" spans="1:30" s="68" customFormat="1" ht="24" customHeight="1">
      <c r="A2" s="285" t="s">
        <v>245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</row>
    <row r="3" spans="1:30" s="68" customFormat="1" ht="15" customHeight="1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</row>
    <row r="4" spans="1:30" s="68" customFormat="1" ht="21" customHeight="1">
      <c r="A4" s="285" t="s">
        <v>59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</row>
    <row r="5" spans="1:30" ht="22.5" customHeight="1">
      <c r="G5" s="66" t="s">
        <v>60</v>
      </c>
    </row>
    <row r="6" spans="1:30" ht="22.5" customHeight="1">
      <c r="Y6" s="17" t="s">
        <v>234</v>
      </c>
    </row>
    <row r="7" spans="1:30" ht="17.100000000000001" customHeight="1" thickBot="1">
      <c r="Y7" s="17" t="s">
        <v>1</v>
      </c>
    </row>
    <row r="8" spans="1:30" s="69" customFormat="1" ht="18" customHeight="1" thickBot="1">
      <c r="A8" s="301" t="s">
        <v>222</v>
      </c>
      <c r="B8" s="308" t="s">
        <v>61</v>
      </c>
      <c r="C8" s="309"/>
      <c r="D8" s="309"/>
      <c r="E8" s="310"/>
      <c r="F8" s="308" t="s">
        <v>62</v>
      </c>
      <c r="G8" s="309"/>
      <c r="H8" s="309"/>
      <c r="I8" s="310"/>
      <c r="J8" s="308" t="s">
        <v>219</v>
      </c>
      <c r="K8" s="309"/>
      <c r="L8" s="309"/>
      <c r="M8" s="310"/>
      <c r="N8" s="308" t="s">
        <v>63</v>
      </c>
      <c r="O8" s="309"/>
      <c r="P8" s="309"/>
      <c r="Q8" s="310"/>
      <c r="R8" s="308" t="s">
        <v>256</v>
      </c>
      <c r="S8" s="309"/>
      <c r="T8" s="309"/>
      <c r="U8" s="310"/>
      <c r="V8" s="308" t="s">
        <v>165</v>
      </c>
      <c r="W8" s="309"/>
      <c r="X8" s="309"/>
      <c r="Y8" s="310"/>
    </row>
    <row r="9" spans="1:30" s="67" customFormat="1" ht="22.5" customHeight="1">
      <c r="A9" s="302"/>
      <c r="B9" s="312" t="s">
        <v>229</v>
      </c>
      <c r="C9" s="314" t="s">
        <v>230</v>
      </c>
      <c r="D9" s="314" t="s">
        <v>246</v>
      </c>
      <c r="E9" s="27" t="s">
        <v>0</v>
      </c>
      <c r="F9" s="312" t="s">
        <v>229</v>
      </c>
      <c r="G9" s="314" t="s">
        <v>230</v>
      </c>
      <c r="H9" s="314" t="s">
        <v>246</v>
      </c>
      <c r="I9" s="27" t="s">
        <v>0</v>
      </c>
      <c r="J9" s="312" t="s">
        <v>229</v>
      </c>
      <c r="K9" s="314" t="s">
        <v>230</v>
      </c>
      <c r="L9" s="314" t="s">
        <v>246</v>
      </c>
      <c r="M9" s="27" t="s">
        <v>0</v>
      </c>
      <c r="N9" s="312" t="s">
        <v>229</v>
      </c>
      <c r="O9" s="314" t="s">
        <v>230</v>
      </c>
      <c r="P9" s="314" t="s">
        <v>246</v>
      </c>
      <c r="Q9" s="27" t="s">
        <v>0</v>
      </c>
      <c r="R9" s="312" t="s">
        <v>229</v>
      </c>
      <c r="S9" s="314" t="s">
        <v>230</v>
      </c>
      <c r="T9" s="314" t="s">
        <v>246</v>
      </c>
      <c r="U9" s="27" t="s">
        <v>0</v>
      </c>
      <c r="V9" s="312" t="s">
        <v>229</v>
      </c>
      <c r="W9" s="314" t="s">
        <v>230</v>
      </c>
      <c r="X9" s="314" t="s">
        <v>246</v>
      </c>
      <c r="Y9" s="27" t="s">
        <v>0</v>
      </c>
      <c r="AA9" s="317" t="s">
        <v>216</v>
      </c>
      <c r="AB9" s="317"/>
      <c r="AC9" s="317"/>
    </row>
    <row r="10" spans="1:30" s="67" customFormat="1" ht="23.25" customHeight="1" thickBot="1">
      <c r="A10" s="303"/>
      <c r="B10" s="313"/>
      <c r="C10" s="315"/>
      <c r="D10" s="315"/>
      <c r="E10" s="28" t="s">
        <v>11</v>
      </c>
      <c r="F10" s="313"/>
      <c r="G10" s="315"/>
      <c r="H10" s="315"/>
      <c r="I10" s="28" t="s">
        <v>11</v>
      </c>
      <c r="J10" s="313"/>
      <c r="K10" s="315"/>
      <c r="L10" s="315"/>
      <c r="M10" s="28" t="s">
        <v>11</v>
      </c>
      <c r="N10" s="313"/>
      <c r="O10" s="315"/>
      <c r="P10" s="315"/>
      <c r="Q10" s="28" t="s">
        <v>11</v>
      </c>
      <c r="R10" s="313"/>
      <c r="S10" s="315"/>
      <c r="T10" s="315"/>
      <c r="U10" s="28" t="s">
        <v>11</v>
      </c>
      <c r="V10" s="313"/>
      <c r="W10" s="315"/>
      <c r="X10" s="315"/>
      <c r="Y10" s="28" t="s">
        <v>11</v>
      </c>
      <c r="AA10" s="67" t="s">
        <v>12</v>
      </c>
      <c r="AB10" s="67" t="s">
        <v>13</v>
      </c>
      <c r="AC10" s="67" t="s">
        <v>215</v>
      </c>
    </row>
    <row r="11" spans="1:30" ht="15.95" hidden="1" customHeight="1" thickTop="1" thickBot="1">
      <c r="A11" s="24"/>
      <c r="B11" s="3"/>
      <c r="C11" s="70" t="s">
        <v>64</v>
      </c>
      <c r="D11" s="70"/>
      <c r="E11" s="71"/>
      <c r="F11" s="3"/>
      <c r="G11" s="70" t="s">
        <v>66</v>
      </c>
      <c r="H11" s="70"/>
      <c r="I11" s="71"/>
      <c r="J11" s="3"/>
      <c r="K11" s="70" t="s">
        <v>67</v>
      </c>
      <c r="L11" s="70"/>
      <c r="M11" s="71"/>
      <c r="N11" s="3"/>
      <c r="O11" s="70" t="s">
        <v>68</v>
      </c>
      <c r="P11" s="70"/>
      <c r="Q11" s="71"/>
      <c r="R11" s="3" t="s">
        <v>32</v>
      </c>
      <c r="S11" s="70"/>
      <c r="T11" s="70" t="s">
        <v>33</v>
      </c>
      <c r="U11" s="71" t="s">
        <v>0</v>
      </c>
      <c r="V11" s="3" t="s">
        <v>32</v>
      </c>
      <c r="W11" s="70"/>
      <c r="X11" s="70" t="s">
        <v>33</v>
      </c>
      <c r="Y11" s="71" t="s">
        <v>0</v>
      </c>
    </row>
    <row r="12" spans="1:30" ht="15.95" customHeight="1">
      <c r="A12" s="24"/>
      <c r="B12" s="318" t="s">
        <v>69</v>
      </c>
      <c r="C12" s="319"/>
      <c r="D12" s="319"/>
      <c r="E12" s="320"/>
      <c r="F12" s="318" t="s">
        <v>70</v>
      </c>
      <c r="G12" s="319"/>
      <c r="H12" s="319"/>
      <c r="I12" s="320"/>
      <c r="J12" s="318" t="s">
        <v>130</v>
      </c>
      <c r="K12" s="319"/>
      <c r="L12" s="319"/>
      <c r="M12" s="320"/>
      <c r="N12" s="318" t="s">
        <v>71</v>
      </c>
      <c r="O12" s="319"/>
      <c r="P12" s="319"/>
      <c r="Q12" s="320"/>
      <c r="R12" s="318" t="s">
        <v>142</v>
      </c>
      <c r="S12" s="319"/>
      <c r="T12" s="319"/>
      <c r="U12" s="320"/>
      <c r="V12" s="318" t="s">
        <v>173</v>
      </c>
      <c r="W12" s="319"/>
      <c r="X12" s="319"/>
      <c r="Y12" s="320"/>
      <c r="AA12" s="316"/>
      <c r="AB12" s="316"/>
      <c r="AC12" s="316"/>
    </row>
    <row r="13" spans="1:30" ht="17.100000000000001" customHeight="1" thickBot="1">
      <c r="A13" s="24"/>
      <c r="B13" s="3"/>
      <c r="C13" s="70"/>
      <c r="D13" s="70"/>
      <c r="E13" s="71"/>
      <c r="F13" s="3"/>
      <c r="G13" s="70"/>
      <c r="H13" s="70"/>
      <c r="I13" s="71"/>
      <c r="J13" s="3"/>
      <c r="K13" s="70"/>
      <c r="L13" s="70"/>
      <c r="M13" s="71"/>
      <c r="N13" s="3"/>
      <c r="O13" s="70"/>
      <c r="P13" s="70"/>
      <c r="Q13" s="71"/>
      <c r="R13" s="79"/>
      <c r="S13" s="77"/>
      <c r="T13" s="77"/>
      <c r="U13" s="80"/>
      <c r="V13" s="3"/>
      <c r="W13" s="70"/>
      <c r="X13" s="77"/>
      <c r="Y13" s="71"/>
    </row>
    <row r="14" spans="1:30" ht="17.25" customHeight="1">
      <c r="A14" s="60" t="s">
        <v>184</v>
      </c>
      <c r="B14" s="7">
        <v>3020</v>
      </c>
      <c r="C14" s="8">
        <v>3020</v>
      </c>
      <c r="D14" s="8">
        <v>3001</v>
      </c>
      <c r="E14" s="52">
        <f t="shared" ref="E14:E32" si="0">D14/C14*100</f>
        <v>99.370860927152322</v>
      </c>
      <c r="F14" s="7">
        <v>10200</v>
      </c>
      <c r="G14" s="8">
        <v>10200</v>
      </c>
      <c r="H14" s="8">
        <v>5682</v>
      </c>
      <c r="I14" s="52">
        <f t="shared" ref="I14:I42" si="1">H14/G14*100</f>
        <v>55.705882352941174</v>
      </c>
      <c r="J14" s="7">
        <v>3320</v>
      </c>
      <c r="K14" s="8">
        <v>3320</v>
      </c>
      <c r="L14" s="8">
        <v>1965</v>
      </c>
      <c r="M14" s="52">
        <f>L14/K14*100</f>
        <v>59.186746987951807</v>
      </c>
      <c r="N14" s="7">
        <v>2550</v>
      </c>
      <c r="O14" s="8">
        <v>2550</v>
      </c>
      <c r="P14" s="8">
        <f>2299+1</f>
        <v>2300</v>
      </c>
      <c r="Q14" s="52">
        <f t="shared" ref="Q14:Q22" si="2">P14/O14*100</f>
        <v>90.196078431372555</v>
      </c>
      <c r="R14" s="75"/>
      <c r="S14" s="76">
        <v>34733</v>
      </c>
      <c r="T14" s="76">
        <f t="shared" ref="T14:T24" si="3">S14</f>
        <v>34733</v>
      </c>
      <c r="U14" s="81">
        <f t="shared" ref="U14:U42" si="4">T14/S14*100</f>
        <v>100</v>
      </c>
      <c r="V14" s="7">
        <f>AA14-B14-F14-J14-N14-R14</f>
        <v>2230</v>
      </c>
      <c r="W14" s="8">
        <f>AB14-C14-G14-K14-O14-S14</f>
        <v>2270</v>
      </c>
      <c r="X14" s="76">
        <f t="shared" ref="X14:X18" si="5">AD14-T14-P14-L14-H14-D14</f>
        <v>1471</v>
      </c>
      <c r="Y14" s="52">
        <f t="shared" ref="Y14:Y42" si="6">X14/W14*100</f>
        <v>64.801762114537439</v>
      </c>
      <c r="AA14" s="66">
        <v>21320</v>
      </c>
      <c r="AB14" s="66">
        <v>56093</v>
      </c>
      <c r="AC14" s="66">
        <v>49152012.57</v>
      </c>
      <c r="AD14" s="66">
        <f>ROUND(AC14/1000,0)</f>
        <v>49152</v>
      </c>
    </row>
    <row r="15" spans="1:30" ht="17.25" customHeight="1">
      <c r="A15" s="61" t="s">
        <v>185</v>
      </c>
      <c r="B15" s="4">
        <v>716</v>
      </c>
      <c r="C15" s="2">
        <v>684</v>
      </c>
      <c r="D15" s="2">
        <v>674</v>
      </c>
      <c r="E15" s="53">
        <f t="shared" si="0"/>
        <v>98.538011695906434</v>
      </c>
      <c r="F15" s="4">
        <v>3320</v>
      </c>
      <c r="G15" s="2">
        <v>3822</v>
      </c>
      <c r="H15" s="2">
        <v>3826</v>
      </c>
      <c r="I15" s="53">
        <f t="shared" si="1"/>
        <v>100.10465724751438</v>
      </c>
      <c r="J15" s="4">
        <v>80</v>
      </c>
      <c r="K15" s="2">
        <v>80</v>
      </c>
      <c r="L15" s="2">
        <v>63</v>
      </c>
      <c r="M15" s="53">
        <f>L15/K15*100</f>
        <v>78.75</v>
      </c>
      <c r="N15" s="4">
        <v>15</v>
      </c>
      <c r="O15" s="2">
        <v>25</v>
      </c>
      <c r="P15" s="2">
        <v>23</v>
      </c>
      <c r="Q15" s="53">
        <f t="shared" si="2"/>
        <v>92</v>
      </c>
      <c r="R15" s="4"/>
      <c r="S15" s="2">
        <v>4818</v>
      </c>
      <c r="T15" s="2">
        <f t="shared" si="3"/>
        <v>4818</v>
      </c>
      <c r="U15" s="53">
        <f t="shared" si="4"/>
        <v>100</v>
      </c>
      <c r="V15" s="4">
        <f t="shared" ref="V15:V42" si="7">AA15-B15-F15-J15-N15-R15</f>
        <v>200</v>
      </c>
      <c r="W15" s="2">
        <f t="shared" ref="W15:W42" si="8">AB15-C15-G15-K15-O15-S15</f>
        <v>1831</v>
      </c>
      <c r="X15" s="2">
        <f t="shared" si="5"/>
        <v>1835</v>
      </c>
      <c r="Y15" s="53">
        <f t="shared" si="6"/>
        <v>100.21845985800108</v>
      </c>
      <c r="AA15" s="66">
        <v>4331</v>
      </c>
      <c r="AB15" s="66">
        <v>11260</v>
      </c>
      <c r="AC15" s="66">
        <v>11239493.289999999</v>
      </c>
      <c r="AD15" s="66">
        <f t="shared" ref="AD15:AD42" si="9">ROUND(AC15/1000,0)</f>
        <v>11239</v>
      </c>
    </row>
    <row r="16" spans="1:30" ht="17.25" customHeight="1">
      <c r="A16" s="61" t="s">
        <v>186</v>
      </c>
      <c r="B16" s="4">
        <v>150</v>
      </c>
      <c r="C16" s="2">
        <v>235</v>
      </c>
      <c r="D16" s="2">
        <v>234</v>
      </c>
      <c r="E16" s="53">
        <f t="shared" si="0"/>
        <v>99.574468085106389</v>
      </c>
      <c r="F16" s="4">
        <v>3175</v>
      </c>
      <c r="G16" s="2">
        <v>3477</v>
      </c>
      <c r="H16" s="2">
        <v>3063</v>
      </c>
      <c r="I16" s="53">
        <f t="shared" si="1"/>
        <v>88.093183779119926</v>
      </c>
      <c r="J16" s="4">
        <v>1000</v>
      </c>
      <c r="K16" s="2">
        <v>1500</v>
      </c>
      <c r="L16" s="2">
        <v>1387</v>
      </c>
      <c r="M16" s="53">
        <f t="shared" ref="M16:M42" si="10">L16/K16*100</f>
        <v>92.466666666666669</v>
      </c>
      <c r="N16" s="4">
        <v>10</v>
      </c>
      <c r="O16" s="2">
        <v>587</v>
      </c>
      <c r="P16" s="2">
        <v>380</v>
      </c>
      <c r="Q16" s="53">
        <f t="shared" si="2"/>
        <v>64.735945485519579</v>
      </c>
      <c r="R16" s="4"/>
      <c r="S16" s="2">
        <v>15640</v>
      </c>
      <c r="T16" s="2">
        <f t="shared" si="3"/>
        <v>15640</v>
      </c>
      <c r="U16" s="53">
        <f t="shared" si="4"/>
        <v>100</v>
      </c>
      <c r="V16" s="4">
        <f t="shared" si="7"/>
        <v>80</v>
      </c>
      <c r="W16" s="2">
        <f t="shared" si="8"/>
        <v>469</v>
      </c>
      <c r="X16" s="2">
        <f t="shared" si="5"/>
        <v>462</v>
      </c>
      <c r="Y16" s="53">
        <f t="shared" si="6"/>
        <v>98.507462686567166</v>
      </c>
      <c r="AA16" s="66">
        <v>4415</v>
      </c>
      <c r="AB16" s="66">
        <v>21908</v>
      </c>
      <c r="AC16" s="66">
        <v>21166156.899999999</v>
      </c>
      <c r="AD16" s="66">
        <f t="shared" si="9"/>
        <v>21166</v>
      </c>
    </row>
    <row r="17" spans="1:30" ht="17.25" customHeight="1">
      <c r="A17" s="61" t="s">
        <v>187</v>
      </c>
      <c r="B17" s="4">
        <v>261</v>
      </c>
      <c r="C17" s="2">
        <v>287</v>
      </c>
      <c r="D17" s="2">
        <v>174</v>
      </c>
      <c r="E17" s="53">
        <f t="shared" si="0"/>
        <v>60.627177700348433</v>
      </c>
      <c r="F17" s="4">
        <v>1232</v>
      </c>
      <c r="G17" s="2">
        <v>1232</v>
      </c>
      <c r="H17" s="2">
        <v>1368</v>
      </c>
      <c r="I17" s="53">
        <f t="shared" si="1"/>
        <v>111.03896103896105</v>
      </c>
      <c r="J17" s="4">
        <v>240</v>
      </c>
      <c r="K17" s="2">
        <v>512</v>
      </c>
      <c r="L17" s="2">
        <v>585</v>
      </c>
      <c r="M17" s="53">
        <f t="shared" si="10"/>
        <v>114.2578125</v>
      </c>
      <c r="N17" s="4">
        <v>0</v>
      </c>
      <c r="O17" s="2">
        <v>39</v>
      </c>
      <c r="P17" s="2">
        <f>44+1</f>
        <v>45</v>
      </c>
      <c r="Q17" s="53">
        <f t="shared" si="2"/>
        <v>115.38461538461537</v>
      </c>
      <c r="R17" s="4"/>
      <c r="S17" s="2">
        <v>3362</v>
      </c>
      <c r="T17" s="2">
        <f t="shared" si="3"/>
        <v>3362</v>
      </c>
      <c r="U17" s="53">
        <f t="shared" si="4"/>
        <v>100</v>
      </c>
      <c r="V17" s="4">
        <f t="shared" si="7"/>
        <v>0</v>
      </c>
      <c r="W17" s="2">
        <f t="shared" si="8"/>
        <v>47</v>
      </c>
      <c r="X17" s="2">
        <f t="shared" si="5"/>
        <v>51</v>
      </c>
      <c r="Y17" s="53">
        <f t="shared" si="6"/>
        <v>108.51063829787233</v>
      </c>
      <c r="AA17" s="66">
        <v>1733</v>
      </c>
      <c r="AB17" s="66">
        <v>5479</v>
      </c>
      <c r="AC17" s="66">
        <v>5585303.0199999996</v>
      </c>
      <c r="AD17" s="66">
        <f t="shared" si="9"/>
        <v>5585</v>
      </c>
    </row>
    <row r="18" spans="1:30" ht="17.25" customHeight="1">
      <c r="A18" s="61" t="s">
        <v>188</v>
      </c>
      <c r="B18" s="4">
        <v>225</v>
      </c>
      <c r="C18" s="2">
        <v>90</v>
      </c>
      <c r="D18" s="2">
        <f>89-1</f>
        <v>88</v>
      </c>
      <c r="E18" s="53">
        <f t="shared" si="0"/>
        <v>97.777777777777771</v>
      </c>
      <c r="F18" s="4">
        <v>3107</v>
      </c>
      <c r="G18" s="2">
        <v>3107</v>
      </c>
      <c r="H18" s="2">
        <v>3363</v>
      </c>
      <c r="I18" s="53">
        <f t="shared" si="1"/>
        <v>108.2394592854844</v>
      </c>
      <c r="J18" s="4">
        <v>250</v>
      </c>
      <c r="K18" s="2">
        <v>270</v>
      </c>
      <c r="L18" s="2">
        <v>314</v>
      </c>
      <c r="M18" s="53">
        <f t="shared" si="10"/>
        <v>116.2962962962963</v>
      </c>
      <c r="N18" s="4">
        <v>0</v>
      </c>
      <c r="O18" s="2">
        <v>561</v>
      </c>
      <c r="P18" s="2">
        <v>572</v>
      </c>
      <c r="Q18" s="53">
        <f t="shared" si="2"/>
        <v>101.96078431372548</v>
      </c>
      <c r="R18" s="4"/>
      <c r="S18" s="2">
        <v>4126</v>
      </c>
      <c r="T18" s="2">
        <f t="shared" si="3"/>
        <v>4126</v>
      </c>
      <c r="U18" s="53">
        <f t="shared" si="4"/>
        <v>100</v>
      </c>
      <c r="V18" s="4">
        <f t="shared" si="7"/>
        <v>240</v>
      </c>
      <c r="W18" s="2">
        <f t="shared" si="8"/>
        <v>707</v>
      </c>
      <c r="X18" s="2">
        <f t="shared" si="5"/>
        <v>696</v>
      </c>
      <c r="Y18" s="53">
        <f t="shared" si="6"/>
        <v>98.44413012729845</v>
      </c>
      <c r="AA18" s="66">
        <v>3822</v>
      </c>
      <c r="AB18" s="66">
        <v>8861</v>
      </c>
      <c r="AC18" s="66">
        <v>9159481.7899999991</v>
      </c>
      <c r="AD18" s="66">
        <f t="shared" si="9"/>
        <v>9159</v>
      </c>
    </row>
    <row r="19" spans="1:30" ht="17.25" customHeight="1">
      <c r="A19" s="61" t="s">
        <v>189</v>
      </c>
      <c r="B19" s="4">
        <v>60</v>
      </c>
      <c r="C19" s="2">
        <v>80</v>
      </c>
      <c r="D19" s="2">
        <v>42</v>
      </c>
      <c r="E19" s="53">
        <f t="shared" si="0"/>
        <v>52.5</v>
      </c>
      <c r="F19" s="4">
        <v>2643</v>
      </c>
      <c r="G19" s="2">
        <v>2671</v>
      </c>
      <c r="H19" s="2">
        <v>3015</v>
      </c>
      <c r="I19" s="53">
        <f t="shared" si="1"/>
        <v>112.87907150879821</v>
      </c>
      <c r="J19" s="4">
        <v>45</v>
      </c>
      <c r="K19" s="2">
        <v>45</v>
      </c>
      <c r="L19" s="2">
        <v>19</v>
      </c>
      <c r="M19" s="53">
        <f t="shared" si="10"/>
        <v>42.222222222222221</v>
      </c>
      <c r="N19" s="4">
        <v>16</v>
      </c>
      <c r="O19" s="2">
        <v>16</v>
      </c>
      <c r="P19" s="2">
        <v>6</v>
      </c>
      <c r="Q19" s="53">
        <f t="shared" si="2"/>
        <v>37.5</v>
      </c>
      <c r="R19" s="4"/>
      <c r="S19" s="2">
        <v>1239</v>
      </c>
      <c r="T19" s="2">
        <f t="shared" si="3"/>
        <v>1239</v>
      </c>
      <c r="U19" s="53">
        <f t="shared" si="4"/>
        <v>100</v>
      </c>
      <c r="V19" s="4">
        <f t="shared" si="7"/>
        <v>565</v>
      </c>
      <c r="W19" s="2">
        <f t="shared" si="8"/>
        <v>659</v>
      </c>
      <c r="X19" s="2">
        <f>AD19-T19-P19-L19-H19-D19</f>
        <v>625</v>
      </c>
      <c r="Y19" s="53">
        <f t="shared" si="6"/>
        <v>94.840667678300449</v>
      </c>
      <c r="AA19" s="66">
        <v>3329</v>
      </c>
      <c r="AB19" s="66">
        <v>4710</v>
      </c>
      <c r="AC19" s="66">
        <v>4945487.2300000004</v>
      </c>
      <c r="AD19" s="78">
        <f>ROUND(AC19/1000,0)+1</f>
        <v>4946</v>
      </c>
    </row>
    <row r="20" spans="1:30" ht="17.25" customHeight="1">
      <c r="A20" s="61" t="s">
        <v>190</v>
      </c>
      <c r="B20" s="4">
        <v>5850</v>
      </c>
      <c r="C20" s="2">
        <v>5850</v>
      </c>
      <c r="D20" s="2">
        <v>6461</v>
      </c>
      <c r="E20" s="53">
        <f t="shared" si="0"/>
        <v>110.44444444444443</v>
      </c>
      <c r="F20" s="4">
        <v>4707</v>
      </c>
      <c r="G20" s="2">
        <v>4707</v>
      </c>
      <c r="H20" s="2">
        <v>4246</v>
      </c>
      <c r="I20" s="53">
        <f t="shared" si="1"/>
        <v>90.206076056936482</v>
      </c>
      <c r="J20" s="4">
        <v>200</v>
      </c>
      <c r="K20" s="2">
        <v>370</v>
      </c>
      <c r="L20" s="2">
        <f>502+1</f>
        <v>503</v>
      </c>
      <c r="M20" s="53">
        <f t="shared" si="10"/>
        <v>135.94594594594597</v>
      </c>
      <c r="N20" s="4">
        <v>110</v>
      </c>
      <c r="O20" s="2">
        <v>110</v>
      </c>
      <c r="P20" s="2">
        <v>108</v>
      </c>
      <c r="Q20" s="53">
        <f t="shared" si="2"/>
        <v>98.181818181818187</v>
      </c>
      <c r="R20" s="4"/>
      <c r="S20" s="2">
        <v>8973</v>
      </c>
      <c r="T20" s="2">
        <f t="shared" si="3"/>
        <v>8973</v>
      </c>
      <c r="U20" s="53">
        <f t="shared" si="4"/>
        <v>100</v>
      </c>
      <c r="V20" s="4">
        <f t="shared" si="7"/>
        <v>3425</v>
      </c>
      <c r="W20" s="2">
        <f t="shared" si="8"/>
        <v>1171</v>
      </c>
      <c r="X20" s="2">
        <f t="shared" ref="X20:X42" si="11">AD20-T20-P20-L20-H20-D20</f>
        <v>785</v>
      </c>
      <c r="Y20" s="53">
        <f t="shared" si="6"/>
        <v>67.036720751494443</v>
      </c>
      <c r="AA20" s="66">
        <v>14292</v>
      </c>
      <c r="AB20" s="66">
        <v>21181</v>
      </c>
      <c r="AC20" s="66">
        <v>21076342.399999999</v>
      </c>
      <c r="AD20" s="66">
        <f>ROUND(AC20/1000,0)</f>
        <v>21076</v>
      </c>
    </row>
    <row r="21" spans="1:30" ht="17.25" customHeight="1">
      <c r="A21" s="61" t="s">
        <v>191</v>
      </c>
      <c r="B21" s="4">
        <v>7218</v>
      </c>
      <c r="C21" s="2">
        <v>4711</v>
      </c>
      <c r="D21" s="2">
        <v>4705</v>
      </c>
      <c r="E21" s="53">
        <f t="shared" si="0"/>
        <v>99.872638505625133</v>
      </c>
      <c r="F21" s="4">
        <v>1470</v>
      </c>
      <c r="G21" s="2">
        <v>2090</v>
      </c>
      <c r="H21" s="2">
        <v>2162</v>
      </c>
      <c r="I21" s="53">
        <f t="shared" si="1"/>
        <v>103.44497607655502</v>
      </c>
      <c r="J21" s="4">
        <v>450</v>
      </c>
      <c r="K21" s="2">
        <v>1300</v>
      </c>
      <c r="L21" s="2">
        <v>2091</v>
      </c>
      <c r="M21" s="53">
        <f t="shared" si="10"/>
        <v>160.84615384615384</v>
      </c>
      <c r="N21" s="4">
        <v>100</v>
      </c>
      <c r="O21" s="2">
        <v>820</v>
      </c>
      <c r="P21" s="2">
        <v>756</v>
      </c>
      <c r="Q21" s="53">
        <f t="shared" si="2"/>
        <v>92.195121951219519</v>
      </c>
      <c r="R21" s="4"/>
      <c r="S21" s="2">
        <v>15140</v>
      </c>
      <c r="T21" s="2">
        <f t="shared" si="3"/>
        <v>15140</v>
      </c>
      <c r="U21" s="53">
        <f t="shared" si="4"/>
        <v>100</v>
      </c>
      <c r="V21" s="4">
        <f t="shared" si="7"/>
        <v>2990</v>
      </c>
      <c r="W21" s="2">
        <f t="shared" si="8"/>
        <v>1849</v>
      </c>
      <c r="X21" s="2">
        <f t="shared" si="11"/>
        <v>2127</v>
      </c>
      <c r="Y21" s="53">
        <f t="shared" si="6"/>
        <v>115.03515413737155</v>
      </c>
      <c r="AA21" s="66">
        <v>12228</v>
      </c>
      <c r="AB21" s="66">
        <v>25910</v>
      </c>
      <c r="AC21" s="66">
        <v>26980678.829999998</v>
      </c>
      <c r="AD21" s="66">
        <f t="shared" si="9"/>
        <v>26981</v>
      </c>
    </row>
    <row r="22" spans="1:30" ht="17.25" customHeight="1">
      <c r="A22" s="61" t="s">
        <v>192</v>
      </c>
      <c r="B22" s="4"/>
      <c r="C22" s="2">
        <v>1</v>
      </c>
      <c r="D22" s="2">
        <v>1</v>
      </c>
      <c r="E22" s="53">
        <f t="shared" si="0"/>
        <v>100</v>
      </c>
      <c r="F22" s="4">
        <v>170</v>
      </c>
      <c r="G22" s="2">
        <v>458</v>
      </c>
      <c r="H22" s="2">
        <v>452</v>
      </c>
      <c r="I22" s="53">
        <f t="shared" si="1"/>
        <v>98.689956331877724</v>
      </c>
      <c r="J22" s="4">
        <v>25</v>
      </c>
      <c r="K22" s="2">
        <v>25</v>
      </c>
      <c r="L22" s="2">
        <v>13</v>
      </c>
      <c r="M22" s="53">
        <f t="shared" si="10"/>
        <v>52</v>
      </c>
      <c r="N22" s="4">
        <v>50</v>
      </c>
      <c r="O22" s="2">
        <v>104</v>
      </c>
      <c r="P22" s="2">
        <f>55-1</f>
        <v>54</v>
      </c>
      <c r="Q22" s="53">
        <f t="shared" si="2"/>
        <v>51.923076923076927</v>
      </c>
      <c r="R22" s="4"/>
      <c r="S22" s="2">
        <v>1264</v>
      </c>
      <c r="T22" s="2">
        <f t="shared" si="3"/>
        <v>1264</v>
      </c>
      <c r="U22" s="53">
        <f t="shared" si="4"/>
        <v>100</v>
      </c>
      <c r="V22" s="4">
        <f t="shared" si="7"/>
        <v>0</v>
      </c>
      <c r="W22" s="2">
        <f t="shared" si="8"/>
        <v>0</v>
      </c>
      <c r="X22" s="2">
        <f t="shared" si="11"/>
        <v>0</v>
      </c>
      <c r="Y22" s="53"/>
      <c r="AA22" s="66">
        <v>245</v>
      </c>
      <c r="AB22" s="66">
        <v>1852</v>
      </c>
      <c r="AC22" s="66">
        <v>1783666.4</v>
      </c>
      <c r="AD22" s="66">
        <f t="shared" si="9"/>
        <v>1784</v>
      </c>
    </row>
    <row r="23" spans="1:30" ht="17.25" customHeight="1">
      <c r="A23" s="61" t="s">
        <v>193</v>
      </c>
      <c r="B23" s="4">
        <v>80</v>
      </c>
      <c r="C23" s="2">
        <v>269</v>
      </c>
      <c r="D23" s="2">
        <v>236</v>
      </c>
      <c r="E23" s="53">
        <f t="shared" si="0"/>
        <v>87.732342007434951</v>
      </c>
      <c r="F23" s="4">
        <v>1100</v>
      </c>
      <c r="G23" s="2">
        <v>1117</v>
      </c>
      <c r="H23" s="2">
        <v>968</v>
      </c>
      <c r="I23" s="53">
        <f t="shared" si="1"/>
        <v>86.660698299015209</v>
      </c>
      <c r="J23" s="4">
        <v>60</v>
      </c>
      <c r="K23" s="2">
        <v>60</v>
      </c>
      <c r="L23" s="2">
        <v>53</v>
      </c>
      <c r="M23" s="53">
        <f t="shared" si="10"/>
        <v>88.333333333333329</v>
      </c>
      <c r="N23" s="4">
        <v>50</v>
      </c>
      <c r="O23" s="2">
        <v>90</v>
      </c>
      <c r="P23" s="2">
        <v>106</v>
      </c>
      <c r="Q23" s="53">
        <f>P23/O23*100</f>
        <v>117.77777777777779</v>
      </c>
      <c r="R23" s="4"/>
      <c r="S23" s="2">
        <v>2789</v>
      </c>
      <c r="T23" s="2">
        <f t="shared" si="3"/>
        <v>2789</v>
      </c>
      <c r="U23" s="53">
        <f t="shared" si="4"/>
        <v>100</v>
      </c>
      <c r="V23" s="4">
        <f t="shared" si="7"/>
        <v>0</v>
      </c>
      <c r="W23" s="2">
        <f t="shared" si="8"/>
        <v>311</v>
      </c>
      <c r="X23" s="2">
        <f t="shared" si="11"/>
        <v>343</v>
      </c>
      <c r="Y23" s="53">
        <f t="shared" si="6"/>
        <v>110.28938906752413</v>
      </c>
      <c r="AA23" s="66">
        <v>1290</v>
      </c>
      <c r="AB23" s="66">
        <v>4636</v>
      </c>
      <c r="AC23" s="66">
        <v>4495307.1500000004</v>
      </c>
      <c r="AD23" s="66">
        <f t="shared" si="9"/>
        <v>4495</v>
      </c>
    </row>
    <row r="24" spans="1:30" ht="17.25" customHeight="1">
      <c r="A24" s="61" t="s">
        <v>194</v>
      </c>
      <c r="B24" s="4">
        <v>343</v>
      </c>
      <c r="C24" s="2">
        <v>322</v>
      </c>
      <c r="D24" s="2">
        <v>308</v>
      </c>
      <c r="E24" s="53">
        <f t="shared" si="0"/>
        <v>95.652173913043484</v>
      </c>
      <c r="F24" s="4">
        <v>1132</v>
      </c>
      <c r="G24" s="2">
        <v>1242</v>
      </c>
      <c r="H24" s="2">
        <v>1261</v>
      </c>
      <c r="I24" s="53">
        <f t="shared" si="1"/>
        <v>101.52979066022544</v>
      </c>
      <c r="J24" s="4">
        <v>100</v>
      </c>
      <c r="K24" s="2">
        <v>100</v>
      </c>
      <c r="L24" s="2">
        <v>140</v>
      </c>
      <c r="M24" s="53">
        <f t="shared" si="10"/>
        <v>140</v>
      </c>
      <c r="N24" s="4">
        <v>5</v>
      </c>
      <c r="O24" s="2">
        <v>13</v>
      </c>
      <c r="P24" s="2">
        <v>8</v>
      </c>
      <c r="Q24" s="53">
        <f>P24/O24*100</f>
        <v>61.53846153846154</v>
      </c>
      <c r="R24" s="4"/>
      <c r="S24" s="2">
        <v>1466</v>
      </c>
      <c r="T24" s="2">
        <f t="shared" si="3"/>
        <v>1466</v>
      </c>
      <c r="U24" s="53">
        <f t="shared" si="4"/>
        <v>100</v>
      </c>
      <c r="V24" s="4">
        <f t="shared" si="7"/>
        <v>18</v>
      </c>
      <c r="W24" s="2">
        <f t="shared" si="8"/>
        <v>69</v>
      </c>
      <c r="X24" s="2">
        <f t="shared" si="11"/>
        <v>191</v>
      </c>
      <c r="Y24" s="53">
        <f t="shared" si="6"/>
        <v>276.81159420289856</v>
      </c>
      <c r="AA24" s="66">
        <v>1598</v>
      </c>
      <c r="AB24" s="66">
        <v>3212</v>
      </c>
      <c r="AC24" s="66">
        <v>3374145.48</v>
      </c>
      <c r="AD24" s="66">
        <f t="shared" si="9"/>
        <v>3374</v>
      </c>
    </row>
    <row r="25" spans="1:30" ht="17.25" customHeight="1">
      <c r="A25" s="61" t="s">
        <v>195</v>
      </c>
      <c r="B25" s="4">
        <v>155</v>
      </c>
      <c r="C25" s="2">
        <v>181</v>
      </c>
      <c r="D25" s="2">
        <v>179</v>
      </c>
      <c r="E25" s="53">
        <f t="shared" si="0"/>
        <v>98.895027624309392</v>
      </c>
      <c r="F25" s="4">
        <v>240</v>
      </c>
      <c r="G25" s="2">
        <v>359</v>
      </c>
      <c r="H25" s="2">
        <v>382</v>
      </c>
      <c r="I25" s="53">
        <f t="shared" si="1"/>
        <v>106.40668523676879</v>
      </c>
      <c r="J25" s="4">
        <v>40</v>
      </c>
      <c r="K25" s="2">
        <v>40</v>
      </c>
      <c r="L25" s="2">
        <v>17</v>
      </c>
      <c r="M25" s="53">
        <f t="shared" si="10"/>
        <v>42.5</v>
      </c>
      <c r="N25" s="4">
        <v>0</v>
      </c>
      <c r="O25" s="2">
        <v>11</v>
      </c>
      <c r="P25" s="2">
        <v>16</v>
      </c>
      <c r="Q25" s="53">
        <f>P25/O25*100</f>
        <v>145.45454545454547</v>
      </c>
      <c r="R25" s="4"/>
      <c r="S25" s="2">
        <v>2050</v>
      </c>
      <c r="T25" s="2">
        <f>S25</f>
        <v>2050</v>
      </c>
      <c r="U25" s="53">
        <f t="shared" si="4"/>
        <v>100</v>
      </c>
      <c r="V25" s="4">
        <f t="shared" si="7"/>
        <v>4</v>
      </c>
      <c r="W25" s="2">
        <f t="shared" si="8"/>
        <v>716</v>
      </c>
      <c r="X25" s="2">
        <f t="shared" si="11"/>
        <v>716</v>
      </c>
      <c r="Y25" s="53">
        <f t="shared" si="6"/>
        <v>100</v>
      </c>
      <c r="AA25" s="66">
        <v>439</v>
      </c>
      <c r="AB25" s="66">
        <v>3357</v>
      </c>
      <c r="AC25" s="66">
        <v>3359901.19</v>
      </c>
      <c r="AD25" s="66">
        <f t="shared" si="9"/>
        <v>3360</v>
      </c>
    </row>
    <row r="26" spans="1:30" ht="17.25" customHeight="1">
      <c r="A26" s="61" t="s">
        <v>196</v>
      </c>
      <c r="B26" s="4">
        <v>4244</v>
      </c>
      <c r="C26" s="2">
        <v>4462</v>
      </c>
      <c r="D26" s="2">
        <v>4679</v>
      </c>
      <c r="E26" s="53">
        <f t="shared" si="0"/>
        <v>104.86329000448229</v>
      </c>
      <c r="F26" s="4">
        <v>9356</v>
      </c>
      <c r="G26" s="2">
        <v>9933</v>
      </c>
      <c r="H26" s="2">
        <v>10246</v>
      </c>
      <c r="I26" s="53">
        <f t="shared" si="1"/>
        <v>103.15111245343805</v>
      </c>
      <c r="J26" s="4">
        <v>1600</v>
      </c>
      <c r="K26" s="2">
        <v>1600</v>
      </c>
      <c r="L26" s="2">
        <v>1514</v>
      </c>
      <c r="M26" s="53">
        <f t="shared" si="10"/>
        <v>94.625</v>
      </c>
      <c r="N26" s="4">
        <v>130</v>
      </c>
      <c r="O26" s="2">
        <v>136</v>
      </c>
      <c r="P26" s="2">
        <v>197</v>
      </c>
      <c r="Q26" s="53">
        <f>P26/O26*100</f>
        <v>144.85294117647058</v>
      </c>
      <c r="R26" s="4"/>
      <c r="S26" s="2">
        <v>17265</v>
      </c>
      <c r="T26" s="2">
        <f t="shared" ref="T26:T41" si="12">S26</f>
        <v>17265</v>
      </c>
      <c r="U26" s="53">
        <f t="shared" si="4"/>
        <v>100</v>
      </c>
      <c r="V26" s="4">
        <f t="shared" si="7"/>
        <v>210</v>
      </c>
      <c r="W26" s="2">
        <f t="shared" si="8"/>
        <v>1528</v>
      </c>
      <c r="X26" s="2">
        <f t="shared" si="11"/>
        <v>1648</v>
      </c>
      <c r="Y26" s="53">
        <f t="shared" si="6"/>
        <v>107.85340314136124</v>
      </c>
      <c r="AA26" s="66">
        <v>15540</v>
      </c>
      <c r="AB26" s="66">
        <v>34924</v>
      </c>
      <c r="AC26" s="66">
        <v>35549173.189999998</v>
      </c>
      <c r="AD26" s="66">
        <f t="shared" si="9"/>
        <v>35549</v>
      </c>
    </row>
    <row r="27" spans="1:30" ht="17.25" customHeight="1">
      <c r="A27" s="61" t="s">
        <v>197</v>
      </c>
      <c r="B27" s="4">
        <v>20</v>
      </c>
      <c r="C27" s="2">
        <v>20</v>
      </c>
      <c r="D27" s="2">
        <f>19-1</f>
        <v>18</v>
      </c>
      <c r="E27" s="53">
        <f t="shared" si="0"/>
        <v>90</v>
      </c>
      <c r="F27" s="4">
        <v>360</v>
      </c>
      <c r="G27" s="2">
        <v>360</v>
      </c>
      <c r="H27" s="2">
        <v>434</v>
      </c>
      <c r="I27" s="53">
        <f t="shared" si="1"/>
        <v>120.55555555555554</v>
      </c>
      <c r="J27" s="4">
        <v>80</v>
      </c>
      <c r="K27" s="2">
        <v>80</v>
      </c>
      <c r="L27" s="2">
        <v>46</v>
      </c>
      <c r="M27" s="53">
        <f t="shared" si="10"/>
        <v>57.499999999999993</v>
      </c>
      <c r="N27" s="4">
        <v>40</v>
      </c>
      <c r="O27" s="2">
        <v>62</v>
      </c>
      <c r="P27" s="2">
        <v>33</v>
      </c>
      <c r="Q27" s="53">
        <f t="shared" ref="Q27:Q34" si="13">P27/O27*100</f>
        <v>53.225806451612897</v>
      </c>
      <c r="R27" s="4"/>
      <c r="S27" s="2">
        <v>2853</v>
      </c>
      <c r="T27" s="2">
        <f t="shared" si="12"/>
        <v>2853</v>
      </c>
      <c r="U27" s="53">
        <f t="shared" si="4"/>
        <v>100</v>
      </c>
      <c r="V27" s="4">
        <f t="shared" si="7"/>
        <v>4</v>
      </c>
      <c r="W27" s="2">
        <f t="shared" si="8"/>
        <v>179</v>
      </c>
      <c r="X27" s="2">
        <f t="shared" si="11"/>
        <v>186</v>
      </c>
      <c r="Y27" s="53">
        <f t="shared" si="6"/>
        <v>103.91061452513965</v>
      </c>
      <c r="AA27" s="66">
        <v>504</v>
      </c>
      <c r="AB27" s="66">
        <v>3554</v>
      </c>
      <c r="AC27" s="66">
        <v>3569799.98</v>
      </c>
      <c r="AD27" s="66">
        <f t="shared" si="9"/>
        <v>3570</v>
      </c>
    </row>
    <row r="28" spans="1:30" ht="17.25" customHeight="1">
      <c r="A28" s="61" t="s">
        <v>198</v>
      </c>
      <c r="B28" s="4">
        <v>4470</v>
      </c>
      <c r="C28" s="2">
        <v>4464</v>
      </c>
      <c r="D28" s="2">
        <v>5043</v>
      </c>
      <c r="E28" s="53">
        <f t="shared" si="0"/>
        <v>112.97043010752688</v>
      </c>
      <c r="F28" s="4">
        <v>2594</v>
      </c>
      <c r="G28" s="2">
        <v>3143</v>
      </c>
      <c r="H28" s="2">
        <v>3530</v>
      </c>
      <c r="I28" s="53">
        <f t="shared" si="1"/>
        <v>112.31307667833281</v>
      </c>
      <c r="J28" s="4">
        <v>100</v>
      </c>
      <c r="K28" s="2">
        <v>100</v>
      </c>
      <c r="L28" s="2">
        <v>207</v>
      </c>
      <c r="M28" s="53">
        <f t="shared" si="10"/>
        <v>206.99999999999997</v>
      </c>
      <c r="N28" s="4">
        <v>56</v>
      </c>
      <c r="O28" s="2">
        <v>77</v>
      </c>
      <c r="P28" s="2">
        <v>124</v>
      </c>
      <c r="Q28" s="53">
        <f t="shared" si="13"/>
        <v>161.03896103896105</v>
      </c>
      <c r="R28" s="4"/>
      <c r="S28" s="2">
        <v>9572</v>
      </c>
      <c r="T28" s="2">
        <f t="shared" si="12"/>
        <v>9572</v>
      </c>
      <c r="U28" s="53">
        <f t="shared" si="4"/>
        <v>100</v>
      </c>
      <c r="V28" s="4">
        <f t="shared" si="7"/>
        <v>226</v>
      </c>
      <c r="W28" s="2">
        <f t="shared" si="8"/>
        <v>3453</v>
      </c>
      <c r="X28" s="2">
        <f t="shared" si="11"/>
        <v>3513</v>
      </c>
      <c r="Y28" s="53">
        <f t="shared" si="6"/>
        <v>101.73761946133797</v>
      </c>
      <c r="AA28" s="66">
        <v>7446</v>
      </c>
      <c r="AB28" s="66">
        <v>20809</v>
      </c>
      <c r="AC28" s="66">
        <v>21989038.32</v>
      </c>
      <c r="AD28" s="66">
        <f t="shared" si="9"/>
        <v>21989</v>
      </c>
    </row>
    <row r="29" spans="1:30" ht="17.25" customHeight="1">
      <c r="A29" s="61" t="s">
        <v>199</v>
      </c>
      <c r="B29" s="4">
        <v>50</v>
      </c>
      <c r="C29" s="2">
        <v>239</v>
      </c>
      <c r="D29" s="2">
        <v>274</v>
      </c>
      <c r="E29" s="53">
        <f t="shared" si="0"/>
        <v>114.64435146443515</v>
      </c>
      <c r="F29" s="4">
        <v>5470</v>
      </c>
      <c r="G29" s="2">
        <v>5555</v>
      </c>
      <c r="H29" s="2">
        <v>5534</v>
      </c>
      <c r="I29" s="53">
        <f t="shared" si="1"/>
        <v>99.621962196219627</v>
      </c>
      <c r="J29" s="4">
        <v>100</v>
      </c>
      <c r="K29" s="2">
        <v>1967</v>
      </c>
      <c r="L29" s="2">
        <v>1981</v>
      </c>
      <c r="M29" s="53">
        <f t="shared" si="10"/>
        <v>100.71174377224199</v>
      </c>
      <c r="N29" s="4">
        <v>50</v>
      </c>
      <c r="O29" s="2">
        <v>50</v>
      </c>
      <c r="P29" s="2">
        <v>31</v>
      </c>
      <c r="Q29" s="53">
        <f t="shared" si="13"/>
        <v>62</v>
      </c>
      <c r="R29" s="4"/>
      <c r="S29" s="2">
        <v>4846</v>
      </c>
      <c r="T29" s="2">
        <f t="shared" si="12"/>
        <v>4846</v>
      </c>
      <c r="U29" s="53">
        <f t="shared" si="4"/>
        <v>100</v>
      </c>
      <c r="V29" s="4">
        <f t="shared" si="7"/>
        <v>20</v>
      </c>
      <c r="W29" s="2">
        <f t="shared" si="8"/>
        <v>206</v>
      </c>
      <c r="X29" s="2">
        <f t="shared" si="11"/>
        <v>201</v>
      </c>
      <c r="Y29" s="53">
        <f t="shared" si="6"/>
        <v>97.572815533980588</v>
      </c>
      <c r="AA29" s="66">
        <v>5690</v>
      </c>
      <c r="AB29" s="66">
        <v>12863</v>
      </c>
      <c r="AC29" s="66">
        <v>12867402.01</v>
      </c>
      <c r="AD29" s="66">
        <f t="shared" si="9"/>
        <v>12867</v>
      </c>
    </row>
    <row r="30" spans="1:30" ht="17.25" customHeight="1">
      <c r="A30" s="61" t="s">
        <v>200</v>
      </c>
      <c r="B30" s="4">
        <v>500</v>
      </c>
      <c r="C30" s="2">
        <v>517</v>
      </c>
      <c r="D30" s="2">
        <v>182</v>
      </c>
      <c r="E30" s="53">
        <f t="shared" si="0"/>
        <v>35.20309477756286</v>
      </c>
      <c r="F30" s="4">
        <v>7031</v>
      </c>
      <c r="G30" s="2">
        <v>7031</v>
      </c>
      <c r="H30" s="2">
        <v>7509</v>
      </c>
      <c r="I30" s="53">
        <f t="shared" si="1"/>
        <v>106.79846394538473</v>
      </c>
      <c r="J30" s="4">
        <v>300</v>
      </c>
      <c r="K30" s="2">
        <v>325</v>
      </c>
      <c r="L30" s="2">
        <v>787</v>
      </c>
      <c r="M30" s="53">
        <f t="shared" si="10"/>
        <v>242.15384615384616</v>
      </c>
      <c r="N30" s="4">
        <v>100</v>
      </c>
      <c r="O30" s="2">
        <v>100</v>
      </c>
      <c r="P30" s="2">
        <v>123</v>
      </c>
      <c r="Q30" s="53">
        <f t="shared" si="13"/>
        <v>123</v>
      </c>
      <c r="R30" s="4"/>
      <c r="S30" s="2">
        <v>4454</v>
      </c>
      <c r="T30" s="2">
        <f t="shared" si="12"/>
        <v>4454</v>
      </c>
      <c r="U30" s="53">
        <f t="shared" si="4"/>
        <v>100</v>
      </c>
      <c r="V30" s="4">
        <f t="shared" si="7"/>
        <v>40</v>
      </c>
      <c r="W30" s="2">
        <f t="shared" si="8"/>
        <v>3397</v>
      </c>
      <c r="X30" s="2">
        <f t="shared" si="11"/>
        <v>2975</v>
      </c>
      <c r="Y30" s="53">
        <f t="shared" si="6"/>
        <v>87.577274065351787</v>
      </c>
      <c r="AA30" s="66">
        <v>7971</v>
      </c>
      <c r="AB30" s="66">
        <v>15824</v>
      </c>
      <c r="AC30" s="66">
        <v>16030028.289999999</v>
      </c>
      <c r="AD30" s="66">
        <f t="shared" si="9"/>
        <v>16030</v>
      </c>
    </row>
    <row r="31" spans="1:30" ht="17.25" customHeight="1">
      <c r="A31" s="61" t="s">
        <v>201</v>
      </c>
      <c r="B31" s="4">
        <v>2100</v>
      </c>
      <c r="C31" s="2">
        <v>2040</v>
      </c>
      <c r="D31" s="2">
        <v>2028</v>
      </c>
      <c r="E31" s="53">
        <f t="shared" si="0"/>
        <v>99.411764705882348</v>
      </c>
      <c r="F31" s="4">
        <v>4475</v>
      </c>
      <c r="G31" s="2">
        <v>4793</v>
      </c>
      <c r="H31" s="2">
        <v>5381</v>
      </c>
      <c r="I31" s="53">
        <f t="shared" si="1"/>
        <v>112.26789067389944</v>
      </c>
      <c r="J31" s="4">
        <v>330</v>
      </c>
      <c r="K31" s="2">
        <v>360</v>
      </c>
      <c r="L31" s="2">
        <v>347</v>
      </c>
      <c r="M31" s="53">
        <f t="shared" si="10"/>
        <v>96.388888888888886</v>
      </c>
      <c r="N31" s="4">
        <v>11</v>
      </c>
      <c r="O31" s="2">
        <v>82</v>
      </c>
      <c r="P31" s="2">
        <v>77</v>
      </c>
      <c r="Q31" s="53">
        <f t="shared" si="13"/>
        <v>93.902439024390233</v>
      </c>
      <c r="R31" s="4"/>
      <c r="S31" s="2">
        <v>7118</v>
      </c>
      <c r="T31" s="2">
        <f t="shared" si="12"/>
        <v>7118</v>
      </c>
      <c r="U31" s="53">
        <f t="shared" si="4"/>
        <v>100</v>
      </c>
      <c r="V31" s="4">
        <f t="shared" si="7"/>
        <v>10</v>
      </c>
      <c r="W31" s="2">
        <f t="shared" si="8"/>
        <v>351</v>
      </c>
      <c r="X31" s="2">
        <f t="shared" si="11"/>
        <v>336</v>
      </c>
      <c r="Y31" s="53">
        <f t="shared" si="6"/>
        <v>95.726495726495727</v>
      </c>
      <c r="AA31" s="66">
        <v>6926</v>
      </c>
      <c r="AB31" s="66">
        <v>14744</v>
      </c>
      <c r="AC31" s="66">
        <v>15286984.640000001</v>
      </c>
      <c r="AD31" s="66">
        <f t="shared" si="9"/>
        <v>15287</v>
      </c>
    </row>
    <row r="32" spans="1:30" ht="17.25" customHeight="1">
      <c r="A32" s="61" t="s">
        <v>202</v>
      </c>
      <c r="B32" s="4">
        <v>910</v>
      </c>
      <c r="C32" s="2">
        <v>935</v>
      </c>
      <c r="D32" s="2">
        <v>1098</v>
      </c>
      <c r="E32" s="53">
        <f t="shared" si="0"/>
        <v>117.43315508021391</v>
      </c>
      <c r="F32" s="4">
        <v>10408</v>
      </c>
      <c r="G32" s="2">
        <v>10408</v>
      </c>
      <c r="H32" s="2">
        <v>10402</v>
      </c>
      <c r="I32" s="53">
        <f t="shared" si="1"/>
        <v>99.942352036894704</v>
      </c>
      <c r="J32" s="4">
        <v>250</v>
      </c>
      <c r="K32" s="2">
        <v>250</v>
      </c>
      <c r="L32" s="2">
        <f>317+1</f>
        <v>318</v>
      </c>
      <c r="M32" s="53">
        <f t="shared" si="10"/>
        <v>127.2</v>
      </c>
      <c r="N32" s="4">
        <v>139</v>
      </c>
      <c r="O32" s="2">
        <v>117</v>
      </c>
      <c r="P32" s="2">
        <v>136</v>
      </c>
      <c r="Q32" s="53">
        <f t="shared" si="13"/>
        <v>116.23931623931625</v>
      </c>
      <c r="R32" s="4"/>
      <c r="S32" s="2">
        <v>9126</v>
      </c>
      <c r="T32" s="2">
        <f t="shared" si="12"/>
        <v>9126</v>
      </c>
      <c r="U32" s="53">
        <f t="shared" si="4"/>
        <v>100</v>
      </c>
      <c r="V32" s="4">
        <f t="shared" si="7"/>
        <v>46</v>
      </c>
      <c r="W32" s="2">
        <f t="shared" si="8"/>
        <v>608</v>
      </c>
      <c r="X32" s="2">
        <f t="shared" si="11"/>
        <v>643</v>
      </c>
      <c r="Y32" s="53">
        <f t="shared" si="6"/>
        <v>105.75657894736842</v>
      </c>
      <c r="AA32" s="66">
        <v>11753</v>
      </c>
      <c r="AB32" s="66">
        <v>21444</v>
      </c>
      <c r="AC32" s="66">
        <v>21722607.780000001</v>
      </c>
      <c r="AD32" s="66">
        <f t="shared" si="9"/>
        <v>21723</v>
      </c>
    </row>
    <row r="33" spans="1:30" ht="17.25" customHeight="1">
      <c r="A33" s="61" t="s">
        <v>203</v>
      </c>
      <c r="B33" s="4">
        <v>128</v>
      </c>
      <c r="C33" s="2">
        <v>128</v>
      </c>
      <c r="D33" s="2">
        <v>138</v>
      </c>
      <c r="E33" s="53">
        <f t="shared" ref="E33:E42" si="14">D33/C33*100</f>
        <v>107.8125</v>
      </c>
      <c r="F33" s="4">
        <v>1947</v>
      </c>
      <c r="G33" s="2">
        <v>2034</v>
      </c>
      <c r="H33" s="2">
        <v>1808</v>
      </c>
      <c r="I33" s="53">
        <f t="shared" si="1"/>
        <v>88.888888888888886</v>
      </c>
      <c r="J33" s="4">
        <v>200</v>
      </c>
      <c r="K33" s="2">
        <v>200</v>
      </c>
      <c r="L33" s="2">
        <v>147</v>
      </c>
      <c r="M33" s="53">
        <f t="shared" si="10"/>
        <v>73.5</v>
      </c>
      <c r="N33" s="4">
        <v>120</v>
      </c>
      <c r="O33" s="2">
        <v>120</v>
      </c>
      <c r="P33" s="2">
        <v>120</v>
      </c>
      <c r="Q33" s="53">
        <f t="shared" si="13"/>
        <v>100</v>
      </c>
      <c r="R33" s="4"/>
      <c r="S33" s="2">
        <v>7124</v>
      </c>
      <c r="T33" s="2">
        <f t="shared" si="12"/>
        <v>7124</v>
      </c>
      <c r="U33" s="53">
        <f t="shared" si="4"/>
        <v>100</v>
      </c>
      <c r="V33" s="4">
        <f t="shared" si="7"/>
        <v>72</v>
      </c>
      <c r="W33" s="2">
        <f t="shared" si="8"/>
        <v>449</v>
      </c>
      <c r="X33" s="2">
        <f t="shared" si="11"/>
        <v>425</v>
      </c>
      <c r="Y33" s="53">
        <f t="shared" si="6"/>
        <v>94.654788418708236</v>
      </c>
      <c r="AA33" s="66">
        <v>2467</v>
      </c>
      <c r="AB33" s="66">
        <v>10055</v>
      </c>
      <c r="AC33" s="66">
        <v>9761736.7899999991</v>
      </c>
      <c r="AD33" s="66">
        <f t="shared" si="9"/>
        <v>9762</v>
      </c>
    </row>
    <row r="34" spans="1:30" ht="17.25" customHeight="1">
      <c r="A34" s="61" t="s">
        <v>204</v>
      </c>
      <c r="B34" s="4">
        <v>35</v>
      </c>
      <c r="C34" s="2">
        <v>39</v>
      </c>
      <c r="D34" s="2">
        <v>32</v>
      </c>
      <c r="E34" s="53">
        <f t="shared" si="14"/>
        <v>82.051282051282044</v>
      </c>
      <c r="F34" s="4">
        <v>2347</v>
      </c>
      <c r="G34" s="2">
        <v>2354</v>
      </c>
      <c r="H34" s="2">
        <v>2338</v>
      </c>
      <c r="I34" s="53">
        <f t="shared" si="1"/>
        <v>99.320305862361934</v>
      </c>
      <c r="J34" s="4">
        <v>60</v>
      </c>
      <c r="K34" s="2">
        <v>35</v>
      </c>
      <c r="L34" s="2">
        <v>30</v>
      </c>
      <c r="M34" s="53">
        <f t="shared" si="10"/>
        <v>85.714285714285708</v>
      </c>
      <c r="N34" s="4">
        <v>0</v>
      </c>
      <c r="O34" s="2">
        <v>129</v>
      </c>
      <c r="P34" s="2">
        <v>130</v>
      </c>
      <c r="Q34" s="53">
        <f t="shared" si="13"/>
        <v>100.77519379844961</v>
      </c>
      <c r="R34" s="4"/>
      <c r="S34" s="2">
        <v>3307</v>
      </c>
      <c r="T34" s="2">
        <f t="shared" si="12"/>
        <v>3307</v>
      </c>
      <c r="U34" s="53">
        <f t="shared" si="4"/>
        <v>100</v>
      </c>
      <c r="V34" s="4">
        <f t="shared" si="7"/>
        <v>30</v>
      </c>
      <c r="W34" s="2">
        <f t="shared" si="8"/>
        <v>118</v>
      </c>
      <c r="X34" s="2">
        <f t="shared" si="11"/>
        <v>109</v>
      </c>
      <c r="Y34" s="53">
        <f t="shared" si="6"/>
        <v>92.372881355932208</v>
      </c>
      <c r="AA34" s="66">
        <v>2472</v>
      </c>
      <c r="AB34" s="66">
        <v>5982</v>
      </c>
      <c r="AC34" s="66">
        <v>5945610.79</v>
      </c>
      <c r="AD34" s="66">
        <f t="shared" si="9"/>
        <v>5946</v>
      </c>
    </row>
    <row r="35" spans="1:30" ht="17.25" customHeight="1">
      <c r="A35" s="61" t="s">
        <v>205</v>
      </c>
      <c r="B35" s="4">
        <v>90</v>
      </c>
      <c r="C35" s="2">
        <v>90</v>
      </c>
      <c r="D35" s="2">
        <v>64</v>
      </c>
      <c r="E35" s="53">
        <f t="shared" si="14"/>
        <v>71.111111111111114</v>
      </c>
      <c r="F35" s="4">
        <v>680</v>
      </c>
      <c r="G35" s="2">
        <v>950</v>
      </c>
      <c r="H35" s="2">
        <v>946</v>
      </c>
      <c r="I35" s="53">
        <f t="shared" si="1"/>
        <v>99.578947368421055</v>
      </c>
      <c r="J35" s="4">
        <v>50</v>
      </c>
      <c r="K35" s="2">
        <v>50</v>
      </c>
      <c r="L35" s="2">
        <v>33</v>
      </c>
      <c r="M35" s="53">
        <f t="shared" si="10"/>
        <v>66</v>
      </c>
      <c r="N35" s="4"/>
      <c r="O35" s="2"/>
      <c r="P35" s="2">
        <v>5</v>
      </c>
      <c r="Q35" s="53"/>
      <c r="R35" s="4"/>
      <c r="S35" s="2">
        <v>1901</v>
      </c>
      <c r="T35" s="2">
        <f t="shared" si="12"/>
        <v>1901</v>
      </c>
      <c r="U35" s="53">
        <f t="shared" si="4"/>
        <v>100</v>
      </c>
      <c r="V35" s="4">
        <f t="shared" si="7"/>
        <v>90</v>
      </c>
      <c r="W35" s="2">
        <f t="shared" si="8"/>
        <v>495</v>
      </c>
      <c r="X35" s="2">
        <f t="shared" si="11"/>
        <v>473</v>
      </c>
      <c r="Y35" s="53">
        <f t="shared" si="6"/>
        <v>95.555555555555557</v>
      </c>
      <c r="AA35" s="66">
        <v>910</v>
      </c>
      <c r="AB35" s="66">
        <v>3486</v>
      </c>
      <c r="AC35" s="66">
        <v>3422382.43</v>
      </c>
      <c r="AD35" s="66">
        <f t="shared" si="9"/>
        <v>3422</v>
      </c>
    </row>
    <row r="36" spans="1:30" ht="17.25" customHeight="1">
      <c r="A36" s="61" t="s">
        <v>206</v>
      </c>
      <c r="B36" s="4">
        <v>2464</v>
      </c>
      <c r="C36" s="2">
        <v>2489</v>
      </c>
      <c r="D36" s="2">
        <v>2454</v>
      </c>
      <c r="E36" s="53">
        <f t="shared" si="14"/>
        <v>98.593812776215344</v>
      </c>
      <c r="F36" s="4">
        <v>4989</v>
      </c>
      <c r="G36" s="2">
        <v>4839</v>
      </c>
      <c r="H36" s="2">
        <v>4865</v>
      </c>
      <c r="I36" s="53">
        <f t="shared" si="1"/>
        <v>100.53730109526762</v>
      </c>
      <c r="J36" s="4">
        <v>1000</v>
      </c>
      <c r="K36" s="2">
        <v>1160</v>
      </c>
      <c r="L36" s="2">
        <v>1143</v>
      </c>
      <c r="M36" s="53">
        <f t="shared" si="10"/>
        <v>98.534482758620683</v>
      </c>
      <c r="N36" s="4">
        <v>135</v>
      </c>
      <c r="O36" s="2">
        <v>227</v>
      </c>
      <c r="P36" s="2">
        <v>236</v>
      </c>
      <c r="Q36" s="53">
        <f>P36/O36*100</f>
        <v>103.9647577092511</v>
      </c>
      <c r="R36" s="4"/>
      <c r="S36" s="2">
        <v>23433</v>
      </c>
      <c r="T36" s="2">
        <f t="shared" si="12"/>
        <v>23433</v>
      </c>
      <c r="U36" s="53">
        <f t="shared" si="4"/>
        <v>100</v>
      </c>
      <c r="V36" s="4">
        <f t="shared" si="7"/>
        <v>3907</v>
      </c>
      <c r="W36" s="2">
        <f t="shared" si="8"/>
        <v>3991</v>
      </c>
      <c r="X36" s="2">
        <f t="shared" si="11"/>
        <v>3988</v>
      </c>
      <c r="Y36" s="53">
        <f t="shared" si="6"/>
        <v>99.924830869456272</v>
      </c>
      <c r="AA36" s="66">
        <v>12495</v>
      </c>
      <c r="AB36" s="66">
        <v>36139</v>
      </c>
      <c r="AC36" s="66">
        <v>36119153.530000001</v>
      </c>
      <c r="AD36" s="66">
        <f t="shared" si="9"/>
        <v>36119</v>
      </c>
    </row>
    <row r="37" spans="1:30" ht="17.25" customHeight="1">
      <c r="A37" s="61" t="s">
        <v>207</v>
      </c>
      <c r="B37" s="4">
        <v>874</v>
      </c>
      <c r="C37" s="2">
        <v>1082</v>
      </c>
      <c r="D37" s="2">
        <v>464</v>
      </c>
      <c r="E37" s="53">
        <f t="shared" si="14"/>
        <v>42.883548983364136</v>
      </c>
      <c r="F37" s="4">
        <v>450</v>
      </c>
      <c r="G37" s="2">
        <v>517</v>
      </c>
      <c r="H37" s="2">
        <v>514</v>
      </c>
      <c r="I37" s="53">
        <f t="shared" si="1"/>
        <v>99.419729206963254</v>
      </c>
      <c r="J37" s="4">
        <v>30</v>
      </c>
      <c r="K37" s="2">
        <v>30</v>
      </c>
      <c r="L37" s="2">
        <v>22</v>
      </c>
      <c r="M37" s="53">
        <f t="shared" si="10"/>
        <v>73.333333333333329</v>
      </c>
      <c r="N37" s="4"/>
      <c r="O37" s="2">
        <v>0</v>
      </c>
      <c r="P37" s="2">
        <v>0</v>
      </c>
      <c r="Q37" s="53"/>
      <c r="R37" s="4"/>
      <c r="S37" s="2">
        <v>11283</v>
      </c>
      <c r="T37" s="2">
        <f t="shared" si="12"/>
        <v>11283</v>
      </c>
      <c r="U37" s="53">
        <f t="shared" si="4"/>
        <v>100</v>
      </c>
      <c r="V37" s="4">
        <f t="shared" si="7"/>
        <v>30</v>
      </c>
      <c r="W37" s="2">
        <f t="shared" si="8"/>
        <v>30</v>
      </c>
      <c r="X37" s="2">
        <f t="shared" si="11"/>
        <v>15</v>
      </c>
      <c r="Y37" s="53">
        <f t="shared" si="6"/>
        <v>50</v>
      </c>
      <c r="AA37" s="66">
        <v>1384</v>
      </c>
      <c r="AB37" s="66">
        <v>12942</v>
      </c>
      <c r="AC37" s="66">
        <v>12297586.039999999</v>
      </c>
      <c r="AD37" s="66">
        <f t="shared" si="9"/>
        <v>12298</v>
      </c>
    </row>
    <row r="38" spans="1:30" ht="17.25" customHeight="1">
      <c r="A38" s="61" t="s">
        <v>208</v>
      </c>
      <c r="B38" s="4">
        <v>265</v>
      </c>
      <c r="C38" s="2">
        <v>265</v>
      </c>
      <c r="D38" s="2">
        <f>276-1</f>
        <v>275</v>
      </c>
      <c r="E38" s="53">
        <f t="shared" si="14"/>
        <v>103.77358490566037</v>
      </c>
      <c r="F38" s="4">
        <v>3715</v>
      </c>
      <c r="G38" s="2">
        <v>3715</v>
      </c>
      <c r="H38" s="2">
        <v>4249</v>
      </c>
      <c r="I38" s="53">
        <f t="shared" si="1"/>
        <v>114.37415881561239</v>
      </c>
      <c r="J38" s="4">
        <v>300</v>
      </c>
      <c r="K38" s="2">
        <v>300</v>
      </c>
      <c r="L38" s="2">
        <v>281</v>
      </c>
      <c r="M38" s="53">
        <f t="shared" si="10"/>
        <v>93.666666666666671</v>
      </c>
      <c r="N38" s="4">
        <v>130</v>
      </c>
      <c r="O38" s="2">
        <v>130</v>
      </c>
      <c r="P38" s="2">
        <v>49</v>
      </c>
      <c r="Q38" s="53">
        <f>P38/O38*100</f>
        <v>37.692307692307693</v>
      </c>
      <c r="R38" s="4"/>
      <c r="S38" s="2">
        <v>5388</v>
      </c>
      <c r="T38" s="2">
        <f t="shared" si="12"/>
        <v>5388</v>
      </c>
      <c r="U38" s="53">
        <f t="shared" si="4"/>
        <v>100</v>
      </c>
      <c r="V38" s="4">
        <f t="shared" si="7"/>
        <v>1550</v>
      </c>
      <c r="W38" s="2">
        <f t="shared" si="8"/>
        <v>1963</v>
      </c>
      <c r="X38" s="2">
        <f t="shared" si="11"/>
        <v>1933</v>
      </c>
      <c r="Y38" s="53">
        <f t="shared" si="6"/>
        <v>98.471726948548138</v>
      </c>
      <c r="AA38" s="66">
        <v>5960</v>
      </c>
      <c r="AB38" s="66">
        <v>11761</v>
      </c>
      <c r="AC38" s="66">
        <v>12175244.449999999</v>
      </c>
      <c r="AD38" s="66">
        <f t="shared" si="9"/>
        <v>12175</v>
      </c>
    </row>
    <row r="39" spans="1:30" ht="17.25" customHeight="1">
      <c r="A39" s="61" t="s">
        <v>209</v>
      </c>
      <c r="B39" s="4">
        <v>100</v>
      </c>
      <c r="C39" s="2">
        <v>102</v>
      </c>
      <c r="D39" s="2">
        <v>80</v>
      </c>
      <c r="E39" s="53">
        <f t="shared" si="14"/>
        <v>78.431372549019613</v>
      </c>
      <c r="F39" s="4">
        <v>148</v>
      </c>
      <c r="G39" s="2">
        <v>148</v>
      </c>
      <c r="H39" s="2">
        <v>152</v>
      </c>
      <c r="I39" s="53">
        <f t="shared" si="1"/>
        <v>102.70270270270269</v>
      </c>
      <c r="J39" s="4">
        <v>20</v>
      </c>
      <c r="K39" s="2">
        <v>20</v>
      </c>
      <c r="L39" s="2">
        <v>8</v>
      </c>
      <c r="M39" s="53">
        <f t="shared" si="10"/>
        <v>40</v>
      </c>
      <c r="N39" s="4">
        <v>40</v>
      </c>
      <c r="O39" s="2">
        <v>45</v>
      </c>
      <c r="P39" s="2">
        <v>33</v>
      </c>
      <c r="Q39" s="53">
        <f>P39/O39*100</f>
        <v>73.333333333333329</v>
      </c>
      <c r="R39" s="4"/>
      <c r="S39" s="2">
        <v>581</v>
      </c>
      <c r="T39" s="2">
        <f t="shared" si="12"/>
        <v>581</v>
      </c>
      <c r="U39" s="53">
        <f t="shared" si="4"/>
        <v>100</v>
      </c>
      <c r="V39" s="4">
        <f t="shared" si="7"/>
        <v>150</v>
      </c>
      <c r="W39" s="2">
        <f t="shared" si="8"/>
        <v>170</v>
      </c>
      <c r="X39" s="2">
        <f t="shared" si="11"/>
        <v>149</v>
      </c>
      <c r="Y39" s="53">
        <f t="shared" si="6"/>
        <v>87.647058823529406</v>
      </c>
      <c r="AA39" s="66">
        <v>458</v>
      </c>
      <c r="AB39" s="66">
        <v>1066</v>
      </c>
      <c r="AC39" s="66">
        <v>1002579.14</v>
      </c>
      <c r="AD39" s="66">
        <f t="shared" si="9"/>
        <v>1003</v>
      </c>
    </row>
    <row r="40" spans="1:30" ht="17.25" customHeight="1">
      <c r="A40" s="61" t="s">
        <v>210</v>
      </c>
      <c r="B40" s="4">
        <v>0</v>
      </c>
      <c r="C40" s="2">
        <v>160</v>
      </c>
      <c r="D40" s="2">
        <v>158</v>
      </c>
      <c r="E40" s="53">
        <f t="shared" si="14"/>
        <v>98.75</v>
      </c>
      <c r="F40" s="4"/>
      <c r="G40" s="2">
        <v>269</v>
      </c>
      <c r="H40" s="2">
        <v>267</v>
      </c>
      <c r="I40" s="53">
        <f t="shared" si="1"/>
        <v>99.25650557620817</v>
      </c>
      <c r="J40" s="4">
        <v>0</v>
      </c>
      <c r="K40" s="2">
        <v>3</v>
      </c>
      <c r="L40" s="2">
        <v>2</v>
      </c>
      <c r="M40" s="53">
        <f t="shared" si="10"/>
        <v>66.666666666666657</v>
      </c>
      <c r="N40" s="4"/>
      <c r="O40" s="2"/>
      <c r="P40" s="2"/>
      <c r="Q40" s="53"/>
      <c r="R40" s="4"/>
      <c r="S40" s="2">
        <v>733</v>
      </c>
      <c r="T40" s="2">
        <f t="shared" si="12"/>
        <v>733</v>
      </c>
      <c r="U40" s="53">
        <f t="shared" si="4"/>
        <v>100</v>
      </c>
      <c r="V40" s="4">
        <f t="shared" si="7"/>
        <v>0</v>
      </c>
      <c r="W40" s="2">
        <f t="shared" si="8"/>
        <v>62</v>
      </c>
      <c r="X40" s="2">
        <f t="shared" si="11"/>
        <v>60</v>
      </c>
      <c r="Y40" s="53">
        <f t="shared" si="6"/>
        <v>96.774193548387103</v>
      </c>
      <c r="AB40" s="66">
        <v>1227</v>
      </c>
      <c r="AC40" s="66">
        <v>1220250.03</v>
      </c>
      <c r="AD40" s="66">
        <f t="shared" si="9"/>
        <v>1220</v>
      </c>
    </row>
    <row r="41" spans="1:30" ht="17.25" customHeight="1">
      <c r="A41" s="61" t="s">
        <v>211</v>
      </c>
      <c r="B41" s="4">
        <v>10</v>
      </c>
      <c r="C41" s="2">
        <v>17</v>
      </c>
      <c r="D41" s="2">
        <v>17</v>
      </c>
      <c r="E41" s="53">
        <f t="shared" si="14"/>
        <v>100</v>
      </c>
      <c r="F41" s="4">
        <v>35</v>
      </c>
      <c r="G41" s="2">
        <v>33</v>
      </c>
      <c r="H41" s="2">
        <v>34</v>
      </c>
      <c r="I41" s="53">
        <f t="shared" si="1"/>
        <v>103.03030303030303</v>
      </c>
      <c r="J41" s="4">
        <v>0</v>
      </c>
      <c r="K41" s="2">
        <v>2</v>
      </c>
      <c r="L41" s="2">
        <v>2</v>
      </c>
      <c r="M41" s="53">
        <f t="shared" si="10"/>
        <v>100</v>
      </c>
      <c r="N41" s="4"/>
      <c r="O41" s="2"/>
      <c r="P41" s="2"/>
      <c r="Q41" s="53"/>
      <c r="R41" s="4"/>
      <c r="S41" s="2">
        <v>406</v>
      </c>
      <c r="T41" s="2">
        <f t="shared" si="12"/>
        <v>406</v>
      </c>
      <c r="U41" s="53">
        <f t="shared" si="4"/>
        <v>100</v>
      </c>
      <c r="V41" s="4">
        <f t="shared" si="7"/>
        <v>0</v>
      </c>
      <c r="W41" s="2">
        <f t="shared" si="8"/>
        <v>7</v>
      </c>
      <c r="X41" s="2">
        <f t="shared" si="11"/>
        <v>6</v>
      </c>
      <c r="Y41" s="53">
        <f t="shared" si="6"/>
        <v>85.714285714285708</v>
      </c>
      <c r="AA41" s="66">
        <v>45</v>
      </c>
      <c r="AB41" s="66">
        <v>465</v>
      </c>
      <c r="AC41" s="66">
        <v>464683.49</v>
      </c>
      <c r="AD41" s="66">
        <f t="shared" si="9"/>
        <v>465</v>
      </c>
    </row>
    <row r="42" spans="1:30" ht="17.25" customHeight="1" thickBot="1">
      <c r="A42" s="62" t="s">
        <v>212</v>
      </c>
      <c r="B42" s="5"/>
      <c r="C42" s="6">
        <v>8</v>
      </c>
      <c r="D42" s="6">
        <v>8</v>
      </c>
      <c r="E42" s="54">
        <f t="shared" si="14"/>
        <v>100</v>
      </c>
      <c r="F42" s="5">
        <v>70</v>
      </c>
      <c r="G42" s="6">
        <v>120</v>
      </c>
      <c r="H42" s="6">
        <v>93</v>
      </c>
      <c r="I42" s="54">
        <f t="shared" si="1"/>
        <v>77.5</v>
      </c>
      <c r="J42" s="5">
        <v>5</v>
      </c>
      <c r="K42" s="6">
        <v>11</v>
      </c>
      <c r="L42" s="6">
        <v>11</v>
      </c>
      <c r="M42" s="54">
        <f t="shared" si="10"/>
        <v>100</v>
      </c>
      <c r="N42" s="5">
        <v>1</v>
      </c>
      <c r="O42" s="6"/>
      <c r="P42" s="6"/>
      <c r="Q42" s="54"/>
      <c r="R42" s="5"/>
      <c r="S42" s="6">
        <v>277</v>
      </c>
      <c r="T42" s="6">
        <f t="shared" ref="T42" si="15">S42</f>
        <v>277</v>
      </c>
      <c r="U42" s="54">
        <f t="shared" si="4"/>
        <v>100</v>
      </c>
      <c r="V42" s="5">
        <f t="shared" si="7"/>
        <v>0</v>
      </c>
      <c r="W42" s="6">
        <f t="shared" si="8"/>
        <v>16</v>
      </c>
      <c r="X42" s="6">
        <f t="shared" si="11"/>
        <v>15</v>
      </c>
      <c r="Y42" s="54">
        <f t="shared" si="6"/>
        <v>93.75</v>
      </c>
      <c r="AA42" s="66">
        <v>76</v>
      </c>
      <c r="AB42" s="66">
        <v>432</v>
      </c>
      <c r="AC42" s="66">
        <v>403806.31</v>
      </c>
      <c r="AD42" s="66">
        <f t="shared" si="9"/>
        <v>404</v>
      </c>
    </row>
    <row r="43" spans="1:30" ht="17.100000000000001" customHeight="1" thickBot="1">
      <c r="A43" s="24"/>
      <c r="B43" s="74"/>
      <c r="C43" s="73"/>
      <c r="D43" s="73"/>
      <c r="E43" s="55"/>
      <c r="F43" s="74"/>
      <c r="G43" s="73"/>
      <c r="H43" s="73"/>
      <c r="I43" s="55"/>
      <c r="J43" s="74"/>
      <c r="K43" s="73"/>
      <c r="L43" s="73"/>
      <c r="M43" s="55"/>
      <c r="N43" s="74"/>
      <c r="O43" s="73"/>
      <c r="P43" s="73"/>
      <c r="Q43" s="55"/>
      <c r="R43" s="74"/>
      <c r="S43" s="73"/>
      <c r="T43" s="73"/>
      <c r="U43" s="55"/>
      <c r="V43" s="74"/>
      <c r="W43" s="73"/>
      <c r="X43" s="73"/>
      <c r="Y43" s="55"/>
    </row>
    <row r="44" spans="1:30" s="69" customFormat="1" ht="20.25" customHeight="1" thickBot="1">
      <c r="A44" s="63" t="s">
        <v>231</v>
      </c>
      <c r="B44" s="57">
        <f>SUM(B14:B42)</f>
        <v>34338</v>
      </c>
      <c r="C44" s="50">
        <f>SUM(C14:C42)</f>
        <v>32787</v>
      </c>
      <c r="D44" s="50">
        <f>SUM(D14:D42)</f>
        <v>33115</v>
      </c>
      <c r="E44" s="59">
        <f>D44/C44*100</f>
        <v>101.00039649861226</v>
      </c>
      <c r="F44" s="57">
        <f>SUM(F14:F42)</f>
        <v>86571</v>
      </c>
      <c r="G44" s="50">
        <f>SUM(G14:G42)</f>
        <v>90684</v>
      </c>
      <c r="H44" s="50">
        <f>SUM(H14:H42)</f>
        <v>88090</v>
      </c>
      <c r="I44" s="59">
        <f>H44/G44*100</f>
        <v>97.139517445194301</v>
      </c>
      <c r="J44" s="57">
        <f>SUM(J14:J42)</f>
        <v>10235</v>
      </c>
      <c r="K44" s="50">
        <f>SUM(K14:K42)</f>
        <v>14115</v>
      </c>
      <c r="L44" s="50">
        <f>SUM(L14:L42)</f>
        <v>14029</v>
      </c>
      <c r="M44" s="59">
        <f>L44/K44*100</f>
        <v>99.390719093163298</v>
      </c>
      <c r="N44" s="57">
        <f>SUM(N14:N42)</f>
        <v>3858</v>
      </c>
      <c r="O44" s="50">
        <f>SUM(O14:O42)</f>
        <v>6201</v>
      </c>
      <c r="P44" s="50">
        <f>SUM(P14:P42)</f>
        <v>5668</v>
      </c>
      <c r="Q44" s="59">
        <f>P44/O44*100</f>
        <v>91.404612159329133</v>
      </c>
      <c r="R44" s="57"/>
      <c r="S44" s="50">
        <f>SUM(S14:S43)</f>
        <v>205267</v>
      </c>
      <c r="T44" s="50">
        <f>SUM(T14:T42)</f>
        <v>205267</v>
      </c>
      <c r="U44" s="59">
        <f>T44/S44*100</f>
        <v>100</v>
      </c>
      <c r="V44" s="57">
        <f>SUM(V14:V43)</f>
        <v>16137</v>
      </c>
      <c r="W44" s="50">
        <f>SUM(W14:W43)</f>
        <v>27122</v>
      </c>
      <c r="X44" s="50">
        <f>SUM(X14:X42)</f>
        <v>25977</v>
      </c>
      <c r="Y44" s="59">
        <f>X44/W44*100</f>
        <v>95.778334931052285</v>
      </c>
      <c r="AA44" s="69">
        <f>SUM(AA14:AA42)</f>
        <v>151139</v>
      </c>
      <c r="AB44" s="69">
        <f>SUM(AB14:AB42)</f>
        <v>376176</v>
      </c>
      <c r="AC44" s="69">
        <f>SUM(AC14:AC42)</f>
        <v>372146043.45999998</v>
      </c>
      <c r="AD44" s="69">
        <f>SUM(AD14:AD42)</f>
        <v>372146</v>
      </c>
    </row>
    <row r="45" spans="1:30" ht="15.95" customHeight="1"/>
    <row r="46" spans="1:30" s="1" customFormat="1" ht="20.100000000000001" hidden="1" customHeight="1">
      <c r="A46" s="82">
        <v>2012</v>
      </c>
      <c r="B46" s="1">
        <v>35221</v>
      </c>
      <c r="C46" s="1">
        <v>36967</v>
      </c>
      <c r="D46" s="1">
        <v>35352</v>
      </c>
      <c r="F46" s="1">
        <v>85996</v>
      </c>
      <c r="G46" s="1">
        <v>91202</v>
      </c>
      <c r="H46" s="1">
        <v>87850</v>
      </c>
      <c r="J46" s="1">
        <v>6516</v>
      </c>
      <c r="K46" s="1">
        <v>11144</v>
      </c>
      <c r="L46" s="1">
        <v>14594</v>
      </c>
      <c r="N46" s="1">
        <v>3877</v>
      </c>
      <c r="O46" s="1">
        <v>6200</v>
      </c>
      <c r="P46" s="1">
        <v>6323</v>
      </c>
      <c r="S46" s="1">
        <v>108751</v>
      </c>
      <c r="T46" s="1">
        <v>108641</v>
      </c>
      <c r="V46" s="1">
        <f>2700+16983</f>
        <v>19683</v>
      </c>
      <c r="W46" s="1">
        <f>10915+22557</f>
        <v>33472</v>
      </c>
      <c r="X46" s="1">
        <f>10909+26708</f>
        <v>37617</v>
      </c>
    </row>
    <row r="47" spans="1:30" s="1" customFormat="1" ht="15.95" hidden="1" customHeight="1">
      <c r="A47" s="82">
        <v>2013</v>
      </c>
      <c r="B47" s="72">
        <v>34338</v>
      </c>
      <c r="C47" s="72">
        <v>32787</v>
      </c>
      <c r="D47" s="72">
        <v>33115</v>
      </c>
      <c r="F47" s="72">
        <v>86571</v>
      </c>
      <c r="G47" s="72">
        <v>90684</v>
      </c>
      <c r="H47" s="72">
        <v>88090</v>
      </c>
      <c r="I47" s="73"/>
      <c r="J47" s="72">
        <v>10235</v>
      </c>
      <c r="K47" s="72">
        <v>14115</v>
      </c>
      <c r="L47" s="72">
        <v>14029</v>
      </c>
      <c r="M47" s="73"/>
      <c r="N47" s="72">
        <v>3858</v>
      </c>
      <c r="O47" s="72">
        <v>6201</v>
      </c>
      <c r="P47" s="72">
        <v>5668</v>
      </c>
      <c r="Q47" s="73"/>
      <c r="R47" s="72"/>
      <c r="S47" s="72">
        <v>205267</v>
      </c>
      <c r="T47" s="72">
        <v>205267</v>
      </c>
      <c r="U47" s="73"/>
      <c r="V47" s="73">
        <v>16137</v>
      </c>
      <c r="W47" s="73">
        <v>27122</v>
      </c>
      <c r="X47" s="73">
        <v>25977</v>
      </c>
      <c r="AA47" s="1">
        <v>151139</v>
      </c>
      <c r="AB47" s="1">
        <v>376176</v>
      </c>
      <c r="AC47" s="1">
        <v>372146043.45999998</v>
      </c>
    </row>
    <row r="48" spans="1:30" ht="15.95" hidden="1" customHeight="1">
      <c r="X48" s="1">
        <f>AD44-T47-P47-L47-H47-D47</f>
        <v>25977</v>
      </c>
    </row>
    <row r="49" spans="2:24" ht="15.95" hidden="1" customHeight="1"/>
    <row r="50" spans="2:24" hidden="1"/>
    <row r="51" spans="2:24" hidden="1">
      <c r="D51" s="66">
        <f>D46-D47</f>
        <v>2237</v>
      </c>
      <c r="E51" s="66">
        <f t="shared" ref="E51:W51" si="16">E47-E49</f>
        <v>0</v>
      </c>
      <c r="F51" s="66">
        <f t="shared" si="16"/>
        <v>86571</v>
      </c>
      <c r="G51" s="66">
        <f t="shared" si="16"/>
        <v>90684</v>
      </c>
      <c r="H51" s="66">
        <f>H46-H47</f>
        <v>-240</v>
      </c>
      <c r="I51" s="66">
        <f t="shared" si="16"/>
        <v>0</v>
      </c>
      <c r="J51" s="66">
        <f t="shared" si="16"/>
        <v>10235</v>
      </c>
      <c r="K51" s="66">
        <f t="shared" si="16"/>
        <v>14115</v>
      </c>
      <c r="L51" s="66">
        <f>L46-L47</f>
        <v>565</v>
      </c>
      <c r="M51" s="66">
        <f t="shared" si="16"/>
        <v>0</v>
      </c>
      <c r="N51" s="66">
        <f t="shared" si="16"/>
        <v>3858</v>
      </c>
      <c r="O51" s="66">
        <f t="shared" si="16"/>
        <v>6201</v>
      </c>
      <c r="P51" s="66">
        <f>P46-P47</f>
        <v>655</v>
      </c>
      <c r="Q51" s="66">
        <f t="shared" si="16"/>
        <v>0</v>
      </c>
      <c r="R51" s="66">
        <f t="shared" si="16"/>
        <v>0</v>
      </c>
      <c r="T51" s="66">
        <f>T46-T47</f>
        <v>-96626</v>
      </c>
      <c r="U51" s="66">
        <f t="shared" si="16"/>
        <v>0</v>
      </c>
      <c r="V51" s="66">
        <f t="shared" si="16"/>
        <v>16137</v>
      </c>
      <c r="W51" s="66">
        <f t="shared" si="16"/>
        <v>27122</v>
      </c>
      <c r="X51" s="66">
        <f>X46-X47</f>
        <v>11640</v>
      </c>
    </row>
    <row r="52" spans="2:24" hidden="1">
      <c r="B52" s="66" t="s">
        <v>228</v>
      </c>
      <c r="D52" s="66">
        <f>D51/D47*100</f>
        <v>6.7552468669787107</v>
      </c>
      <c r="F52" s="66" t="s">
        <v>218</v>
      </c>
      <c r="H52" s="66">
        <f>H51/H47*100</f>
        <v>-0.27244863208082643</v>
      </c>
      <c r="L52" s="66">
        <f>L51/L47*100</f>
        <v>4.0273718725497183</v>
      </c>
      <c r="P52" s="66">
        <f>P51/P47*100</f>
        <v>11.556104446012704</v>
      </c>
      <c r="T52" s="66">
        <f>T51/T47*100</f>
        <v>-47.073324012140283</v>
      </c>
      <c r="X52" s="66">
        <f>X51/X47*100</f>
        <v>44.808869384455477</v>
      </c>
    </row>
    <row r="53" spans="2:24" hidden="1">
      <c r="H53" s="66" t="e">
        <f>H47/H49*100</f>
        <v>#DIV/0!</v>
      </c>
    </row>
    <row r="54" spans="2:24" hidden="1"/>
    <row r="55" spans="2:24" hidden="1"/>
    <row r="56" spans="2:24" hidden="1"/>
  </sheetData>
  <mergeCells count="36">
    <mergeCell ref="A3:U3"/>
    <mergeCell ref="R12:U12"/>
    <mergeCell ref="N12:Q12"/>
    <mergeCell ref="J12:M12"/>
    <mergeCell ref="F12:I12"/>
    <mergeCell ref="B12:E12"/>
    <mergeCell ref="A8:A10"/>
    <mergeCell ref="B8:E8"/>
    <mergeCell ref="F8:I8"/>
    <mergeCell ref="J8:M8"/>
    <mergeCell ref="N8:Q8"/>
    <mergeCell ref="O9:O10"/>
    <mergeCell ref="P9:P10"/>
    <mergeCell ref="T9:T10"/>
    <mergeCell ref="R8:U8"/>
    <mergeCell ref="W9:W10"/>
    <mergeCell ref="X9:X10"/>
    <mergeCell ref="AA12:AC12"/>
    <mergeCell ref="AA9:AC9"/>
    <mergeCell ref="V12:Y12"/>
    <mergeCell ref="V8:Y8"/>
    <mergeCell ref="R9:R10"/>
    <mergeCell ref="S9:S10"/>
    <mergeCell ref="A2:Y2"/>
    <mergeCell ref="A4:Y4"/>
    <mergeCell ref="H9:H10"/>
    <mergeCell ref="J9:J10"/>
    <mergeCell ref="K9:K10"/>
    <mergeCell ref="L9:L10"/>
    <mergeCell ref="N9:N10"/>
    <mergeCell ref="B9:B10"/>
    <mergeCell ref="C9:C10"/>
    <mergeCell ref="D9:D10"/>
    <mergeCell ref="F9:F10"/>
    <mergeCell ref="G9:G10"/>
    <mergeCell ref="V9:V10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 codeName="List6"/>
  <dimension ref="A1:T52"/>
  <sheetViews>
    <sheetView showZeros="0" zoomScale="85" zoomScaleNormal="85" workbookViewId="0">
      <pane xSplit="1" ySplit="10" topLeftCell="B11" activePane="bottomRight" state="frozen"/>
      <selection activeCell="C37" sqref="C37"/>
      <selection pane="topRight" activeCell="C37" sqref="C37"/>
      <selection pane="bottomLeft" activeCell="C37" sqref="C37"/>
      <selection pane="bottomRight" activeCell="H61" sqref="H61"/>
    </sheetView>
  </sheetViews>
  <sheetFormatPr defaultColWidth="9.77734375" defaultRowHeight="15.75"/>
  <cols>
    <col min="1" max="1" width="28.6640625" style="69" customWidth="1"/>
    <col min="2" max="4" width="17.88671875" style="66" customWidth="1"/>
    <col min="5" max="5" width="11" style="66" customWidth="1"/>
    <col min="6" max="8" width="17.88671875" style="66" customWidth="1"/>
    <col min="9" max="9" width="10.77734375" style="66" customWidth="1"/>
    <col min="10" max="10" width="4.21875" style="66" customWidth="1"/>
    <col min="11" max="11" width="11.77734375" style="66" hidden="1" customWidth="1"/>
    <col min="12" max="12" width="9.21875" style="66" hidden="1" customWidth="1"/>
    <col min="13" max="13" width="9.6640625" style="66" hidden="1" customWidth="1"/>
    <col min="14" max="14" width="3.5546875" style="66" hidden="1" customWidth="1"/>
    <col min="15" max="16" width="7.77734375" style="66" hidden="1" customWidth="1"/>
    <col min="17" max="17" width="10.88671875" style="66" hidden="1" customWidth="1"/>
    <col min="18" max="18" width="12.6640625" style="66" hidden="1" customWidth="1"/>
    <col min="19" max="19" width="0" style="66" hidden="1" customWidth="1"/>
    <col min="20" max="20" width="16.77734375" style="66" hidden="1" customWidth="1"/>
    <col min="21" max="28" width="12.77734375" style="66" customWidth="1"/>
    <col min="29" max="16384" width="9.77734375" style="66"/>
  </cols>
  <sheetData>
    <row r="1" spans="1:19" ht="17.25" customHeight="1"/>
    <row r="2" spans="1:19" ht="24" customHeight="1">
      <c r="A2" s="279" t="s">
        <v>257</v>
      </c>
      <c r="B2" s="279"/>
      <c r="C2" s="279"/>
      <c r="D2" s="279"/>
      <c r="E2" s="279"/>
      <c r="F2" s="279"/>
      <c r="G2" s="279"/>
      <c r="H2" s="279"/>
      <c r="I2" s="279"/>
    </row>
    <row r="3" spans="1:19" ht="15" customHeight="1">
      <c r="A3" s="65"/>
      <c r="B3" s="65"/>
      <c r="C3" s="65"/>
      <c r="D3" s="65"/>
      <c r="E3" s="65"/>
      <c r="F3" s="65"/>
      <c r="G3" s="65"/>
      <c r="H3" s="65"/>
      <c r="I3" s="65"/>
    </row>
    <row r="4" spans="1:19" ht="21" customHeight="1">
      <c r="A4" s="279" t="s">
        <v>72</v>
      </c>
      <c r="B4" s="279"/>
      <c r="C4" s="279"/>
      <c r="D4" s="279"/>
      <c r="E4" s="279"/>
      <c r="F4" s="279"/>
      <c r="G4" s="279"/>
      <c r="H4" s="279"/>
      <c r="I4" s="279"/>
    </row>
    <row r="5" spans="1:19" ht="22.5" customHeight="1">
      <c r="I5" s="17" t="s">
        <v>235</v>
      </c>
    </row>
    <row r="6" spans="1:19" ht="22.5" customHeight="1" thickBot="1">
      <c r="I6" s="17" t="s">
        <v>1</v>
      </c>
      <c r="O6" s="316" t="s">
        <v>144</v>
      </c>
      <c r="P6" s="316"/>
      <c r="Q6" s="316"/>
    </row>
    <row r="7" spans="1:19" s="69" customFormat="1" ht="18" customHeight="1" thickBot="1">
      <c r="A7" s="301" t="s">
        <v>222</v>
      </c>
      <c r="B7" s="322" t="s">
        <v>115</v>
      </c>
      <c r="C7" s="323"/>
      <c r="D7" s="323"/>
      <c r="E7" s="324"/>
      <c r="F7" s="322" t="s">
        <v>244</v>
      </c>
      <c r="G7" s="323"/>
      <c r="H7" s="323"/>
      <c r="I7" s="324"/>
      <c r="L7" s="69" t="s">
        <v>143</v>
      </c>
      <c r="O7" s="328" t="s">
        <v>145</v>
      </c>
      <c r="P7" s="328"/>
      <c r="Q7" s="328"/>
    </row>
    <row r="8" spans="1:19" ht="18" customHeight="1">
      <c r="A8" s="302"/>
      <c r="B8" s="307" t="s">
        <v>229</v>
      </c>
      <c r="C8" s="300" t="s">
        <v>230</v>
      </c>
      <c r="D8" s="300" t="s">
        <v>246</v>
      </c>
      <c r="E8" s="26" t="s">
        <v>0</v>
      </c>
      <c r="F8" s="307" t="s">
        <v>229</v>
      </c>
      <c r="G8" s="300" t="s">
        <v>230</v>
      </c>
      <c r="H8" s="300" t="s">
        <v>246</v>
      </c>
      <c r="I8" s="26" t="s">
        <v>0</v>
      </c>
      <c r="K8" s="316" t="s">
        <v>180</v>
      </c>
      <c r="L8" s="316"/>
      <c r="M8" s="316"/>
    </row>
    <row r="9" spans="1:19" ht="18" customHeight="1" thickBot="1">
      <c r="A9" s="303"/>
      <c r="B9" s="281"/>
      <c r="C9" s="277"/>
      <c r="D9" s="277"/>
      <c r="E9" s="14" t="s">
        <v>11</v>
      </c>
      <c r="F9" s="281"/>
      <c r="G9" s="277"/>
      <c r="H9" s="277"/>
      <c r="I9" s="14" t="s">
        <v>11</v>
      </c>
      <c r="O9" s="66" t="s">
        <v>12</v>
      </c>
      <c r="P9" s="66" t="s">
        <v>13</v>
      </c>
      <c r="Q9" s="66" t="s">
        <v>90</v>
      </c>
    </row>
    <row r="10" spans="1:19" ht="17.25" customHeight="1">
      <c r="A10" s="24"/>
      <c r="B10" s="325" t="s">
        <v>73</v>
      </c>
      <c r="C10" s="326"/>
      <c r="D10" s="326"/>
      <c r="E10" s="327"/>
      <c r="F10" s="325" t="s">
        <v>74</v>
      </c>
      <c r="G10" s="326"/>
      <c r="H10" s="326"/>
      <c r="I10" s="327"/>
      <c r="K10" s="66" t="s">
        <v>12</v>
      </c>
      <c r="L10" s="66" t="s">
        <v>13</v>
      </c>
      <c r="M10" s="66" t="s">
        <v>21</v>
      </c>
    </row>
    <row r="11" spans="1:19" ht="16.5" customHeight="1" thickBot="1">
      <c r="A11" s="24"/>
      <c r="B11" s="3"/>
      <c r="C11" s="70"/>
      <c r="D11" s="70"/>
      <c r="E11" s="71"/>
      <c r="F11" s="3"/>
      <c r="G11" s="70"/>
      <c r="H11" s="70"/>
      <c r="I11" s="55"/>
    </row>
    <row r="12" spans="1:19" ht="16.5" customHeight="1">
      <c r="A12" s="60" t="s">
        <v>184</v>
      </c>
      <c r="B12" s="7"/>
      <c r="C12" s="8"/>
      <c r="D12" s="8">
        <v>259</v>
      </c>
      <c r="E12" s="52"/>
      <c r="F12" s="7"/>
      <c r="G12" s="8"/>
      <c r="H12" s="8"/>
      <c r="I12" s="52"/>
      <c r="K12" s="66">
        <f t="shared" ref="K12:K40" si="0">SUM(B12+F12)</f>
        <v>0</v>
      </c>
      <c r="L12" s="66">
        <f t="shared" ref="L12:L40" si="1">SUM(C12+G12)</f>
        <v>0</v>
      </c>
      <c r="M12" s="66">
        <f t="shared" ref="M12:M40" si="2">SUM(D12+H12)</f>
        <v>259</v>
      </c>
      <c r="O12" s="66">
        <f>'Příjmy '!B11+'Příjmy '!H11+'Příjmy '!L11</f>
        <v>74917</v>
      </c>
      <c r="P12" s="66">
        <f>'Příjmy '!C11+'Příjmy '!I11+'Příjmy '!M11</f>
        <v>126696</v>
      </c>
      <c r="Q12" s="66">
        <f>'Příjmy '!D11+'Příjmy '!J11+'Příjmy '!N11</f>
        <v>114719</v>
      </c>
      <c r="R12" s="66">
        <v>136597078</v>
      </c>
      <c r="S12" s="66">
        <f>(R12/1000)-Q12</f>
        <v>21878.078000000009</v>
      </c>
    </row>
    <row r="13" spans="1:19" ht="16.5" customHeight="1">
      <c r="A13" s="61" t="s">
        <v>185</v>
      </c>
      <c r="B13" s="4"/>
      <c r="C13" s="2"/>
      <c r="D13" s="2"/>
      <c r="E13" s="53"/>
      <c r="F13" s="4"/>
      <c r="G13" s="2"/>
      <c r="H13" s="2"/>
      <c r="I13" s="53"/>
      <c r="K13" s="66">
        <f t="shared" si="0"/>
        <v>0</v>
      </c>
      <c r="L13" s="66">
        <f t="shared" si="1"/>
        <v>0</v>
      </c>
      <c r="M13" s="66">
        <f t="shared" si="2"/>
        <v>0</v>
      </c>
      <c r="O13" s="66">
        <f>'Příjmy '!B12+'Příjmy '!H12+'Příjmy '!L12</f>
        <v>7281</v>
      </c>
      <c r="P13" s="66">
        <f>'Příjmy '!C12+'Příjmy '!I12+'Příjmy '!M12</f>
        <v>14670</v>
      </c>
      <c r="Q13" s="66">
        <f>'Příjmy '!D12+'Příjmy '!J12+'Příjmy '!N12</f>
        <v>14600</v>
      </c>
      <c r="R13" s="66">
        <v>14702981</v>
      </c>
      <c r="S13" s="66">
        <f t="shared" ref="S13:S40" si="3">(R13/1000)-Q13</f>
        <v>102.98099999999977</v>
      </c>
    </row>
    <row r="14" spans="1:19" ht="16.5" customHeight="1">
      <c r="A14" s="61" t="s">
        <v>186</v>
      </c>
      <c r="B14" s="4"/>
      <c r="C14" s="2"/>
      <c r="D14" s="2"/>
      <c r="E14" s="53"/>
      <c r="F14" s="4"/>
      <c r="G14" s="2">
        <v>162</v>
      </c>
      <c r="H14" s="2">
        <v>162</v>
      </c>
      <c r="I14" s="53">
        <f t="shared" ref="I14" si="4">H14/G14*100</f>
        <v>100</v>
      </c>
      <c r="K14" s="66">
        <f t="shared" si="0"/>
        <v>0</v>
      </c>
      <c r="L14" s="66">
        <f t="shared" si="1"/>
        <v>162</v>
      </c>
      <c r="M14" s="66">
        <f t="shared" si="2"/>
        <v>162</v>
      </c>
      <c r="O14" s="66">
        <f>'Příjmy '!B13+'Příjmy '!H13+'Příjmy '!L13</f>
        <v>10592</v>
      </c>
      <c r="P14" s="66">
        <f>'Příjmy '!C13+'Příjmy '!I13+'Příjmy '!M13</f>
        <v>31450</v>
      </c>
      <c r="Q14" s="66">
        <f>'Příjmy '!D13+'Příjmy '!J13+'Příjmy '!N13</f>
        <v>30626</v>
      </c>
      <c r="R14" s="66">
        <v>17330772</v>
      </c>
      <c r="S14" s="66">
        <f t="shared" si="3"/>
        <v>-13295.227999999999</v>
      </c>
    </row>
    <row r="15" spans="1:19" ht="16.5" customHeight="1">
      <c r="A15" s="61" t="s">
        <v>187</v>
      </c>
      <c r="B15" s="4"/>
      <c r="C15" s="2"/>
      <c r="D15" s="2"/>
      <c r="E15" s="53"/>
      <c r="F15" s="4"/>
      <c r="G15" s="2"/>
      <c r="H15" s="2"/>
      <c r="I15" s="53"/>
      <c r="K15" s="66">
        <f t="shared" si="0"/>
        <v>0</v>
      </c>
      <c r="L15" s="66">
        <f t="shared" si="1"/>
        <v>0</v>
      </c>
      <c r="M15" s="66">
        <f t="shared" si="2"/>
        <v>0</v>
      </c>
      <c r="O15" s="66">
        <f>'Příjmy '!B14+'Příjmy '!H14+'Příjmy '!L14</f>
        <v>2428</v>
      </c>
      <c r="P15" s="66">
        <f>'Příjmy '!C14+'Příjmy '!I14+'Příjmy '!M14</f>
        <v>13523</v>
      </c>
      <c r="Q15" s="66">
        <f>'Příjmy '!D14+'Příjmy '!J14+'Příjmy '!N14</f>
        <v>13914</v>
      </c>
      <c r="R15" s="66">
        <v>8681708</v>
      </c>
      <c r="S15" s="66">
        <f t="shared" si="3"/>
        <v>-5232.2919999999995</v>
      </c>
    </row>
    <row r="16" spans="1:19" ht="16.5" customHeight="1">
      <c r="A16" s="61" t="s">
        <v>188</v>
      </c>
      <c r="B16" s="4"/>
      <c r="C16" s="2"/>
      <c r="D16" s="2"/>
      <c r="E16" s="53"/>
      <c r="F16" s="4"/>
      <c r="G16" s="2"/>
      <c r="H16" s="2"/>
      <c r="I16" s="53"/>
      <c r="K16" s="66">
        <f t="shared" si="0"/>
        <v>0</v>
      </c>
      <c r="L16" s="66">
        <f t="shared" si="1"/>
        <v>0</v>
      </c>
      <c r="M16" s="66">
        <f t="shared" si="2"/>
        <v>0</v>
      </c>
      <c r="O16" s="66">
        <f>'Příjmy '!B15+'Příjmy '!H15+'Příjmy '!L15</f>
        <v>4873</v>
      </c>
      <c r="P16" s="66">
        <f>'Příjmy '!C15+'Příjmy '!I15+'Příjmy '!M15</f>
        <v>16913</v>
      </c>
      <c r="Q16" s="66">
        <f>'Příjmy '!D15+'Příjmy '!J15+'Příjmy '!N15</f>
        <v>17235</v>
      </c>
      <c r="R16" s="66">
        <v>10822968</v>
      </c>
      <c r="S16" s="66">
        <f t="shared" si="3"/>
        <v>-6412.0319999999992</v>
      </c>
    </row>
    <row r="17" spans="1:19" ht="16.5" customHeight="1">
      <c r="A17" s="61" t="s">
        <v>189</v>
      </c>
      <c r="B17" s="4"/>
      <c r="C17" s="2"/>
      <c r="D17" s="2"/>
      <c r="E17" s="53"/>
      <c r="F17" s="4"/>
      <c r="G17" s="2"/>
      <c r="H17" s="2"/>
      <c r="I17" s="53"/>
      <c r="K17" s="66">
        <f t="shared" si="0"/>
        <v>0</v>
      </c>
      <c r="L17" s="66">
        <f t="shared" si="1"/>
        <v>0</v>
      </c>
      <c r="M17" s="66">
        <f t="shared" si="2"/>
        <v>0</v>
      </c>
      <c r="O17" s="66">
        <f>'Příjmy '!B16+'Příjmy '!H16+'Příjmy '!L16</f>
        <v>4086</v>
      </c>
      <c r="P17" s="66">
        <f>'Příjmy '!C16+'Příjmy '!I16+'Příjmy '!M16</f>
        <v>5646</v>
      </c>
      <c r="Q17" s="66">
        <f>'Příjmy '!D16+'Příjmy '!J16+'Příjmy '!N16</f>
        <v>5913</v>
      </c>
      <c r="R17" s="66">
        <v>4218021</v>
      </c>
      <c r="S17" s="66">
        <f t="shared" si="3"/>
        <v>-1694.9790000000003</v>
      </c>
    </row>
    <row r="18" spans="1:19" ht="16.5" customHeight="1">
      <c r="A18" s="61" t="s">
        <v>190</v>
      </c>
      <c r="B18" s="4"/>
      <c r="C18" s="2"/>
      <c r="D18" s="2"/>
      <c r="E18" s="53"/>
      <c r="F18" s="4"/>
      <c r="G18" s="2">
        <v>5</v>
      </c>
      <c r="H18" s="2">
        <v>5</v>
      </c>
      <c r="I18" s="53">
        <f t="shared" ref="I18" si="5">H18/G18*100</f>
        <v>100</v>
      </c>
      <c r="K18" s="66">
        <f t="shared" si="0"/>
        <v>0</v>
      </c>
      <c r="L18" s="66">
        <f t="shared" si="1"/>
        <v>5</v>
      </c>
      <c r="M18" s="66">
        <f t="shared" si="2"/>
        <v>5</v>
      </c>
      <c r="O18" s="66">
        <f>'Příjmy '!B17+'Příjmy '!H17+'Příjmy '!L17</f>
        <v>22932</v>
      </c>
      <c r="P18" s="66">
        <f>'Příjmy '!C17+'Příjmy '!I17+'Příjmy '!M17</f>
        <v>32493</v>
      </c>
      <c r="Q18" s="66">
        <f>'Příjmy '!D17+'Příjmy '!J17+'Příjmy '!N17</f>
        <v>31775</v>
      </c>
      <c r="R18" s="66">
        <v>22513258</v>
      </c>
      <c r="S18" s="66">
        <f t="shared" si="3"/>
        <v>-9261.7419999999984</v>
      </c>
    </row>
    <row r="19" spans="1:19" ht="16.5" customHeight="1">
      <c r="A19" s="61" t="s">
        <v>191</v>
      </c>
      <c r="B19" s="4"/>
      <c r="C19" s="2"/>
      <c r="D19" s="2"/>
      <c r="E19" s="53"/>
      <c r="F19" s="4"/>
      <c r="G19" s="2"/>
      <c r="H19" s="2"/>
      <c r="I19" s="53"/>
      <c r="K19" s="66">
        <f t="shared" si="0"/>
        <v>0</v>
      </c>
      <c r="L19" s="66">
        <f t="shared" si="1"/>
        <v>0</v>
      </c>
      <c r="M19" s="66">
        <f t="shared" si="2"/>
        <v>0</v>
      </c>
      <c r="O19" s="66">
        <f>'Příjmy '!B18+'Příjmy '!H18+'Příjmy '!L18</f>
        <v>14898</v>
      </c>
      <c r="P19" s="66">
        <f>'Příjmy '!C18+'Příjmy '!I18+'Příjmy '!M18</f>
        <v>43615</v>
      </c>
      <c r="Q19" s="66">
        <f>'Příjmy '!D18+'Příjmy '!J18+'Příjmy '!N18</f>
        <v>45052</v>
      </c>
      <c r="R19" s="66">
        <v>35131312</v>
      </c>
      <c r="S19" s="66">
        <f t="shared" si="3"/>
        <v>-9920.6880000000019</v>
      </c>
    </row>
    <row r="20" spans="1:19" ht="16.5" customHeight="1">
      <c r="A20" s="61" t="s">
        <v>192</v>
      </c>
      <c r="B20" s="4"/>
      <c r="C20" s="2"/>
      <c r="D20" s="2"/>
      <c r="E20" s="53"/>
      <c r="F20" s="4"/>
      <c r="G20" s="2"/>
      <c r="H20" s="2"/>
      <c r="I20" s="53"/>
      <c r="K20" s="66">
        <f t="shared" si="0"/>
        <v>0</v>
      </c>
      <c r="L20" s="66">
        <f t="shared" si="1"/>
        <v>0</v>
      </c>
      <c r="M20" s="66">
        <f t="shared" si="2"/>
        <v>0</v>
      </c>
      <c r="O20" s="66">
        <f>'Příjmy '!B19+'Příjmy '!H19+'Příjmy '!L19</f>
        <v>390</v>
      </c>
      <c r="P20" s="66">
        <f>'Příjmy '!C19+'Příjmy '!I19+'Příjmy '!M19</f>
        <v>2211</v>
      </c>
      <c r="Q20" s="66">
        <f>'Příjmy '!D19+'Příjmy '!J19+'Příjmy '!N19</f>
        <v>2124</v>
      </c>
      <c r="R20" s="66">
        <v>808187</v>
      </c>
      <c r="S20" s="66">
        <f t="shared" si="3"/>
        <v>-1315.8130000000001</v>
      </c>
    </row>
    <row r="21" spans="1:19" ht="16.5" customHeight="1">
      <c r="A21" s="61" t="s">
        <v>193</v>
      </c>
      <c r="B21" s="4"/>
      <c r="C21" s="2"/>
      <c r="D21" s="2"/>
      <c r="E21" s="53"/>
      <c r="F21" s="4"/>
      <c r="G21" s="2"/>
      <c r="H21" s="2"/>
      <c r="I21" s="53"/>
      <c r="K21" s="66">
        <f t="shared" si="0"/>
        <v>0</v>
      </c>
      <c r="L21" s="66">
        <f t="shared" si="1"/>
        <v>0</v>
      </c>
      <c r="M21" s="66">
        <f t="shared" si="2"/>
        <v>0</v>
      </c>
      <c r="O21" s="66">
        <f>'Příjmy '!B20+'Příjmy '!H20+'Příjmy '!L20</f>
        <v>2575</v>
      </c>
      <c r="P21" s="66">
        <f>'Příjmy '!C20+'Příjmy '!I20+'Příjmy '!M20</f>
        <v>6430</v>
      </c>
      <c r="Q21" s="66">
        <f>'Příjmy '!D20+'Příjmy '!J20+'Příjmy '!N20</f>
        <v>6418</v>
      </c>
      <c r="R21" s="66">
        <v>5231534</v>
      </c>
      <c r="S21" s="66">
        <f t="shared" si="3"/>
        <v>-1186.4660000000003</v>
      </c>
    </row>
    <row r="22" spans="1:19" ht="16.5" customHeight="1">
      <c r="A22" s="61" t="s">
        <v>194</v>
      </c>
      <c r="B22" s="4"/>
      <c r="C22" s="2"/>
      <c r="D22" s="2"/>
      <c r="E22" s="53"/>
      <c r="F22" s="4"/>
      <c r="G22" s="2">
        <v>80</v>
      </c>
      <c r="H22" s="2">
        <v>76</v>
      </c>
      <c r="I22" s="53">
        <f>H22/G22*100</f>
        <v>95</v>
      </c>
      <c r="K22" s="66">
        <f t="shared" si="0"/>
        <v>0</v>
      </c>
      <c r="L22" s="66">
        <f t="shared" si="1"/>
        <v>80</v>
      </c>
      <c r="M22" s="66">
        <f t="shared" si="2"/>
        <v>76</v>
      </c>
      <c r="O22" s="66">
        <f>'Příjmy '!B21+'Příjmy '!H21+'Příjmy '!L21</f>
        <v>3465</v>
      </c>
      <c r="P22" s="66">
        <f>'Příjmy '!C21+'Příjmy '!I21+'Příjmy '!M21</f>
        <v>5332</v>
      </c>
      <c r="Q22" s="66">
        <f>'Příjmy '!D21+'Příjmy '!J21+'Příjmy '!N21</f>
        <v>5516</v>
      </c>
      <c r="R22" s="66">
        <v>5725258</v>
      </c>
      <c r="S22" s="66">
        <f t="shared" si="3"/>
        <v>209.25799999999981</v>
      </c>
    </row>
    <row r="23" spans="1:19" ht="16.5" customHeight="1">
      <c r="A23" s="61" t="s">
        <v>195</v>
      </c>
      <c r="B23" s="4"/>
      <c r="C23" s="2"/>
      <c r="D23" s="2"/>
      <c r="E23" s="53"/>
      <c r="F23" s="4"/>
      <c r="G23" s="2"/>
      <c r="H23" s="2"/>
      <c r="I23" s="53"/>
      <c r="K23" s="66">
        <f t="shared" si="0"/>
        <v>0</v>
      </c>
      <c r="L23" s="66">
        <f t="shared" si="1"/>
        <v>0</v>
      </c>
      <c r="M23" s="66">
        <f t="shared" si="2"/>
        <v>0</v>
      </c>
      <c r="O23" s="66">
        <f>'Příjmy '!B22+'Příjmy '!H22+'Příjmy '!L22</f>
        <v>993</v>
      </c>
      <c r="P23" s="66">
        <f>'Příjmy '!C22+'Příjmy '!I22+'Příjmy '!M22</f>
        <v>4568</v>
      </c>
      <c r="Q23" s="66">
        <f>'Příjmy '!D22+'Příjmy '!J22+'Příjmy '!N22</f>
        <v>4541</v>
      </c>
      <c r="R23" s="66">
        <v>2225522</v>
      </c>
      <c r="S23" s="66">
        <f t="shared" si="3"/>
        <v>-2315.4780000000001</v>
      </c>
    </row>
    <row r="24" spans="1:19" ht="16.5" customHeight="1">
      <c r="A24" s="61" t="s">
        <v>196</v>
      </c>
      <c r="B24" s="4"/>
      <c r="C24" s="2">
        <v>60</v>
      </c>
      <c r="D24" s="2">
        <v>59</v>
      </c>
      <c r="E24" s="53">
        <f t="shared" ref="E24" si="6">D24/C24*100</f>
        <v>98.333333333333329</v>
      </c>
      <c r="F24" s="4"/>
      <c r="G24" s="2"/>
      <c r="H24" s="2"/>
      <c r="I24" s="53"/>
      <c r="K24" s="66">
        <f t="shared" si="0"/>
        <v>0</v>
      </c>
      <c r="L24" s="66">
        <f t="shared" si="1"/>
        <v>60</v>
      </c>
      <c r="M24" s="66">
        <f t="shared" si="2"/>
        <v>59</v>
      </c>
      <c r="O24" s="66">
        <f>'Příjmy '!B23+'Příjmy '!H23+'Příjmy '!L23</f>
        <v>19526</v>
      </c>
      <c r="P24" s="66">
        <f>'Příjmy '!C23+'Příjmy '!I23+'Příjmy '!M23</f>
        <v>55395</v>
      </c>
      <c r="Q24" s="66">
        <f>'Příjmy '!D23+'Příjmy '!J23+'Příjmy '!N23</f>
        <v>56591</v>
      </c>
      <c r="R24" s="66">
        <v>31613514</v>
      </c>
      <c r="S24" s="66">
        <f t="shared" si="3"/>
        <v>-24977.486000000001</v>
      </c>
    </row>
    <row r="25" spans="1:19" ht="16.5" customHeight="1">
      <c r="A25" s="61" t="s">
        <v>197</v>
      </c>
      <c r="B25" s="4"/>
      <c r="C25" s="2"/>
      <c r="D25" s="2"/>
      <c r="E25" s="53"/>
      <c r="F25" s="4"/>
      <c r="G25" s="2"/>
      <c r="H25" s="2"/>
      <c r="I25" s="53"/>
      <c r="K25" s="66">
        <f t="shared" si="0"/>
        <v>0</v>
      </c>
      <c r="L25" s="66">
        <f t="shared" si="1"/>
        <v>0</v>
      </c>
      <c r="M25" s="66">
        <f t="shared" si="2"/>
        <v>0</v>
      </c>
      <c r="O25" s="66">
        <f>'Příjmy '!B24+'Příjmy '!H24+'Příjmy '!L24</f>
        <v>1351</v>
      </c>
      <c r="P25" s="66">
        <f>'Příjmy '!C24+'Příjmy '!I24+'Příjmy '!M24</f>
        <v>4797</v>
      </c>
      <c r="Q25" s="66">
        <f>'Příjmy '!D24+'Příjmy '!J24+'Příjmy '!N24</f>
        <v>4882</v>
      </c>
      <c r="R25" s="66">
        <v>2525950</v>
      </c>
      <c r="S25" s="66">
        <f t="shared" si="3"/>
        <v>-2356.0500000000002</v>
      </c>
    </row>
    <row r="26" spans="1:19" ht="16.5" customHeight="1">
      <c r="A26" s="61" t="s">
        <v>198</v>
      </c>
      <c r="B26" s="4"/>
      <c r="C26" s="2"/>
      <c r="D26" s="2"/>
      <c r="E26" s="53"/>
      <c r="F26" s="4"/>
      <c r="G26" s="2"/>
      <c r="H26" s="2"/>
      <c r="I26" s="53"/>
      <c r="K26" s="66">
        <f t="shared" si="0"/>
        <v>0</v>
      </c>
      <c r="L26" s="66">
        <f t="shared" si="1"/>
        <v>0</v>
      </c>
      <c r="M26" s="66">
        <f t="shared" si="2"/>
        <v>0</v>
      </c>
      <c r="O26" s="66">
        <f>'Příjmy '!B25+'Příjmy '!H25+'Příjmy '!L25</f>
        <v>23707</v>
      </c>
      <c r="P26" s="66">
        <f>'Příjmy '!C25+'Příjmy '!I25+'Příjmy '!M25</f>
        <v>36477</v>
      </c>
      <c r="Q26" s="66">
        <f>'Příjmy '!D25+'Příjmy '!J25+'Příjmy '!N25</f>
        <v>37521</v>
      </c>
      <c r="R26" s="66">
        <v>29404151</v>
      </c>
      <c r="S26" s="66">
        <f t="shared" si="3"/>
        <v>-8116.8489999999983</v>
      </c>
    </row>
    <row r="27" spans="1:19" ht="16.5" customHeight="1">
      <c r="A27" s="61" t="s">
        <v>199</v>
      </c>
      <c r="B27" s="4"/>
      <c r="C27" s="2"/>
      <c r="D27" s="2"/>
      <c r="E27" s="53"/>
      <c r="F27" s="4"/>
      <c r="G27" s="2"/>
      <c r="H27" s="2"/>
      <c r="I27" s="53"/>
      <c r="K27" s="66">
        <f t="shared" si="0"/>
        <v>0</v>
      </c>
      <c r="L27" s="66">
        <f t="shared" si="1"/>
        <v>0</v>
      </c>
      <c r="M27" s="66">
        <f t="shared" si="2"/>
        <v>0</v>
      </c>
      <c r="O27" s="66">
        <f>'Příjmy '!B26+'Příjmy '!H26+'Příjmy '!L26</f>
        <v>6845</v>
      </c>
      <c r="P27" s="66">
        <f>'Příjmy '!C26+'Příjmy '!I26+'Příjmy '!M26</f>
        <v>17418</v>
      </c>
      <c r="Q27" s="66">
        <f>'Příjmy '!D26+'Příjmy '!J26+'Příjmy '!N26</f>
        <v>17386</v>
      </c>
      <c r="R27" s="66">
        <v>17273660</v>
      </c>
      <c r="S27" s="66">
        <f t="shared" si="3"/>
        <v>-112.34000000000015</v>
      </c>
    </row>
    <row r="28" spans="1:19" ht="16.5" customHeight="1">
      <c r="A28" s="61" t="s">
        <v>200</v>
      </c>
      <c r="B28" s="4"/>
      <c r="C28" s="2"/>
      <c r="D28" s="2"/>
      <c r="E28" s="53"/>
      <c r="F28" s="4"/>
      <c r="G28" s="2"/>
      <c r="H28" s="2"/>
      <c r="I28" s="53"/>
      <c r="K28" s="66">
        <f t="shared" si="0"/>
        <v>0</v>
      </c>
      <c r="L28" s="66">
        <f t="shared" si="1"/>
        <v>0</v>
      </c>
      <c r="M28" s="66">
        <f t="shared" si="2"/>
        <v>0</v>
      </c>
      <c r="O28" s="66">
        <f>'Příjmy '!B27+'Příjmy '!H27+'Příjmy '!L27</f>
        <v>9671</v>
      </c>
      <c r="P28" s="66">
        <f>'Příjmy '!C27+'Příjmy '!I27+'Příjmy '!M27</f>
        <v>22016</v>
      </c>
      <c r="Q28" s="66">
        <f>'Příjmy '!D27+'Příjmy '!J27+'Příjmy '!N27</f>
        <v>23254</v>
      </c>
      <c r="R28" s="66">
        <v>19064233</v>
      </c>
      <c r="S28" s="66">
        <f t="shared" si="3"/>
        <v>-4189.7669999999998</v>
      </c>
    </row>
    <row r="29" spans="1:19" ht="16.5" customHeight="1">
      <c r="A29" s="61" t="s">
        <v>201</v>
      </c>
      <c r="B29" s="4"/>
      <c r="C29" s="2"/>
      <c r="D29" s="2"/>
      <c r="E29" s="53"/>
      <c r="F29" s="4"/>
      <c r="G29" s="2"/>
      <c r="H29" s="2"/>
      <c r="I29" s="53"/>
      <c r="K29" s="66">
        <f t="shared" si="0"/>
        <v>0</v>
      </c>
      <c r="L29" s="66">
        <f t="shared" si="1"/>
        <v>0</v>
      </c>
      <c r="M29" s="66">
        <f t="shared" si="2"/>
        <v>0</v>
      </c>
      <c r="O29" s="66">
        <f>'Příjmy '!B28+'Příjmy '!H28+'Příjmy '!L28</f>
        <v>8081</v>
      </c>
      <c r="P29" s="66">
        <f>'Příjmy '!C28+'Příjmy '!I28+'Příjmy '!M28</f>
        <v>21571</v>
      </c>
      <c r="Q29" s="66">
        <f>'Příjmy '!D28+'Příjmy '!J28+'Příjmy '!N28</f>
        <v>22124</v>
      </c>
      <c r="R29" s="66">
        <v>25410425</v>
      </c>
      <c r="S29" s="66">
        <f t="shared" si="3"/>
        <v>3286.4249999999993</v>
      </c>
    </row>
    <row r="30" spans="1:19" ht="16.5" customHeight="1">
      <c r="A30" s="61" t="s">
        <v>202</v>
      </c>
      <c r="B30" s="4"/>
      <c r="C30" s="2"/>
      <c r="D30" s="2"/>
      <c r="E30" s="53"/>
      <c r="F30" s="4"/>
      <c r="G30" s="2"/>
      <c r="H30" s="2"/>
      <c r="I30" s="53"/>
      <c r="K30" s="66">
        <f t="shared" si="0"/>
        <v>0</v>
      </c>
      <c r="L30" s="66">
        <f t="shared" si="1"/>
        <v>0</v>
      </c>
      <c r="M30" s="66">
        <f t="shared" si="2"/>
        <v>0</v>
      </c>
      <c r="O30" s="66">
        <f>'Příjmy '!B29+'Příjmy '!H29+'Příjmy '!L29</f>
        <v>26513</v>
      </c>
      <c r="P30" s="66">
        <f>'Příjmy '!C29+'Příjmy '!I29+'Příjmy '!M29</f>
        <v>37979</v>
      </c>
      <c r="Q30" s="66">
        <f>'Příjmy '!D29+'Příjmy '!J29+'Příjmy '!N29</f>
        <v>38741</v>
      </c>
      <c r="R30" s="66">
        <v>36104781</v>
      </c>
      <c r="S30" s="66">
        <f t="shared" si="3"/>
        <v>-2636.2189999999973</v>
      </c>
    </row>
    <row r="31" spans="1:19" ht="16.5" customHeight="1">
      <c r="A31" s="61" t="s">
        <v>203</v>
      </c>
      <c r="B31" s="4"/>
      <c r="C31" s="2"/>
      <c r="D31" s="2"/>
      <c r="E31" s="53"/>
      <c r="F31" s="4"/>
      <c r="G31" s="2"/>
      <c r="H31" s="2"/>
      <c r="I31" s="53"/>
      <c r="K31" s="66">
        <f t="shared" si="0"/>
        <v>0</v>
      </c>
      <c r="L31" s="66">
        <f t="shared" si="1"/>
        <v>0</v>
      </c>
      <c r="M31" s="66">
        <f t="shared" si="2"/>
        <v>0</v>
      </c>
      <c r="O31" s="66">
        <f>'Příjmy '!B30+'Příjmy '!H30+'Příjmy '!L30</f>
        <v>6978</v>
      </c>
      <c r="P31" s="66">
        <f>'Příjmy '!C30+'Příjmy '!I30+'Příjmy '!M30</f>
        <v>15424</v>
      </c>
      <c r="Q31" s="66">
        <f>'Příjmy '!D30+'Příjmy '!J30+'Příjmy '!N30</f>
        <v>15418</v>
      </c>
      <c r="R31" s="66">
        <v>11431324</v>
      </c>
      <c r="S31" s="66">
        <f t="shared" si="3"/>
        <v>-3986.6759999999995</v>
      </c>
    </row>
    <row r="32" spans="1:19" ht="16.5" customHeight="1">
      <c r="A32" s="61" t="s">
        <v>204</v>
      </c>
      <c r="B32" s="4"/>
      <c r="C32" s="2"/>
      <c r="D32" s="2"/>
      <c r="E32" s="53"/>
      <c r="F32" s="4"/>
      <c r="G32" s="2"/>
      <c r="H32" s="2"/>
      <c r="I32" s="53"/>
      <c r="K32" s="66">
        <f t="shared" si="0"/>
        <v>0</v>
      </c>
      <c r="L32" s="66">
        <f t="shared" si="1"/>
        <v>0</v>
      </c>
      <c r="M32" s="66">
        <f t="shared" si="2"/>
        <v>0</v>
      </c>
      <c r="O32" s="66">
        <f>'Příjmy '!B31+'Příjmy '!H31+'Příjmy '!L31</f>
        <v>2860</v>
      </c>
      <c r="P32" s="66">
        <f>'Příjmy '!C31+'Příjmy '!I31+'Příjmy '!M31</f>
        <v>7113</v>
      </c>
      <c r="Q32" s="66">
        <f>'Příjmy '!D31+'Příjmy '!J31+'Příjmy '!N31</f>
        <v>7135</v>
      </c>
      <c r="R32" s="66">
        <v>5164500</v>
      </c>
      <c r="S32" s="66">
        <f t="shared" si="3"/>
        <v>-1970.5</v>
      </c>
    </row>
    <row r="33" spans="1:19" ht="16.5" customHeight="1">
      <c r="A33" s="61" t="s">
        <v>205</v>
      </c>
      <c r="B33" s="4"/>
      <c r="C33" s="2"/>
      <c r="D33" s="2"/>
      <c r="E33" s="53"/>
      <c r="F33" s="4"/>
      <c r="G33" s="2"/>
      <c r="H33" s="2"/>
      <c r="I33" s="53"/>
      <c r="K33" s="66">
        <f t="shared" si="0"/>
        <v>0</v>
      </c>
      <c r="L33" s="66">
        <f t="shared" si="1"/>
        <v>0</v>
      </c>
      <c r="M33" s="66">
        <f t="shared" si="2"/>
        <v>0</v>
      </c>
      <c r="O33" s="66">
        <f>'Příjmy '!B32+'Příjmy '!H32+'Příjmy '!L32</f>
        <v>1191</v>
      </c>
      <c r="P33" s="66">
        <f>'Příjmy '!C32+'Příjmy '!I32+'Příjmy '!M32</f>
        <v>4130</v>
      </c>
      <c r="Q33" s="66">
        <f>'Příjmy '!D32+'Příjmy '!J32+'Příjmy '!N32</f>
        <v>4052</v>
      </c>
      <c r="R33" s="66">
        <v>2754345</v>
      </c>
      <c r="S33" s="66">
        <f t="shared" si="3"/>
        <v>-1297.6550000000002</v>
      </c>
    </row>
    <row r="34" spans="1:19" ht="16.5" customHeight="1">
      <c r="A34" s="61" t="s">
        <v>206</v>
      </c>
      <c r="B34" s="4"/>
      <c r="C34" s="2"/>
      <c r="D34" s="2"/>
      <c r="E34" s="53"/>
      <c r="F34" s="4"/>
      <c r="G34" s="2"/>
      <c r="H34" s="2"/>
      <c r="I34" s="53"/>
      <c r="K34" s="66">
        <f t="shared" si="0"/>
        <v>0</v>
      </c>
      <c r="L34" s="66">
        <f t="shared" si="1"/>
        <v>0</v>
      </c>
      <c r="M34" s="66">
        <f t="shared" si="2"/>
        <v>0</v>
      </c>
      <c r="O34" s="66">
        <f>'Příjmy '!B33+'Příjmy '!H33+'Příjmy '!L33</f>
        <v>42440</v>
      </c>
      <c r="P34" s="66">
        <f>'Příjmy '!C33+'Příjmy '!I33+'Příjmy '!M33</f>
        <v>71398</v>
      </c>
      <c r="Q34" s="66">
        <f>'Příjmy '!D33+'Příjmy '!J33+'Příjmy '!N33</f>
        <v>71234</v>
      </c>
      <c r="R34" s="66">
        <v>64095880</v>
      </c>
      <c r="S34" s="66">
        <f t="shared" si="3"/>
        <v>-7138.1200000000026</v>
      </c>
    </row>
    <row r="35" spans="1:19" ht="16.5" customHeight="1">
      <c r="A35" s="61" t="s">
        <v>207</v>
      </c>
      <c r="B35" s="4"/>
      <c r="C35" s="2"/>
      <c r="D35" s="2"/>
      <c r="E35" s="53"/>
      <c r="F35" s="4"/>
      <c r="G35" s="2"/>
      <c r="H35" s="2"/>
      <c r="I35" s="53"/>
      <c r="K35" s="66">
        <f t="shared" si="0"/>
        <v>0</v>
      </c>
      <c r="L35" s="66">
        <f t="shared" si="1"/>
        <v>0</v>
      </c>
      <c r="M35" s="66">
        <f t="shared" si="2"/>
        <v>0</v>
      </c>
      <c r="O35" s="66">
        <f>'Příjmy '!B34+'Příjmy '!H34+'Příjmy '!L34</f>
        <v>3303</v>
      </c>
      <c r="P35" s="66">
        <f>'Příjmy '!C34+'Příjmy '!I34+'Příjmy '!M34</f>
        <v>14346</v>
      </c>
      <c r="Q35" s="66">
        <f>'Příjmy '!D34+'Příjmy '!J34+'Příjmy '!N34</f>
        <v>13652</v>
      </c>
      <c r="R35" s="66">
        <v>4014889</v>
      </c>
      <c r="S35" s="66">
        <f t="shared" si="3"/>
        <v>-9637.1110000000008</v>
      </c>
    </row>
    <row r="36" spans="1:19" ht="16.5" customHeight="1">
      <c r="A36" s="61" t="s">
        <v>208</v>
      </c>
      <c r="B36" s="4"/>
      <c r="C36" s="2"/>
      <c r="D36" s="2"/>
      <c r="E36" s="53"/>
      <c r="F36" s="4">
        <v>10</v>
      </c>
      <c r="G36" s="2">
        <v>10</v>
      </c>
      <c r="H36" s="2">
        <v>12</v>
      </c>
      <c r="I36" s="53">
        <f>H36/G36*100</f>
        <v>120</v>
      </c>
      <c r="K36" s="66">
        <f t="shared" si="0"/>
        <v>10</v>
      </c>
      <c r="L36" s="66">
        <f t="shared" si="1"/>
        <v>10</v>
      </c>
      <c r="M36" s="66">
        <f t="shared" si="2"/>
        <v>12</v>
      </c>
      <c r="O36" s="66">
        <f>'Příjmy '!B35+'Příjmy '!H35+'Příjmy '!L35</f>
        <v>9785</v>
      </c>
      <c r="P36" s="66">
        <f>'Příjmy '!C35+'Příjmy '!I35+'Příjmy '!M35</f>
        <v>16068</v>
      </c>
      <c r="Q36" s="66">
        <f>'Příjmy '!D35+'Příjmy '!J35+'Příjmy '!N35</f>
        <v>16689</v>
      </c>
      <c r="R36" s="66">
        <v>15736057</v>
      </c>
      <c r="S36" s="66">
        <f t="shared" si="3"/>
        <v>-952.9429999999993</v>
      </c>
    </row>
    <row r="37" spans="1:19" ht="16.5" customHeight="1">
      <c r="A37" s="61" t="s">
        <v>209</v>
      </c>
      <c r="B37" s="4"/>
      <c r="C37" s="2"/>
      <c r="D37" s="2"/>
      <c r="E37" s="53"/>
      <c r="F37" s="4"/>
      <c r="G37" s="2"/>
      <c r="H37" s="2"/>
      <c r="I37" s="53"/>
      <c r="K37" s="66">
        <f t="shared" si="0"/>
        <v>0</v>
      </c>
      <c r="L37" s="66">
        <f t="shared" si="1"/>
        <v>0</v>
      </c>
      <c r="M37" s="66">
        <f t="shared" si="2"/>
        <v>0</v>
      </c>
      <c r="O37" s="66">
        <f>'Příjmy '!B36+'Příjmy '!H36+'Příjmy '!L36</f>
        <v>688</v>
      </c>
      <c r="P37" s="66">
        <f>'Příjmy '!C36+'Příjmy '!I36+'Příjmy '!M36</f>
        <v>1546</v>
      </c>
      <c r="Q37" s="66">
        <f>'Příjmy '!D36+'Příjmy '!J36+'Příjmy '!N36</f>
        <v>1471</v>
      </c>
      <c r="R37" s="66">
        <v>657156</v>
      </c>
      <c r="S37" s="66">
        <f t="shared" si="3"/>
        <v>-813.84400000000005</v>
      </c>
    </row>
    <row r="38" spans="1:19" ht="16.5" customHeight="1">
      <c r="A38" s="61" t="s">
        <v>210</v>
      </c>
      <c r="B38" s="4"/>
      <c r="C38" s="2"/>
      <c r="D38" s="2"/>
      <c r="E38" s="53"/>
      <c r="F38" s="4"/>
      <c r="G38" s="2"/>
      <c r="H38" s="2"/>
      <c r="I38" s="53"/>
      <c r="K38" s="66">
        <f t="shared" si="0"/>
        <v>0</v>
      </c>
      <c r="L38" s="66">
        <f t="shared" si="1"/>
        <v>0</v>
      </c>
      <c r="M38" s="66">
        <f t="shared" si="2"/>
        <v>0</v>
      </c>
      <c r="O38" s="66">
        <f>'Příjmy '!B37+'Příjmy '!H37+'Příjmy '!L37</f>
        <v>0</v>
      </c>
      <c r="P38" s="66">
        <f>'Příjmy '!C37+'Příjmy '!I37+'Příjmy '!M37</f>
        <v>1348</v>
      </c>
      <c r="Q38" s="66">
        <f>'Příjmy '!D37+'Příjmy '!J37+'Příjmy '!N37</f>
        <v>1340</v>
      </c>
      <c r="R38" s="66">
        <v>632521</v>
      </c>
      <c r="S38" s="66">
        <f t="shared" si="3"/>
        <v>-707.47900000000004</v>
      </c>
    </row>
    <row r="39" spans="1:19" ht="16.5" customHeight="1">
      <c r="A39" s="61" t="s">
        <v>211</v>
      </c>
      <c r="B39" s="4"/>
      <c r="C39" s="2"/>
      <c r="D39" s="2"/>
      <c r="E39" s="53"/>
      <c r="F39" s="4"/>
      <c r="G39" s="2"/>
      <c r="H39" s="2"/>
      <c r="I39" s="53"/>
      <c r="K39" s="66">
        <f t="shared" si="0"/>
        <v>0</v>
      </c>
      <c r="L39" s="66">
        <f t="shared" si="1"/>
        <v>0</v>
      </c>
      <c r="M39" s="66">
        <f t="shared" si="2"/>
        <v>0</v>
      </c>
      <c r="O39" s="66">
        <f>'Příjmy '!B38+'Příjmy '!H38+'Příjmy '!L38</f>
        <v>69</v>
      </c>
      <c r="P39" s="66">
        <f>'Příjmy '!C38+'Příjmy '!I38+'Příjmy '!M38</f>
        <v>830</v>
      </c>
      <c r="Q39" s="66">
        <f>'Příjmy '!D38+'Příjmy '!J38+'Příjmy '!N38</f>
        <v>829</v>
      </c>
      <c r="R39" s="66">
        <v>248420</v>
      </c>
      <c r="S39" s="66">
        <f t="shared" si="3"/>
        <v>-580.58000000000004</v>
      </c>
    </row>
    <row r="40" spans="1:19" ht="16.5" customHeight="1" thickBot="1">
      <c r="A40" s="62" t="s">
        <v>212</v>
      </c>
      <c r="B40" s="5"/>
      <c r="C40" s="6">
        <v>83</v>
      </c>
      <c r="D40" s="6">
        <v>83</v>
      </c>
      <c r="E40" s="54">
        <f t="shared" ref="E40" si="7">D40/C40*100</f>
        <v>100</v>
      </c>
      <c r="F40" s="5"/>
      <c r="G40" s="6"/>
      <c r="H40" s="6"/>
      <c r="I40" s="54"/>
      <c r="K40" s="66">
        <f t="shared" si="0"/>
        <v>0</v>
      </c>
      <c r="L40" s="66">
        <f t="shared" si="1"/>
        <v>83</v>
      </c>
      <c r="M40" s="66">
        <f t="shared" si="2"/>
        <v>83</v>
      </c>
      <c r="O40" s="66">
        <f>'Příjmy '!B39+'Příjmy '!H39+'Příjmy '!L39</f>
        <v>116</v>
      </c>
      <c r="P40" s="66">
        <f>'Příjmy '!C39+'Příjmy '!I39+'Příjmy '!M39</f>
        <v>584</v>
      </c>
      <c r="Q40" s="66">
        <f>'Příjmy '!D39+'Příjmy '!J39+'Příjmy '!N39</f>
        <v>556</v>
      </c>
      <c r="R40" s="66">
        <v>305399</v>
      </c>
      <c r="S40" s="66">
        <f t="shared" si="3"/>
        <v>-250.601</v>
      </c>
    </row>
    <row r="41" spans="1:19" ht="15" customHeight="1" thickBot="1">
      <c r="A41" s="24"/>
      <c r="B41" s="74"/>
      <c r="C41" s="73"/>
      <c r="D41" s="73"/>
      <c r="E41" s="55"/>
      <c r="F41" s="74"/>
      <c r="G41" s="73"/>
      <c r="H41" s="73"/>
      <c r="I41" s="55"/>
    </row>
    <row r="42" spans="1:19" s="69" customFormat="1" ht="18" customHeight="1" thickBot="1">
      <c r="A42" s="63" t="s">
        <v>240</v>
      </c>
      <c r="B42" s="57">
        <f>SUM(B12:B40)</f>
        <v>0</v>
      </c>
      <c r="C42" s="50">
        <f>SUM(C11:C40)</f>
        <v>143</v>
      </c>
      <c r="D42" s="50">
        <f>SUM(D12:D40)</f>
        <v>401</v>
      </c>
      <c r="E42" s="56">
        <f>D42/C42*100</f>
        <v>280.41958041958043</v>
      </c>
      <c r="F42" s="57">
        <f>SUM(F11:F40)</f>
        <v>10</v>
      </c>
      <c r="G42" s="50">
        <f>SUM(G11:G40)</f>
        <v>257</v>
      </c>
      <c r="H42" s="50">
        <f>SUM(H11:H40)</f>
        <v>255</v>
      </c>
      <c r="I42" s="56">
        <f>H42/G42*100</f>
        <v>99.221789883268485</v>
      </c>
      <c r="K42" s="69">
        <f t="shared" ref="K42:R42" si="8">SUM(K12:K41)</f>
        <v>10</v>
      </c>
      <c r="L42" s="69">
        <f t="shared" si="8"/>
        <v>400</v>
      </c>
      <c r="M42" s="69">
        <f t="shared" si="8"/>
        <v>656</v>
      </c>
      <c r="N42" s="69">
        <f t="shared" si="8"/>
        <v>0</v>
      </c>
      <c r="O42" s="69">
        <f t="shared" si="8"/>
        <v>312554</v>
      </c>
      <c r="P42" s="69">
        <f t="shared" si="8"/>
        <v>631987</v>
      </c>
      <c r="Q42" s="69">
        <f t="shared" si="8"/>
        <v>625308</v>
      </c>
      <c r="R42" s="69">
        <f t="shared" si="8"/>
        <v>530425804</v>
      </c>
    </row>
    <row r="43" spans="1:19">
      <c r="E43" s="83"/>
      <c r="I43" s="83"/>
    </row>
    <row r="44" spans="1:19">
      <c r="E44" s="83"/>
      <c r="O44" s="66">
        <v>365965</v>
      </c>
      <c r="P44" s="66">
        <v>523605</v>
      </c>
      <c r="Q44" s="66">
        <v>530426</v>
      </c>
    </row>
    <row r="45" spans="1:19" hidden="1"/>
    <row r="46" spans="1:19" hidden="1">
      <c r="A46" s="69">
        <v>2012</v>
      </c>
      <c r="B46" s="66">
        <v>235</v>
      </c>
      <c r="C46" s="66">
        <v>512</v>
      </c>
      <c r="D46" s="66">
        <v>505</v>
      </c>
      <c r="F46" s="66">
        <v>5</v>
      </c>
      <c r="G46" s="66">
        <v>402</v>
      </c>
      <c r="H46" s="66">
        <v>412</v>
      </c>
    </row>
    <row r="47" spans="1:19" hidden="1"/>
    <row r="48" spans="1:19" hidden="1">
      <c r="A48" s="69">
        <v>2013</v>
      </c>
      <c r="C48" s="66">
        <v>143</v>
      </c>
      <c r="D48" s="66">
        <v>401</v>
      </c>
      <c r="F48" s="66">
        <v>10</v>
      </c>
      <c r="G48" s="66">
        <v>257</v>
      </c>
      <c r="H48" s="66">
        <v>255</v>
      </c>
    </row>
    <row r="49" hidden="1"/>
    <row r="50" hidden="1"/>
    <row r="51" hidden="1"/>
    <row r="52" hidden="1"/>
  </sheetData>
  <mergeCells count="16">
    <mergeCell ref="B10:E10"/>
    <mergeCell ref="F10:I10"/>
    <mergeCell ref="F7:I7"/>
    <mergeCell ref="O7:Q7"/>
    <mergeCell ref="O6:Q6"/>
    <mergeCell ref="K8:M8"/>
    <mergeCell ref="A4:I4"/>
    <mergeCell ref="A2:I2"/>
    <mergeCell ref="A7:A9"/>
    <mergeCell ref="B7:E7"/>
    <mergeCell ref="B8:B9"/>
    <mergeCell ref="C8:C9"/>
    <mergeCell ref="D8:D9"/>
    <mergeCell ref="F8:F9"/>
    <mergeCell ref="G8:G9"/>
    <mergeCell ref="H8:H9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65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transitionEvaluation="1" codeName="List7"/>
  <dimension ref="A1:U58"/>
  <sheetViews>
    <sheetView showZeros="0" zoomScaleNormal="100" zoomScaleSheetLayoutView="70" workbookViewId="0">
      <pane xSplit="1" topLeftCell="B1" activePane="topRight" state="frozen"/>
      <selection pane="topRight" activeCell="A5" sqref="A5"/>
    </sheetView>
  </sheetViews>
  <sheetFormatPr defaultRowHeight="15.75"/>
  <cols>
    <col min="1" max="1" width="27.33203125" style="112" customWidth="1"/>
    <col min="2" max="3" width="9.21875" style="111" customWidth="1"/>
    <col min="4" max="4" width="9.6640625" style="111" customWidth="1"/>
    <col min="5" max="5" width="7.44140625" style="111" customWidth="1"/>
    <col min="6" max="7" width="9.21875" style="111" customWidth="1"/>
    <col min="8" max="8" width="9.88671875" style="111" customWidth="1"/>
    <col min="9" max="9" width="7.44140625" style="111" customWidth="1"/>
    <col min="10" max="11" width="9.21875" style="111" customWidth="1"/>
    <col min="12" max="12" width="9.88671875" style="111" customWidth="1"/>
    <col min="13" max="13" width="7.44140625" style="111" customWidth="1"/>
    <col min="14" max="15" width="9.21875" style="111" customWidth="1"/>
    <col min="16" max="16" width="9.5546875" style="111" customWidth="1"/>
    <col min="17" max="17" width="7.44140625" style="111" customWidth="1"/>
    <col min="18" max="19" width="9" style="111" customWidth="1"/>
    <col min="20" max="20" width="10" style="111" customWidth="1"/>
    <col min="21" max="21" width="7.33203125" style="111" customWidth="1"/>
    <col min="22" max="23" width="9.77734375" style="25"/>
    <col min="24" max="26" width="8.77734375" style="25" customWidth="1"/>
    <col min="27" max="27" width="6.77734375" style="25" customWidth="1"/>
    <col min="28" max="30" width="8.77734375" style="25" customWidth="1"/>
    <col min="31" max="31" width="6.77734375" style="25" customWidth="1"/>
    <col min="32" max="34" width="8.77734375" style="25" customWidth="1"/>
    <col min="35" max="35" width="6.77734375" style="25" customWidth="1"/>
    <col min="36" max="38" width="8.77734375" style="25" customWidth="1"/>
    <col min="39" max="39" width="6.77734375" style="25" customWidth="1"/>
    <col min="40" max="42" width="8.77734375" style="25" customWidth="1"/>
    <col min="43" max="43" width="6.77734375" style="25" customWidth="1"/>
    <col min="44" max="44" width="9.77734375" style="25"/>
    <col min="45" max="16384" width="8.88671875" style="25"/>
  </cols>
  <sheetData>
    <row r="1" spans="1:21" s="34" customFormat="1" ht="17.25" customHeight="1">
      <c r="A1" s="112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1" s="18" customFormat="1" ht="24" customHeight="1">
      <c r="A2" s="279" t="s">
        <v>245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</row>
    <row r="3" spans="1:21" s="18" customFormat="1" ht="1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1" s="18" customFormat="1" ht="21" customHeight="1">
      <c r="A4" s="279" t="s">
        <v>225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</row>
    <row r="5" spans="1:21" s="34" customFormat="1" ht="22.5" customHeight="1">
      <c r="A5" s="112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7" t="s">
        <v>233</v>
      </c>
    </row>
    <row r="6" spans="1:21" s="34" customFormat="1" ht="22.5" customHeight="1" thickBot="1">
      <c r="A6" s="112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7" t="s">
        <v>232</v>
      </c>
    </row>
    <row r="7" spans="1:21" s="34" customFormat="1" ht="18" customHeight="1" thickBot="1">
      <c r="A7" s="301" t="s">
        <v>222</v>
      </c>
      <c r="B7" s="323" t="s">
        <v>154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289" t="s">
        <v>87</v>
      </c>
      <c r="S7" s="311"/>
      <c r="T7" s="311"/>
      <c r="U7" s="290"/>
    </row>
    <row r="8" spans="1:21" s="34" customFormat="1" ht="17.100000000000001" customHeight="1" thickBot="1">
      <c r="A8" s="329"/>
      <c r="B8" s="331" t="s">
        <v>75</v>
      </c>
      <c r="C8" s="332"/>
      <c r="D8" s="332"/>
      <c r="E8" s="43"/>
      <c r="F8" s="331" t="s">
        <v>76</v>
      </c>
      <c r="G8" s="332"/>
      <c r="H8" s="332"/>
      <c r="I8" s="333"/>
      <c r="J8" s="331" t="s">
        <v>77</v>
      </c>
      <c r="K8" s="332"/>
      <c r="L8" s="332"/>
      <c r="M8" s="333"/>
      <c r="N8" s="331" t="s">
        <v>140</v>
      </c>
      <c r="O8" s="332"/>
      <c r="P8" s="332"/>
      <c r="Q8" s="333"/>
      <c r="R8" s="304" t="s">
        <v>89</v>
      </c>
      <c r="S8" s="305"/>
      <c r="T8" s="305"/>
      <c r="U8" s="306"/>
    </row>
    <row r="9" spans="1:21" s="34" customFormat="1" ht="17.100000000000001" customHeight="1">
      <c r="A9" s="329"/>
      <c r="B9" s="312" t="s">
        <v>229</v>
      </c>
      <c r="C9" s="314" t="s">
        <v>230</v>
      </c>
      <c r="D9" s="314" t="s">
        <v>246</v>
      </c>
      <c r="E9" s="27" t="s">
        <v>0</v>
      </c>
      <c r="F9" s="312" t="s">
        <v>229</v>
      </c>
      <c r="G9" s="314" t="s">
        <v>230</v>
      </c>
      <c r="H9" s="314" t="s">
        <v>246</v>
      </c>
      <c r="I9" s="27" t="s">
        <v>0</v>
      </c>
      <c r="J9" s="312" t="s">
        <v>229</v>
      </c>
      <c r="K9" s="314" t="s">
        <v>230</v>
      </c>
      <c r="L9" s="314" t="s">
        <v>246</v>
      </c>
      <c r="M9" s="27" t="s">
        <v>0</v>
      </c>
      <c r="N9" s="312" t="s">
        <v>229</v>
      </c>
      <c r="O9" s="314" t="s">
        <v>230</v>
      </c>
      <c r="P9" s="314" t="s">
        <v>246</v>
      </c>
      <c r="Q9" s="27" t="s">
        <v>0</v>
      </c>
      <c r="R9" s="312" t="s">
        <v>229</v>
      </c>
      <c r="S9" s="314" t="s">
        <v>230</v>
      </c>
      <c r="T9" s="314" t="s">
        <v>246</v>
      </c>
      <c r="U9" s="27" t="s">
        <v>0</v>
      </c>
    </row>
    <row r="10" spans="1:21" s="34" customFormat="1" ht="17.100000000000001" customHeight="1" thickBot="1">
      <c r="A10" s="330"/>
      <c r="B10" s="313"/>
      <c r="C10" s="315"/>
      <c r="D10" s="315"/>
      <c r="E10" s="28" t="s">
        <v>11</v>
      </c>
      <c r="F10" s="313"/>
      <c r="G10" s="315"/>
      <c r="H10" s="315"/>
      <c r="I10" s="28" t="s">
        <v>11</v>
      </c>
      <c r="J10" s="313"/>
      <c r="K10" s="315"/>
      <c r="L10" s="315"/>
      <c r="M10" s="28" t="s">
        <v>11</v>
      </c>
      <c r="N10" s="313"/>
      <c r="O10" s="315"/>
      <c r="P10" s="315"/>
      <c r="Q10" s="28" t="s">
        <v>11</v>
      </c>
      <c r="R10" s="313"/>
      <c r="S10" s="315"/>
      <c r="T10" s="315"/>
      <c r="U10" s="28" t="s">
        <v>11</v>
      </c>
    </row>
    <row r="11" spans="1:21" s="34" customFormat="1" ht="17.100000000000001" customHeight="1">
      <c r="A11" s="44"/>
      <c r="B11" s="325" t="s">
        <v>78</v>
      </c>
      <c r="C11" s="326"/>
      <c r="D11" s="326"/>
      <c r="E11" s="327"/>
      <c r="F11" s="325" t="s">
        <v>79</v>
      </c>
      <c r="G11" s="326"/>
      <c r="H11" s="326"/>
      <c r="I11" s="327"/>
      <c r="J11" s="325" t="s">
        <v>80</v>
      </c>
      <c r="K11" s="326"/>
      <c r="L11" s="326"/>
      <c r="M11" s="327"/>
      <c r="N11" s="325" t="s">
        <v>81</v>
      </c>
      <c r="O11" s="326"/>
      <c r="P11" s="326"/>
      <c r="Q11" s="327"/>
      <c r="R11" s="325" t="s">
        <v>86</v>
      </c>
      <c r="S11" s="326"/>
      <c r="T11" s="326"/>
      <c r="U11" s="327"/>
    </row>
    <row r="12" spans="1:21" ht="17.100000000000001" customHeight="1" thickBot="1">
      <c r="A12" s="44"/>
      <c r="B12" s="3"/>
      <c r="C12" s="113"/>
      <c r="D12" s="113"/>
      <c r="E12" s="114"/>
      <c r="F12" s="3"/>
      <c r="G12" s="113"/>
      <c r="H12" s="113"/>
      <c r="I12" s="114"/>
      <c r="J12" s="3"/>
      <c r="K12" s="113"/>
      <c r="L12" s="113"/>
      <c r="M12" s="114"/>
      <c r="N12" s="3"/>
      <c r="O12" s="113"/>
      <c r="P12" s="113"/>
      <c r="Q12" s="80"/>
      <c r="R12" s="3"/>
      <c r="S12" s="113"/>
      <c r="T12" s="113"/>
      <c r="U12" s="114"/>
    </row>
    <row r="13" spans="1:21" ht="17.100000000000001" customHeight="1">
      <c r="A13" s="137" t="s">
        <v>184</v>
      </c>
      <c r="B13" s="7">
        <v>0</v>
      </c>
      <c r="C13" s="8">
        <f t="shared" ref="C13:C39" si="0">D13</f>
        <v>4597</v>
      </c>
      <c r="D13" s="8">
        <v>4597</v>
      </c>
      <c r="E13" s="52">
        <f t="shared" ref="E13:E41" si="1">D13/C13*100</f>
        <v>100</v>
      </c>
      <c r="F13" s="7">
        <f>G13</f>
        <v>40672</v>
      </c>
      <c r="G13" s="8">
        <f>H13</f>
        <v>40672</v>
      </c>
      <c r="H13" s="8">
        <v>40672</v>
      </c>
      <c r="I13" s="52">
        <f t="shared" ref="I13:I41" si="2">H13/G13*100</f>
        <v>100</v>
      </c>
      <c r="J13" s="7"/>
      <c r="K13" s="8"/>
      <c r="L13" s="8"/>
      <c r="M13" s="52"/>
      <c r="N13" s="7">
        <v>0</v>
      </c>
      <c r="O13" s="8">
        <v>13151</v>
      </c>
      <c r="P13" s="8">
        <v>13302</v>
      </c>
      <c r="Q13" s="81">
        <f t="shared" ref="Q13:Q21" si="3">P13/O13*100</f>
        <v>101.14820165766862</v>
      </c>
      <c r="R13" s="7">
        <v>50000</v>
      </c>
      <c r="S13" s="8">
        <v>120248</v>
      </c>
      <c r="T13" s="8">
        <v>39090</v>
      </c>
      <c r="U13" s="52">
        <f>T13/S13*100</f>
        <v>32.507817177832479</v>
      </c>
    </row>
    <row r="14" spans="1:21" ht="17.100000000000001" customHeight="1">
      <c r="A14" s="138" t="s">
        <v>185</v>
      </c>
      <c r="B14" s="4">
        <v>0</v>
      </c>
      <c r="C14" s="2">
        <f t="shared" si="0"/>
        <v>811</v>
      </c>
      <c r="D14" s="2">
        <v>811</v>
      </c>
      <c r="E14" s="53">
        <f t="shared" si="1"/>
        <v>100</v>
      </c>
      <c r="F14" s="4">
        <f>G14</f>
        <v>6966</v>
      </c>
      <c r="G14" s="2">
        <f>H14</f>
        <v>6966</v>
      </c>
      <c r="H14" s="2">
        <v>6966</v>
      </c>
      <c r="I14" s="53">
        <f t="shared" si="2"/>
        <v>100</v>
      </c>
      <c r="J14" s="4"/>
      <c r="K14" s="2">
        <v>10</v>
      </c>
      <c r="L14" s="2">
        <v>10</v>
      </c>
      <c r="M14" s="53">
        <f>L14/K14*100</f>
        <v>100</v>
      </c>
      <c r="N14" s="4"/>
      <c r="O14" s="2">
        <v>1414</v>
      </c>
      <c r="P14" s="2">
        <v>1414</v>
      </c>
      <c r="Q14" s="53">
        <f t="shared" si="3"/>
        <v>100</v>
      </c>
      <c r="R14" s="4"/>
      <c r="S14" s="2"/>
      <c r="T14" s="2"/>
      <c r="U14" s="53"/>
    </row>
    <row r="15" spans="1:21" ht="17.100000000000001" customHeight="1">
      <c r="A15" s="138" t="s">
        <v>186</v>
      </c>
      <c r="B15" s="4">
        <v>0</v>
      </c>
      <c r="C15" s="2">
        <f t="shared" si="0"/>
        <v>792</v>
      </c>
      <c r="D15" s="2">
        <v>792</v>
      </c>
      <c r="E15" s="53">
        <f t="shared" si="1"/>
        <v>100</v>
      </c>
      <c r="F15" s="4">
        <f t="shared" ref="F15:F41" si="4">G15</f>
        <v>6438</v>
      </c>
      <c r="G15" s="2">
        <f t="shared" ref="G15:G41" si="5">H15</f>
        <v>6438</v>
      </c>
      <c r="H15" s="2">
        <v>6438</v>
      </c>
      <c r="I15" s="53">
        <f t="shared" si="2"/>
        <v>100</v>
      </c>
      <c r="J15" s="4"/>
      <c r="K15" s="2"/>
      <c r="L15" s="2"/>
      <c r="M15" s="53"/>
      <c r="N15" s="4"/>
      <c r="O15" s="2">
        <v>741</v>
      </c>
      <c r="P15" s="2">
        <v>741</v>
      </c>
      <c r="Q15" s="53">
        <f t="shared" si="3"/>
        <v>100</v>
      </c>
      <c r="R15" s="4"/>
      <c r="S15" s="2">
        <v>260</v>
      </c>
      <c r="T15" s="2">
        <v>259</v>
      </c>
      <c r="U15" s="53">
        <f>T15/S15*100</f>
        <v>99.615384615384613</v>
      </c>
    </row>
    <row r="16" spans="1:21" ht="17.100000000000001" customHeight="1">
      <c r="A16" s="138" t="s">
        <v>187</v>
      </c>
      <c r="B16" s="4">
        <v>0</v>
      </c>
      <c r="C16" s="2">
        <f t="shared" si="0"/>
        <v>571</v>
      </c>
      <c r="D16" s="2">
        <v>571</v>
      </c>
      <c r="E16" s="53">
        <f t="shared" si="1"/>
        <v>100</v>
      </c>
      <c r="F16" s="4">
        <f t="shared" si="4"/>
        <v>5358</v>
      </c>
      <c r="G16" s="2">
        <f t="shared" si="5"/>
        <v>5358</v>
      </c>
      <c r="H16" s="2">
        <v>5358</v>
      </c>
      <c r="I16" s="53">
        <f t="shared" si="2"/>
        <v>100</v>
      </c>
      <c r="J16" s="4">
        <v>0</v>
      </c>
      <c r="K16" s="2">
        <v>2033</v>
      </c>
      <c r="L16" s="2">
        <v>2033</v>
      </c>
      <c r="M16" s="53">
        <f>L16/K16*100</f>
        <v>100</v>
      </c>
      <c r="N16" s="4">
        <v>0</v>
      </c>
      <c r="O16" s="2">
        <v>713</v>
      </c>
      <c r="P16" s="2">
        <v>713</v>
      </c>
      <c r="Q16" s="53">
        <f t="shared" si="3"/>
        <v>100</v>
      </c>
      <c r="R16" s="4">
        <v>23332</v>
      </c>
      <c r="S16" s="2">
        <v>30021</v>
      </c>
      <c r="T16" s="2">
        <v>30021</v>
      </c>
      <c r="U16" s="53">
        <f>T16/S16*100</f>
        <v>100</v>
      </c>
    </row>
    <row r="17" spans="1:21" ht="17.100000000000001" customHeight="1">
      <c r="A17" s="138" t="s">
        <v>188</v>
      </c>
      <c r="B17" s="4">
        <v>0</v>
      </c>
      <c r="C17" s="2">
        <f t="shared" si="0"/>
        <v>640</v>
      </c>
      <c r="D17" s="2">
        <v>640</v>
      </c>
      <c r="E17" s="53">
        <f t="shared" si="1"/>
        <v>100</v>
      </c>
      <c r="F17" s="4">
        <f t="shared" si="4"/>
        <v>6276</v>
      </c>
      <c r="G17" s="2">
        <f t="shared" si="5"/>
        <v>6276</v>
      </c>
      <c r="H17" s="2">
        <v>6276</v>
      </c>
      <c r="I17" s="53">
        <f t="shared" si="2"/>
        <v>100</v>
      </c>
      <c r="J17" s="4">
        <v>0</v>
      </c>
      <c r="K17" s="2">
        <v>1471</v>
      </c>
      <c r="L17" s="2">
        <v>1209</v>
      </c>
      <c r="M17" s="53">
        <f>L17/K17*100</f>
        <v>82.188987083616581</v>
      </c>
      <c r="N17" s="4"/>
      <c r="O17" s="2">
        <v>738</v>
      </c>
      <c r="P17" s="2">
        <v>738</v>
      </c>
      <c r="Q17" s="53">
        <f t="shared" si="3"/>
        <v>100</v>
      </c>
      <c r="R17" s="4">
        <v>25000</v>
      </c>
      <c r="S17" s="2">
        <v>25100</v>
      </c>
      <c r="T17" s="2">
        <v>25100</v>
      </c>
      <c r="U17" s="53">
        <f>T17/S17*100</f>
        <v>100</v>
      </c>
    </row>
    <row r="18" spans="1:21" ht="17.100000000000001" customHeight="1">
      <c r="A18" s="138" t="s">
        <v>189</v>
      </c>
      <c r="B18" s="4">
        <v>0</v>
      </c>
      <c r="C18" s="2">
        <f t="shared" si="0"/>
        <v>164</v>
      </c>
      <c r="D18" s="2">
        <v>164</v>
      </c>
      <c r="E18" s="53">
        <f t="shared" si="1"/>
        <v>100</v>
      </c>
      <c r="F18" s="4">
        <f t="shared" si="4"/>
        <v>1200</v>
      </c>
      <c r="G18" s="2">
        <f t="shared" si="5"/>
        <v>1200</v>
      </c>
      <c r="H18" s="2">
        <v>1200</v>
      </c>
      <c r="I18" s="53">
        <f t="shared" si="2"/>
        <v>100</v>
      </c>
      <c r="J18" s="4"/>
      <c r="K18" s="2"/>
      <c r="L18" s="2"/>
      <c r="M18" s="53"/>
      <c r="N18" s="4">
        <v>0</v>
      </c>
      <c r="O18" s="2">
        <v>106</v>
      </c>
      <c r="P18" s="2">
        <f>104+1</f>
        <v>105</v>
      </c>
      <c r="Q18" s="53">
        <f t="shared" si="3"/>
        <v>99.056603773584911</v>
      </c>
      <c r="R18" s="4"/>
      <c r="S18" s="2"/>
      <c r="T18" s="2"/>
      <c r="U18" s="53"/>
    </row>
    <row r="19" spans="1:21" ht="17.100000000000001" customHeight="1">
      <c r="A19" s="138" t="s">
        <v>190</v>
      </c>
      <c r="B19" s="4">
        <v>0</v>
      </c>
      <c r="C19" s="2">
        <f t="shared" si="0"/>
        <v>1633</v>
      </c>
      <c r="D19" s="2">
        <v>1633</v>
      </c>
      <c r="E19" s="53">
        <f t="shared" si="1"/>
        <v>100</v>
      </c>
      <c r="F19" s="4">
        <f t="shared" si="4"/>
        <v>10398</v>
      </c>
      <c r="G19" s="2">
        <f t="shared" si="5"/>
        <v>10398</v>
      </c>
      <c r="H19" s="2">
        <v>10398</v>
      </c>
      <c r="I19" s="53">
        <f t="shared" si="2"/>
        <v>100</v>
      </c>
      <c r="J19" s="4"/>
      <c r="K19" s="2"/>
      <c r="L19" s="2"/>
      <c r="M19" s="53"/>
      <c r="N19" s="4">
        <v>0</v>
      </c>
      <c r="O19" s="2">
        <v>2500</v>
      </c>
      <c r="P19" s="2">
        <v>2500</v>
      </c>
      <c r="Q19" s="53">
        <f t="shared" si="3"/>
        <v>100</v>
      </c>
      <c r="R19" s="4">
        <v>32691</v>
      </c>
      <c r="S19" s="2">
        <v>69566</v>
      </c>
      <c r="T19" s="2">
        <v>48392</v>
      </c>
      <c r="U19" s="53">
        <f>T19/S19*100</f>
        <v>69.562717419429035</v>
      </c>
    </row>
    <row r="20" spans="1:21" ht="17.100000000000001" customHeight="1">
      <c r="A20" s="138" t="s">
        <v>191</v>
      </c>
      <c r="B20" s="4">
        <v>0</v>
      </c>
      <c r="C20" s="2">
        <f t="shared" si="0"/>
        <v>1399</v>
      </c>
      <c r="D20" s="2">
        <v>1399</v>
      </c>
      <c r="E20" s="53">
        <f t="shared" si="1"/>
        <v>100</v>
      </c>
      <c r="F20" s="4">
        <f t="shared" si="4"/>
        <v>12127</v>
      </c>
      <c r="G20" s="2">
        <f t="shared" si="5"/>
        <v>12127</v>
      </c>
      <c r="H20" s="2">
        <v>12127</v>
      </c>
      <c r="I20" s="53">
        <f t="shared" si="2"/>
        <v>100</v>
      </c>
      <c r="J20" s="4">
        <v>0</v>
      </c>
      <c r="K20" s="2">
        <v>458</v>
      </c>
      <c r="L20" s="2">
        <v>458</v>
      </c>
      <c r="M20" s="53">
        <f>L20/K20*100</f>
        <v>100</v>
      </c>
      <c r="N20" s="4">
        <v>0</v>
      </c>
      <c r="O20" s="2">
        <v>3485</v>
      </c>
      <c r="P20" s="2">
        <v>3485</v>
      </c>
      <c r="Q20" s="53">
        <f t="shared" si="3"/>
        <v>100</v>
      </c>
      <c r="R20" s="4">
        <v>56000</v>
      </c>
      <c r="S20" s="2">
        <v>53387</v>
      </c>
      <c r="T20" s="2">
        <v>53387</v>
      </c>
      <c r="U20" s="53">
        <f>T20/S20*100</f>
        <v>100</v>
      </c>
    </row>
    <row r="21" spans="1:21" ht="17.100000000000001" customHeight="1">
      <c r="A21" s="138" t="s">
        <v>192</v>
      </c>
      <c r="B21" s="4">
        <v>0</v>
      </c>
      <c r="C21" s="2">
        <f t="shared" si="0"/>
        <v>90</v>
      </c>
      <c r="D21" s="2">
        <v>90</v>
      </c>
      <c r="E21" s="53">
        <f t="shared" si="1"/>
        <v>100</v>
      </c>
      <c r="F21" s="4">
        <f t="shared" si="4"/>
        <v>488</v>
      </c>
      <c r="G21" s="2">
        <f t="shared" si="5"/>
        <v>488</v>
      </c>
      <c r="H21" s="2">
        <v>488</v>
      </c>
      <c r="I21" s="53">
        <f t="shared" si="2"/>
        <v>100</v>
      </c>
      <c r="J21" s="4"/>
      <c r="K21" s="2"/>
      <c r="L21" s="2"/>
      <c r="M21" s="53"/>
      <c r="N21" s="4"/>
      <c r="O21" s="2">
        <v>108</v>
      </c>
      <c r="P21" s="2">
        <v>108</v>
      </c>
      <c r="Q21" s="53">
        <f t="shared" si="3"/>
        <v>100</v>
      </c>
      <c r="R21" s="4"/>
      <c r="S21" s="2"/>
      <c r="T21" s="2"/>
      <c r="U21" s="53"/>
    </row>
    <row r="22" spans="1:21" ht="17.100000000000001" customHeight="1">
      <c r="A22" s="138" t="s">
        <v>193</v>
      </c>
      <c r="B22" s="4">
        <v>0</v>
      </c>
      <c r="C22" s="2">
        <f t="shared" si="0"/>
        <v>371</v>
      </c>
      <c r="D22" s="2">
        <v>371</v>
      </c>
      <c r="E22" s="53">
        <f t="shared" si="1"/>
        <v>100</v>
      </c>
      <c r="F22" s="4">
        <f t="shared" si="4"/>
        <v>3552</v>
      </c>
      <c r="G22" s="2">
        <f t="shared" si="5"/>
        <v>3552</v>
      </c>
      <c r="H22" s="2">
        <v>3552</v>
      </c>
      <c r="I22" s="53">
        <f t="shared" si="2"/>
        <v>100</v>
      </c>
      <c r="J22" s="4"/>
      <c r="K22" s="2"/>
      <c r="L22" s="2"/>
      <c r="M22" s="53"/>
      <c r="N22" s="4">
        <v>0</v>
      </c>
      <c r="O22" s="2">
        <v>373</v>
      </c>
      <c r="P22" s="2">
        <v>341</v>
      </c>
      <c r="Q22" s="53">
        <f t="shared" ref="Q22:Q36" si="6">P22/O22*100</f>
        <v>91.420911528150143</v>
      </c>
      <c r="R22" s="4">
        <v>1200</v>
      </c>
      <c r="S22" s="2">
        <v>1200</v>
      </c>
      <c r="T22" s="2">
        <v>2279</v>
      </c>
      <c r="U22" s="53">
        <f>T22/S22*100</f>
        <v>189.91666666666666</v>
      </c>
    </row>
    <row r="23" spans="1:21" ht="17.100000000000001" customHeight="1">
      <c r="A23" s="138" t="s">
        <v>194</v>
      </c>
      <c r="B23" s="4">
        <v>0</v>
      </c>
      <c r="C23" s="2">
        <f t="shared" si="0"/>
        <v>260</v>
      </c>
      <c r="D23" s="2">
        <v>260</v>
      </c>
      <c r="E23" s="53">
        <f t="shared" si="1"/>
        <v>100</v>
      </c>
      <c r="F23" s="4">
        <f t="shared" si="4"/>
        <v>1966</v>
      </c>
      <c r="G23" s="2">
        <f t="shared" si="5"/>
        <v>1966</v>
      </c>
      <c r="H23" s="2">
        <v>1966</v>
      </c>
      <c r="I23" s="53">
        <f t="shared" si="2"/>
        <v>100</v>
      </c>
      <c r="J23" s="4"/>
      <c r="K23" s="2"/>
      <c r="L23" s="2"/>
      <c r="M23" s="53"/>
      <c r="N23" s="4"/>
      <c r="O23" s="2">
        <f>67</f>
        <v>67</v>
      </c>
      <c r="P23" s="2">
        <f>67</f>
        <v>67</v>
      </c>
      <c r="Q23" s="53">
        <f t="shared" si="6"/>
        <v>100</v>
      </c>
      <c r="R23" s="4">
        <v>10000</v>
      </c>
      <c r="S23" s="2">
        <v>11200</v>
      </c>
      <c r="T23" s="2">
        <v>9157</v>
      </c>
      <c r="U23" s="53">
        <f>T23/S23*100</f>
        <v>81.758928571428569</v>
      </c>
    </row>
    <row r="24" spans="1:21" ht="17.100000000000001" customHeight="1">
      <c r="A24" s="138" t="s">
        <v>195</v>
      </c>
      <c r="B24" s="4">
        <v>0</v>
      </c>
      <c r="C24" s="2">
        <f t="shared" si="0"/>
        <v>200</v>
      </c>
      <c r="D24" s="2">
        <v>200</v>
      </c>
      <c r="E24" s="53">
        <f t="shared" si="1"/>
        <v>100</v>
      </c>
      <c r="F24" s="4">
        <f t="shared" si="4"/>
        <v>1731</v>
      </c>
      <c r="G24" s="2">
        <f t="shared" si="5"/>
        <v>1731</v>
      </c>
      <c r="H24" s="2">
        <v>1731</v>
      </c>
      <c r="I24" s="53">
        <f t="shared" si="2"/>
        <v>100</v>
      </c>
      <c r="J24" s="4"/>
      <c r="K24" s="2"/>
      <c r="L24" s="2"/>
      <c r="M24" s="53"/>
      <c r="N24" s="4">
        <v>0</v>
      </c>
      <c r="O24" s="2">
        <f>899-1</f>
        <v>898</v>
      </c>
      <c r="P24" s="2">
        <v>886</v>
      </c>
      <c r="Q24" s="53">
        <f t="shared" si="6"/>
        <v>98.663697104677055</v>
      </c>
      <c r="R24" s="4"/>
      <c r="S24" s="2"/>
      <c r="T24" s="2"/>
      <c r="U24" s="53"/>
    </row>
    <row r="25" spans="1:21" ht="17.100000000000001" customHeight="1">
      <c r="A25" s="138" t="s">
        <v>196</v>
      </c>
      <c r="B25" s="4">
        <v>0</v>
      </c>
      <c r="C25" s="2">
        <f t="shared" si="0"/>
        <v>2593</v>
      </c>
      <c r="D25" s="2">
        <v>2593</v>
      </c>
      <c r="E25" s="53">
        <f t="shared" si="1"/>
        <v>100</v>
      </c>
      <c r="F25" s="4">
        <f t="shared" si="4"/>
        <v>23183</v>
      </c>
      <c r="G25" s="2">
        <f t="shared" si="5"/>
        <v>23183</v>
      </c>
      <c r="H25" s="2">
        <v>23183</v>
      </c>
      <c r="I25" s="53">
        <f t="shared" si="2"/>
        <v>100</v>
      </c>
      <c r="J25" s="4"/>
      <c r="K25" s="2"/>
      <c r="L25" s="2"/>
      <c r="M25" s="53"/>
      <c r="N25" s="4">
        <v>2512</v>
      </c>
      <c r="O25" s="2">
        <v>8405</v>
      </c>
      <c r="P25" s="2">
        <v>7912</v>
      </c>
      <c r="Q25" s="53">
        <f t="shared" si="6"/>
        <v>94.134443783462231</v>
      </c>
      <c r="R25" s="4">
        <v>54000</v>
      </c>
      <c r="S25" s="2">
        <v>92676</v>
      </c>
      <c r="T25" s="2">
        <v>92676</v>
      </c>
      <c r="U25" s="53">
        <f t="shared" ref="U25:U32" si="7">T25/S25*100</f>
        <v>100</v>
      </c>
    </row>
    <row r="26" spans="1:21" ht="17.100000000000001" customHeight="1">
      <c r="A26" s="138" t="s">
        <v>197</v>
      </c>
      <c r="B26" s="4">
        <v>0</v>
      </c>
      <c r="C26" s="2">
        <f t="shared" si="0"/>
        <v>256</v>
      </c>
      <c r="D26" s="2">
        <v>256</v>
      </c>
      <c r="E26" s="53">
        <f t="shared" si="1"/>
        <v>100</v>
      </c>
      <c r="F26" s="4">
        <f t="shared" si="4"/>
        <v>2619</v>
      </c>
      <c r="G26" s="2">
        <f t="shared" si="5"/>
        <v>2619</v>
      </c>
      <c r="H26" s="2">
        <v>2619</v>
      </c>
      <c r="I26" s="53">
        <f t="shared" si="2"/>
        <v>100</v>
      </c>
      <c r="J26" s="4"/>
      <c r="K26" s="2"/>
      <c r="L26" s="2"/>
      <c r="M26" s="53"/>
      <c r="N26" s="4">
        <v>0</v>
      </c>
      <c r="O26" s="2">
        <v>825</v>
      </c>
      <c r="P26" s="2">
        <v>607</v>
      </c>
      <c r="Q26" s="53">
        <f t="shared" si="6"/>
        <v>73.575757575757578</v>
      </c>
      <c r="R26" s="4">
        <v>936</v>
      </c>
      <c r="S26" s="2">
        <v>1026</v>
      </c>
      <c r="T26" s="2">
        <v>1026</v>
      </c>
      <c r="U26" s="53">
        <f t="shared" si="7"/>
        <v>100</v>
      </c>
    </row>
    <row r="27" spans="1:21" ht="15.75" customHeight="1">
      <c r="A27" s="138" t="s">
        <v>198</v>
      </c>
      <c r="B27" s="4">
        <v>0</v>
      </c>
      <c r="C27" s="2">
        <f t="shared" si="0"/>
        <v>1244</v>
      </c>
      <c r="D27" s="2">
        <v>1244</v>
      </c>
      <c r="E27" s="53">
        <f t="shared" si="1"/>
        <v>100</v>
      </c>
      <c r="F27" s="4">
        <f t="shared" si="4"/>
        <v>10784</v>
      </c>
      <c r="G27" s="2">
        <f t="shared" si="5"/>
        <v>10784</v>
      </c>
      <c r="H27" s="2">
        <v>10784</v>
      </c>
      <c r="I27" s="53">
        <f t="shared" si="2"/>
        <v>100</v>
      </c>
      <c r="J27" s="4">
        <v>0</v>
      </c>
      <c r="K27" s="2">
        <v>889</v>
      </c>
      <c r="L27" s="2">
        <v>889</v>
      </c>
      <c r="M27" s="53">
        <f>L27/K27*100</f>
        <v>100</v>
      </c>
      <c r="N27" s="4">
        <v>60</v>
      </c>
      <c r="O27" s="2">
        <v>3108</v>
      </c>
      <c r="P27" s="2">
        <f>3070+1</f>
        <v>3071</v>
      </c>
      <c r="Q27" s="53">
        <f t="shared" si="6"/>
        <v>98.80952380952381</v>
      </c>
      <c r="R27" s="4">
        <v>73376</v>
      </c>
      <c r="S27" s="2">
        <v>60233</v>
      </c>
      <c r="T27" s="2">
        <v>60233</v>
      </c>
      <c r="U27" s="53">
        <f t="shared" si="7"/>
        <v>100</v>
      </c>
    </row>
    <row r="28" spans="1:21" ht="17.100000000000001" customHeight="1">
      <c r="A28" s="138" t="s">
        <v>199</v>
      </c>
      <c r="B28" s="4">
        <v>0</v>
      </c>
      <c r="C28" s="2">
        <f t="shared" si="0"/>
        <v>463</v>
      </c>
      <c r="D28" s="2">
        <v>463</v>
      </c>
      <c r="E28" s="53">
        <f t="shared" si="1"/>
        <v>100</v>
      </c>
      <c r="F28" s="4">
        <f t="shared" si="4"/>
        <v>3761</v>
      </c>
      <c r="G28" s="2">
        <f t="shared" si="5"/>
        <v>3761</v>
      </c>
      <c r="H28" s="2">
        <v>3761</v>
      </c>
      <c r="I28" s="53">
        <f t="shared" si="2"/>
        <v>100</v>
      </c>
      <c r="J28" s="4">
        <v>163</v>
      </c>
      <c r="K28" s="2">
        <v>163</v>
      </c>
      <c r="L28" s="2">
        <v>163</v>
      </c>
      <c r="M28" s="53">
        <f>L28/K28*100</f>
        <v>100</v>
      </c>
      <c r="N28" s="4">
        <v>0</v>
      </c>
      <c r="O28" s="2">
        <v>133</v>
      </c>
      <c r="P28" s="2">
        <v>133</v>
      </c>
      <c r="Q28" s="53">
        <f t="shared" si="6"/>
        <v>100</v>
      </c>
      <c r="R28" s="4">
        <v>15790</v>
      </c>
      <c r="S28" s="2">
        <v>15790</v>
      </c>
      <c r="T28" s="2">
        <f>15462+1</f>
        <v>15463</v>
      </c>
      <c r="U28" s="53">
        <f t="shared" si="7"/>
        <v>97.929069031032299</v>
      </c>
    </row>
    <row r="29" spans="1:21" ht="17.100000000000001" customHeight="1">
      <c r="A29" s="138" t="s">
        <v>200</v>
      </c>
      <c r="B29" s="4">
        <v>0</v>
      </c>
      <c r="C29" s="2">
        <f t="shared" si="0"/>
        <v>531</v>
      </c>
      <c r="D29" s="2">
        <v>531</v>
      </c>
      <c r="E29" s="53">
        <f t="shared" si="1"/>
        <v>100</v>
      </c>
      <c r="F29" s="4">
        <f t="shared" si="4"/>
        <v>4547</v>
      </c>
      <c r="G29" s="2">
        <f t="shared" si="5"/>
        <v>4547</v>
      </c>
      <c r="H29" s="2">
        <v>4547</v>
      </c>
      <c r="I29" s="53">
        <f t="shared" si="2"/>
        <v>100</v>
      </c>
      <c r="J29" s="4"/>
      <c r="K29" s="2"/>
      <c r="L29" s="2"/>
      <c r="M29" s="53"/>
      <c r="N29" s="4"/>
      <c r="O29" s="2">
        <v>588</v>
      </c>
      <c r="P29" s="2">
        <v>566</v>
      </c>
      <c r="Q29" s="53">
        <f t="shared" si="6"/>
        <v>96.258503401360542</v>
      </c>
      <c r="R29" s="4">
        <v>13400</v>
      </c>
      <c r="S29" s="2">
        <v>13400</v>
      </c>
      <c r="T29" s="2">
        <v>13320</v>
      </c>
      <c r="U29" s="53">
        <f t="shared" si="7"/>
        <v>99.402985074626869</v>
      </c>
    </row>
    <row r="30" spans="1:21" ht="17.100000000000001" customHeight="1">
      <c r="A30" s="138" t="s">
        <v>201</v>
      </c>
      <c r="B30" s="4">
        <v>0</v>
      </c>
      <c r="C30" s="2">
        <f t="shared" si="0"/>
        <v>614</v>
      </c>
      <c r="D30" s="2">
        <v>614</v>
      </c>
      <c r="E30" s="53">
        <f t="shared" si="1"/>
        <v>100</v>
      </c>
      <c r="F30" s="4">
        <f t="shared" si="4"/>
        <v>6573</v>
      </c>
      <c r="G30" s="2">
        <f t="shared" si="5"/>
        <v>6573</v>
      </c>
      <c r="H30" s="2">
        <v>6573</v>
      </c>
      <c r="I30" s="53">
        <f t="shared" si="2"/>
        <v>100</v>
      </c>
      <c r="J30" s="4">
        <v>2215</v>
      </c>
      <c r="K30" s="2">
        <v>2215</v>
      </c>
      <c r="L30" s="2">
        <v>2214</v>
      </c>
      <c r="M30" s="53">
        <f>L30/K30*100</f>
        <v>99.954853273137701</v>
      </c>
      <c r="N30" s="4"/>
      <c r="O30" s="2">
        <v>502</v>
      </c>
      <c r="P30" s="2">
        <v>502</v>
      </c>
      <c r="Q30" s="53">
        <f t="shared" si="6"/>
        <v>100</v>
      </c>
      <c r="R30" s="4">
        <v>11200</v>
      </c>
      <c r="S30" s="2">
        <v>15667</v>
      </c>
      <c r="T30" s="2">
        <v>15667</v>
      </c>
      <c r="U30" s="53">
        <f t="shared" si="7"/>
        <v>100</v>
      </c>
    </row>
    <row r="31" spans="1:21" ht="17.100000000000001" customHeight="1">
      <c r="A31" s="138" t="s">
        <v>202</v>
      </c>
      <c r="B31" s="4">
        <v>0</v>
      </c>
      <c r="C31" s="2">
        <f t="shared" si="0"/>
        <v>1138</v>
      </c>
      <c r="D31" s="2">
        <v>1138</v>
      </c>
      <c r="E31" s="53">
        <f t="shared" si="1"/>
        <v>100</v>
      </c>
      <c r="F31" s="4">
        <f t="shared" si="4"/>
        <v>13645</v>
      </c>
      <c r="G31" s="2">
        <f t="shared" si="5"/>
        <v>13645</v>
      </c>
      <c r="H31" s="2">
        <v>13645</v>
      </c>
      <c r="I31" s="53">
        <f t="shared" si="2"/>
        <v>100</v>
      </c>
      <c r="J31" s="4"/>
      <c r="K31" s="2"/>
      <c r="L31" s="2"/>
      <c r="M31" s="53"/>
      <c r="N31" s="4"/>
      <c r="O31" s="2">
        <v>1143</v>
      </c>
      <c r="P31" s="2">
        <v>1143</v>
      </c>
      <c r="Q31" s="53">
        <f t="shared" si="6"/>
        <v>100</v>
      </c>
      <c r="R31" s="4">
        <v>38520</v>
      </c>
      <c r="S31" s="2">
        <v>44260</v>
      </c>
      <c r="T31" s="2">
        <f>44260+1</f>
        <v>44261</v>
      </c>
      <c r="U31" s="53">
        <f t="shared" si="7"/>
        <v>100.00225937641211</v>
      </c>
    </row>
    <row r="32" spans="1:21" ht="17.100000000000001" customHeight="1">
      <c r="A32" s="138" t="s">
        <v>203</v>
      </c>
      <c r="B32" s="4">
        <v>0</v>
      </c>
      <c r="C32" s="2">
        <f t="shared" si="0"/>
        <v>454</v>
      </c>
      <c r="D32" s="2">
        <v>454</v>
      </c>
      <c r="E32" s="53">
        <f t="shared" si="1"/>
        <v>100</v>
      </c>
      <c r="F32" s="4">
        <f t="shared" si="4"/>
        <v>4508</v>
      </c>
      <c r="G32" s="2">
        <f t="shared" si="5"/>
        <v>4508</v>
      </c>
      <c r="H32" s="2">
        <v>4508</v>
      </c>
      <c r="I32" s="53">
        <f t="shared" si="2"/>
        <v>100</v>
      </c>
      <c r="J32" s="4">
        <v>1726</v>
      </c>
      <c r="K32" s="2">
        <v>1726</v>
      </c>
      <c r="L32" s="2">
        <v>1433</v>
      </c>
      <c r="M32" s="53">
        <f>L32/K32*100</f>
        <v>83.024333719582856</v>
      </c>
      <c r="N32" s="4"/>
      <c r="O32" s="2">
        <v>465</v>
      </c>
      <c r="P32" s="2">
        <v>465</v>
      </c>
      <c r="Q32" s="53">
        <f t="shared" si="6"/>
        <v>100</v>
      </c>
      <c r="R32" s="4">
        <v>16509</v>
      </c>
      <c r="S32" s="2">
        <v>14099</v>
      </c>
      <c r="T32" s="2">
        <v>13510</v>
      </c>
      <c r="U32" s="53">
        <f t="shared" si="7"/>
        <v>95.822398751684517</v>
      </c>
    </row>
    <row r="33" spans="1:21" ht="17.100000000000001" customHeight="1">
      <c r="A33" s="138" t="s">
        <v>204</v>
      </c>
      <c r="B33" s="4">
        <v>0</v>
      </c>
      <c r="C33" s="2">
        <f t="shared" si="0"/>
        <v>291</v>
      </c>
      <c r="D33" s="2">
        <v>291</v>
      </c>
      <c r="E33" s="53">
        <f t="shared" si="1"/>
        <v>100</v>
      </c>
      <c r="F33" s="4">
        <f t="shared" si="4"/>
        <v>2870</v>
      </c>
      <c r="G33" s="2">
        <f t="shared" si="5"/>
        <v>2870</v>
      </c>
      <c r="H33" s="2">
        <v>2870</v>
      </c>
      <c r="I33" s="53">
        <f t="shared" si="2"/>
        <v>100</v>
      </c>
      <c r="J33" s="4"/>
      <c r="K33" s="2"/>
      <c r="L33" s="2"/>
      <c r="M33" s="53"/>
      <c r="N33" s="4"/>
      <c r="O33" s="2">
        <v>181</v>
      </c>
      <c r="P33" s="2">
        <v>181</v>
      </c>
      <c r="Q33" s="53">
        <f t="shared" si="6"/>
        <v>100</v>
      </c>
      <c r="R33" s="4"/>
      <c r="S33" s="2"/>
      <c r="T33" s="2"/>
      <c r="U33" s="53"/>
    </row>
    <row r="34" spans="1:21" ht="17.100000000000001" customHeight="1">
      <c r="A34" s="138" t="s">
        <v>205</v>
      </c>
      <c r="B34" s="4">
        <v>0</v>
      </c>
      <c r="C34" s="2">
        <f t="shared" si="0"/>
        <v>176</v>
      </c>
      <c r="D34" s="2">
        <v>176</v>
      </c>
      <c r="E34" s="53">
        <f t="shared" si="1"/>
        <v>100</v>
      </c>
      <c r="F34" s="4">
        <f t="shared" si="4"/>
        <v>1716</v>
      </c>
      <c r="G34" s="2">
        <f t="shared" si="5"/>
        <v>1716</v>
      </c>
      <c r="H34" s="2">
        <v>1716</v>
      </c>
      <c r="I34" s="53">
        <f t="shared" si="2"/>
        <v>100</v>
      </c>
      <c r="J34" s="4"/>
      <c r="K34" s="2"/>
      <c r="L34" s="2"/>
      <c r="M34" s="53"/>
      <c r="N34" s="4"/>
      <c r="O34" s="2">
        <v>96</v>
      </c>
      <c r="P34" s="2">
        <v>96</v>
      </c>
      <c r="Q34" s="53">
        <f t="shared" si="6"/>
        <v>100</v>
      </c>
      <c r="R34" s="4"/>
      <c r="S34" s="2"/>
      <c r="T34" s="2"/>
      <c r="U34" s="53"/>
    </row>
    <row r="35" spans="1:21" ht="17.100000000000001" customHeight="1">
      <c r="A35" s="138" t="s">
        <v>206</v>
      </c>
      <c r="B35" s="4">
        <v>0</v>
      </c>
      <c r="C35" s="2">
        <f t="shared" si="0"/>
        <v>1031</v>
      </c>
      <c r="D35" s="2">
        <f>1030+1</f>
        <v>1031</v>
      </c>
      <c r="E35" s="53">
        <f t="shared" si="1"/>
        <v>100</v>
      </c>
      <c r="F35" s="4">
        <f t="shared" si="4"/>
        <v>13651</v>
      </c>
      <c r="G35" s="2">
        <f t="shared" si="5"/>
        <v>13651</v>
      </c>
      <c r="H35" s="2">
        <v>13651</v>
      </c>
      <c r="I35" s="53">
        <f t="shared" si="2"/>
        <v>100</v>
      </c>
      <c r="J35" s="4">
        <v>0</v>
      </c>
      <c r="K35" s="2"/>
      <c r="L35" s="2"/>
      <c r="M35" s="53"/>
      <c r="N35" s="4">
        <v>0</v>
      </c>
      <c r="O35" s="2">
        <v>3786</v>
      </c>
      <c r="P35" s="2">
        <v>3786</v>
      </c>
      <c r="Q35" s="53">
        <f t="shared" si="6"/>
        <v>100</v>
      </c>
      <c r="R35" s="4">
        <v>43695</v>
      </c>
      <c r="S35" s="2">
        <v>43709</v>
      </c>
      <c r="T35" s="2">
        <v>43709</v>
      </c>
      <c r="U35" s="53">
        <f>T35/S35*100</f>
        <v>100</v>
      </c>
    </row>
    <row r="36" spans="1:21" ht="17.100000000000001" customHeight="1">
      <c r="A36" s="138" t="s">
        <v>207</v>
      </c>
      <c r="B36" s="4">
        <v>0</v>
      </c>
      <c r="C36" s="2">
        <f t="shared" si="0"/>
        <v>273</v>
      </c>
      <c r="D36" s="2">
        <v>273</v>
      </c>
      <c r="E36" s="53">
        <f t="shared" si="1"/>
        <v>100</v>
      </c>
      <c r="F36" s="4">
        <f t="shared" si="4"/>
        <v>2706</v>
      </c>
      <c r="G36" s="2">
        <f t="shared" si="5"/>
        <v>2706</v>
      </c>
      <c r="H36" s="2">
        <v>2706</v>
      </c>
      <c r="I36" s="53">
        <f t="shared" si="2"/>
        <v>100</v>
      </c>
      <c r="J36" s="4"/>
      <c r="K36" s="2"/>
      <c r="L36" s="2"/>
      <c r="M36" s="53"/>
      <c r="N36" s="4"/>
      <c r="O36" s="2">
        <v>1485</v>
      </c>
      <c r="P36" s="2">
        <v>1387</v>
      </c>
      <c r="Q36" s="53">
        <f t="shared" si="6"/>
        <v>93.400673400673398</v>
      </c>
      <c r="R36" s="4">
        <v>0</v>
      </c>
      <c r="S36" s="2">
        <v>294</v>
      </c>
      <c r="T36" s="2">
        <v>294</v>
      </c>
      <c r="U36" s="53">
        <f>T36/S36*100</f>
        <v>100</v>
      </c>
    </row>
    <row r="37" spans="1:21" ht="17.100000000000001" customHeight="1">
      <c r="A37" s="138" t="s">
        <v>208</v>
      </c>
      <c r="B37" s="4">
        <v>0</v>
      </c>
      <c r="C37" s="2">
        <f t="shared" si="0"/>
        <v>922</v>
      </c>
      <c r="D37" s="2">
        <v>922</v>
      </c>
      <c r="E37" s="53">
        <f t="shared" si="1"/>
        <v>100</v>
      </c>
      <c r="F37" s="4">
        <f t="shared" si="4"/>
        <v>7711</v>
      </c>
      <c r="G37" s="2">
        <f t="shared" si="5"/>
        <v>7711</v>
      </c>
      <c r="H37" s="2">
        <v>7711</v>
      </c>
      <c r="I37" s="53">
        <f t="shared" si="2"/>
        <v>100</v>
      </c>
      <c r="J37" s="4"/>
      <c r="K37" s="2"/>
      <c r="L37" s="2"/>
      <c r="M37" s="53"/>
      <c r="N37" s="4"/>
      <c r="O37" s="2">
        <v>915</v>
      </c>
      <c r="P37" s="2">
        <v>915</v>
      </c>
      <c r="Q37" s="53">
        <f>P37/O37*100</f>
        <v>100</v>
      </c>
      <c r="R37" s="4">
        <v>4000</v>
      </c>
      <c r="S37" s="2">
        <v>4984</v>
      </c>
      <c r="T37" s="2">
        <v>4984</v>
      </c>
      <c r="U37" s="53">
        <f>T37/S37*100</f>
        <v>100</v>
      </c>
    </row>
    <row r="38" spans="1:21" ht="17.100000000000001" customHeight="1">
      <c r="A38" s="138" t="s">
        <v>209</v>
      </c>
      <c r="B38" s="4"/>
      <c r="C38" s="2">
        <f t="shared" si="0"/>
        <v>148</v>
      </c>
      <c r="D38" s="2">
        <v>148</v>
      </c>
      <c r="E38" s="53">
        <f t="shared" si="1"/>
        <v>100</v>
      </c>
      <c r="F38" s="4">
        <f t="shared" si="4"/>
        <v>804</v>
      </c>
      <c r="G38" s="2">
        <f t="shared" si="5"/>
        <v>804</v>
      </c>
      <c r="H38" s="2">
        <v>804</v>
      </c>
      <c r="I38" s="53">
        <f t="shared" si="2"/>
        <v>100</v>
      </c>
      <c r="J38" s="4"/>
      <c r="K38" s="2"/>
      <c r="L38" s="2"/>
      <c r="M38" s="53"/>
      <c r="N38" s="4">
        <v>45</v>
      </c>
      <c r="O38" s="2">
        <v>222</v>
      </c>
      <c r="P38" s="2">
        <v>200</v>
      </c>
      <c r="Q38" s="53">
        <f>P38/O38*100</f>
        <v>90.090090090090087</v>
      </c>
      <c r="R38" s="4"/>
      <c r="S38" s="2"/>
      <c r="T38" s="2"/>
      <c r="U38" s="53"/>
    </row>
    <row r="39" spans="1:21" ht="17.100000000000001" customHeight="1">
      <c r="A39" s="138" t="s">
        <v>210</v>
      </c>
      <c r="B39" s="4">
        <v>0</v>
      </c>
      <c r="C39" s="2">
        <f t="shared" si="0"/>
        <v>90</v>
      </c>
      <c r="D39" s="2">
        <v>90</v>
      </c>
      <c r="E39" s="53">
        <f t="shared" si="1"/>
        <v>100</v>
      </c>
      <c r="F39" s="4">
        <f t="shared" si="4"/>
        <v>529</v>
      </c>
      <c r="G39" s="2">
        <f t="shared" si="5"/>
        <v>529</v>
      </c>
      <c r="H39" s="2">
        <v>529</v>
      </c>
      <c r="I39" s="53">
        <f t="shared" si="2"/>
        <v>100</v>
      </c>
      <c r="J39" s="4"/>
      <c r="K39" s="2"/>
      <c r="L39" s="2"/>
      <c r="M39" s="53"/>
      <c r="N39" s="4"/>
      <c r="O39" s="2"/>
      <c r="P39" s="2"/>
      <c r="Q39" s="53"/>
      <c r="R39" s="4"/>
      <c r="S39" s="2"/>
      <c r="T39" s="2"/>
      <c r="U39" s="53"/>
    </row>
    <row r="40" spans="1:21" ht="17.100000000000001" customHeight="1">
      <c r="A40" s="138" t="s">
        <v>211</v>
      </c>
      <c r="B40" s="4">
        <v>0</v>
      </c>
      <c r="C40" s="2">
        <f>D40</f>
        <v>91</v>
      </c>
      <c r="D40" s="2">
        <v>91</v>
      </c>
      <c r="E40" s="53">
        <f t="shared" si="1"/>
        <v>100</v>
      </c>
      <c r="F40" s="4">
        <f t="shared" si="4"/>
        <v>279</v>
      </c>
      <c r="G40" s="2">
        <f t="shared" si="5"/>
        <v>279</v>
      </c>
      <c r="H40" s="2">
        <v>279</v>
      </c>
      <c r="I40" s="53">
        <f t="shared" si="2"/>
        <v>100</v>
      </c>
      <c r="J40" s="4">
        <v>0</v>
      </c>
      <c r="K40" s="2">
        <v>150</v>
      </c>
      <c r="L40" s="2">
        <v>150</v>
      </c>
      <c r="M40" s="53">
        <f>L40/K40*100</f>
        <v>100</v>
      </c>
      <c r="N40" s="4">
        <v>0</v>
      </c>
      <c r="O40" s="2">
        <v>126</v>
      </c>
      <c r="P40" s="2">
        <v>117</v>
      </c>
      <c r="Q40" s="53">
        <f>P40/O40*100</f>
        <v>92.857142857142861</v>
      </c>
      <c r="R40" s="4"/>
      <c r="S40" s="2"/>
      <c r="T40" s="2"/>
      <c r="U40" s="53"/>
    </row>
    <row r="41" spans="1:21" ht="15" customHeight="1" thickBot="1">
      <c r="A41" s="139" t="s">
        <v>212</v>
      </c>
      <c r="B41" s="5">
        <v>0</v>
      </c>
      <c r="C41" s="6">
        <f>D41</f>
        <v>83</v>
      </c>
      <c r="D41" s="6">
        <v>83</v>
      </c>
      <c r="E41" s="54">
        <f t="shared" si="1"/>
        <v>100</v>
      </c>
      <c r="F41" s="5">
        <f t="shared" si="4"/>
        <v>379</v>
      </c>
      <c r="G41" s="6">
        <f t="shared" si="5"/>
        <v>379</v>
      </c>
      <c r="H41" s="6">
        <v>379</v>
      </c>
      <c r="I41" s="54">
        <f t="shared" si="2"/>
        <v>100</v>
      </c>
      <c r="J41" s="5"/>
      <c r="K41" s="6"/>
      <c r="L41" s="6"/>
      <c r="M41" s="54"/>
      <c r="N41" s="5">
        <v>0</v>
      </c>
      <c r="O41" s="6"/>
      <c r="P41" s="6"/>
      <c r="Q41" s="54"/>
      <c r="R41" s="5"/>
      <c r="S41" s="6"/>
      <c r="T41" s="6"/>
      <c r="U41" s="54"/>
    </row>
    <row r="42" spans="1:21" ht="15" customHeight="1" thickBot="1">
      <c r="A42" s="44"/>
      <c r="B42" s="74"/>
      <c r="C42" s="73"/>
      <c r="D42" s="73"/>
      <c r="E42" s="55"/>
      <c r="F42" s="74"/>
      <c r="G42" s="73"/>
      <c r="H42" s="73"/>
      <c r="I42" s="55"/>
      <c r="J42" s="74"/>
      <c r="K42" s="73"/>
      <c r="L42" s="73"/>
      <c r="M42" s="55"/>
      <c r="N42" s="74"/>
      <c r="O42" s="73"/>
      <c r="P42" s="73"/>
      <c r="Q42" s="55"/>
      <c r="R42" s="74"/>
      <c r="S42" s="73"/>
      <c r="T42" s="73"/>
      <c r="U42" s="55"/>
    </row>
    <row r="43" spans="1:21" s="40" customFormat="1" ht="18" customHeight="1" thickBot="1">
      <c r="A43" s="140" t="s">
        <v>231</v>
      </c>
      <c r="B43" s="57"/>
      <c r="C43" s="50">
        <f>SUM(C13:C42)</f>
        <v>21926</v>
      </c>
      <c r="D43" s="50">
        <f>SUM(D13:D41)</f>
        <v>21926</v>
      </c>
      <c r="E43" s="56">
        <f>D43/C43*100</f>
        <v>100</v>
      </c>
      <c r="F43" s="57">
        <f>SUM(F13:F41)</f>
        <v>197437</v>
      </c>
      <c r="G43" s="50">
        <f>SUM(G13:G41)</f>
        <v>197437</v>
      </c>
      <c r="H43" s="50">
        <f>SUM(H13:H41)</f>
        <v>197437</v>
      </c>
      <c r="I43" s="56">
        <f>H43/G43*100</f>
        <v>100</v>
      </c>
      <c r="J43" s="57">
        <f>SUM(J13:J41)</f>
        <v>4104</v>
      </c>
      <c r="K43" s="50">
        <f>SUM(K13:K42)</f>
        <v>9115</v>
      </c>
      <c r="L43" s="50">
        <f>SUM(L13:L42)</f>
        <v>8559</v>
      </c>
      <c r="M43" s="56">
        <f>L43/K43*100</f>
        <v>93.900164563905648</v>
      </c>
      <c r="N43" s="57">
        <f>SUM(N13:N41)</f>
        <v>2617</v>
      </c>
      <c r="O43" s="50">
        <f>SUM(O13:O41)</f>
        <v>46274</v>
      </c>
      <c r="P43" s="50">
        <f>SUM(P13:P41)</f>
        <v>45481</v>
      </c>
      <c r="Q43" s="56">
        <f>P43/O43*100</f>
        <v>98.286294679517667</v>
      </c>
      <c r="R43" s="57">
        <f>SUM(R13:R41)</f>
        <v>469649</v>
      </c>
      <c r="S43" s="50">
        <f>SUM(S13:S41)</f>
        <v>617120</v>
      </c>
      <c r="T43" s="50">
        <f>SUM(T13:T41)</f>
        <v>512828</v>
      </c>
      <c r="U43" s="56">
        <f>T43/S43*100</f>
        <v>83.100207415089443</v>
      </c>
    </row>
    <row r="44" spans="1:21" ht="17.100000000000001" customHeight="1"/>
    <row r="45" spans="1:21" ht="17.100000000000001" customHeight="1"/>
    <row r="46" spans="1:21" ht="31.5" hidden="1" customHeight="1">
      <c r="A46" s="112">
        <v>2012</v>
      </c>
      <c r="B46" s="111">
        <v>0</v>
      </c>
      <c r="C46" s="1">
        <v>38205</v>
      </c>
      <c r="D46" s="1">
        <v>38206</v>
      </c>
      <c r="E46" s="1"/>
      <c r="F46" s="1">
        <v>243499</v>
      </c>
      <c r="G46" s="1">
        <v>243315</v>
      </c>
      <c r="H46" s="1">
        <v>243315</v>
      </c>
      <c r="I46" s="1"/>
      <c r="J46" s="1">
        <v>4279.4799999999996</v>
      </c>
      <c r="K46" s="1">
        <v>10264.75</v>
      </c>
      <c r="L46" s="1">
        <v>10255</v>
      </c>
      <c r="M46" s="1"/>
      <c r="N46" s="1">
        <v>2333</v>
      </c>
      <c r="O46" s="1">
        <v>20291.78</v>
      </c>
      <c r="P46" s="1">
        <v>18773</v>
      </c>
      <c r="Q46" s="1"/>
      <c r="R46" s="1">
        <v>455915</v>
      </c>
      <c r="S46" s="1">
        <v>645590</v>
      </c>
      <c r="T46" s="1">
        <v>642670</v>
      </c>
      <c r="U46" s="1"/>
    </row>
    <row r="47" spans="1:21" hidden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22.5" hidden="1" customHeight="1">
      <c r="A48" s="112">
        <v>2013</v>
      </c>
      <c r="C48" s="1">
        <v>21926</v>
      </c>
      <c r="D48" s="1">
        <v>21926</v>
      </c>
      <c r="E48" s="1"/>
      <c r="F48" s="1">
        <v>197437</v>
      </c>
      <c r="G48" s="1">
        <v>197437</v>
      </c>
      <c r="H48" s="1">
        <v>197437</v>
      </c>
      <c r="I48" s="1"/>
      <c r="J48" s="1">
        <v>4104</v>
      </c>
      <c r="K48" s="1">
        <v>9115</v>
      </c>
      <c r="L48" s="1">
        <v>8559</v>
      </c>
      <c r="M48" s="1"/>
      <c r="N48" s="1">
        <v>2617</v>
      </c>
      <c r="O48" s="1">
        <v>46274</v>
      </c>
      <c r="P48" s="1">
        <v>45481</v>
      </c>
      <c r="Q48" s="1"/>
      <c r="R48" s="1">
        <v>469649</v>
      </c>
      <c r="S48" s="1">
        <v>617120</v>
      </c>
      <c r="T48" s="1">
        <v>512828</v>
      </c>
      <c r="U48" s="1"/>
    </row>
    <row r="49" spans="2:20" hidden="1">
      <c r="B49" s="1">
        <f>D48+H48+L48+P48</f>
        <v>273403</v>
      </c>
      <c r="C49" s="1">
        <f>D49-B49</f>
        <v>0</v>
      </c>
      <c r="D49" s="111">
        <f>D43+H43+L43+P43</f>
        <v>273403</v>
      </c>
    </row>
    <row r="50" spans="2:20" hidden="1">
      <c r="C50" s="111">
        <f>C49/B49*100</f>
        <v>0</v>
      </c>
      <c r="D50" s="111">
        <f>D49/'Příjmy '!R41*100</f>
        <v>13.595003617504245</v>
      </c>
    </row>
    <row r="51" spans="2:20" hidden="1"/>
    <row r="52" spans="2:20" hidden="1">
      <c r="D52" s="111">
        <v>45023</v>
      </c>
      <c r="H52" s="111">
        <v>268014</v>
      </c>
      <c r="L52" s="111">
        <v>11350</v>
      </c>
      <c r="P52" s="111">
        <v>149901</v>
      </c>
      <c r="T52" s="111">
        <v>515165</v>
      </c>
    </row>
    <row r="53" spans="2:20" hidden="1"/>
    <row r="54" spans="2:20" hidden="1">
      <c r="D54" s="1">
        <f>D46-D48</f>
        <v>16280</v>
      </c>
      <c r="H54" s="1">
        <f>H46-H48</f>
        <v>45878</v>
      </c>
      <c r="L54" s="1">
        <f>L46-L48</f>
        <v>1696</v>
      </c>
      <c r="P54" s="1">
        <f>P46-P48</f>
        <v>-26708</v>
      </c>
      <c r="T54" s="1">
        <f>T46-T48</f>
        <v>129842</v>
      </c>
    </row>
    <row r="55" spans="2:20" hidden="1">
      <c r="D55" s="111">
        <f>D54/D48*100</f>
        <v>74.249749156252847</v>
      </c>
      <c r="H55" s="111">
        <f>H54/H48*100</f>
        <v>23.236779327076484</v>
      </c>
      <c r="L55" s="111">
        <f>L54/L48*100</f>
        <v>19.815398995209719</v>
      </c>
      <c r="P55" s="111">
        <f>P54/P48*100</f>
        <v>-58.723422967832718</v>
      </c>
      <c r="T55" s="111">
        <f>T54/T48*100</f>
        <v>25.31882034522296</v>
      </c>
    </row>
    <row r="56" spans="2:20" hidden="1"/>
    <row r="57" spans="2:20" hidden="1"/>
    <row r="58" spans="2:20" hidden="1"/>
  </sheetData>
  <mergeCells count="30">
    <mergeCell ref="R11:U11"/>
    <mergeCell ref="R7:U7"/>
    <mergeCell ref="R8:U8"/>
    <mergeCell ref="N8:Q8"/>
    <mergeCell ref="B7:Q7"/>
    <mergeCell ref="B11:E11"/>
    <mergeCell ref="F11:I11"/>
    <mergeCell ref="J11:M11"/>
    <mergeCell ref="O9:O10"/>
    <mergeCell ref="P9:P10"/>
    <mergeCell ref="R9:R10"/>
    <mergeCell ref="S9:S10"/>
    <mergeCell ref="T9:T10"/>
    <mergeCell ref="N11:Q11"/>
    <mergeCell ref="A2:U2"/>
    <mergeCell ref="A4:U4"/>
    <mergeCell ref="A7:A10"/>
    <mergeCell ref="B8:D8"/>
    <mergeCell ref="F8:I8"/>
    <mergeCell ref="J8:M8"/>
    <mergeCell ref="B9:B10"/>
    <mergeCell ref="C9:C10"/>
    <mergeCell ref="D9:D10"/>
    <mergeCell ref="F9:F10"/>
    <mergeCell ref="G9:G10"/>
    <mergeCell ref="H9:H10"/>
    <mergeCell ref="J9:J10"/>
    <mergeCell ref="K9:K10"/>
    <mergeCell ref="L9:L10"/>
    <mergeCell ref="N9:N10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56" orientation="landscape" r:id="rId1"/>
  <headerFooter alignWithMargins="0"/>
  <rowBreaks count="1" manualBreakCount="1">
    <brk id="43" max="20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>
    <pageSetUpPr fitToPage="1"/>
  </sheetPr>
  <dimension ref="A1:AI61"/>
  <sheetViews>
    <sheetView showZeros="0" zoomScaleNormal="100" zoomScaleSheetLayoutView="70" workbookViewId="0">
      <pane xSplit="1" ySplit="13" topLeftCell="B14" activePane="bottomRight" state="frozen"/>
      <selection activeCell="C37" sqref="C37"/>
      <selection pane="topRight" activeCell="C37" sqref="C37"/>
      <selection pane="bottomLeft" activeCell="C37" sqref="C37"/>
      <selection pane="bottomRight" sqref="A1:M1"/>
    </sheetView>
  </sheetViews>
  <sheetFormatPr defaultRowHeight="15.75"/>
  <cols>
    <col min="1" max="1" width="28.109375" style="121" customWidth="1"/>
    <col min="2" max="3" width="9.21875" style="118" customWidth="1"/>
    <col min="4" max="4" width="10.33203125" style="118" customWidth="1"/>
    <col min="5" max="5" width="5.6640625" style="118" customWidth="1"/>
    <col min="6" max="7" width="9.77734375" style="118" customWidth="1"/>
    <col min="8" max="8" width="10.5546875" style="118" customWidth="1"/>
    <col min="9" max="9" width="5.77734375" style="118" customWidth="1"/>
    <col min="10" max="11" width="8.6640625" style="118" customWidth="1"/>
    <col min="12" max="12" width="10.33203125" style="118" customWidth="1"/>
    <col min="13" max="13" width="6.77734375" style="118" customWidth="1"/>
    <col min="14" max="14" width="8.77734375" style="118" customWidth="1"/>
    <col min="15" max="15" width="8.44140625" style="118" customWidth="1"/>
    <col min="16" max="16" width="9.88671875" style="118" customWidth="1"/>
    <col min="17" max="17" width="5.77734375" style="118" customWidth="1"/>
    <col min="18" max="18" width="8.44140625" style="118" customWidth="1"/>
    <col min="19" max="19" width="8.21875" style="118" customWidth="1"/>
    <col min="20" max="20" width="10.109375" style="118" customWidth="1"/>
    <col min="21" max="21" width="6" style="118" customWidth="1"/>
    <col min="22" max="22" width="8" style="118" hidden="1" customWidth="1"/>
    <col min="23" max="23" width="7.77734375" style="118" hidden="1" customWidth="1"/>
    <col min="24" max="24" width="10.21875" style="118" hidden="1" customWidth="1"/>
    <col min="25" max="25" width="6" style="118" hidden="1" customWidth="1"/>
    <col min="26" max="26" width="7.5546875" style="118" hidden="1" customWidth="1"/>
    <col min="27" max="27" width="8.44140625" style="118" hidden="1" customWidth="1"/>
    <col min="28" max="28" width="9.88671875" style="118" hidden="1" customWidth="1"/>
    <col min="29" max="29" width="5.77734375" style="118" hidden="1" customWidth="1"/>
    <col min="30" max="30" width="0" style="118" hidden="1" customWidth="1"/>
    <col min="31" max="31" width="11" style="118" hidden="1" customWidth="1"/>
    <col min="32" max="32" width="10.5546875" style="118" hidden="1" customWidth="1"/>
    <col min="33" max="33" width="10.77734375" style="118" hidden="1" customWidth="1"/>
    <col min="34" max="34" width="16.88671875" style="118" hidden="1" customWidth="1"/>
    <col min="35" max="35" width="13" style="118" hidden="1" customWidth="1"/>
    <col min="36" max="36" width="12.33203125" style="118" customWidth="1"/>
    <col min="37" max="16384" width="8.88671875" style="118"/>
  </cols>
  <sheetData>
    <row r="1" spans="1:34" ht="17.25" customHeight="1">
      <c r="A1" s="31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34" ht="24" customHeight="1">
      <c r="A2" s="279" t="s">
        <v>257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</row>
    <row r="3" spans="1:34" ht="15" customHeight="1">
      <c r="A3" s="279" t="s">
        <v>163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</row>
    <row r="4" spans="1:34" ht="21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</row>
    <row r="5" spans="1:34" ht="22.5" customHeight="1">
      <c r="U5" s="17" t="s">
        <v>181</v>
      </c>
      <c r="AC5" s="118" t="s">
        <v>181</v>
      </c>
    </row>
    <row r="6" spans="1:34" ht="22.5" customHeight="1" thickBot="1">
      <c r="U6" s="17" t="s">
        <v>1</v>
      </c>
      <c r="AC6" s="118" t="s">
        <v>1</v>
      </c>
    </row>
    <row r="7" spans="1:34" ht="18.75" customHeight="1" thickBot="1">
      <c r="A7" s="308" t="s">
        <v>222</v>
      </c>
      <c r="B7" s="322" t="s">
        <v>136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4"/>
      <c r="N7" s="322" t="s">
        <v>116</v>
      </c>
      <c r="O7" s="323"/>
      <c r="P7" s="323"/>
      <c r="Q7" s="324"/>
      <c r="R7" s="323" t="s">
        <v>133</v>
      </c>
      <c r="S7" s="323"/>
      <c r="T7" s="323"/>
      <c r="U7" s="324"/>
      <c r="V7" s="316" t="s">
        <v>88</v>
      </c>
      <c r="W7" s="316"/>
      <c r="X7" s="316"/>
      <c r="Y7" s="316"/>
      <c r="Z7" s="316"/>
      <c r="AA7" s="316"/>
      <c r="AB7" s="316"/>
      <c r="AC7" s="316"/>
    </row>
    <row r="8" spans="1:34" ht="18.75" customHeight="1" thickBot="1">
      <c r="A8" s="329"/>
      <c r="B8" s="115"/>
      <c r="C8" s="117"/>
      <c r="D8" s="117"/>
      <c r="E8" s="117"/>
      <c r="F8" s="334" t="s">
        <v>82</v>
      </c>
      <c r="G8" s="334"/>
      <c r="H8" s="334"/>
      <c r="I8" s="334"/>
      <c r="J8" s="120"/>
      <c r="K8" s="117"/>
      <c r="L8" s="117"/>
      <c r="M8" s="116"/>
      <c r="N8" s="124"/>
      <c r="O8" s="125"/>
      <c r="P8" s="125"/>
      <c r="Q8" s="126"/>
      <c r="R8" s="125"/>
      <c r="S8" s="125"/>
      <c r="T8" s="125"/>
      <c r="U8" s="126"/>
      <c r="Z8" s="316"/>
      <c r="AA8" s="316"/>
      <c r="AB8" s="316"/>
      <c r="AC8" s="316"/>
    </row>
    <row r="9" spans="1:34" ht="19.5" customHeight="1" thickBot="1">
      <c r="A9" s="329"/>
      <c r="B9" s="3"/>
      <c r="C9" s="122"/>
      <c r="D9" s="122"/>
      <c r="E9" s="122"/>
      <c r="F9" s="322" t="s">
        <v>83</v>
      </c>
      <c r="G9" s="323"/>
      <c r="H9" s="323"/>
      <c r="I9" s="324"/>
      <c r="J9" s="311" t="s">
        <v>132</v>
      </c>
      <c r="K9" s="311"/>
      <c r="L9" s="311"/>
      <c r="M9" s="290"/>
      <c r="N9" s="3"/>
      <c r="O9" s="122"/>
      <c r="P9" s="122"/>
      <c r="Q9" s="123"/>
      <c r="R9" s="122"/>
      <c r="S9" s="122"/>
      <c r="T9" s="122"/>
      <c r="U9" s="123"/>
      <c r="Z9" s="316"/>
      <c r="AA9" s="316"/>
      <c r="AB9" s="316"/>
      <c r="AC9" s="316"/>
    </row>
    <row r="10" spans="1:34" ht="15.75" customHeight="1">
      <c r="A10" s="329"/>
      <c r="B10" s="312" t="s">
        <v>229</v>
      </c>
      <c r="C10" s="314" t="s">
        <v>230</v>
      </c>
      <c r="D10" s="314" t="s">
        <v>246</v>
      </c>
      <c r="E10" s="27" t="s">
        <v>0</v>
      </c>
      <c r="F10" s="312" t="s">
        <v>229</v>
      </c>
      <c r="G10" s="314" t="s">
        <v>230</v>
      </c>
      <c r="H10" s="314" t="s">
        <v>246</v>
      </c>
      <c r="I10" s="27" t="s">
        <v>0</v>
      </c>
      <c r="J10" s="337" t="s">
        <v>229</v>
      </c>
      <c r="K10" s="314" t="s">
        <v>230</v>
      </c>
      <c r="L10" s="314" t="s">
        <v>246</v>
      </c>
      <c r="M10" s="27" t="s">
        <v>0</v>
      </c>
      <c r="N10" s="312" t="s">
        <v>229</v>
      </c>
      <c r="O10" s="314" t="s">
        <v>230</v>
      </c>
      <c r="P10" s="314" t="s">
        <v>246</v>
      </c>
      <c r="Q10" s="27" t="s">
        <v>0</v>
      </c>
      <c r="R10" s="337" t="s">
        <v>229</v>
      </c>
      <c r="S10" s="314" t="s">
        <v>230</v>
      </c>
      <c r="T10" s="314" t="s">
        <v>246</v>
      </c>
      <c r="U10" s="27" t="s">
        <v>0</v>
      </c>
      <c r="V10" s="118" t="s">
        <v>32</v>
      </c>
      <c r="X10" s="118" t="s">
        <v>2</v>
      </c>
      <c r="Y10" s="118" t="s">
        <v>0</v>
      </c>
      <c r="Z10" s="118" t="s">
        <v>32</v>
      </c>
      <c r="AB10" s="118" t="s">
        <v>2</v>
      </c>
      <c r="AC10" s="118" t="s">
        <v>0</v>
      </c>
      <c r="AE10" s="316" t="s">
        <v>147</v>
      </c>
      <c r="AF10" s="316"/>
      <c r="AG10" s="316"/>
    </row>
    <row r="11" spans="1:34" ht="16.5" thickBot="1">
      <c r="A11" s="330"/>
      <c r="B11" s="313"/>
      <c r="C11" s="315"/>
      <c r="D11" s="315"/>
      <c r="E11" s="28" t="s">
        <v>11</v>
      </c>
      <c r="F11" s="313"/>
      <c r="G11" s="315"/>
      <c r="H11" s="315"/>
      <c r="I11" s="28" t="s">
        <v>11</v>
      </c>
      <c r="J11" s="338"/>
      <c r="K11" s="315"/>
      <c r="L11" s="315"/>
      <c r="M11" s="28" t="s">
        <v>11</v>
      </c>
      <c r="N11" s="313"/>
      <c r="O11" s="315"/>
      <c r="P11" s="315"/>
      <c r="Q11" s="28" t="s">
        <v>11</v>
      </c>
      <c r="R11" s="338"/>
      <c r="S11" s="315"/>
      <c r="T11" s="315"/>
      <c r="U11" s="28" t="s">
        <v>11</v>
      </c>
      <c r="V11" s="118" t="s">
        <v>34</v>
      </c>
      <c r="W11" s="118" t="s">
        <v>35</v>
      </c>
      <c r="X11" s="118" t="s">
        <v>160</v>
      </c>
      <c r="Y11" s="118" t="s">
        <v>11</v>
      </c>
      <c r="Z11" s="118" t="s">
        <v>34</v>
      </c>
      <c r="AA11" s="118" t="s">
        <v>35</v>
      </c>
      <c r="AB11" s="118" t="s">
        <v>183</v>
      </c>
      <c r="AC11" s="118" t="s">
        <v>11</v>
      </c>
    </row>
    <row r="12" spans="1:34">
      <c r="A12" s="44"/>
      <c r="B12" s="325" t="s">
        <v>84</v>
      </c>
      <c r="C12" s="326"/>
      <c r="D12" s="326"/>
      <c r="E12" s="327"/>
      <c r="F12" s="3"/>
      <c r="G12" s="122"/>
      <c r="H12" s="122"/>
      <c r="I12" s="123"/>
      <c r="J12" s="335"/>
      <c r="K12" s="335"/>
      <c r="L12" s="335"/>
      <c r="M12" s="336"/>
      <c r="N12" s="325" t="s">
        <v>117</v>
      </c>
      <c r="O12" s="326"/>
      <c r="P12" s="326"/>
      <c r="Q12" s="327"/>
      <c r="R12" s="325" t="s">
        <v>134</v>
      </c>
      <c r="S12" s="326"/>
      <c r="T12" s="326"/>
      <c r="U12" s="327"/>
      <c r="V12" s="316" t="s">
        <v>91</v>
      </c>
      <c r="W12" s="316"/>
      <c r="X12" s="316"/>
      <c r="Y12" s="316"/>
      <c r="Z12" s="316" t="s">
        <v>171</v>
      </c>
      <c r="AA12" s="316"/>
      <c r="AB12" s="316"/>
      <c r="AC12" s="316"/>
      <c r="AE12" s="118" t="s">
        <v>12</v>
      </c>
      <c r="AF12" s="118" t="s">
        <v>13</v>
      </c>
      <c r="AG12" s="316" t="s">
        <v>90</v>
      </c>
      <c r="AH12" s="316"/>
    </row>
    <row r="13" spans="1:34" ht="16.5" thickBot="1">
      <c r="A13" s="44"/>
      <c r="B13" s="3"/>
      <c r="C13" s="122"/>
      <c r="D13" s="122"/>
      <c r="E13" s="123"/>
      <c r="F13" s="3"/>
      <c r="G13" s="122"/>
      <c r="H13" s="122"/>
      <c r="I13" s="123"/>
      <c r="J13" s="122"/>
      <c r="K13" s="122"/>
      <c r="L13" s="122"/>
      <c r="M13" s="123"/>
      <c r="N13" s="79"/>
      <c r="O13" s="77"/>
      <c r="P13" s="77"/>
      <c r="Q13" s="80"/>
      <c r="R13" s="122"/>
      <c r="S13" s="122"/>
      <c r="T13" s="122"/>
      <c r="U13" s="123"/>
      <c r="AH13" s="118" t="s">
        <v>213</v>
      </c>
    </row>
    <row r="14" spans="1:34">
      <c r="A14" s="137" t="s">
        <v>184</v>
      </c>
      <c r="B14" s="7">
        <v>159127</v>
      </c>
      <c r="C14" s="8">
        <v>176838</v>
      </c>
      <c r="D14" s="8">
        <v>176838</v>
      </c>
      <c r="E14" s="52">
        <f t="shared" ref="E14:E42" si="0">D14/C14*100</f>
        <v>100</v>
      </c>
      <c r="F14" s="7">
        <f t="shared" ref="F14:F42" si="1">SUM(B14-J14)</f>
        <v>159127</v>
      </c>
      <c r="G14" s="8">
        <f t="shared" ref="G14:G42" si="2">SUM(C14-K14)</f>
        <v>176838</v>
      </c>
      <c r="H14" s="8">
        <f t="shared" ref="H14:H42" si="3">SUM(D14-L14)</f>
        <v>176838</v>
      </c>
      <c r="I14" s="52">
        <f t="shared" ref="I14:I42" si="4">H14/G14*100</f>
        <v>100</v>
      </c>
      <c r="J14" s="106"/>
      <c r="K14" s="8"/>
      <c r="L14" s="8"/>
      <c r="M14" s="52"/>
      <c r="N14" s="75"/>
      <c r="O14" s="76">
        <v>20</v>
      </c>
      <c r="P14" s="76">
        <f>O14</f>
        <v>20</v>
      </c>
      <c r="Q14" s="81">
        <f>P14/O14*100</f>
        <v>100</v>
      </c>
      <c r="R14" s="106"/>
      <c r="S14" s="8"/>
      <c r="T14" s="8"/>
      <c r="U14" s="52"/>
      <c r="AD14" s="118">
        <f t="shared" ref="AD14:AD28" si="5">AH14-AG14</f>
        <v>66115.29892999999</v>
      </c>
      <c r="AE14" s="118" t="e">
        <f>'Transfery neinvestiční 2.5'!B13+'Transfery neinvestiční 2.5'!F13+'Transfery neinvestiční 2.5'!J13+'Transfery neinvestiční 2.5'!N13+'Transfery nein.2.5a'!B14+'Transfery nein.2.5a'!N14+'Transfery nein.2.5a'!V14+'Transfery nein.2.5a'!R14+'Transfery neinvestiční 2.5'!R13+'Transfery investiční'!#REF!+'Transfery investiční'!E13+'Transfery investiční'!I13+'Transfery investiční'!M13+'Transfery investiční'!Q13+'Transfery investiční'!U13+Z14+'Transfery investiční'!Y13</f>
        <v>#REF!</v>
      </c>
      <c r="AF14" s="118">
        <f>'Transfery neinvestiční 2.5'!C13+'Transfery neinvestiční 2.5'!G13+'Transfery neinvestiční 2.5'!K13+'Transfery neinvestiční 2.5'!O13+'Transfery nein.2.5a'!C14+'Transfery nein.2.5a'!O14+'Transfery nein.2.5a'!W14+'Transfery nein.2.5a'!S14+'Transfery neinvestiční 2.5'!S13+'Transfery investiční'!B13+'Transfery investiční'!F13+'Transfery investiční'!J13+'Transfery investiční'!N13+'Transfery investiční'!R13+'Transfery investiční'!V13+AA14+'Transfery investiční'!Z13</f>
        <v>366578</v>
      </c>
      <c r="AG14" s="118">
        <f>'Transfery neinvestiční 2.5'!D13+'Transfery neinvestiční 2.5'!H13+'Transfery neinvestiční 2.5'!L13+'Transfery neinvestiční 2.5'!P13+'Transfery nein.2.5a'!D14+'Transfery nein.2.5a'!P14+'Transfery nein.2.5a'!X14+'Transfery nein.2.5a'!T14+'Transfery neinvestiční 2.5'!T13+'Transfery investiční'!C13+'Transfery investiční'!G13+'Transfery investiční'!K13+'Transfery investiční'!O13+'Transfery investiční'!S13+'Transfery investiční'!W13+AB14+'Transfery investiční'!AA13</f>
        <v>285571</v>
      </c>
      <c r="AH14" s="118">
        <f>'Transfery investiční'!AD13/1000*-1</f>
        <v>351686.29892999999</v>
      </c>
    </row>
    <row r="15" spans="1:34">
      <c r="A15" s="138" t="s">
        <v>185</v>
      </c>
      <c r="B15" s="4">
        <v>31692</v>
      </c>
      <c r="C15" s="2">
        <v>32769</v>
      </c>
      <c r="D15" s="2">
        <v>32769</v>
      </c>
      <c r="E15" s="53">
        <f t="shared" si="0"/>
        <v>100</v>
      </c>
      <c r="F15" s="4">
        <f t="shared" si="1"/>
        <v>31692</v>
      </c>
      <c r="G15" s="2">
        <f t="shared" si="2"/>
        <v>32769</v>
      </c>
      <c r="H15" s="2">
        <f t="shared" si="3"/>
        <v>32769</v>
      </c>
      <c r="I15" s="53">
        <f t="shared" si="4"/>
        <v>100</v>
      </c>
      <c r="J15" s="107"/>
      <c r="K15" s="2"/>
      <c r="L15" s="2"/>
      <c r="M15" s="53"/>
      <c r="N15" s="4">
        <v>0</v>
      </c>
      <c r="O15" s="2">
        <v>87</v>
      </c>
      <c r="P15" s="2">
        <f t="shared" ref="P15:P42" si="6">O15</f>
        <v>87</v>
      </c>
      <c r="Q15" s="53">
        <f>P15/O15*100</f>
        <v>100</v>
      </c>
      <c r="R15" s="107"/>
      <c r="S15" s="2"/>
      <c r="T15" s="2"/>
      <c r="U15" s="53"/>
      <c r="AD15" s="118">
        <f t="shared" si="5"/>
        <v>3240.7350000000006</v>
      </c>
      <c r="AE15" s="118" t="e">
        <f>'Transfery neinvestiční 2.5'!B14+'Transfery neinvestiční 2.5'!F14+'Transfery neinvestiční 2.5'!J14+'Transfery neinvestiční 2.5'!N14+'Transfery nein.2.5a'!B15+'Transfery nein.2.5a'!N15+'Transfery nein.2.5a'!V15+'Transfery nein.2.5a'!R15+'Transfery neinvestiční 2.5'!R14+'Transfery investiční'!#REF!+'Transfery investiční'!E14+'Transfery investiční'!I14+'Transfery investiční'!M14+'Transfery investiční'!Q14+'Transfery investiční'!U14+Z15+'Transfery investiční'!Y14</f>
        <v>#REF!</v>
      </c>
      <c r="AF15" s="118">
        <f>'Transfery neinvestiční 2.5'!C14+'Transfery neinvestiční 2.5'!G14+'Transfery neinvestiční 2.5'!K14+'Transfery neinvestiční 2.5'!O14+'Transfery nein.2.5a'!C15+'Transfery nein.2.5a'!O15+'Transfery nein.2.5a'!W15+'Transfery nein.2.5a'!S15+'Transfery neinvestiční 2.5'!S14+'Transfery investiční'!B14+'Transfery investiční'!F14+'Transfery investiční'!J14+'Transfery investiční'!N14+'Transfery investiční'!R14+'Transfery investiční'!V14+AA15+'Transfery investiční'!Z14</f>
        <v>51715</v>
      </c>
      <c r="AG15" s="118">
        <f>'Transfery neinvestiční 2.5'!D14+'Transfery neinvestiční 2.5'!H14+'Transfery neinvestiční 2.5'!L14+'Transfery neinvestiční 2.5'!P14+'Transfery nein.2.5a'!D15+'Transfery nein.2.5a'!P15+'Transfery nein.2.5a'!X15+'Transfery nein.2.5a'!T15+'Transfery neinvestiční 2.5'!T14+'Transfery investiční'!C14+'Transfery investiční'!G14+'Transfery investiční'!K14+'Transfery investiční'!O14+'Transfery investiční'!S14+'Transfery investiční'!W14+AB15+'Transfery investiční'!AA14</f>
        <v>51715</v>
      </c>
      <c r="AH15" s="118">
        <f>'Transfery investiční'!AD14/1000*-1</f>
        <v>54955.735000000001</v>
      </c>
    </row>
    <row r="16" spans="1:34">
      <c r="A16" s="138" t="s">
        <v>186</v>
      </c>
      <c r="B16" s="4">
        <v>29334</v>
      </c>
      <c r="C16" s="2">
        <v>29420</v>
      </c>
      <c r="D16" s="2">
        <v>29420</v>
      </c>
      <c r="E16" s="53">
        <f t="shared" si="0"/>
        <v>100</v>
      </c>
      <c r="F16" s="4">
        <f t="shared" si="1"/>
        <v>29334</v>
      </c>
      <c r="G16" s="2">
        <f t="shared" si="2"/>
        <v>29420</v>
      </c>
      <c r="H16" s="2">
        <f t="shared" si="3"/>
        <v>29420</v>
      </c>
      <c r="I16" s="53">
        <f t="shared" si="4"/>
        <v>100</v>
      </c>
      <c r="J16" s="107"/>
      <c r="K16" s="2"/>
      <c r="L16" s="2"/>
      <c r="M16" s="53"/>
      <c r="N16" s="4"/>
      <c r="O16" s="2">
        <v>200</v>
      </c>
      <c r="P16" s="2">
        <f t="shared" si="6"/>
        <v>200</v>
      </c>
      <c r="Q16" s="53">
        <f>P16/O16*100</f>
        <v>100</v>
      </c>
      <c r="R16" s="107"/>
      <c r="S16" s="2"/>
      <c r="T16" s="2"/>
      <c r="U16" s="53"/>
      <c r="AD16" s="118">
        <f t="shared" si="5"/>
        <v>20264.041680000002</v>
      </c>
      <c r="AE16" s="118" t="e">
        <f>'Transfery neinvestiční 2.5'!B15+'Transfery neinvestiční 2.5'!F15+'Transfery neinvestiční 2.5'!J15+'Transfery neinvestiční 2.5'!N15+'Transfery nein.2.5a'!B16+'Transfery nein.2.5a'!N16+'Transfery nein.2.5a'!V16+'Transfery nein.2.5a'!R16+'Transfery neinvestiční 2.5'!R15+'Transfery investiční'!#REF!+'Transfery investiční'!E15+'Transfery investiční'!I15+'Transfery investiční'!M15+'Transfery investiční'!Q15+'Transfery investiční'!U15+Z16+'Transfery investiční'!Y15</f>
        <v>#REF!</v>
      </c>
      <c r="AF16" s="118">
        <f>'Transfery neinvestiční 2.5'!C15+'Transfery neinvestiční 2.5'!G15+'Transfery neinvestiční 2.5'!K15+'Transfery neinvestiční 2.5'!O15+'Transfery nein.2.5a'!C16+'Transfery nein.2.5a'!O16+'Transfery nein.2.5a'!W16+'Transfery nein.2.5a'!S16+'Transfery neinvestiční 2.5'!S15+'Transfery investiční'!B15+'Transfery investiční'!F15+'Transfery investiční'!J15+'Transfery investiční'!N15+'Transfery investiční'!R15+'Transfery investiční'!V15+AA16+'Transfery investiční'!Z15</f>
        <v>39951</v>
      </c>
      <c r="AG16" s="118">
        <f>'Transfery neinvestiční 2.5'!D15+'Transfery neinvestiční 2.5'!H15+'Transfery neinvestiční 2.5'!L15+'Transfery neinvestiční 2.5'!P15+'Transfery nein.2.5a'!D16+'Transfery nein.2.5a'!P16+'Transfery nein.2.5a'!X16+'Transfery nein.2.5a'!T16+'Transfery neinvestiční 2.5'!T15+'Transfery investiční'!C15+'Transfery investiční'!G15+'Transfery investiční'!K15+'Transfery investiční'!O15+'Transfery investiční'!S15+'Transfery investiční'!W15+AB16+'Transfery investiční'!AA15</f>
        <v>39950</v>
      </c>
      <c r="AH16" s="118">
        <f>'Transfery investiční'!AD15/1000*-1</f>
        <v>60214.041680000002</v>
      </c>
    </row>
    <row r="17" spans="1:34">
      <c r="A17" s="138" t="s">
        <v>187</v>
      </c>
      <c r="B17" s="4">
        <v>22317</v>
      </c>
      <c r="C17" s="2">
        <v>22740</v>
      </c>
      <c r="D17" s="2">
        <v>22740</v>
      </c>
      <c r="E17" s="53">
        <f t="shared" si="0"/>
        <v>100</v>
      </c>
      <c r="F17" s="4">
        <f t="shared" si="1"/>
        <v>22317</v>
      </c>
      <c r="G17" s="2">
        <f t="shared" si="2"/>
        <v>22650</v>
      </c>
      <c r="H17" s="2">
        <f t="shared" si="3"/>
        <v>22650</v>
      </c>
      <c r="I17" s="53">
        <f t="shared" si="4"/>
        <v>100</v>
      </c>
      <c r="J17" s="107"/>
      <c r="K17" s="2">
        <v>90</v>
      </c>
      <c r="L17" s="2">
        <v>90</v>
      </c>
      <c r="M17" s="53">
        <f>L17/K17*100</f>
        <v>100</v>
      </c>
      <c r="N17" s="4"/>
      <c r="O17" s="2"/>
      <c r="P17" s="2">
        <f t="shared" si="6"/>
        <v>0</v>
      </c>
      <c r="Q17" s="53"/>
      <c r="R17" s="107"/>
      <c r="S17" s="2">
        <v>1072</v>
      </c>
      <c r="T17" s="2">
        <v>1072</v>
      </c>
      <c r="U17" s="53">
        <f t="shared" ref="U17" si="7">T17/S17*100</f>
        <v>100</v>
      </c>
      <c r="AD17" s="118">
        <f t="shared" si="5"/>
        <v>-18845.372750000002</v>
      </c>
      <c r="AE17" s="118" t="e">
        <f>'Transfery neinvestiční 2.5'!B16+'Transfery neinvestiční 2.5'!F16+'Transfery neinvestiční 2.5'!J16+'Transfery neinvestiční 2.5'!N16+'Transfery nein.2.5a'!B17+'Transfery nein.2.5a'!N17+'Transfery nein.2.5a'!V17+'Transfery nein.2.5a'!R17+'Transfery neinvestiční 2.5'!R16+'Transfery investiční'!#REF!+'Transfery investiční'!E16+'Transfery investiční'!I16+'Transfery investiční'!M16+'Transfery investiční'!Q16+'Transfery investiční'!U16+Z17+'Transfery investiční'!Y16</f>
        <v>#REF!</v>
      </c>
      <c r="AF17" s="118">
        <f>'Transfery neinvestiční 2.5'!C16+'Transfery neinvestiční 2.5'!G16+'Transfery neinvestiční 2.5'!K16+'Transfery neinvestiční 2.5'!O16+'Transfery nein.2.5a'!C17+'Transfery nein.2.5a'!O17+'Transfery nein.2.5a'!W17+'Transfery nein.2.5a'!S17+'Transfery neinvestiční 2.5'!S16+'Transfery investiční'!B16+'Transfery investiční'!F16+'Transfery investiční'!J16+'Transfery investiční'!N16+'Transfery investiční'!R16+'Transfery investiční'!V16+AA17+'Transfery investiční'!Z16</f>
        <v>81881</v>
      </c>
      <c r="AG17" s="118">
        <f>'Transfery neinvestiční 2.5'!D16+'Transfery neinvestiční 2.5'!H16+'Transfery neinvestiční 2.5'!L16+'Transfery neinvestiční 2.5'!P16+'Transfery nein.2.5a'!D17+'Transfery nein.2.5a'!P17+'Transfery nein.2.5a'!X17+'Transfery nein.2.5a'!T17+'Transfery neinvestiční 2.5'!T16+'Transfery investiční'!C16+'Transfery investiční'!G16+'Transfery investiční'!K16+'Transfery investiční'!O16+'Transfery investiční'!S16+'Transfery investiční'!W16+AB17+'Transfery investiční'!AA16</f>
        <v>81881</v>
      </c>
      <c r="AH17" s="118">
        <f>'Transfery investiční'!AD16/1000*-1</f>
        <v>63035.627249999998</v>
      </c>
    </row>
    <row r="18" spans="1:34">
      <c r="A18" s="138" t="s">
        <v>188</v>
      </c>
      <c r="B18" s="4">
        <v>27766</v>
      </c>
      <c r="C18" s="2">
        <v>30639</v>
      </c>
      <c r="D18" s="2">
        <v>30639</v>
      </c>
      <c r="E18" s="53">
        <f t="shared" si="0"/>
        <v>100</v>
      </c>
      <c r="F18" s="4">
        <f t="shared" si="1"/>
        <v>27766</v>
      </c>
      <c r="G18" s="2">
        <f t="shared" si="2"/>
        <v>30639</v>
      </c>
      <c r="H18" s="2">
        <f t="shared" si="3"/>
        <v>30639</v>
      </c>
      <c r="I18" s="53">
        <f t="shared" si="4"/>
        <v>100</v>
      </c>
      <c r="J18" s="107"/>
      <c r="K18" s="2"/>
      <c r="L18" s="2"/>
      <c r="M18" s="53"/>
      <c r="N18" s="4"/>
      <c r="O18" s="2"/>
      <c r="P18" s="2">
        <f t="shared" si="6"/>
        <v>0</v>
      </c>
      <c r="Q18" s="53"/>
      <c r="R18" s="107"/>
      <c r="S18" s="2"/>
      <c r="T18" s="2"/>
      <c r="U18" s="53"/>
      <c r="AD18" s="118">
        <f t="shared" si="5"/>
        <v>-17454.567000000003</v>
      </c>
      <c r="AE18" s="118" t="e">
        <f>'Transfery neinvestiční 2.5'!B17+'Transfery neinvestiční 2.5'!F17+'Transfery neinvestiční 2.5'!J17+'Transfery neinvestiční 2.5'!N17+'Transfery nein.2.5a'!B18+'Transfery nein.2.5a'!N18+'Transfery nein.2.5a'!V18+'Transfery nein.2.5a'!R18+'Transfery neinvestiční 2.5'!R17+'Transfery investiční'!#REF!+'Transfery investiční'!E17+'Transfery investiční'!I17+'Transfery investiční'!M17+'Transfery investiční'!Q17+'Transfery investiční'!U17+Z18+'Transfery investiční'!Y17</f>
        <v>#REF!</v>
      </c>
      <c r="AF18" s="118">
        <f>'Transfery neinvestiční 2.5'!C17+'Transfery neinvestiční 2.5'!G17+'Transfery neinvestiční 2.5'!K17+'Transfery neinvestiční 2.5'!O17+'Transfery nein.2.5a'!C18+'Transfery nein.2.5a'!O18+'Transfery nein.2.5a'!W18+'Transfery nein.2.5a'!S18+'Transfery neinvestiční 2.5'!S17+'Transfery investiční'!B17+'Transfery investiční'!F17+'Transfery investiční'!J17+'Transfery investiční'!N17+'Transfery investiční'!R17+'Transfery investiční'!V17+AA18+'Transfery investiční'!Z17</f>
        <v>71964</v>
      </c>
      <c r="AG18" s="118">
        <f>'Transfery neinvestiční 2.5'!D17+'Transfery neinvestiční 2.5'!H17+'Transfery neinvestiční 2.5'!L17+'Transfery neinvestiční 2.5'!P17+'Transfery nein.2.5a'!D18+'Transfery nein.2.5a'!P18+'Transfery nein.2.5a'!X18+'Transfery nein.2.5a'!T18+'Transfery neinvestiční 2.5'!T17+'Transfery investiční'!C17+'Transfery investiční'!G17+'Transfery investiční'!K17+'Transfery investiční'!O17+'Transfery investiční'!S17+'Transfery investiční'!W17+AB18+'Transfery investiční'!AA17</f>
        <v>71702</v>
      </c>
      <c r="AH18" s="118">
        <f>'Transfery investiční'!AD17/1000*-1</f>
        <v>54247.432999999997</v>
      </c>
    </row>
    <row r="19" spans="1:34">
      <c r="A19" s="138" t="s">
        <v>189</v>
      </c>
      <c r="B19" s="4">
        <v>8244</v>
      </c>
      <c r="C19" s="2">
        <v>8331</v>
      </c>
      <c r="D19" s="2">
        <v>8331</v>
      </c>
      <c r="E19" s="53">
        <f t="shared" si="0"/>
        <v>100</v>
      </c>
      <c r="F19" s="4">
        <f t="shared" si="1"/>
        <v>8244</v>
      </c>
      <c r="G19" s="2">
        <f t="shared" si="2"/>
        <v>8331</v>
      </c>
      <c r="H19" s="2">
        <f t="shared" si="3"/>
        <v>8331</v>
      </c>
      <c r="I19" s="53">
        <f t="shared" si="4"/>
        <v>100</v>
      </c>
      <c r="J19" s="107"/>
      <c r="K19" s="2"/>
      <c r="L19" s="2"/>
      <c r="M19" s="53"/>
      <c r="N19" s="4"/>
      <c r="O19" s="2"/>
      <c r="P19" s="2">
        <f t="shared" si="6"/>
        <v>0</v>
      </c>
      <c r="Q19" s="53"/>
      <c r="R19" s="107"/>
      <c r="S19" s="2"/>
      <c r="T19" s="2"/>
      <c r="U19" s="53"/>
      <c r="AD19" s="118">
        <f t="shared" si="5"/>
        <v>969.19399999999951</v>
      </c>
      <c r="AE19" s="118" t="e">
        <f>'Transfery neinvestiční 2.5'!B18+'Transfery neinvestiční 2.5'!F18+'Transfery neinvestiční 2.5'!J18+'Transfery neinvestiční 2.5'!N18+'Transfery nein.2.5a'!B19+'Transfery nein.2.5a'!N19+'Transfery nein.2.5a'!V19+'Transfery nein.2.5a'!R19+'Transfery neinvestiční 2.5'!R18+'Transfery investiční'!#REF!+'Transfery investiční'!E18+'Transfery investiční'!I18+'Transfery investiční'!M18+'Transfery investiční'!Q18+'Transfery investiční'!U18+Z19+'Transfery investiční'!Y18</f>
        <v>#REF!</v>
      </c>
      <c r="AF19" s="118">
        <f>'Transfery neinvestiční 2.5'!C18+'Transfery neinvestiční 2.5'!G18+'Transfery neinvestiční 2.5'!K18+'Transfery neinvestiční 2.5'!O18+'Transfery nein.2.5a'!C19+'Transfery nein.2.5a'!O19+'Transfery nein.2.5a'!W19+'Transfery nein.2.5a'!S19+'Transfery neinvestiční 2.5'!S18+'Transfery investiční'!B18+'Transfery investiční'!F18+'Transfery investiční'!J18+'Transfery investiční'!N18+'Transfery investiční'!R18+'Transfery investiční'!V18+AA19+'Transfery investiční'!Z18</f>
        <v>9861</v>
      </c>
      <c r="AG19" s="118">
        <f>'Transfery neinvestiční 2.5'!D18+'Transfery neinvestiční 2.5'!H18+'Transfery neinvestiční 2.5'!L18+'Transfery neinvestiční 2.5'!P18+'Transfery nein.2.5a'!D19+'Transfery nein.2.5a'!P19+'Transfery nein.2.5a'!X19+'Transfery nein.2.5a'!T19+'Transfery neinvestiční 2.5'!T18+'Transfery investiční'!C18+'Transfery investiční'!G18+'Transfery investiční'!K18+'Transfery investiční'!O18+'Transfery investiční'!S18+'Transfery investiční'!W18+AB19+'Transfery investiční'!AA18</f>
        <v>9860</v>
      </c>
      <c r="AH19" s="118">
        <f>'Transfery investiční'!AD18/1000*-1</f>
        <v>10829.194</v>
      </c>
    </row>
    <row r="20" spans="1:34">
      <c r="A20" s="138" t="s">
        <v>190</v>
      </c>
      <c r="B20" s="4">
        <v>56527</v>
      </c>
      <c r="C20" s="2">
        <v>59173</v>
      </c>
      <c r="D20" s="2">
        <v>59173</v>
      </c>
      <c r="E20" s="53">
        <f t="shared" si="0"/>
        <v>100</v>
      </c>
      <c r="F20" s="4">
        <f t="shared" si="1"/>
        <v>56527</v>
      </c>
      <c r="G20" s="2">
        <f t="shared" si="2"/>
        <v>59060</v>
      </c>
      <c r="H20" s="2">
        <f t="shared" si="3"/>
        <v>59060</v>
      </c>
      <c r="I20" s="53">
        <f t="shared" si="4"/>
        <v>100</v>
      </c>
      <c r="J20" s="107"/>
      <c r="K20" s="2">
        <v>113</v>
      </c>
      <c r="L20" s="2">
        <v>113</v>
      </c>
      <c r="M20" s="53">
        <f>L20/K20*100</f>
        <v>100</v>
      </c>
      <c r="N20" s="4"/>
      <c r="O20" s="2">
        <v>146</v>
      </c>
      <c r="P20" s="2">
        <f t="shared" si="6"/>
        <v>146</v>
      </c>
      <c r="Q20" s="53">
        <f>P20/O20*100</f>
        <v>100</v>
      </c>
      <c r="R20" s="107"/>
      <c r="S20" s="2"/>
      <c r="T20" s="2"/>
      <c r="U20" s="53"/>
      <c r="AD20" s="118">
        <f t="shared" si="5"/>
        <v>-32778.444289999999</v>
      </c>
      <c r="AE20" s="118" t="e">
        <f>'Transfery neinvestiční 2.5'!B19+'Transfery neinvestiční 2.5'!F19+'Transfery neinvestiční 2.5'!J19+'Transfery neinvestiční 2.5'!N19+'Transfery nein.2.5a'!B20+'Transfery nein.2.5a'!N20+'Transfery nein.2.5a'!V20+'Transfery nein.2.5a'!R20+'Transfery neinvestiční 2.5'!R19+'Transfery investiční'!#REF!+'Transfery investiční'!E19+'Transfery investiční'!I19+'Transfery investiční'!M19+'Transfery investiční'!Q19+'Transfery investiční'!U19+Z20+'Transfery investiční'!Y19</f>
        <v>#REF!</v>
      </c>
      <c r="AF20" s="118">
        <f>'Transfery neinvestiční 2.5'!C19+'Transfery neinvestiční 2.5'!G19+'Transfery neinvestiční 2.5'!K19+'Transfery neinvestiční 2.5'!O19+'Transfery nein.2.5a'!C20+'Transfery nein.2.5a'!O20+'Transfery nein.2.5a'!W20+'Transfery nein.2.5a'!S20+'Transfery neinvestiční 2.5'!S19+'Transfery investiční'!B19+'Transfery investiční'!F19+'Transfery investiční'!J19+'Transfery investiční'!N19+'Transfery investiční'!R19+'Transfery investiční'!V19+AA20+'Transfery investiční'!Z19</f>
        <v>145566</v>
      </c>
      <c r="AG20" s="118">
        <f>'Transfery neinvestiční 2.5'!D19+'Transfery neinvestiční 2.5'!H19+'Transfery neinvestiční 2.5'!L19+'Transfery neinvestiční 2.5'!P19+'Transfery nein.2.5a'!D20+'Transfery nein.2.5a'!P20+'Transfery nein.2.5a'!X20+'Transfery nein.2.5a'!T20+'Transfery neinvestiční 2.5'!T19+'Transfery investiční'!C19+'Transfery investiční'!G19+'Transfery investiční'!K19+'Transfery investiční'!O19+'Transfery investiční'!S19+'Transfery investiční'!W19+AB20+'Transfery investiční'!AA19</f>
        <v>124392</v>
      </c>
      <c r="AH20" s="118">
        <f>'Transfery investiční'!AD19/1000*-1</f>
        <v>91613.555710000001</v>
      </c>
    </row>
    <row r="21" spans="1:34">
      <c r="A21" s="138" t="s">
        <v>191</v>
      </c>
      <c r="B21" s="4">
        <v>69015</v>
      </c>
      <c r="C21" s="2">
        <v>70043</v>
      </c>
      <c r="D21" s="2">
        <v>70043</v>
      </c>
      <c r="E21" s="53">
        <f t="shared" si="0"/>
        <v>100</v>
      </c>
      <c r="F21" s="4">
        <f t="shared" si="1"/>
        <v>69015</v>
      </c>
      <c r="G21" s="2">
        <f t="shared" si="2"/>
        <v>69844</v>
      </c>
      <c r="H21" s="2">
        <f t="shared" si="3"/>
        <v>69844</v>
      </c>
      <c r="I21" s="53">
        <f t="shared" si="4"/>
        <v>100</v>
      </c>
      <c r="J21" s="107"/>
      <c r="K21" s="2">
        <v>199</v>
      </c>
      <c r="L21" s="2">
        <v>199</v>
      </c>
      <c r="M21" s="53">
        <f>L21/K21*100</f>
        <v>100</v>
      </c>
      <c r="N21" s="4"/>
      <c r="O21" s="2"/>
      <c r="P21" s="2">
        <f t="shared" si="6"/>
        <v>0</v>
      </c>
      <c r="Q21" s="53"/>
      <c r="R21" s="107"/>
      <c r="S21" s="2"/>
      <c r="T21" s="2"/>
      <c r="U21" s="53"/>
      <c r="AD21" s="118">
        <f t="shared" si="5"/>
        <v>32666.435129999998</v>
      </c>
      <c r="AE21" s="118" t="e">
        <f>'Transfery neinvestiční 2.5'!B20+'Transfery neinvestiční 2.5'!F20+'Transfery neinvestiční 2.5'!J20+'Transfery neinvestiční 2.5'!N20+'Transfery nein.2.5a'!B21+'Transfery nein.2.5a'!N21+'Transfery nein.2.5a'!V21+'Transfery nein.2.5a'!R21+'Transfery neinvestiční 2.5'!R20+'Transfery investiční'!#REF!+'Transfery investiční'!E20+'Transfery investiční'!I20+'Transfery investiční'!M20+'Transfery investiční'!Q20+'Transfery investiční'!U20+Z21+'Transfery investiční'!Y20</f>
        <v>#REF!</v>
      </c>
      <c r="AF21" s="118">
        <f>'Transfery neinvestiční 2.5'!C20+'Transfery neinvestiční 2.5'!G20+'Transfery neinvestiční 2.5'!K20+'Transfery neinvestiční 2.5'!O20+'Transfery nein.2.5a'!C21+'Transfery nein.2.5a'!O21+'Transfery nein.2.5a'!W21+'Transfery nein.2.5a'!S21+'Transfery neinvestiční 2.5'!S20+'Transfery investiční'!B20+'Transfery investiční'!F20+'Transfery investiční'!J20+'Transfery investiční'!N20+'Transfery investiční'!R20+'Transfery investiční'!V20+AA21+'Transfery investiční'!Z20</f>
        <v>146784</v>
      </c>
      <c r="AG21" s="118">
        <f>'Transfery neinvestiční 2.5'!D20+'Transfery neinvestiční 2.5'!H20+'Transfery neinvestiční 2.5'!L20+'Transfery neinvestiční 2.5'!P20+'Transfery nein.2.5a'!D21+'Transfery nein.2.5a'!P21+'Transfery nein.2.5a'!X21+'Transfery nein.2.5a'!T21+'Transfery neinvestiční 2.5'!T20+'Transfery investiční'!C20+'Transfery investiční'!G20+'Transfery investiční'!K20+'Transfery investiční'!O20+'Transfery investiční'!S20+'Transfery investiční'!W20+AB21+'Transfery investiční'!AA20</f>
        <v>145889</v>
      </c>
      <c r="AH21" s="118">
        <f>'Transfery investiční'!AD20/1000*-1</f>
        <v>178555.43513</v>
      </c>
    </row>
    <row r="22" spans="1:34">
      <c r="A22" s="138" t="s">
        <v>192</v>
      </c>
      <c r="B22" s="4">
        <v>8316</v>
      </c>
      <c r="C22" s="2">
        <v>8315</v>
      </c>
      <c r="D22" s="2">
        <v>8315</v>
      </c>
      <c r="E22" s="53">
        <f t="shared" si="0"/>
        <v>100</v>
      </c>
      <c r="F22" s="4">
        <f t="shared" si="1"/>
        <v>8316</v>
      </c>
      <c r="G22" s="2">
        <f t="shared" si="2"/>
        <v>8315</v>
      </c>
      <c r="H22" s="2">
        <f t="shared" si="3"/>
        <v>8315</v>
      </c>
      <c r="I22" s="53">
        <f t="shared" si="4"/>
        <v>100</v>
      </c>
      <c r="J22" s="107"/>
      <c r="K22" s="2"/>
      <c r="L22" s="2"/>
      <c r="M22" s="53"/>
      <c r="N22" s="4"/>
      <c r="O22" s="2"/>
      <c r="P22" s="2">
        <f t="shared" si="6"/>
        <v>0</v>
      </c>
      <c r="Q22" s="53"/>
      <c r="R22" s="107"/>
      <c r="S22" s="2"/>
      <c r="T22" s="2"/>
      <c r="U22" s="53"/>
      <c r="AD22" s="118">
        <f t="shared" si="5"/>
        <v>816</v>
      </c>
      <c r="AE22" s="118" t="e">
        <f>'Transfery neinvestiční 2.5'!B21+'Transfery neinvestiční 2.5'!F21+'Transfery neinvestiční 2.5'!J21+'Transfery neinvestiční 2.5'!N21+'Transfery nein.2.5a'!B22+'Transfery nein.2.5a'!N22+'Transfery nein.2.5a'!V22+'Transfery nein.2.5a'!R22+'Transfery neinvestiční 2.5'!R21+'Transfery investiční'!#REF!+'Transfery investiční'!E21+'Transfery investiční'!I21+'Transfery investiční'!M21+'Transfery investiční'!Q21+'Transfery investiční'!U21+Z22+'Transfery investiční'!Y21</f>
        <v>#REF!</v>
      </c>
      <c r="AF22" s="118">
        <f>'Transfery neinvestiční 2.5'!C21+'Transfery neinvestiční 2.5'!G21+'Transfery neinvestiční 2.5'!K21+'Transfery neinvestiční 2.5'!O21+'Transfery nein.2.5a'!C22+'Transfery nein.2.5a'!O22+'Transfery nein.2.5a'!W22+'Transfery nein.2.5a'!S22+'Transfery neinvestiční 2.5'!S21+'Transfery investiční'!B21+'Transfery investiční'!F21+'Transfery investiční'!J21+'Transfery investiční'!N21+'Transfery investiční'!R21+'Transfery investiční'!V21+AA22+'Transfery investiční'!Z21</f>
        <v>9001</v>
      </c>
      <c r="AG22" s="118">
        <f>'Transfery neinvestiční 2.5'!D21+'Transfery neinvestiční 2.5'!H21+'Transfery neinvestiční 2.5'!L21+'Transfery neinvestiční 2.5'!P21+'Transfery nein.2.5a'!D22+'Transfery nein.2.5a'!P22+'Transfery nein.2.5a'!X22+'Transfery nein.2.5a'!T22+'Transfery neinvestiční 2.5'!T21+'Transfery investiční'!C21+'Transfery investiční'!G21+'Transfery investiční'!K21+'Transfery investiční'!O21+'Transfery investiční'!S21+'Transfery investiční'!W21+AB22+'Transfery investiční'!AA21</f>
        <v>9001</v>
      </c>
      <c r="AH22" s="118">
        <f>'Transfery investiční'!AD21/1000*-1</f>
        <v>9817</v>
      </c>
    </row>
    <row r="23" spans="1:34">
      <c r="A23" s="138" t="s">
        <v>193</v>
      </c>
      <c r="B23" s="4">
        <v>18541</v>
      </c>
      <c r="C23" s="2">
        <v>18914</v>
      </c>
      <c r="D23" s="2">
        <v>18914</v>
      </c>
      <c r="E23" s="53">
        <f t="shared" si="0"/>
        <v>100</v>
      </c>
      <c r="F23" s="4">
        <f t="shared" si="1"/>
        <v>18517</v>
      </c>
      <c r="G23" s="2">
        <f t="shared" si="2"/>
        <v>18890</v>
      </c>
      <c r="H23" s="2">
        <f t="shared" si="3"/>
        <v>18890</v>
      </c>
      <c r="I23" s="53">
        <f t="shared" si="4"/>
        <v>100</v>
      </c>
      <c r="J23" s="107">
        <v>24</v>
      </c>
      <c r="K23" s="2">
        <v>24</v>
      </c>
      <c r="L23" s="2">
        <v>24</v>
      </c>
      <c r="M23" s="53">
        <f>L23/K23*100</f>
        <v>100</v>
      </c>
      <c r="N23" s="4">
        <v>0</v>
      </c>
      <c r="O23" s="2">
        <v>103</v>
      </c>
      <c r="P23" s="2">
        <f t="shared" si="6"/>
        <v>103</v>
      </c>
      <c r="Q23" s="53">
        <f t="shared" ref="Q23:Q32" si="8">P23/O23*100</f>
        <v>100</v>
      </c>
      <c r="R23" s="107"/>
      <c r="S23" s="2"/>
      <c r="T23" s="2"/>
      <c r="U23" s="53"/>
      <c r="AD23" s="118">
        <f t="shared" si="5"/>
        <v>15530.845179999997</v>
      </c>
      <c r="AE23" s="118" t="e">
        <f>'Transfery neinvestiční 2.5'!B22+'Transfery neinvestiční 2.5'!F22+'Transfery neinvestiční 2.5'!J22+'Transfery neinvestiční 2.5'!N22+'Transfery nein.2.5a'!B23+'Transfery nein.2.5a'!N23+'Transfery nein.2.5a'!V23+'Transfery nein.2.5a'!R23+'Transfery neinvestiční 2.5'!R22+'Transfery investiční'!#REF!+'Transfery investiční'!E22+'Transfery investiční'!I22+'Transfery investiční'!M22+'Transfery investiční'!Q22+'Transfery investiční'!U22+Z23+'Transfery investiční'!Y22</f>
        <v>#REF!</v>
      </c>
      <c r="AF23" s="118">
        <f>'Transfery neinvestiční 2.5'!C22+'Transfery neinvestiční 2.5'!G22+'Transfery neinvestiční 2.5'!K22+'Transfery neinvestiční 2.5'!O22+'Transfery nein.2.5a'!C23+'Transfery nein.2.5a'!O23+'Transfery nein.2.5a'!W23+'Transfery nein.2.5a'!S23+'Transfery neinvestiční 2.5'!S22+'Transfery investiční'!B22+'Transfery investiční'!F22+'Transfery investiční'!J22+'Transfery investiční'!N22+'Transfery investiční'!R22+'Transfery investiční'!V22+AA23+'Transfery investiční'!Z22</f>
        <v>28483</v>
      </c>
      <c r="AG23" s="118">
        <f>'Transfery neinvestiční 2.5'!D22+'Transfery neinvestiční 2.5'!H22+'Transfery neinvestiční 2.5'!L22+'Transfery neinvestiční 2.5'!P22+'Transfery nein.2.5a'!D23+'Transfery nein.2.5a'!P23+'Transfery nein.2.5a'!X23+'Transfery nein.2.5a'!T23+'Transfery neinvestiční 2.5'!T22+'Transfery investiční'!C22+'Transfery investiční'!G22+'Transfery investiční'!K22+'Transfery investiční'!O22+'Transfery investiční'!S22+'Transfery investiční'!W22+AB23+'Transfery investiční'!AA22</f>
        <v>29530</v>
      </c>
      <c r="AH23" s="118">
        <f>'Transfery investiční'!AD22/1000*-1</f>
        <v>45060.845179999997</v>
      </c>
    </row>
    <row r="24" spans="1:34">
      <c r="A24" s="138" t="s">
        <v>194</v>
      </c>
      <c r="B24" s="4">
        <v>9873</v>
      </c>
      <c r="C24" s="2">
        <v>10064</v>
      </c>
      <c r="D24" s="2">
        <v>10064</v>
      </c>
      <c r="E24" s="53">
        <f t="shared" si="0"/>
        <v>100</v>
      </c>
      <c r="F24" s="4">
        <f t="shared" si="1"/>
        <v>9873</v>
      </c>
      <c r="G24" s="2">
        <f t="shared" si="2"/>
        <v>10064</v>
      </c>
      <c r="H24" s="2">
        <f t="shared" si="3"/>
        <v>10064</v>
      </c>
      <c r="I24" s="53">
        <f t="shared" si="4"/>
        <v>100</v>
      </c>
      <c r="J24" s="107"/>
      <c r="K24" s="2"/>
      <c r="L24" s="2"/>
      <c r="M24" s="53"/>
      <c r="N24" s="4">
        <v>0</v>
      </c>
      <c r="O24" s="2">
        <v>2</v>
      </c>
      <c r="P24" s="2">
        <f t="shared" si="6"/>
        <v>2</v>
      </c>
      <c r="Q24" s="53">
        <f t="shared" si="8"/>
        <v>100</v>
      </c>
      <c r="R24" s="107"/>
      <c r="S24" s="2"/>
      <c r="T24" s="2"/>
      <c r="U24" s="53"/>
      <c r="AD24" s="118">
        <f t="shared" si="5"/>
        <v>-9837.89</v>
      </c>
      <c r="AE24" s="118" t="e">
        <f>'Transfery neinvestiční 2.5'!B23+'Transfery neinvestiční 2.5'!F23+'Transfery neinvestiční 2.5'!J23+'Transfery neinvestiční 2.5'!N23+'Transfery nein.2.5a'!B24+'Transfery nein.2.5a'!N24+'Transfery nein.2.5a'!V24+'Transfery nein.2.5a'!R24+'Transfery neinvestiční 2.5'!R23+'Transfery investiční'!#REF!+'Transfery investiční'!E23+'Transfery investiční'!I23+'Transfery investiční'!M23+'Transfery investiční'!Q23+'Transfery investiční'!U23+Z24+'Transfery investiční'!Y23</f>
        <v>#REF!</v>
      </c>
      <c r="AF24" s="118">
        <f>'Transfery neinvestiční 2.5'!C23+'Transfery neinvestiční 2.5'!G23+'Transfery neinvestiční 2.5'!K23+'Transfery neinvestiční 2.5'!O23+'Transfery nein.2.5a'!C24+'Transfery nein.2.5a'!O24+'Transfery nein.2.5a'!W24+'Transfery nein.2.5a'!S24+'Transfery neinvestiční 2.5'!S23+'Transfery investiční'!B23+'Transfery investiční'!F23+'Transfery investiční'!J23+'Transfery investiční'!N23+'Transfery investiční'!R23+'Transfery investiční'!V23+AA24+'Transfery investiční'!Z23</f>
        <v>27969</v>
      </c>
      <c r="AG24" s="118">
        <f>'Transfery neinvestiční 2.5'!D23+'Transfery neinvestiční 2.5'!H23+'Transfery neinvestiční 2.5'!L23+'Transfery neinvestiční 2.5'!P23+'Transfery nein.2.5a'!D24+'Transfery nein.2.5a'!P24+'Transfery nein.2.5a'!X24+'Transfery nein.2.5a'!T24+'Transfery neinvestiční 2.5'!T23+'Transfery investiční'!C23+'Transfery investiční'!G23+'Transfery investiční'!K23+'Transfery investiční'!O23+'Transfery investiční'!S23+'Transfery investiční'!W23+AB24+'Transfery investiční'!AA23</f>
        <v>25926</v>
      </c>
      <c r="AH24" s="118">
        <f>'Transfery investiční'!AD23/1000*-1</f>
        <v>16088.11</v>
      </c>
    </row>
    <row r="25" spans="1:34">
      <c r="A25" s="138" t="s">
        <v>195</v>
      </c>
      <c r="B25" s="4">
        <v>13364</v>
      </c>
      <c r="C25" s="2">
        <v>13769</v>
      </c>
      <c r="D25" s="2">
        <v>13769</v>
      </c>
      <c r="E25" s="53">
        <f t="shared" si="0"/>
        <v>100</v>
      </c>
      <c r="F25" s="4">
        <f t="shared" si="1"/>
        <v>13364</v>
      </c>
      <c r="G25" s="2">
        <f t="shared" si="2"/>
        <v>13769</v>
      </c>
      <c r="H25" s="2">
        <f t="shared" si="3"/>
        <v>13769</v>
      </c>
      <c r="I25" s="53">
        <f t="shared" si="4"/>
        <v>100</v>
      </c>
      <c r="J25" s="107"/>
      <c r="K25" s="2"/>
      <c r="L25" s="2"/>
      <c r="M25" s="53"/>
      <c r="N25" s="4">
        <v>0</v>
      </c>
      <c r="O25" s="2">
        <v>200</v>
      </c>
      <c r="P25" s="2">
        <f t="shared" si="6"/>
        <v>200</v>
      </c>
      <c r="Q25" s="53">
        <f t="shared" si="8"/>
        <v>100</v>
      </c>
      <c r="R25" s="107"/>
      <c r="S25" s="2"/>
      <c r="T25" s="2"/>
      <c r="U25" s="53"/>
      <c r="AD25" s="118">
        <f t="shared" si="5"/>
        <v>-6968.8549999999996</v>
      </c>
      <c r="AE25" s="118" t="e">
        <f>'Transfery neinvestiční 2.5'!B24+'Transfery neinvestiční 2.5'!F24+'Transfery neinvestiční 2.5'!J24+'Transfery neinvestiční 2.5'!N24+'Transfery nein.2.5a'!B25+'Transfery nein.2.5a'!N25+'Transfery nein.2.5a'!V25+'Transfery nein.2.5a'!R25+'Transfery neinvestiční 2.5'!R24+'Transfery investiční'!#REF!+'Transfery investiční'!E24+'Transfery investiční'!I24+'Transfery investiční'!M24+'Transfery investiční'!Q24+'Transfery investiční'!U24+Z25+'Transfery investiční'!Y24</f>
        <v>#REF!</v>
      </c>
      <c r="AF25" s="118">
        <f>'Transfery neinvestiční 2.5'!C24+'Transfery neinvestiční 2.5'!G24+'Transfery neinvestiční 2.5'!K24+'Transfery neinvestiční 2.5'!O24+'Transfery nein.2.5a'!C25+'Transfery nein.2.5a'!O25+'Transfery nein.2.5a'!W25+'Transfery nein.2.5a'!S25+'Transfery neinvestiční 2.5'!S24+'Transfery investiční'!B24+'Transfery investiční'!F24+'Transfery investiční'!J24+'Transfery investiční'!N24+'Transfery investiční'!R24+'Transfery investiční'!V24+AA25+'Transfery investiční'!Z24</f>
        <v>30593</v>
      </c>
      <c r="AG25" s="118">
        <f>'Transfery neinvestiční 2.5'!D24+'Transfery neinvestiční 2.5'!H24+'Transfery neinvestiční 2.5'!L24+'Transfery neinvestiční 2.5'!P24+'Transfery nein.2.5a'!D25+'Transfery nein.2.5a'!P25+'Transfery nein.2.5a'!X25+'Transfery nein.2.5a'!T25+'Transfery neinvestiční 2.5'!T24+'Transfery investiční'!C24+'Transfery investiční'!G24+'Transfery investiční'!K24+'Transfery investiční'!O24+'Transfery investiční'!S24+'Transfery investiční'!W24+AB25+'Transfery investiční'!AA24</f>
        <v>30581</v>
      </c>
      <c r="AH25" s="118">
        <f>'Transfery investiční'!AD24/1000*-1</f>
        <v>23612.145</v>
      </c>
    </row>
    <row r="26" spans="1:34">
      <c r="A26" s="138" t="s">
        <v>196</v>
      </c>
      <c r="B26" s="4">
        <v>113914</v>
      </c>
      <c r="C26" s="2">
        <v>114591</v>
      </c>
      <c r="D26" s="2">
        <v>114591</v>
      </c>
      <c r="E26" s="53">
        <f t="shared" si="0"/>
        <v>100</v>
      </c>
      <c r="F26" s="4">
        <f t="shared" si="1"/>
        <v>113714</v>
      </c>
      <c r="G26" s="2">
        <f t="shared" si="2"/>
        <v>114391</v>
      </c>
      <c r="H26" s="2">
        <f t="shared" si="3"/>
        <v>114391</v>
      </c>
      <c r="I26" s="53">
        <f t="shared" si="4"/>
        <v>100</v>
      </c>
      <c r="J26" s="107">
        <f>200</f>
        <v>200</v>
      </c>
      <c r="K26" s="2">
        <v>200</v>
      </c>
      <c r="L26" s="2">
        <v>200</v>
      </c>
      <c r="M26" s="53">
        <f>L26/K26*100</f>
        <v>100</v>
      </c>
      <c r="N26" s="4">
        <v>0</v>
      </c>
      <c r="O26" s="2">
        <v>3247</v>
      </c>
      <c r="P26" s="2">
        <f t="shared" si="6"/>
        <v>3247</v>
      </c>
      <c r="Q26" s="53">
        <f t="shared" si="8"/>
        <v>100</v>
      </c>
      <c r="R26" s="107"/>
      <c r="S26" s="2"/>
      <c r="T26" s="2"/>
      <c r="U26" s="53"/>
      <c r="AD26" s="118">
        <f t="shared" si="5"/>
        <v>-10695.763299999991</v>
      </c>
      <c r="AE26" s="118" t="e">
        <f>'Transfery neinvestiční 2.5'!B25+'Transfery neinvestiční 2.5'!F25+'Transfery neinvestiční 2.5'!J25+'Transfery neinvestiční 2.5'!N25+'Transfery nein.2.5a'!B26+'Transfery nein.2.5a'!N26+'Transfery nein.2.5a'!V26+'Transfery nein.2.5a'!R26+'Transfery neinvestiční 2.5'!R25+'Transfery investiční'!#REF!+'Transfery investiční'!E25+'Transfery investiční'!I25+'Transfery investiční'!M25+'Transfery investiční'!Q25+'Transfery investiční'!U25+Z26+'Transfery investiční'!Y25</f>
        <v>#REF!</v>
      </c>
      <c r="AF26" s="118">
        <f>'Transfery neinvestiční 2.5'!C25+'Transfery neinvestiční 2.5'!G25+'Transfery neinvestiční 2.5'!K25+'Transfery neinvestiční 2.5'!O25+'Transfery nein.2.5a'!C26+'Transfery nein.2.5a'!O26+'Transfery nein.2.5a'!W26+'Transfery nein.2.5a'!S26+'Transfery neinvestiční 2.5'!S25+'Transfery investiční'!B25+'Transfery investiční'!F25+'Transfery investiční'!J25+'Transfery investiční'!N25+'Transfery investiční'!R25+'Transfery investiční'!V25+AA26+'Transfery investiční'!Z25</f>
        <v>278095</v>
      </c>
      <c r="AG26" s="118">
        <f>'Transfery neinvestiční 2.5'!D25+'Transfery neinvestiční 2.5'!H25+'Transfery neinvestiční 2.5'!L25+'Transfery neinvestiční 2.5'!P25+'Transfery nein.2.5a'!D26+'Transfery nein.2.5a'!P26+'Transfery nein.2.5a'!X26+'Transfery nein.2.5a'!T26+'Transfery neinvestiční 2.5'!T25+'Transfery investiční'!C25+'Transfery investiční'!G25+'Transfery investiční'!K25+'Transfery investiční'!O25+'Transfery investiční'!S25+'Transfery investiční'!W25+AB26+'Transfery investiční'!AA25</f>
        <v>277602</v>
      </c>
      <c r="AH26" s="118">
        <f>'Transfery investiční'!AD25/1000*-1</f>
        <v>266906.23670000001</v>
      </c>
    </row>
    <row r="27" spans="1:34">
      <c r="A27" s="138" t="s">
        <v>197</v>
      </c>
      <c r="B27" s="4">
        <v>19082</v>
      </c>
      <c r="C27" s="2">
        <v>19500</v>
      </c>
      <c r="D27" s="2">
        <v>19500</v>
      </c>
      <c r="E27" s="53">
        <f t="shared" si="0"/>
        <v>100</v>
      </c>
      <c r="F27" s="4">
        <f t="shared" si="1"/>
        <v>19082</v>
      </c>
      <c r="G27" s="2">
        <f t="shared" si="2"/>
        <v>19500</v>
      </c>
      <c r="H27" s="2">
        <f t="shared" si="3"/>
        <v>19500</v>
      </c>
      <c r="I27" s="53">
        <f t="shared" si="4"/>
        <v>100</v>
      </c>
      <c r="J27" s="107"/>
      <c r="K27" s="2"/>
      <c r="L27" s="2"/>
      <c r="M27" s="53"/>
      <c r="N27" s="4">
        <v>0</v>
      </c>
      <c r="O27" s="2">
        <f>90+1</f>
        <v>91</v>
      </c>
      <c r="P27" s="2">
        <f t="shared" si="6"/>
        <v>91</v>
      </c>
      <c r="Q27" s="53">
        <f t="shared" si="8"/>
        <v>100</v>
      </c>
      <c r="R27" s="107"/>
      <c r="S27" s="2"/>
      <c r="T27" s="2"/>
      <c r="U27" s="53"/>
      <c r="AD27" s="118">
        <f t="shared" si="5"/>
        <v>2068.4379999999983</v>
      </c>
      <c r="AE27" s="118" t="e">
        <f>'Transfery neinvestiční 2.5'!B26+'Transfery neinvestiční 2.5'!F26+'Transfery neinvestiční 2.5'!J26+'Transfery neinvestiční 2.5'!N26+'Transfery nein.2.5a'!B27+'Transfery nein.2.5a'!N27+'Transfery nein.2.5a'!V27+'Transfery nein.2.5a'!R27+'Transfery neinvestiční 2.5'!R26+'Transfery investiční'!#REF!+'Transfery investiční'!E26+'Transfery investiční'!I26+'Transfery investiční'!M26+'Transfery investiční'!Q26+'Transfery investiční'!U26+Z27+'Transfery investiční'!Y26</f>
        <v>#REF!</v>
      </c>
      <c r="AF27" s="118">
        <f>'Transfery neinvestiční 2.5'!C26+'Transfery neinvestiční 2.5'!G26+'Transfery neinvestiční 2.5'!K26+'Transfery neinvestiční 2.5'!O26+'Transfery nein.2.5a'!C27+'Transfery nein.2.5a'!O27+'Transfery nein.2.5a'!W27+'Transfery nein.2.5a'!S27+'Transfery neinvestiční 2.5'!S26+'Transfery investiční'!B26+'Transfery investiční'!F26+'Transfery investiční'!J26+'Transfery investiční'!N26+'Transfery investiční'!R26+'Transfery investiční'!V26+AA27+'Transfery investiční'!Z26</f>
        <v>24401</v>
      </c>
      <c r="AG27" s="118">
        <f>'Transfery neinvestiční 2.5'!D26+'Transfery neinvestiční 2.5'!H26+'Transfery neinvestiční 2.5'!L26+'Transfery neinvestiční 2.5'!P26+'Transfery nein.2.5a'!D27+'Transfery nein.2.5a'!P27+'Transfery nein.2.5a'!X27+'Transfery nein.2.5a'!T27+'Transfery neinvestiční 2.5'!T26+'Transfery investiční'!C26+'Transfery investiční'!G26+'Transfery investiční'!K26+'Transfery investiční'!O26+'Transfery investiční'!S26+'Transfery investiční'!W26+AB27+'Transfery investiční'!AA26</f>
        <v>24183</v>
      </c>
      <c r="AH27" s="118">
        <f>'Transfery investiční'!AD26/1000*-1</f>
        <v>26251.437999999998</v>
      </c>
    </row>
    <row r="28" spans="1:34">
      <c r="A28" s="138" t="s">
        <v>198</v>
      </c>
      <c r="B28" s="4">
        <v>62683</v>
      </c>
      <c r="C28" s="2">
        <v>65016</v>
      </c>
      <c r="D28" s="2">
        <v>65016</v>
      </c>
      <c r="E28" s="53">
        <f t="shared" si="0"/>
        <v>100</v>
      </c>
      <c r="F28" s="4">
        <f t="shared" si="1"/>
        <v>62683</v>
      </c>
      <c r="G28" s="2">
        <f t="shared" si="2"/>
        <v>65016</v>
      </c>
      <c r="H28" s="2">
        <f t="shared" si="3"/>
        <v>65016</v>
      </c>
      <c r="I28" s="53">
        <f t="shared" si="4"/>
        <v>100</v>
      </c>
      <c r="J28" s="107"/>
      <c r="K28" s="2"/>
      <c r="L28" s="2"/>
      <c r="M28" s="53"/>
      <c r="N28" s="4">
        <v>0</v>
      </c>
      <c r="O28" s="2">
        <v>79</v>
      </c>
      <c r="P28" s="2">
        <f t="shared" si="6"/>
        <v>79</v>
      </c>
      <c r="Q28" s="53">
        <f t="shared" si="8"/>
        <v>100</v>
      </c>
      <c r="R28" s="107"/>
      <c r="S28" s="2"/>
      <c r="T28" s="2"/>
      <c r="U28" s="53"/>
      <c r="AD28" s="118">
        <f t="shared" si="5"/>
        <v>6850.4195699999982</v>
      </c>
      <c r="AE28" s="118" t="e">
        <f>'Transfery neinvestiční 2.5'!B27+'Transfery neinvestiční 2.5'!F27+'Transfery neinvestiční 2.5'!J27+'Transfery neinvestiční 2.5'!N27+'Transfery nein.2.5a'!B28+'Transfery nein.2.5a'!N28+'Transfery nein.2.5a'!V28+'Transfery nein.2.5a'!R28+'Transfery neinvestiční 2.5'!R27+'Transfery investiční'!#REF!+'Transfery investiční'!E27+'Transfery investiční'!I27+'Transfery investiční'!M27+'Transfery investiční'!Q27+'Transfery investiční'!U27+Z28+'Transfery investiční'!Y27</f>
        <v>#REF!</v>
      </c>
      <c r="AF28" s="118">
        <f>'Transfery neinvestiční 2.5'!C27+'Transfery neinvestiční 2.5'!G27+'Transfery neinvestiční 2.5'!K27+'Transfery neinvestiční 2.5'!O27+'Transfery nein.2.5a'!C28+'Transfery nein.2.5a'!O28+'Transfery nein.2.5a'!W28+'Transfery nein.2.5a'!S28+'Transfery neinvestiční 2.5'!S27+'Transfery investiční'!B27+'Transfery investiční'!F27+'Transfery investiční'!J27+'Transfery investiční'!N27+'Transfery investiční'!R27+'Transfery investiční'!V27+AA28+'Transfery investiční'!Z27</f>
        <v>145953</v>
      </c>
      <c r="AG28" s="118">
        <f>'Transfery neinvestiční 2.5'!D27+'Transfery neinvestiční 2.5'!H27+'Transfery neinvestiční 2.5'!L27+'Transfery neinvestiční 2.5'!P27+'Transfery nein.2.5a'!D28+'Transfery nein.2.5a'!P28+'Transfery nein.2.5a'!X28+'Transfery nein.2.5a'!T28+'Transfery neinvestiční 2.5'!T27+'Transfery investiční'!C27+'Transfery investiční'!G27+'Transfery investiční'!K27+'Transfery investiční'!O27+'Transfery investiční'!S27+'Transfery investiční'!W27+AB28+'Transfery investiční'!AA27</f>
        <v>145916</v>
      </c>
      <c r="AH28" s="118">
        <f>'Transfery investiční'!AD27/1000*-1</f>
        <v>152766.41957</v>
      </c>
    </row>
    <row r="29" spans="1:34">
      <c r="A29" s="138" t="s">
        <v>199</v>
      </c>
      <c r="B29" s="4">
        <v>20602</v>
      </c>
      <c r="C29" s="2">
        <v>20789</v>
      </c>
      <c r="D29" s="2">
        <v>20789</v>
      </c>
      <c r="E29" s="53">
        <f t="shared" si="0"/>
        <v>100</v>
      </c>
      <c r="F29" s="4">
        <f t="shared" si="1"/>
        <v>20602</v>
      </c>
      <c r="G29" s="2">
        <f t="shared" si="2"/>
        <v>20789</v>
      </c>
      <c r="H29" s="2">
        <f t="shared" si="3"/>
        <v>20789</v>
      </c>
      <c r="I29" s="53">
        <f t="shared" si="4"/>
        <v>100</v>
      </c>
      <c r="J29" s="107"/>
      <c r="K29" s="2"/>
      <c r="L29" s="2"/>
      <c r="M29" s="53"/>
      <c r="N29" s="4">
        <v>0</v>
      </c>
      <c r="O29" s="2">
        <v>208</v>
      </c>
      <c r="P29" s="2">
        <f t="shared" si="6"/>
        <v>208</v>
      </c>
      <c r="Q29" s="53">
        <f t="shared" si="8"/>
        <v>100</v>
      </c>
      <c r="R29" s="107"/>
      <c r="S29" s="2"/>
      <c r="T29" s="2"/>
      <c r="U29" s="53"/>
      <c r="AD29" s="118">
        <f>AH29-AG29</f>
        <v>-3274.2368300000016</v>
      </c>
      <c r="AE29" s="118" t="e">
        <f>'Transfery neinvestiční 2.5'!B28+'Transfery neinvestiční 2.5'!F28+'Transfery neinvestiční 2.5'!J28+'Transfery neinvestiční 2.5'!N28+'Transfery nein.2.5a'!B29+'Transfery nein.2.5a'!N29+'Transfery nein.2.5a'!V29+'Transfery nein.2.5a'!R29+'Transfery neinvestiční 2.5'!R28+'Transfery investiční'!#REF!+'Transfery investiční'!E28+'Transfery investiční'!I28+'Transfery investiční'!M28+'Transfery investiční'!Q28+'Transfery investiční'!U28+Z29+'Transfery investiční'!Y28</f>
        <v>#REF!</v>
      </c>
      <c r="AF29" s="118">
        <f>'Transfery neinvestiční 2.5'!C28+'Transfery neinvestiční 2.5'!G28+'Transfery neinvestiční 2.5'!K28+'Transfery neinvestiční 2.5'!O28+'Transfery nein.2.5a'!C29+'Transfery nein.2.5a'!O29+'Transfery nein.2.5a'!W29+'Transfery nein.2.5a'!S29+'Transfery neinvestiční 2.5'!S28+'Transfery investiční'!B28+'Transfery investiční'!F28+'Transfery investiční'!J28+'Transfery investiční'!N28+'Transfery investiční'!R28+'Transfery investiční'!V28+AA29+'Transfery investiční'!Z28</f>
        <v>52887</v>
      </c>
      <c r="AG29" s="118">
        <f>'Transfery neinvestiční 2.5'!D28+'Transfery neinvestiční 2.5'!H28+'Transfery neinvestiční 2.5'!L28+'Transfery neinvestiční 2.5'!P28+'Transfery nein.2.5a'!D29+'Transfery nein.2.5a'!P29+'Transfery nein.2.5a'!X29+'Transfery nein.2.5a'!T29+'Transfery neinvestiční 2.5'!T28+'Transfery investiční'!C28+'Transfery investiční'!G28+'Transfery investiční'!K28+'Transfery investiční'!O28+'Transfery investiční'!S28+'Transfery investiční'!W28+AB29+'Transfery investiční'!AA28</f>
        <v>52560</v>
      </c>
      <c r="AH29" s="118">
        <f>'Transfery investiční'!AD28/1000*-1</f>
        <v>49285.763169999998</v>
      </c>
    </row>
    <row r="30" spans="1:34">
      <c r="A30" s="138" t="s">
        <v>200</v>
      </c>
      <c r="B30" s="4">
        <v>30203</v>
      </c>
      <c r="C30" s="2">
        <v>30759</v>
      </c>
      <c r="D30" s="2">
        <v>30759</v>
      </c>
      <c r="E30" s="53">
        <f t="shared" si="0"/>
        <v>100</v>
      </c>
      <c r="F30" s="4">
        <f t="shared" si="1"/>
        <v>30203</v>
      </c>
      <c r="G30" s="2">
        <f t="shared" si="2"/>
        <v>30759</v>
      </c>
      <c r="H30" s="2">
        <f t="shared" si="3"/>
        <v>30759</v>
      </c>
      <c r="I30" s="53">
        <f t="shared" si="4"/>
        <v>100</v>
      </c>
      <c r="J30" s="107"/>
      <c r="K30" s="2"/>
      <c r="L30" s="2"/>
      <c r="M30" s="53"/>
      <c r="N30" s="4">
        <v>0</v>
      </c>
      <c r="O30" s="2"/>
      <c r="P30" s="2">
        <f t="shared" si="6"/>
        <v>0</v>
      </c>
      <c r="Q30" s="53"/>
      <c r="R30" s="107"/>
      <c r="S30" s="2"/>
      <c r="T30" s="2"/>
      <c r="U30" s="53"/>
      <c r="AD30" s="118">
        <f t="shared" ref="AD30:AD42" si="9">AH30-AG30</f>
        <v>-26910.730360000001</v>
      </c>
      <c r="AE30" s="118" t="e">
        <f>'Transfery neinvestiční 2.5'!B29+'Transfery neinvestiční 2.5'!F29+'Transfery neinvestiční 2.5'!J29+'Transfery neinvestiční 2.5'!N29+'Transfery nein.2.5a'!B30+'Transfery nein.2.5a'!N30+'Transfery nein.2.5a'!V30+'Transfery nein.2.5a'!R30+'Transfery neinvestiční 2.5'!R29+'Transfery investiční'!#REF!+'Transfery investiční'!E29+'Transfery investiční'!I29+'Transfery investiční'!M29+'Transfery investiční'!Q29+'Transfery investiční'!U29+Z30+'Transfery investiční'!Y29</f>
        <v>#REF!</v>
      </c>
      <c r="AF30" s="118">
        <f>'Transfery neinvestiční 2.5'!C29+'Transfery neinvestiční 2.5'!G29+'Transfery neinvestiční 2.5'!K29+'Transfery neinvestiční 2.5'!O29+'Transfery nein.2.5a'!C30+'Transfery nein.2.5a'!O30+'Transfery nein.2.5a'!W30+'Transfery nein.2.5a'!S30+'Transfery neinvestiční 2.5'!S29+'Transfery investiční'!B29+'Transfery investiční'!F29+'Transfery investiční'!J29+'Transfery investiční'!N29+'Transfery investiční'!R29+'Transfery investiční'!V29+AA30+'Transfery investiční'!Z29</f>
        <v>94346</v>
      </c>
      <c r="AG30" s="118">
        <f>'Transfery neinvestiční 2.5'!D29+'Transfery neinvestiční 2.5'!H29+'Transfery neinvestiční 2.5'!L29+'Transfery neinvestiční 2.5'!P29+'Transfery nein.2.5a'!D30+'Transfery nein.2.5a'!P30+'Transfery nein.2.5a'!X30+'Transfery nein.2.5a'!T30+'Transfery neinvestiční 2.5'!T29+'Transfery investiční'!C29+'Transfery investiční'!G29+'Transfery investiční'!K29+'Transfery investiční'!O29+'Transfery investiční'!S29+'Transfery investiční'!W29+AB30+'Transfery investiční'!AA29</f>
        <v>94244</v>
      </c>
      <c r="AH30" s="118">
        <f>'Transfery investiční'!AD29/1000*-1</f>
        <v>67333.269639999999</v>
      </c>
    </row>
    <row r="31" spans="1:34">
      <c r="A31" s="138" t="s">
        <v>201</v>
      </c>
      <c r="B31" s="4">
        <v>21431</v>
      </c>
      <c r="C31" s="2">
        <v>21503</v>
      </c>
      <c r="D31" s="2">
        <v>21503</v>
      </c>
      <c r="E31" s="53">
        <f t="shared" si="0"/>
        <v>100</v>
      </c>
      <c r="F31" s="4">
        <f t="shared" si="1"/>
        <v>21431</v>
      </c>
      <c r="G31" s="2">
        <f t="shared" si="2"/>
        <v>21503</v>
      </c>
      <c r="H31" s="2">
        <f t="shared" si="3"/>
        <v>21503</v>
      </c>
      <c r="I31" s="53">
        <f t="shared" si="4"/>
        <v>100</v>
      </c>
      <c r="J31" s="107"/>
      <c r="K31" s="2"/>
      <c r="L31" s="2"/>
      <c r="M31" s="53"/>
      <c r="N31" s="4">
        <v>0</v>
      </c>
      <c r="O31" s="2">
        <v>95</v>
      </c>
      <c r="P31" s="2">
        <f t="shared" si="6"/>
        <v>95</v>
      </c>
      <c r="Q31" s="53">
        <f t="shared" si="8"/>
        <v>100</v>
      </c>
      <c r="R31" s="107"/>
      <c r="S31" s="2"/>
      <c r="T31" s="2"/>
      <c r="U31" s="53"/>
      <c r="AD31" s="118">
        <f t="shared" si="9"/>
        <v>7462.6270000000004</v>
      </c>
      <c r="AE31" s="118" t="e">
        <f>'Transfery neinvestiční 2.5'!B30+'Transfery neinvestiční 2.5'!F30+'Transfery neinvestiční 2.5'!J30+'Transfery neinvestiční 2.5'!N30+'Transfery nein.2.5a'!B31+'Transfery nein.2.5a'!N31+'Transfery nein.2.5a'!V31+'Transfery nein.2.5a'!R31+'Transfery neinvestiční 2.5'!R30+'Transfery investiční'!#REF!+'Transfery investiční'!E30+'Transfery investiční'!I30+'Transfery investiční'!M30+'Transfery investiční'!Q30+'Transfery investiční'!U30+Z31+'Transfery investiční'!Y30</f>
        <v>#REF!</v>
      </c>
      <c r="AF31" s="118">
        <f>'Transfery neinvestiční 2.5'!C30+'Transfery neinvestiční 2.5'!G30+'Transfery neinvestiční 2.5'!K30+'Transfery neinvestiční 2.5'!O30+'Transfery nein.2.5a'!C31+'Transfery nein.2.5a'!O31+'Transfery nein.2.5a'!W31+'Transfery nein.2.5a'!S31+'Transfery neinvestiční 2.5'!S30+'Transfery investiční'!B30+'Transfery investiční'!F30+'Transfery investiční'!J30+'Transfery investiční'!N30+'Transfery investiční'!R30+'Transfery investiční'!V30+AA31+'Transfery investiční'!Z30</f>
        <v>52303</v>
      </c>
      <c r="AG31" s="118">
        <f>'Transfery neinvestiční 2.5'!D30+'Transfery neinvestiční 2.5'!H30+'Transfery neinvestiční 2.5'!L30+'Transfery neinvestiční 2.5'!P30+'Transfery nein.2.5a'!D31+'Transfery nein.2.5a'!P31+'Transfery nein.2.5a'!X31+'Transfery nein.2.5a'!T31+'Transfery neinvestiční 2.5'!T30+'Transfery investiční'!C30+'Transfery investiční'!G30+'Transfery investiční'!K30+'Transfery investiční'!O30+'Transfery investiční'!S30+'Transfery investiční'!W30+AB31+'Transfery investiční'!AA30</f>
        <v>52302</v>
      </c>
      <c r="AH31" s="118">
        <f>'Transfery investiční'!AD30/1000*-1</f>
        <v>59764.627</v>
      </c>
    </row>
    <row r="32" spans="1:34">
      <c r="A32" s="138" t="s">
        <v>202</v>
      </c>
      <c r="B32" s="4">
        <v>60702</v>
      </c>
      <c r="C32" s="2">
        <v>61745</v>
      </c>
      <c r="D32" s="2">
        <v>61745</v>
      </c>
      <c r="E32" s="53">
        <f t="shared" si="0"/>
        <v>100</v>
      </c>
      <c r="F32" s="4">
        <f t="shared" si="1"/>
        <v>60702</v>
      </c>
      <c r="G32" s="2">
        <f t="shared" si="2"/>
        <v>61745</v>
      </c>
      <c r="H32" s="2">
        <f t="shared" si="3"/>
        <v>61745</v>
      </c>
      <c r="I32" s="53">
        <f t="shared" si="4"/>
        <v>100</v>
      </c>
      <c r="J32" s="107"/>
      <c r="K32" s="2"/>
      <c r="L32" s="2"/>
      <c r="M32" s="53"/>
      <c r="N32" s="4">
        <v>0</v>
      </c>
      <c r="O32" s="2">
        <v>28</v>
      </c>
      <c r="P32" s="2">
        <f t="shared" si="6"/>
        <v>28</v>
      </c>
      <c r="Q32" s="53">
        <f t="shared" si="8"/>
        <v>100</v>
      </c>
      <c r="R32" s="107"/>
      <c r="S32" s="2"/>
      <c r="T32" s="2"/>
      <c r="U32" s="53"/>
      <c r="AD32" s="118">
        <f t="shared" si="9"/>
        <v>1479.3609099999885</v>
      </c>
      <c r="AE32" s="118" t="e">
        <f>'Transfery neinvestiční 2.5'!B31+'Transfery neinvestiční 2.5'!F31+'Transfery neinvestiční 2.5'!J31+'Transfery neinvestiční 2.5'!N31+'Transfery nein.2.5a'!B32+'Transfery nein.2.5a'!N32+'Transfery nein.2.5a'!V32+'Transfery nein.2.5a'!R32+'Transfery neinvestiční 2.5'!R31+'Transfery investiční'!#REF!+'Transfery investiční'!E31+'Transfery investiční'!I31+'Transfery investiční'!M31+'Transfery investiční'!Q31+'Transfery investiční'!U31+Z32+'Transfery investiční'!Y31</f>
        <v>#REF!</v>
      </c>
      <c r="AF32" s="118">
        <f>'Transfery neinvestiční 2.5'!C31+'Transfery neinvestiční 2.5'!G31+'Transfery neinvestiční 2.5'!K31+'Transfery neinvestiční 2.5'!O31+'Transfery nein.2.5a'!C32+'Transfery nein.2.5a'!O32+'Transfery nein.2.5a'!W32+'Transfery nein.2.5a'!S32+'Transfery neinvestiční 2.5'!S31+'Transfery investiční'!B31+'Transfery investiční'!F31+'Transfery investiční'!J31+'Transfery investiční'!N31+'Transfery investiční'!R31+'Transfery investiční'!V31+AA32+'Transfery investiční'!Z31</f>
        <v>131369</v>
      </c>
      <c r="AG32" s="118">
        <f>'Transfery neinvestiční 2.5'!D31+'Transfery neinvestiční 2.5'!H31+'Transfery neinvestiční 2.5'!L31+'Transfery neinvestiční 2.5'!P31+'Transfery nein.2.5a'!D32+'Transfery nein.2.5a'!P32+'Transfery nein.2.5a'!X32+'Transfery nein.2.5a'!T32+'Transfery neinvestiční 2.5'!T31+'Transfery investiční'!C31+'Transfery investiční'!G31+'Transfery investiční'!K31+'Transfery investiční'!O31+'Transfery investiční'!S31+'Transfery investiční'!W31+AB32+'Transfery investiční'!AA31</f>
        <v>131370</v>
      </c>
      <c r="AH32" s="118">
        <f>'Transfery investiční'!AD31/1000*-1</f>
        <v>132849.36090999999</v>
      </c>
    </row>
    <row r="33" spans="1:34">
      <c r="A33" s="138" t="s">
        <v>203</v>
      </c>
      <c r="B33" s="4">
        <v>23247</v>
      </c>
      <c r="C33" s="2">
        <v>23720</v>
      </c>
      <c r="D33" s="2">
        <v>23720</v>
      </c>
      <c r="E33" s="53">
        <f t="shared" si="0"/>
        <v>100</v>
      </c>
      <c r="F33" s="4">
        <f t="shared" si="1"/>
        <v>23247</v>
      </c>
      <c r="G33" s="2">
        <f t="shared" si="2"/>
        <v>23676</v>
      </c>
      <c r="H33" s="2">
        <f t="shared" si="3"/>
        <v>23676</v>
      </c>
      <c r="I33" s="53">
        <f t="shared" si="4"/>
        <v>100</v>
      </c>
      <c r="J33" s="107"/>
      <c r="K33" s="2">
        <v>44</v>
      </c>
      <c r="L33" s="2">
        <v>44</v>
      </c>
      <c r="M33" s="53">
        <f>L33/K33*100</f>
        <v>100</v>
      </c>
      <c r="N33" s="4">
        <v>0</v>
      </c>
      <c r="O33" s="2">
        <v>82</v>
      </c>
      <c r="P33" s="2">
        <f t="shared" si="6"/>
        <v>82</v>
      </c>
      <c r="Q33" s="53">
        <f>P33/O33*100</f>
        <v>100</v>
      </c>
      <c r="R33" s="107"/>
      <c r="S33" s="2"/>
      <c r="T33" s="2"/>
      <c r="U33" s="53"/>
      <c r="AD33" s="118">
        <f t="shared" si="9"/>
        <v>12393.305759999996</v>
      </c>
      <c r="AE33" s="118" t="e">
        <f>'Transfery neinvestiční 2.5'!B32+'Transfery neinvestiční 2.5'!F32+'Transfery neinvestiční 2.5'!J32+'Transfery neinvestiční 2.5'!N32+'Transfery nein.2.5a'!B33+'Transfery nein.2.5a'!N33+'Transfery nein.2.5a'!V33+'Transfery nein.2.5a'!R33+'Transfery neinvestiční 2.5'!R32+'Transfery investiční'!#REF!+'Transfery investiční'!E32+'Transfery investiční'!I32+'Transfery investiční'!M32+'Transfery investiční'!Q32+'Transfery investiční'!U32+Z33+'Transfery investiční'!Y32</f>
        <v>#REF!</v>
      </c>
      <c r="AF33" s="118">
        <f>'Transfery neinvestiční 2.5'!C32+'Transfery neinvestiční 2.5'!G32+'Transfery neinvestiční 2.5'!K32+'Transfery neinvestiční 2.5'!O32+'Transfery nein.2.5a'!C33+'Transfery nein.2.5a'!O33+'Transfery nein.2.5a'!W33+'Transfery nein.2.5a'!S33+'Transfery neinvestiční 2.5'!S32+'Transfery investiční'!B32+'Transfery investiční'!F32+'Transfery investiční'!J32+'Transfery investiční'!N32+'Transfery investiční'!R32+'Transfery investiční'!V32+AA33+'Transfery investiční'!Z32</f>
        <v>49054</v>
      </c>
      <c r="AG33" s="118">
        <f>'Transfery neinvestiční 2.5'!D32+'Transfery neinvestiční 2.5'!H32+'Transfery neinvestiční 2.5'!L32+'Transfery neinvestiční 2.5'!P32+'Transfery nein.2.5a'!D33+'Transfery nein.2.5a'!P33+'Transfery nein.2.5a'!X33+'Transfery nein.2.5a'!T33+'Transfery neinvestiční 2.5'!T32+'Transfery investiční'!C32+'Transfery investiční'!G32+'Transfery investiční'!K32+'Transfery investiční'!O32+'Transfery investiční'!S32+'Transfery investiční'!W32+AB33+'Transfery investiční'!AA32</f>
        <v>48172</v>
      </c>
      <c r="AH33" s="118">
        <f>'Transfery investiční'!AD32/1000*-1</f>
        <v>60565.305759999996</v>
      </c>
    </row>
    <row r="34" spans="1:34">
      <c r="A34" s="138" t="s">
        <v>204</v>
      </c>
      <c r="B34" s="4">
        <v>22496</v>
      </c>
      <c r="C34" s="2">
        <v>23817</v>
      </c>
      <c r="D34" s="2">
        <v>23817</v>
      </c>
      <c r="E34" s="53">
        <f t="shared" si="0"/>
        <v>100</v>
      </c>
      <c r="F34" s="4">
        <f t="shared" si="1"/>
        <v>22496</v>
      </c>
      <c r="G34" s="2">
        <f t="shared" si="2"/>
        <v>23817</v>
      </c>
      <c r="H34" s="2">
        <f t="shared" si="3"/>
        <v>23817</v>
      </c>
      <c r="I34" s="53">
        <f t="shared" si="4"/>
        <v>100</v>
      </c>
      <c r="J34" s="107"/>
      <c r="K34" s="2"/>
      <c r="L34" s="2"/>
      <c r="M34" s="53"/>
      <c r="N34" s="4">
        <v>0</v>
      </c>
      <c r="O34" s="2">
        <v>92</v>
      </c>
      <c r="P34" s="2">
        <f t="shared" si="6"/>
        <v>92</v>
      </c>
      <c r="Q34" s="53">
        <f>P34/O34*100</f>
        <v>100</v>
      </c>
      <c r="R34" s="107"/>
      <c r="S34" s="2"/>
      <c r="T34" s="2"/>
      <c r="U34" s="53"/>
      <c r="AD34" s="118">
        <f t="shared" si="9"/>
        <v>6297.3000000000029</v>
      </c>
      <c r="AE34" s="118" t="e">
        <f>'Transfery neinvestiční 2.5'!B33+'Transfery neinvestiční 2.5'!F33+'Transfery neinvestiční 2.5'!J33+'Transfery neinvestiční 2.5'!N33+'Transfery nein.2.5a'!B34+'Transfery nein.2.5a'!N34+'Transfery nein.2.5a'!V34+'Transfery nein.2.5a'!R34+'Transfery neinvestiční 2.5'!R33+'Transfery investiční'!#REF!+'Transfery investiční'!E33+'Transfery investiční'!I33+'Transfery investiční'!M33+'Transfery investiční'!Q33+'Transfery investiční'!U33+Z34+'Transfery investiční'!Y33</f>
        <v>#REF!</v>
      </c>
      <c r="AF34" s="118">
        <f>'Transfery neinvestiční 2.5'!C33+'Transfery neinvestiční 2.5'!G33+'Transfery neinvestiční 2.5'!K33+'Transfery neinvestiční 2.5'!O33+'Transfery nein.2.5a'!C34+'Transfery nein.2.5a'!O34+'Transfery nein.2.5a'!W34+'Transfery nein.2.5a'!S34+'Transfery neinvestiční 2.5'!S33+'Transfery investiční'!B33+'Transfery investiční'!F33+'Transfery investiční'!J33+'Transfery investiční'!N33+'Transfery investiční'!R33+'Transfery investiční'!V33+AA34+'Transfery investiční'!Z33</f>
        <v>29951</v>
      </c>
      <c r="AG34" s="118">
        <f>'Transfery neinvestiční 2.5'!D33+'Transfery neinvestiční 2.5'!H33+'Transfery neinvestiční 2.5'!L33+'Transfery neinvestiční 2.5'!P33+'Transfery nein.2.5a'!D34+'Transfery nein.2.5a'!P34+'Transfery nein.2.5a'!X34+'Transfery nein.2.5a'!T34+'Transfery neinvestiční 2.5'!T33+'Transfery investiční'!C33+'Transfery investiční'!G33+'Transfery investiční'!K33+'Transfery investiční'!O33+'Transfery investiční'!S33+'Transfery investiční'!W33+AB34+'Transfery investiční'!AA33</f>
        <v>29951</v>
      </c>
      <c r="AH34" s="118">
        <f>'Transfery investiční'!AD33/1000*-1</f>
        <v>36248.300000000003</v>
      </c>
    </row>
    <row r="35" spans="1:34">
      <c r="A35" s="138" t="s">
        <v>205</v>
      </c>
      <c r="B35" s="4">
        <v>13115</v>
      </c>
      <c r="C35" s="2">
        <v>13475</v>
      </c>
      <c r="D35" s="2">
        <v>13475</v>
      </c>
      <c r="E35" s="53">
        <f t="shared" si="0"/>
        <v>100</v>
      </c>
      <c r="F35" s="4">
        <f t="shared" si="1"/>
        <v>13115</v>
      </c>
      <c r="G35" s="2">
        <f t="shared" si="2"/>
        <v>13350</v>
      </c>
      <c r="H35" s="2">
        <f>SUM(D35-L35)</f>
        <v>13350</v>
      </c>
      <c r="I35" s="53">
        <f t="shared" si="4"/>
        <v>100</v>
      </c>
      <c r="J35" s="107"/>
      <c r="K35" s="2">
        <v>125</v>
      </c>
      <c r="L35" s="2">
        <v>125</v>
      </c>
      <c r="M35" s="53">
        <f>L35/K35*100</f>
        <v>100</v>
      </c>
      <c r="N35" s="4">
        <v>0</v>
      </c>
      <c r="O35" s="2">
        <v>70</v>
      </c>
      <c r="P35" s="2">
        <f t="shared" si="6"/>
        <v>70</v>
      </c>
      <c r="Q35" s="53">
        <f>P35/O35*100</f>
        <v>100</v>
      </c>
      <c r="R35" s="107"/>
      <c r="S35" s="2"/>
      <c r="T35" s="2"/>
      <c r="U35" s="53"/>
      <c r="AD35" s="118">
        <f t="shared" si="9"/>
        <v>1446.8220000000001</v>
      </c>
      <c r="AE35" s="118" t="e">
        <f>'Transfery neinvestiční 2.5'!B34+'Transfery neinvestiční 2.5'!F34+'Transfery neinvestiční 2.5'!J34+'Transfery neinvestiční 2.5'!N34+'Transfery nein.2.5a'!B35+'Transfery nein.2.5a'!N35+'Transfery nein.2.5a'!V35+'Transfery nein.2.5a'!R35+'Transfery neinvestiční 2.5'!R34+'Transfery investiční'!#REF!+'Transfery investiční'!E34+'Transfery investiční'!I34+'Transfery investiční'!M34+'Transfery investiční'!Q34+'Transfery investiční'!U34+Z35+'Transfery investiční'!Y34</f>
        <v>#REF!</v>
      </c>
      <c r="AF35" s="118">
        <f>'Transfery neinvestiční 2.5'!C34+'Transfery neinvestiční 2.5'!G34+'Transfery neinvestiční 2.5'!K34+'Transfery neinvestiční 2.5'!O34+'Transfery nein.2.5a'!C35+'Transfery nein.2.5a'!O35+'Transfery nein.2.5a'!W35+'Transfery nein.2.5a'!S35+'Transfery neinvestiční 2.5'!S34+'Transfery investiční'!B34+'Transfery investiční'!F34+'Transfery investiční'!J34+'Transfery investiční'!N34+'Transfery investiční'!R34+'Transfery investiční'!V34+AA35+'Transfery investiční'!Z34</f>
        <v>15593</v>
      </c>
      <c r="AG35" s="118">
        <f>'Transfery neinvestiční 2.5'!D34+'Transfery neinvestiční 2.5'!H34+'Transfery neinvestiční 2.5'!L34+'Transfery neinvestiční 2.5'!P34+'Transfery nein.2.5a'!D35+'Transfery nein.2.5a'!P35+'Transfery nein.2.5a'!X35+'Transfery nein.2.5a'!T35+'Transfery neinvestiční 2.5'!T34+'Transfery investiční'!C34+'Transfery investiční'!G34+'Transfery investiční'!K34+'Transfery investiční'!O34+'Transfery investiční'!S34+'Transfery investiční'!W34+AB35+'Transfery investiční'!AA34</f>
        <v>15593</v>
      </c>
      <c r="AH35" s="118">
        <f>'Transfery investiční'!AD34/1000*-1</f>
        <v>17039.822</v>
      </c>
    </row>
    <row r="36" spans="1:34">
      <c r="A36" s="138" t="s">
        <v>206</v>
      </c>
      <c r="B36" s="4">
        <v>72674</v>
      </c>
      <c r="C36" s="2">
        <v>77295</v>
      </c>
      <c r="D36" s="2">
        <v>77195</v>
      </c>
      <c r="E36" s="53">
        <f t="shared" si="0"/>
        <v>99.870625525583804</v>
      </c>
      <c r="F36" s="4">
        <f t="shared" si="1"/>
        <v>72674</v>
      </c>
      <c r="G36" s="2">
        <f t="shared" si="2"/>
        <v>77171</v>
      </c>
      <c r="H36" s="2">
        <f t="shared" si="3"/>
        <v>77071</v>
      </c>
      <c r="I36" s="53">
        <f t="shared" si="4"/>
        <v>99.870417643933607</v>
      </c>
      <c r="J36" s="107"/>
      <c r="K36" s="2">
        <v>124</v>
      </c>
      <c r="L36" s="2">
        <v>124</v>
      </c>
      <c r="M36" s="53">
        <f>L36/K36*100</f>
        <v>100</v>
      </c>
      <c r="N36" s="4">
        <v>0</v>
      </c>
      <c r="O36" s="2">
        <v>77</v>
      </c>
      <c r="P36" s="2">
        <f t="shared" si="6"/>
        <v>77</v>
      </c>
      <c r="Q36" s="53">
        <f>P36/O36*100</f>
        <v>100</v>
      </c>
      <c r="R36" s="107"/>
      <c r="S36" s="2"/>
      <c r="T36" s="2"/>
      <c r="U36" s="53"/>
      <c r="AD36" s="118">
        <f t="shared" si="9"/>
        <v>24313.175199999998</v>
      </c>
      <c r="AE36" s="118" t="e">
        <f>'Transfery neinvestiční 2.5'!B35+'Transfery neinvestiční 2.5'!F35+'Transfery neinvestiční 2.5'!J35+'Transfery neinvestiční 2.5'!N35+'Transfery nein.2.5a'!B36+'Transfery nein.2.5a'!N36+'Transfery nein.2.5a'!V36+'Transfery nein.2.5a'!R36+'Transfery neinvestiční 2.5'!R35+'Transfery investiční'!#REF!+'Transfery investiční'!E35+'Transfery investiční'!I35+'Transfery investiční'!M35+'Transfery investiční'!Q35+'Transfery investiční'!U35+Z36+'Transfery investiční'!Y35</f>
        <v>#REF!</v>
      </c>
      <c r="AF36" s="118">
        <f>'Transfery neinvestiční 2.5'!C35+'Transfery neinvestiční 2.5'!G35+'Transfery neinvestiční 2.5'!K35+'Transfery neinvestiční 2.5'!O35+'Transfery nein.2.5a'!C36+'Transfery nein.2.5a'!O36+'Transfery nein.2.5a'!W36+'Transfery nein.2.5a'!S36+'Transfery neinvestiční 2.5'!S35+'Transfery investiční'!B35+'Transfery investiční'!F35+'Transfery investiční'!J35+'Transfery investiční'!N35+'Transfery investiční'!R35+'Transfery investiční'!V35+AA36+'Transfery investiční'!Z35</f>
        <v>140219</v>
      </c>
      <c r="AG36" s="118">
        <f>'Transfery neinvestiční 2.5'!D35+'Transfery neinvestiční 2.5'!H35+'Transfery neinvestiční 2.5'!L35+'Transfery neinvestiční 2.5'!P35+'Transfery nein.2.5a'!D36+'Transfery nein.2.5a'!P36+'Transfery nein.2.5a'!X36+'Transfery nein.2.5a'!T36+'Transfery neinvestiční 2.5'!T35+'Transfery investiční'!C35+'Transfery investiční'!G35+'Transfery investiční'!K35+'Transfery investiční'!O35+'Transfery investiční'!S35+'Transfery investiční'!W35+AB36+'Transfery investiční'!AA35</f>
        <v>140119</v>
      </c>
      <c r="AH36" s="118">
        <f>'Transfery investiční'!AD35/1000*-1</f>
        <v>164432.1752</v>
      </c>
    </row>
    <row r="37" spans="1:34">
      <c r="A37" s="138" t="s">
        <v>207</v>
      </c>
      <c r="B37" s="4">
        <v>13532</v>
      </c>
      <c r="C37" s="2">
        <v>14115</v>
      </c>
      <c r="D37" s="2">
        <v>14115</v>
      </c>
      <c r="E37" s="53">
        <f t="shared" si="0"/>
        <v>100</v>
      </c>
      <c r="F37" s="4">
        <f t="shared" si="1"/>
        <v>13532</v>
      </c>
      <c r="G37" s="2">
        <f t="shared" si="2"/>
        <v>14115</v>
      </c>
      <c r="H37" s="2">
        <f t="shared" si="3"/>
        <v>14115</v>
      </c>
      <c r="I37" s="53">
        <f t="shared" si="4"/>
        <v>100</v>
      </c>
      <c r="J37" s="107"/>
      <c r="K37" s="2"/>
      <c r="L37" s="2"/>
      <c r="M37" s="53"/>
      <c r="N37" s="4"/>
      <c r="O37" s="2"/>
      <c r="P37" s="2">
        <f t="shared" si="6"/>
        <v>0</v>
      </c>
      <c r="Q37" s="53"/>
      <c r="R37" s="107"/>
      <c r="S37" s="2"/>
      <c r="T37" s="2"/>
      <c r="U37" s="53"/>
      <c r="AD37" s="118">
        <f t="shared" si="9"/>
        <v>4164.5099999999984</v>
      </c>
      <c r="AE37" s="118" t="e">
        <f>'Transfery neinvestiční 2.5'!B36+'Transfery neinvestiční 2.5'!F36+'Transfery neinvestiční 2.5'!J36+'Transfery neinvestiční 2.5'!N36+'Transfery nein.2.5a'!B37+'Transfery nein.2.5a'!N37+'Transfery nein.2.5a'!V37+'Transfery nein.2.5a'!R37+'Transfery neinvestiční 2.5'!R36+'Transfery investiční'!#REF!+'Transfery investiční'!E36+'Transfery investiční'!I36+'Transfery investiční'!M36+'Transfery investiční'!Q36+'Transfery investiční'!U36+Z37+'Transfery investiční'!Y36</f>
        <v>#REF!</v>
      </c>
      <c r="AF37" s="118">
        <f>'Transfery neinvestiční 2.5'!C36+'Transfery neinvestiční 2.5'!G36+'Transfery neinvestiční 2.5'!K36+'Transfery neinvestiční 2.5'!O36+'Transfery nein.2.5a'!C37+'Transfery nein.2.5a'!O37+'Transfery nein.2.5a'!W37+'Transfery nein.2.5a'!S37+'Transfery neinvestiční 2.5'!S36+'Transfery investiční'!B36+'Transfery investiční'!F36+'Transfery investiční'!J36+'Transfery investiční'!N36+'Transfery investiční'!R36+'Transfery investiční'!V36+AA37+'Transfery investiční'!Z36</f>
        <v>18973</v>
      </c>
      <c r="AG37" s="118">
        <f>'Transfery neinvestiční 2.5'!D36+'Transfery neinvestiční 2.5'!H36+'Transfery neinvestiční 2.5'!L36+'Transfery neinvestiční 2.5'!P36+'Transfery nein.2.5a'!D37+'Transfery nein.2.5a'!P37+'Transfery nein.2.5a'!X37+'Transfery nein.2.5a'!T37+'Transfery neinvestiční 2.5'!T36+'Transfery investiční'!C36+'Transfery investiční'!G36+'Transfery investiční'!K36+'Transfery investiční'!O36+'Transfery investiční'!S36+'Transfery investiční'!W36+AB37+'Transfery investiční'!AA36</f>
        <v>18875</v>
      </c>
      <c r="AH37" s="118">
        <f>'Transfery investiční'!AD36/1000*-1</f>
        <v>23039.51</v>
      </c>
    </row>
    <row r="38" spans="1:34">
      <c r="A38" s="138" t="s">
        <v>208</v>
      </c>
      <c r="B38" s="4">
        <v>34366</v>
      </c>
      <c r="C38" s="2">
        <v>35119</v>
      </c>
      <c r="D38" s="2">
        <v>35119</v>
      </c>
      <c r="E38" s="53">
        <f t="shared" si="0"/>
        <v>100</v>
      </c>
      <c r="F38" s="4">
        <f t="shared" si="1"/>
        <v>34176</v>
      </c>
      <c r="G38" s="2">
        <f t="shared" si="2"/>
        <v>34929</v>
      </c>
      <c r="H38" s="2">
        <f t="shared" si="3"/>
        <v>34929</v>
      </c>
      <c r="I38" s="53">
        <f t="shared" si="4"/>
        <v>100</v>
      </c>
      <c r="J38" s="107">
        <v>190</v>
      </c>
      <c r="K38" s="2">
        <v>190</v>
      </c>
      <c r="L38" s="2">
        <v>190</v>
      </c>
      <c r="M38" s="53">
        <f>L38/K38*100</f>
        <v>100</v>
      </c>
      <c r="N38" s="4"/>
      <c r="O38" s="2"/>
      <c r="P38" s="2">
        <f t="shared" si="6"/>
        <v>0</v>
      </c>
      <c r="Q38" s="53"/>
      <c r="R38" s="107"/>
      <c r="S38" s="2"/>
      <c r="T38" s="2"/>
      <c r="U38" s="53"/>
      <c r="AD38" s="118">
        <f t="shared" si="9"/>
        <v>15140.106</v>
      </c>
      <c r="AE38" s="118" t="e">
        <f>'Transfery neinvestiční 2.5'!B37+'Transfery neinvestiční 2.5'!F37+'Transfery neinvestiční 2.5'!J37+'Transfery neinvestiční 2.5'!N37+'Transfery nein.2.5a'!B38+'Transfery nein.2.5a'!N38+'Transfery nein.2.5a'!V38+'Transfery nein.2.5a'!R38+'Transfery neinvestiční 2.5'!R37+'Transfery investiční'!#REF!+'Transfery investiční'!E37+'Transfery investiční'!I37+'Transfery investiční'!M37+'Transfery investiční'!Q37+'Transfery investiční'!U37+Z38+'Transfery investiční'!Y37</f>
        <v>#REF!</v>
      </c>
      <c r="AF38" s="118">
        <f>'Transfery neinvestiční 2.5'!C37+'Transfery neinvestiční 2.5'!G37+'Transfery neinvestiční 2.5'!K37+'Transfery neinvestiční 2.5'!O37+'Transfery nein.2.5a'!C38+'Transfery nein.2.5a'!O38+'Transfery nein.2.5a'!W38+'Transfery nein.2.5a'!S38+'Transfery neinvestiční 2.5'!S37+'Transfery investiční'!B37+'Transfery investiční'!F37+'Transfery investiční'!J37+'Transfery investiční'!N37+'Transfery investiční'!R37+'Transfery investiční'!V37+AA38+'Transfery investiční'!Z37</f>
        <v>57556</v>
      </c>
      <c r="AG38" s="118">
        <f>'Transfery neinvestiční 2.5'!D37+'Transfery neinvestiční 2.5'!H37+'Transfery neinvestiční 2.5'!L37+'Transfery neinvestiční 2.5'!P37+'Transfery nein.2.5a'!D38+'Transfery nein.2.5a'!P38+'Transfery nein.2.5a'!X38+'Transfery nein.2.5a'!T38+'Transfery neinvestiční 2.5'!T37+'Transfery investiční'!C37+'Transfery investiční'!G37+'Transfery investiční'!K37+'Transfery investiční'!O37+'Transfery investiční'!S37+'Transfery investiční'!W37+AB38+'Transfery investiční'!AA37</f>
        <v>57556</v>
      </c>
      <c r="AH38" s="118">
        <f>'Transfery investiční'!AD37/1000*-1</f>
        <v>72696.106</v>
      </c>
    </row>
    <row r="39" spans="1:34">
      <c r="A39" s="138" t="s">
        <v>209</v>
      </c>
      <c r="B39" s="4">
        <v>3580</v>
      </c>
      <c r="C39" s="2">
        <v>4046</v>
      </c>
      <c r="D39" s="2">
        <v>4046</v>
      </c>
      <c r="E39" s="53">
        <f t="shared" si="0"/>
        <v>100</v>
      </c>
      <c r="F39" s="4">
        <f t="shared" si="1"/>
        <v>3580</v>
      </c>
      <c r="G39" s="2">
        <f t="shared" si="2"/>
        <v>4046</v>
      </c>
      <c r="H39" s="2">
        <f t="shared" si="3"/>
        <v>4046</v>
      </c>
      <c r="I39" s="53">
        <f t="shared" si="4"/>
        <v>100</v>
      </c>
      <c r="J39" s="107"/>
      <c r="K39" s="2"/>
      <c r="L39" s="2"/>
      <c r="M39" s="53"/>
      <c r="N39" s="4"/>
      <c r="O39" s="2"/>
      <c r="P39" s="2">
        <f t="shared" si="6"/>
        <v>0</v>
      </c>
      <c r="Q39" s="53"/>
      <c r="R39" s="107"/>
      <c r="S39" s="2"/>
      <c r="T39" s="2"/>
      <c r="U39" s="53"/>
      <c r="AD39" s="118">
        <f t="shared" si="9"/>
        <v>255.60999999999967</v>
      </c>
      <c r="AE39" s="118" t="e">
        <f>'Transfery neinvestiční 2.5'!B38+'Transfery neinvestiční 2.5'!F38+'Transfery neinvestiční 2.5'!J38+'Transfery neinvestiční 2.5'!N38+'Transfery nein.2.5a'!B39+'Transfery nein.2.5a'!N39+'Transfery nein.2.5a'!V39+'Transfery nein.2.5a'!R39+'Transfery neinvestiční 2.5'!R38+'Transfery investiční'!#REF!+'Transfery investiční'!E38+'Transfery investiční'!I38+'Transfery investiční'!M38+'Transfery investiční'!Q38+'Transfery investiční'!U38+Z39+'Transfery investiční'!Y38</f>
        <v>#REF!</v>
      </c>
      <c r="AF39" s="118">
        <f>'Transfery neinvestiční 2.5'!C38+'Transfery neinvestiční 2.5'!G38+'Transfery neinvestiční 2.5'!K38+'Transfery neinvestiční 2.5'!O38+'Transfery nein.2.5a'!C39+'Transfery nein.2.5a'!O39+'Transfery nein.2.5a'!W39+'Transfery nein.2.5a'!S39+'Transfery neinvestiční 2.5'!S38+'Transfery investiční'!B38+'Transfery investiční'!F38+'Transfery investiční'!J38+'Transfery investiční'!N38+'Transfery investiční'!R38+'Transfery investiční'!V38+AA39+'Transfery investiční'!Z38</f>
        <v>5220</v>
      </c>
      <c r="AG39" s="118">
        <f>'Transfery neinvestiční 2.5'!D38+'Transfery neinvestiční 2.5'!H38+'Transfery neinvestiční 2.5'!L38+'Transfery neinvestiční 2.5'!P38+'Transfery nein.2.5a'!D39+'Transfery nein.2.5a'!P39+'Transfery nein.2.5a'!X39+'Transfery nein.2.5a'!T39+'Transfery neinvestiční 2.5'!T38+'Transfery investiční'!C38+'Transfery investiční'!G38+'Transfery investiční'!K38+'Transfery investiční'!O38+'Transfery investiční'!S38+'Transfery investiční'!W38+AB39+'Transfery investiční'!AA38</f>
        <v>5198</v>
      </c>
      <c r="AH39" s="118">
        <f>'Transfery investiční'!AD38/1000*-1</f>
        <v>5453.61</v>
      </c>
    </row>
    <row r="40" spans="1:34">
      <c r="A40" s="138" t="s">
        <v>210</v>
      </c>
      <c r="B40" s="4">
        <v>4979</v>
      </c>
      <c r="C40" s="2">
        <v>5001</v>
      </c>
      <c r="D40" s="2">
        <v>5001</v>
      </c>
      <c r="E40" s="53">
        <f t="shared" si="0"/>
        <v>100</v>
      </c>
      <c r="F40" s="4">
        <f t="shared" si="1"/>
        <v>4979</v>
      </c>
      <c r="G40" s="2">
        <f t="shared" si="2"/>
        <v>5001</v>
      </c>
      <c r="H40" s="2">
        <f t="shared" si="3"/>
        <v>5001</v>
      </c>
      <c r="I40" s="53">
        <f t="shared" si="4"/>
        <v>100</v>
      </c>
      <c r="J40" s="107"/>
      <c r="K40" s="2"/>
      <c r="L40" s="2"/>
      <c r="M40" s="53"/>
      <c r="N40" s="4">
        <v>0</v>
      </c>
      <c r="O40" s="2"/>
      <c r="P40" s="2"/>
      <c r="Q40" s="53"/>
      <c r="R40" s="107"/>
      <c r="S40" s="2"/>
      <c r="T40" s="2"/>
      <c r="U40" s="53"/>
      <c r="AD40" s="118">
        <f t="shared" si="9"/>
        <v>847.77499999999964</v>
      </c>
      <c r="AE40" s="118" t="e">
        <f>'Transfery neinvestiční 2.5'!B39+'Transfery neinvestiční 2.5'!F39+'Transfery neinvestiční 2.5'!J39+'Transfery neinvestiční 2.5'!N39+'Transfery nein.2.5a'!B40+'Transfery nein.2.5a'!N40+'Transfery nein.2.5a'!V40+'Transfery nein.2.5a'!R40+'Transfery neinvestiční 2.5'!R39+'Transfery investiční'!#REF!+'Transfery investiční'!E39+'Transfery investiční'!I39+'Transfery investiční'!M39+'Transfery investiční'!Q39+'Transfery investiční'!U39+Z40+'Transfery investiční'!Y39</f>
        <v>#REF!</v>
      </c>
      <c r="AF40" s="118">
        <f>'Transfery neinvestiční 2.5'!C39+'Transfery neinvestiční 2.5'!G39+'Transfery neinvestiční 2.5'!K39+'Transfery neinvestiční 2.5'!O39+'Transfery nein.2.5a'!C40+'Transfery nein.2.5a'!O40+'Transfery nein.2.5a'!W40+'Transfery nein.2.5a'!S40+'Transfery neinvestiční 2.5'!S39+'Transfery investiční'!B39+'Transfery investiční'!F39+'Transfery investiční'!J39+'Transfery investiční'!N39+'Transfery investiční'!R39+'Transfery investiční'!V39+AA40+'Transfery investiční'!Z39</f>
        <v>5620</v>
      </c>
      <c r="AG40" s="118">
        <f>'Transfery neinvestiční 2.5'!D39+'Transfery neinvestiční 2.5'!H39+'Transfery neinvestiční 2.5'!L39+'Transfery neinvestiční 2.5'!P39+'Transfery nein.2.5a'!D40+'Transfery nein.2.5a'!P40+'Transfery nein.2.5a'!X40+'Transfery nein.2.5a'!T40+'Transfery neinvestiční 2.5'!T39+'Transfery investiční'!C39+'Transfery investiční'!G39+'Transfery investiční'!K39+'Transfery investiční'!O39+'Transfery investiční'!S39+'Transfery investiční'!W39+AB40+'Transfery investiční'!AA39</f>
        <v>5620</v>
      </c>
      <c r="AH40" s="118">
        <f>'Transfery investiční'!AD39/1000*-1</f>
        <v>6467.7749999999996</v>
      </c>
    </row>
    <row r="41" spans="1:34" ht="15" customHeight="1">
      <c r="A41" s="138" t="s">
        <v>211</v>
      </c>
      <c r="B41" s="4">
        <v>2712</v>
      </c>
      <c r="C41" s="2">
        <v>2732</v>
      </c>
      <c r="D41" s="2">
        <v>2732</v>
      </c>
      <c r="E41" s="53">
        <f t="shared" si="0"/>
        <v>100</v>
      </c>
      <c r="F41" s="4">
        <f t="shared" si="1"/>
        <v>2712</v>
      </c>
      <c r="G41" s="2">
        <f t="shared" si="2"/>
        <v>2732</v>
      </c>
      <c r="H41" s="2">
        <f t="shared" si="3"/>
        <v>2732</v>
      </c>
      <c r="I41" s="53">
        <f t="shared" si="4"/>
        <v>100</v>
      </c>
      <c r="J41" s="107"/>
      <c r="K41" s="2"/>
      <c r="L41" s="2"/>
      <c r="M41" s="53"/>
      <c r="N41" s="4">
        <v>0</v>
      </c>
      <c r="O41" s="2"/>
      <c r="P41" s="2"/>
      <c r="Q41" s="53"/>
      <c r="R41" s="107"/>
      <c r="S41" s="2"/>
      <c r="T41" s="2"/>
      <c r="U41" s="53"/>
      <c r="AD41" s="118">
        <f t="shared" si="9"/>
        <v>4139.7061800000001</v>
      </c>
      <c r="AE41" s="118" t="e">
        <f>'Transfery neinvestiční 2.5'!B40+'Transfery neinvestiční 2.5'!F40+'Transfery neinvestiční 2.5'!J40+'Transfery neinvestiční 2.5'!N40+'Transfery nein.2.5a'!B41+'Transfery nein.2.5a'!N41+'Transfery nein.2.5a'!V41+'Transfery nein.2.5a'!R41+'Transfery neinvestiční 2.5'!R40+'Transfery investiční'!#REF!+'Transfery investiční'!E40+'Transfery investiční'!I40+'Transfery investiční'!M40+'Transfery investiční'!Q40+'Transfery investiční'!U40+Z41+'Transfery investiční'!Y40</f>
        <v>#REF!</v>
      </c>
      <c r="AF41" s="118">
        <f>'Transfery neinvestiční 2.5'!C40+'Transfery neinvestiční 2.5'!G40+'Transfery neinvestiční 2.5'!K40+'Transfery neinvestiční 2.5'!O40+'Transfery nein.2.5a'!C41+'Transfery nein.2.5a'!O41+'Transfery nein.2.5a'!W41+'Transfery nein.2.5a'!S41+'Transfery neinvestiční 2.5'!S40+'Transfery investiční'!B40+'Transfery investiční'!F40+'Transfery investiční'!J40+'Transfery investiční'!N40+'Transfery investiční'!R40+'Transfery investiční'!V40+AA41+'Transfery investiční'!Z40</f>
        <v>3378</v>
      </c>
      <c r="AG41" s="118">
        <f>'Transfery neinvestiční 2.5'!D40+'Transfery neinvestiční 2.5'!H40+'Transfery neinvestiční 2.5'!L40+'Transfery neinvestiční 2.5'!P40+'Transfery nein.2.5a'!D41+'Transfery nein.2.5a'!P41+'Transfery nein.2.5a'!X41+'Transfery nein.2.5a'!T41+'Transfery neinvestiční 2.5'!T40+'Transfery investiční'!C40+'Transfery investiční'!G40+'Transfery investiční'!K40+'Transfery investiční'!O40+'Transfery investiční'!S40+'Transfery investiční'!W40+AB41+'Transfery investiční'!AA40</f>
        <v>3369</v>
      </c>
      <c r="AH41" s="118">
        <f>'Transfery investiční'!AD40/1000*-1</f>
        <v>7508.7061800000001</v>
      </c>
    </row>
    <row r="42" spans="1:34" ht="15" customHeight="1" thickBot="1">
      <c r="A42" s="139" t="s">
        <v>212</v>
      </c>
      <c r="B42" s="5">
        <v>1938</v>
      </c>
      <c r="C42" s="6">
        <v>1938</v>
      </c>
      <c r="D42" s="6">
        <v>1938</v>
      </c>
      <c r="E42" s="54">
        <f t="shared" si="0"/>
        <v>100</v>
      </c>
      <c r="F42" s="5">
        <f t="shared" si="1"/>
        <v>1938</v>
      </c>
      <c r="G42" s="6">
        <f t="shared" si="2"/>
        <v>1938</v>
      </c>
      <c r="H42" s="6">
        <f t="shared" si="3"/>
        <v>1938</v>
      </c>
      <c r="I42" s="54">
        <f t="shared" si="4"/>
        <v>100</v>
      </c>
      <c r="J42" s="108"/>
      <c r="K42" s="6"/>
      <c r="L42" s="6"/>
      <c r="M42" s="54"/>
      <c r="N42" s="5"/>
      <c r="O42" s="6">
        <v>27</v>
      </c>
      <c r="P42" s="6">
        <f t="shared" si="6"/>
        <v>27</v>
      </c>
      <c r="Q42" s="54">
        <f>P42/O42*100</f>
        <v>100</v>
      </c>
      <c r="R42" s="108"/>
      <c r="S42" s="6"/>
      <c r="T42" s="6"/>
      <c r="U42" s="54"/>
      <c r="AD42" s="118">
        <f t="shared" si="9"/>
        <v>-129</v>
      </c>
      <c r="AE42" s="118" t="e">
        <f>'Transfery neinvestiční 2.5'!B41+'Transfery neinvestiční 2.5'!F41+'Transfery neinvestiční 2.5'!J41+'Transfery neinvestiční 2.5'!N41+'Transfery nein.2.5a'!B42+'Transfery nein.2.5a'!N42+'Transfery nein.2.5a'!V42+'Transfery nein.2.5a'!R42+'Transfery neinvestiční 2.5'!R41+'Transfery investiční'!#REF!+'Transfery investiční'!E41+'Transfery investiční'!I41+'Transfery investiční'!M41+'Transfery investiční'!Q41+'Transfery investiční'!U41+Z42+'Transfery investiční'!Y41</f>
        <v>#REF!</v>
      </c>
      <c r="AF42" s="118">
        <f>'Transfery neinvestiční 2.5'!C41+'Transfery neinvestiční 2.5'!G41+'Transfery neinvestiční 2.5'!K41+'Transfery neinvestiční 2.5'!O41+'Transfery nein.2.5a'!C42+'Transfery nein.2.5a'!O42+'Transfery nein.2.5a'!W42+'Transfery nein.2.5a'!S42+'Transfery neinvestiční 2.5'!S41+'Transfery investiční'!B41+'Transfery investiční'!F41+'Transfery investiční'!J41+'Transfery investiční'!N41+'Transfery investiční'!R41+'Transfery investiční'!V41+AA42+'Transfery investiční'!Z41</f>
        <v>2427</v>
      </c>
      <c r="AG42" s="118">
        <f>'Transfery neinvestiční 2.5'!D41+'Transfery neinvestiční 2.5'!H41+'Transfery neinvestiční 2.5'!L41+'Transfery neinvestiční 2.5'!P41+'Transfery nein.2.5a'!D42+'Transfery nein.2.5a'!P42+'Transfery nein.2.5a'!X42+'Transfery nein.2.5a'!T42+'Transfery neinvestiční 2.5'!T41+'Transfery investiční'!C41+'Transfery investiční'!G41+'Transfery investiční'!K41+'Transfery investiční'!O41+'Transfery investiční'!S41+'Transfery investiční'!W41+AB42+'Transfery investiční'!AA41</f>
        <v>2427</v>
      </c>
      <c r="AH42" s="118">
        <f>'Transfery investiční'!AD41/1000*-1</f>
        <v>2298</v>
      </c>
    </row>
    <row r="43" spans="1:34" ht="16.5" thickBot="1">
      <c r="A43" s="44"/>
      <c r="B43" s="74"/>
      <c r="C43" s="73"/>
      <c r="D43" s="73"/>
      <c r="E43" s="55"/>
      <c r="F43" s="74"/>
      <c r="G43" s="73"/>
      <c r="H43" s="73"/>
      <c r="I43" s="55"/>
      <c r="J43" s="73"/>
      <c r="K43" s="73"/>
      <c r="L43" s="73"/>
      <c r="M43" s="55"/>
      <c r="N43" s="74"/>
      <c r="O43" s="73"/>
      <c r="P43" s="73"/>
      <c r="Q43" s="55"/>
      <c r="R43" s="73"/>
      <c r="S43" s="73"/>
      <c r="T43" s="73"/>
      <c r="U43" s="55"/>
      <c r="AE43" s="118" t="e">
        <f>'Transfery neinvestiční 2.5'!#REF!+'Transfery neinvestiční 2.5'!#REF!+'Transfery neinvestiční 2.5'!#REF!+'Transfery neinvestiční 2.5'!#REF!+'Transfery nein.2.5a'!B43+'Transfery nein.2.5a'!N43+'Transfery nein.2.5a'!V43+'Transfery nein.2.5a'!R43+'Transfery neinvestiční 2.5'!#REF!+'Transfery investiční'!#REF!+'Transfery investiční'!E42+'Transfery investiční'!I42+'Transfery investiční'!M42+'Transfery investiční'!Q42</f>
        <v>#REF!</v>
      </c>
      <c r="AF43" s="118" t="e">
        <f>'Transfery neinvestiční 2.5'!#REF!+'Transfery neinvestiční 2.5'!#REF!+'Transfery neinvestiční 2.5'!#REF!+'Transfery neinvestiční 2.5'!#REF!+'Transfery nein.2.5a'!C43+'Transfery nein.2.5a'!O43+'Transfery nein.2.5a'!W43+'Transfery nein.2.5a'!S43+'Transfery nein.2.5a'!AA43+'Transfery neinvestiční 2.5'!#REF!+'Transfery investiční'!B42+'Transfery investiční'!F42+'Transfery investiční'!J42+'Transfery investiční'!N42+'Transfery investiční'!R42</f>
        <v>#REF!</v>
      </c>
      <c r="AG43" s="118" t="e">
        <f>'Transfery neinvestiční 2.5'!#REF!+'Transfery neinvestiční 2.5'!#REF!+'Transfery neinvestiční 2.5'!#REF!+'Transfery neinvestiční 2.5'!#REF!+'Transfery nein.2.5a'!D43+'Transfery nein.2.5a'!P43+'Transfery nein.2.5a'!X43+'Transfery nein.2.5a'!T43+'Transfery neinvestiční 2.5'!#REF!+'Transfery investiční'!C42+'Transfery investiční'!G42+'Transfery investiční'!K42+'Transfery investiční'!O42+'Transfery investiční'!S42+'Transfery investiční'!W42+AB43</f>
        <v>#REF!</v>
      </c>
    </row>
    <row r="44" spans="1:34" ht="16.5" thickBot="1">
      <c r="A44" s="140" t="s">
        <v>231</v>
      </c>
      <c r="B44" s="57">
        <f>SUM(B14:B42)</f>
        <v>975372</v>
      </c>
      <c r="C44" s="50">
        <f>SUM(C14:C42)</f>
        <v>1016176</v>
      </c>
      <c r="D44" s="50">
        <f>SUM(D14:D42)</f>
        <v>1016076</v>
      </c>
      <c r="E44" s="56">
        <f>D44/C44*100</f>
        <v>99.99015918502306</v>
      </c>
      <c r="F44" s="57">
        <f>SUM(F14:F42)</f>
        <v>974958</v>
      </c>
      <c r="G44" s="50">
        <f>SUM(G14:G42)</f>
        <v>1015067</v>
      </c>
      <c r="H44" s="50">
        <f>SUM(H14:H42)</f>
        <v>1014967</v>
      </c>
      <c r="I44" s="56">
        <f>H44/G44*100</f>
        <v>99.990148433551667</v>
      </c>
      <c r="J44" s="109">
        <f>SUM(J13:J42)</f>
        <v>414</v>
      </c>
      <c r="K44" s="50">
        <f>SUM(K13:K42)</f>
        <v>1109</v>
      </c>
      <c r="L44" s="50">
        <f>SUM(L13:L42)</f>
        <v>1109</v>
      </c>
      <c r="M44" s="56">
        <f>L44/K44*100</f>
        <v>100</v>
      </c>
      <c r="N44" s="57"/>
      <c r="O44" s="50">
        <f>SUM(O13:O42)</f>
        <v>4854</v>
      </c>
      <c r="P44" s="50">
        <f>SUM(P13:P42)</f>
        <v>4854</v>
      </c>
      <c r="Q44" s="56">
        <f>P44/O44*100</f>
        <v>100</v>
      </c>
      <c r="R44" s="109"/>
      <c r="S44" s="50">
        <f>SUM(S13:S42)</f>
        <v>1072</v>
      </c>
      <c r="T44" s="50">
        <f>SUM(T13:T42)</f>
        <v>1072</v>
      </c>
      <c r="U44" s="56">
        <f>T44/S44*100</f>
        <v>100</v>
      </c>
      <c r="W44" s="118">
        <f>SUM(W14:W42)</f>
        <v>0</v>
      </c>
      <c r="X44" s="118">
        <f>SUM(X14:X42)</f>
        <v>0</v>
      </c>
      <c r="AA44" s="118">
        <f>SUM(AA13:AA42)</f>
        <v>0</v>
      </c>
      <c r="AB44" s="118">
        <f>SUM(AB13:AB42)</f>
        <v>0</v>
      </c>
      <c r="AE44" s="118" t="e">
        <f>'Transfery neinvestiční 2.5'!B43+'Transfery neinvestiční 2.5'!F43+'Transfery neinvestiční 2.5'!J43+'Transfery neinvestiční 2.5'!N43+'Transfery nein.2.5a'!B44+'Transfery nein.2.5a'!N44+'Transfery nein.2.5a'!V44+'Transfery nein.2.5a'!R44+'Transfery neinvestiční 2.5'!R43+'Transfery investiční'!#REF!+'Transfery investiční'!E43+'Transfery investiční'!I43+'Transfery investiční'!M43+'Transfery investiční'!Q43+'Transfery investiční'!Y43</f>
        <v>#REF!</v>
      </c>
      <c r="AF44" s="118">
        <f>'Transfery neinvestiční 2.5'!C43+'Transfery neinvestiční 2.5'!G43+'Transfery neinvestiční 2.5'!K43+'Transfery neinvestiční 2.5'!O43+'Transfery nein.2.5a'!C44+'Transfery nein.2.5a'!O44+'Transfery nein.2.5a'!W44+'Transfery nein.2.5a'!S44+'Transfery neinvestiční 2.5'!S43+'Transfery investiční'!B43+'Transfery investiční'!F43+'Transfery investiční'!J43+'Transfery investiční'!N43+'Transfery investiční'!R43+'Transfery investiční'!Z43</f>
        <v>2117691</v>
      </c>
      <c r="AG44" s="118">
        <f>'Transfery neinvestiční 2.5'!D43+'Transfery neinvestiční 2.5'!H43+'Transfery neinvestiční 2.5'!L43+'Transfery neinvestiční 2.5'!P43+'Transfery nein.2.5a'!D44+'Transfery nein.2.5a'!P44+'Transfery nein.2.5a'!X44+'Transfery nein.2.5a'!T44+'Transfery neinvestiční 2.5'!T43+'Transfery investiční'!C43+'Transfery investiční'!G43+'Transfery investiční'!K43+'Transfery investiční'!O43+'Transfery investiční'!S43+'Transfery investiční'!AA43</f>
        <v>2011055</v>
      </c>
    </row>
    <row r="45" spans="1:34">
      <c r="AE45" s="118" t="e">
        <f>SUM(AE14:AE42)</f>
        <v>#REF!</v>
      </c>
      <c r="AF45" s="118">
        <f>SUM(AF14:AF42)</f>
        <v>2117691</v>
      </c>
      <c r="AG45" s="118">
        <f>SUM(AG14:AG42)</f>
        <v>2011055</v>
      </c>
      <c r="AH45" s="118">
        <f>SUM(AH14:AH42)</f>
        <v>2110621.84601</v>
      </c>
    </row>
    <row r="46" spans="1:34" hidden="1"/>
    <row r="47" spans="1:34" s="1" customFormat="1" hidden="1">
      <c r="A47" s="82"/>
    </row>
    <row r="48" spans="1:34" s="1" customFormat="1" hidden="1">
      <c r="A48" s="82">
        <v>2012</v>
      </c>
      <c r="B48" s="1">
        <v>983314</v>
      </c>
      <c r="C48" s="1">
        <v>1006382</v>
      </c>
      <c r="D48" s="1">
        <f>1003082+739+2310</f>
        <v>1006131</v>
      </c>
      <c r="F48" s="1">
        <v>982595</v>
      </c>
      <c r="G48" s="1">
        <v>1003478</v>
      </c>
      <c r="H48" s="1">
        <v>1003329</v>
      </c>
      <c r="J48" s="1">
        <f>370+349</f>
        <v>719</v>
      </c>
      <c r="K48" s="1">
        <v>2904</v>
      </c>
      <c r="L48" s="1">
        <v>2802</v>
      </c>
      <c r="N48" s="1">
        <v>0</v>
      </c>
      <c r="O48" s="1">
        <v>3166.93</v>
      </c>
      <c r="P48" s="1">
        <v>3167</v>
      </c>
      <c r="S48" s="1">
        <v>532</v>
      </c>
      <c r="T48" s="1">
        <v>533</v>
      </c>
      <c r="AE48" s="1">
        <v>1677171</v>
      </c>
      <c r="AF48" s="1">
        <v>2152021</v>
      </c>
      <c r="AG48" s="1">
        <v>2110622</v>
      </c>
    </row>
    <row r="49" spans="1:20" s="1" customFormat="1" hidden="1">
      <c r="A49" s="82">
        <v>2013</v>
      </c>
      <c r="B49" s="1">
        <f>974958+390+24</f>
        <v>975372</v>
      </c>
      <c r="C49" s="1">
        <f>1015067+604+505</f>
        <v>1016176</v>
      </c>
      <c r="D49" s="1">
        <f>1014967+604+505</f>
        <v>1016076</v>
      </c>
      <c r="F49" s="1">
        <v>974958</v>
      </c>
      <c r="G49" s="1">
        <v>1015067</v>
      </c>
      <c r="H49" s="1">
        <v>1014967</v>
      </c>
      <c r="J49" s="1">
        <f>390+24</f>
        <v>414</v>
      </c>
      <c r="K49" s="1">
        <f>604+505</f>
        <v>1109</v>
      </c>
      <c r="L49" s="1">
        <f>604+505</f>
        <v>1109</v>
      </c>
      <c r="O49" s="1">
        <v>4854</v>
      </c>
      <c r="P49" s="1">
        <v>4854</v>
      </c>
      <c r="S49" s="1">
        <v>1072</v>
      </c>
      <c r="T49" s="1">
        <v>1072</v>
      </c>
    </row>
    <row r="50" spans="1:20" hidden="1">
      <c r="F50" s="1"/>
      <c r="H50" s="1"/>
      <c r="K50" s="1"/>
      <c r="M50" s="316">
        <f>L44+P44</f>
        <v>5963</v>
      </c>
      <c r="N50" s="316"/>
    </row>
    <row r="51" spans="1:20" hidden="1">
      <c r="C51" s="1">
        <f>C49-C44</f>
        <v>0</v>
      </c>
      <c r="D51" s="1">
        <f>D49-D44</f>
        <v>0</v>
      </c>
      <c r="J51" s="118">
        <f>370+349</f>
        <v>719</v>
      </c>
      <c r="K51" s="118">
        <f>830+2322</f>
        <v>3152</v>
      </c>
      <c r="L51" s="118">
        <f>2310+739</f>
        <v>3049</v>
      </c>
    </row>
    <row r="52" spans="1:20" hidden="1"/>
    <row r="53" spans="1:20" hidden="1">
      <c r="H53" s="118">
        <f>H44/'Příjmy '!R41*100</f>
        <v>50.469380499290175</v>
      </c>
      <c r="K53" s="1">
        <f>K48-K44</f>
        <v>1795</v>
      </c>
      <c r="L53" s="1">
        <f>L48-L44</f>
        <v>1693</v>
      </c>
    </row>
    <row r="54" spans="1:20" hidden="1">
      <c r="B54" s="118">
        <f>974958+390+24</f>
        <v>975372</v>
      </c>
      <c r="C54" s="118">
        <f>505+604+1015067</f>
        <v>1016176</v>
      </c>
      <c r="D54" s="1">
        <f>1014967+604+505</f>
        <v>1016076</v>
      </c>
    </row>
    <row r="55" spans="1:20" hidden="1">
      <c r="C55" s="1">
        <f>B47+D55</f>
        <v>0</v>
      </c>
    </row>
    <row r="56" spans="1:20" hidden="1"/>
    <row r="57" spans="1:20" hidden="1"/>
    <row r="58" spans="1:20" hidden="1">
      <c r="D58" s="118">
        <f>D59/D49*100</f>
        <v>-0.97876536794491742</v>
      </c>
      <c r="H58" s="118">
        <f>H59/H49*100</f>
        <v>-1.1466382650864511</v>
      </c>
      <c r="L58" s="118">
        <f>L59/L49*100</f>
        <v>152.6600541027953</v>
      </c>
      <c r="P58" s="118">
        <f>P59/P49*100</f>
        <v>-34.754841367943961</v>
      </c>
      <c r="T58" s="118">
        <f>T59/T49*100</f>
        <v>-50.279850746268664</v>
      </c>
    </row>
    <row r="59" spans="1:20" hidden="1">
      <c r="D59" s="1">
        <f>D48-D49</f>
        <v>-9945</v>
      </c>
      <c r="H59" s="1">
        <f>H48-H49</f>
        <v>-11638</v>
      </c>
      <c r="L59" s="1">
        <f>L48-L49</f>
        <v>1693</v>
      </c>
      <c r="P59" s="1">
        <f>P48-P49</f>
        <v>-1687</v>
      </c>
      <c r="T59" s="1">
        <f>T48-T49</f>
        <v>-539</v>
      </c>
    </row>
    <row r="60" spans="1:20" hidden="1"/>
    <row r="61" spans="1:20" hidden="1"/>
  </sheetData>
  <mergeCells count="36">
    <mergeCell ref="R10:R11"/>
    <mergeCell ref="A1:M1"/>
    <mergeCell ref="N7:Q7"/>
    <mergeCell ref="R7:U7"/>
    <mergeCell ref="A3:Y4"/>
    <mergeCell ref="A2:Y2"/>
    <mergeCell ref="A7:A11"/>
    <mergeCell ref="B10:B11"/>
    <mergeCell ref="C10:C11"/>
    <mergeCell ref="D10:D11"/>
    <mergeCell ref="F10:F11"/>
    <mergeCell ref="G10:G11"/>
    <mergeCell ref="H10:H11"/>
    <mergeCell ref="J10:J11"/>
    <mergeCell ref="B12:E12"/>
    <mergeCell ref="J12:M12"/>
    <mergeCell ref="N12:Q12"/>
    <mergeCell ref="R12:U12"/>
    <mergeCell ref="AG12:AH12"/>
    <mergeCell ref="Z12:AC12"/>
    <mergeCell ref="M50:N50"/>
    <mergeCell ref="F9:I9"/>
    <mergeCell ref="B7:M7"/>
    <mergeCell ref="J9:M9"/>
    <mergeCell ref="AE10:AG10"/>
    <mergeCell ref="Z7:AC9"/>
    <mergeCell ref="V7:Y7"/>
    <mergeCell ref="F8:I8"/>
    <mergeCell ref="S10:S11"/>
    <mergeCell ref="T10:T11"/>
    <mergeCell ref="K10:K11"/>
    <mergeCell ref="L10:L11"/>
    <mergeCell ref="N10:N11"/>
    <mergeCell ref="O10:O11"/>
    <mergeCell ref="P10:P11"/>
    <mergeCell ref="V12:Y12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58" orientation="landscape" r:id="rId1"/>
  <headerFooter alignWithMargins="0"/>
  <colBreaks count="1" manualBreakCount="1">
    <brk id="29" max="47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transitionEvaluation="1" codeName="List9">
    <pageSetUpPr fitToPage="1"/>
  </sheetPr>
  <dimension ref="A1:AE61"/>
  <sheetViews>
    <sheetView showZeros="0" view="pageBreakPreview" zoomScale="70" zoomScaleNormal="70" zoomScaleSheetLayoutView="70" workbookViewId="0">
      <pane xSplit="1" ySplit="12" topLeftCell="B13" activePane="bottomRight" state="frozen"/>
      <selection activeCell="C37" sqref="C37"/>
      <selection pane="topRight" activeCell="C37" sqref="C37"/>
      <selection pane="bottomLeft" activeCell="C37" sqref="C37"/>
      <selection pane="bottomRight" activeCell="S73" sqref="S73"/>
    </sheetView>
  </sheetViews>
  <sheetFormatPr defaultRowHeight="15.75"/>
  <cols>
    <col min="1" max="1" width="27.5546875" style="112" customWidth="1"/>
    <col min="2" max="2" width="7.77734375" style="111" hidden="1" customWidth="1"/>
    <col min="3" max="3" width="6.88671875" style="111" hidden="1" customWidth="1"/>
    <col min="4" max="4" width="5.77734375" style="111" hidden="1" customWidth="1"/>
    <col min="5" max="6" width="9" style="111" customWidth="1"/>
    <col min="7" max="7" width="9.33203125" style="111" customWidth="1"/>
    <col min="8" max="8" width="7.21875" style="111" customWidth="1"/>
    <col min="9" max="10" width="9.109375" style="111" customWidth="1"/>
    <col min="11" max="11" width="9.33203125" style="111" customWidth="1"/>
    <col min="12" max="12" width="7.21875" style="111" customWidth="1"/>
    <col min="13" max="14" width="9.109375" style="111" customWidth="1"/>
    <col min="15" max="15" width="9.33203125" style="111" customWidth="1"/>
    <col min="16" max="16" width="7.21875" style="111" customWidth="1"/>
    <col min="17" max="18" width="9.21875" style="111" customWidth="1"/>
    <col min="19" max="19" width="9.33203125" style="111" customWidth="1"/>
    <col min="20" max="20" width="7.21875" style="111" customWidth="1"/>
    <col min="21" max="23" width="7.77734375" style="111" hidden="1" customWidth="1"/>
    <col min="24" max="24" width="6.21875" style="111" hidden="1" customWidth="1"/>
    <col min="25" max="26" width="9.21875" style="111" customWidth="1"/>
    <col min="27" max="27" width="9.33203125" style="111" customWidth="1"/>
    <col min="28" max="28" width="7.21875" style="111" customWidth="1"/>
    <col min="29" max="29" width="11.6640625" style="111" customWidth="1"/>
    <col min="30" max="30" width="14.88671875" style="111" hidden="1" customWidth="1"/>
    <col min="31" max="31" width="11.33203125" style="111" hidden="1" customWidth="1"/>
    <col min="32" max="32" width="0" style="111" hidden="1" customWidth="1"/>
    <col min="33" max="33" width="11" style="111" customWidth="1"/>
    <col min="34" max="38" width="9.77734375" style="111"/>
    <col min="39" max="16384" width="8.88671875" style="111"/>
  </cols>
  <sheetData>
    <row r="1" spans="1:30" ht="17.25" customHeight="1"/>
    <row r="2" spans="1:30" ht="24" customHeight="1">
      <c r="A2" s="285" t="s">
        <v>249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</row>
    <row r="3" spans="1:30" ht="15" customHeight="1"/>
    <row r="4" spans="1:30" ht="21" customHeight="1">
      <c r="A4" s="285" t="s">
        <v>224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</row>
    <row r="5" spans="1:30" ht="22.5" customHeight="1">
      <c r="AB5" s="17" t="s">
        <v>182</v>
      </c>
    </row>
    <row r="6" spans="1:30" ht="22.5" customHeight="1" thickBot="1">
      <c r="AB6" s="17" t="s">
        <v>85</v>
      </c>
    </row>
    <row r="7" spans="1:30" s="112" customFormat="1" ht="18" customHeight="1">
      <c r="A7" s="301" t="s">
        <v>222</v>
      </c>
      <c r="B7" s="328"/>
      <c r="C7" s="328"/>
      <c r="D7" s="328"/>
      <c r="E7" s="289" t="s">
        <v>146</v>
      </c>
      <c r="F7" s="311"/>
      <c r="G7" s="311"/>
      <c r="H7" s="290"/>
      <c r="I7" s="289" t="s">
        <v>120</v>
      </c>
      <c r="J7" s="311"/>
      <c r="K7" s="311"/>
      <c r="L7" s="290"/>
      <c r="M7" s="289" t="s">
        <v>155</v>
      </c>
      <c r="N7" s="311"/>
      <c r="O7" s="311"/>
      <c r="P7" s="290"/>
      <c r="Q7" s="289" t="s">
        <v>138</v>
      </c>
      <c r="R7" s="311"/>
      <c r="S7" s="311"/>
      <c r="T7" s="290"/>
      <c r="U7" s="328" t="s">
        <v>146</v>
      </c>
      <c r="V7" s="328"/>
      <c r="W7" s="328"/>
      <c r="X7" s="328"/>
      <c r="Y7" s="289" t="s">
        <v>146</v>
      </c>
      <c r="Z7" s="311"/>
      <c r="AA7" s="311"/>
      <c r="AB7" s="290"/>
    </row>
    <row r="8" spans="1:30" s="112" customFormat="1" ht="18" customHeight="1" thickBot="1">
      <c r="A8" s="302"/>
      <c r="B8" s="328"/>
      <c r="C8" s="328"/>
      <c r="D8" s="328"/>
      <c r="E8" s="304" t="s">
        <v>77</v>
      </c>
      <c r="F8" s="305"/>
      <c r="G8" s="305"/>
      <c r="H8" s="306"/>
      <c r="I8" s="304" t="s">
        <v>137</v>
      </c>
      <c r="J8" s="305"/>
      <c r="K8" s="305"/>
      <c r="L8" s="306"/>
      <c r="M8" s="304" t="s">
        <v>179</v>
      </c>
      <c r="N8" s="305"/>
      <c r="O8" s="305"/>
      <c r="P8" s="306"/>
      <c r="Q8" s="45"/>
      <c r="R8" s="46"/>
      <c r="S8" s="46"/>
      <c r="T8" s="47"/>
      <c r="U8" s="328" t="s">
        <v>159</v>
      </c>
      <c r="V8" s="328"/>
      <c r="W8" s="328"/>
      <c r="X8" s="328"/>
      <c r="Y8" s="304" t="s">
        <v>227</v>
      </c>
      <c r="Z8" s="305"/>
      <c r="AA8" s="305"/>
      <c r="AB8" s="306"/>
    </row>
    <row r="9" spans="1:30" ht="18.75" customHeight="1">
      <c r="A9" s="302"/>
      <c r="C9" s="111" t="s">
        <v>33</v>
      </c>
      <c r="D9" s="111" t="s">
        <v>0</v>
      </c>
      <c r="E9" s="312" t="s">
        <v>229</v>
      </c>
      <c r="F9" s="314" t="s">
        <v>230</v>
      </c>
      <c r="G9" s="314" t="s">
        <v>246</v>
      </c>
      <c r="H9" s="27" t="s">
        <v>0</v>
      </c>
      <c r="I9" s="312" t="s">
        <v>229</v>
      </c>
      <c r="J9" s="314" t="s">
        <v>230</v>
      </c>
      <c r="K9" s="314" t="s">
        <v>246</v>
      </c>
      <c r="L9" s="27" t="s">
        <v>0</v>
      </c>
      <c r="M9" s="312" t="s">
        <v>229</v>
      </c>
      <c r="N9" s="314" t="s">
        <v>230</v>
      </c>
      <c r="O9" s="314" t="s">
        <v>246</v>
      </c>
      <c r="P9" s="27" t="s">
        <v>0</v>
      </c>
      <c r="Q9" s="312" t="s">
        <v>229</v>
      </c>
      <c r="R9" s="314" t="s">
        <v>230</v>
      </c>
      <c r="S9" s="314" t="s">
        <v>246</v>
      </c>
      <c r="T9" s="27" t="s">
        <v>0</v>
      </c>
      <c r="U9" s="111" t="s">
        <v>32</v>
      </c>
      <c r="W9" s="111" t="s">
        <v>33</v>
      </c>
      <c r="X9" s="111" t="s">
        <v>0</v>
      </c>
      <c r="Y9" s="312" t="s">
        <v>229</v>
      </c>
      <c r="Z9" s="314" t="s">
        <v>230</v>
      </c>
      <c r="AA9" s="314" t="s">
        <v>246</v>
      </c>
      <c r="AB9" s="27" t="s">
        <v>0</v>
      </c>
    </row>
    <row r="10" spans="1:30" ht="18.75" customHeight="1" thickBot="1">
      <c r="A10" s="303"/>
      <c r="B10" s="111" t="s">
        <v>35</v>
      </c>
      <c r="C10" s="111" t="s">
        <v>161</v>
      </c>
      <c r="D10" s="111" t="s">
        <v>11</v>
      </c>
      <c r="E10" s="313"/>
      <c r="F10" s="315"/>
      <c r="G10" s="315"/>
      <c r="H10" s="28" t="s">
        <v>11</v>
      </c>
      <c r="I10" s="313"/>
      <c r="J10" s="315"/>
      <c r="K10" s="315"/>
      <c r="L10" s="28" t="s">
        <v>11</v>
      </c>
      <c r="M10" s="313"/>
      <c r="N10" s="315"/>
      <c r="O10" s="315"/>
      <c r="P10" s="28" t="s">
        <v>11</v>
      </c>
      <c r="Q10" s="313"/>
      <c r="R10" s="315"/>
      <c r="S10" s="315"/>
      <c r="T10" s="28" t="s">
        <v>11</v>
      </c>
      <c r="U10" s="111" t="s">
        <v>34</v>
      </c>
      <c r="V10" s="111" t="s">
        <v>35</v>
      </c>
      <c r="W10" s="111" t="s">
        <v>161</v>
      </c>
      <c r="X10" s="111" t="s">
        <v>11</v>
      </c>
      <c r="Y10" s="313"/>
      <c r="Z10" s="315"/>
      <c r="AA10" s="315"/>
      <c r="AB10" s="28" t="s">
        <v>11</v>
      </c>
    </row>
    <row r="11" spans="1:30" ht="16.5" customHeight="1">
      <c r="A11" s="48"/>
      <c r="B11" s="316"/>
      <c r="C11" s="316"/>
      <c r="D11" s="316"/>
      <c r="E11" s="325" t="s">
        <v>92</v>
      </c>
      <c r="F11" s="326"/>
      <c r="G11" s="326"/>
      <c r="H11" s="327"/>
      <c r="I11" s="325" t="s">
        <v>119</v>
      </c>
      <c r="J11" s="326"/>
      <c r="K11" s="326"/>
      <c r="L11" s="327"/>
      <c r="M11" s="325" t="s">
        <v>93</v>
      </c>
      <c r="N11" s="326"/>
      <c r="O11" s="326"/>
      <c r="P11" s="327"/>
      <c r="Q11" s="325" t="s">
        <v>118</v>
      </c>
      <c r="R11" s="326"/>
      <c r="S11" s="326"/>
      <c r="T11" s="327"/>
      <c r="U11" s="316" t="s">
        <v>158</v>
      </c>
      <c r="V11" s="316"/>
      <c r="W11" s="316"/>
      <c r="X11" s="316"/>
      <c r="Y11" s="325" t="s">
        <v>226</v>
      </c>
      <c r="Z11" s="326"/>
      <c r="AA11" s="326"/>
      <c r="AB11" s="327"/>
    </row>
    <row r="12" spans="1:30" ht="17.100000000000001" customHeight="1" thickBot="1">
      <c r="A12" s="127"/>
      <c r="E12" s="3"/>
      <c r="F12" s="113"/>
      <c r="G12" s="113"/>
      <c r="H12" s="114"/>
      <c r="I12" s="3"/>
      <c r="J12" s="113"/>
      <c r="K12" s="113"/>
      <c r="L12" s="114"/>
      <c r="M12" s="3"/>
      <c r="N12" s="113"/>
      <c r="O12" s="113"/>
      <c r="P12" s="114"/>
      <c r="Q12" s="3"/>
      <c r="R12" s="113"/>
      <c r="S12" s="113"/>
      <c r="T12" s="114"/>
      <c r="Y12" s="3"/>
      <c r="Z12" s="113"/>
      <c r="AA12" s="113"/>
      <c r="AB12" s="114"/>
      <c r="AD12" s="111" t="s">
        <v>214</v>
      </c>
    </row>
    <row r="13" spans="1:30" ht="17.100000000000001" customHeight="1">
      <c r="A13" s="60" t="s">
        <v>184</v>
      </c>
      <c r="B13" s="128"/>
      <c r="C13" s="92"/>
      <c r="D13" s="129" t="e">
        <f t="shared" ref="D13:D39" si="0">C13/B13*100</f>
        <v>#DIV/0!</v>
      </c>
      <c r="E13" s="7">
        <v>0</v>
      </c>
      <c r="F13" s="8"/>
      <c r="G13" s="8"/>
      <c r="H13" s="52"/>
      <c r="I13" s="7"/>
      <c r="J13" s="8"/>
      <c r="K13" s="8"/>
      <c r="L13" s="52"/>
      <c r="M13" s="7">
        <v>0</v>
      </c>
      <c r="N13" s="8">
        <v>11052</v>
      </c>
      <c r="O13" s="8">
        <f>N13</f>
        <v>11052</v>
      </c>
      <c r="P13" s="52">
        <f t="shared" ref="P13:P20" si="1">O13/N13*100</f>
        <v>100</v>
      </c>
      <c r="Q13" s="7"/>
      <c r="R13" s="8"/>
      <c r="S13" s="8">
        <f t="shared" ref="S13:S39" si="2">R13</f>
        <v>0</v>
      </c>
      <c r="T13" s="52"/>
      <c r="U13" s="128"/>
      <c r="V13" s="92"/>
      <c r="W13" s="92"/>
      <c r="X13" s="129"/>
      <c r="Y13" s="7"/>
      <c r="Z13" s="8"/>
      <c r="AA13" s="8">
        <f t="shared" ref="AA13:AA39" si="3">Z13</f>
        <v>0</v>
      </c>
      <c r="AB13" s="52"/>
      <c r="AD13" s="111">
        <v>-351686298.93000001</v>
      </c>
    </row>
    <row r="14" spans="1:30" ht="17.100000000000001" customHeight="1">
      <c r="A14" s="61" t="s">
        <v>185</v>
      </c>
      <c r="B14" s="130"/>
      <c r="C14" s="95"/>
      <c r="D14" s="131" t="e">
        <f t="shared" si="0"/>
        <v>#DIV/0!</v>
      </c>
      <c r="E14" s="4"/>
      <c r="F14" s="2">
        <f>196+1</f>
        <v>197</v>
      </c>
      <c r="G14" s="2">
        <f>F14</f>
        <v>197</v>
      </c>
      <c r="H14" s="53">
        <f>G14/F14*100</f>
        <v>100</v>
      </c>
      <c r="I14" s="4">
        <v>0</v>
      </c>
      <c r="J14" s="2">
        <v>7161</v>
      </c>
      <c r="K14" s="2">
        <f>J14</f>
        <v>7161</v>
      </c>
      <c r="L14" s="53">
        <f>K14/J14*100</f>
        <v>100</v>
      </c>
      <c r="M14" s="4">
        <v>0</v>
      </c>
      <c r="N14" s="2">
        <v>2300</v>
      </c>
      <c r="O14" s="2">
        <f>N14</f>
        <v>2300</v>
      </c>
      <c r="P14" s="53">
        <f t="shared" si="1"/>
        <v>100</v>
      </c>
      <c r="Q14" s="4"/>
      <c r="R14" s="2"/>
      <c r="S14" s="2">
        <f t="shared" si="2"/>
        <v>0</v>
      </c>
      <c r="T14" s="53"/>
      <c r="U14" s="130"/>
      <c r="V14" s="95"/>
      <c r="W14" s="95"/>
      <c r="X14" s="131"/>
      <c r="Y14" s="4"/>
      <c r="Z14" s="2"/>
      <c r="AA14" s="2">
        <f t="shared" si="3"/>
        <v>0</v>
      </c>
      <c r="AB14" s="53"/>
      <c r="AD14" s="111">
        <v>-54955735</v>
      </c>
    </row>
    <row r="15" spans="1:30" ht="17.100000000000001" customHeight="1">
      <c r="A15" s="61" t="s">
        <v>186</v>
      </c>
      <c r="B15" s="130"/>
      <c r="C15" s="95"/>
      <c r="D15" s="131" t="e">
        <f t="shared" si="0"/>
        <v>#DIV/0!</v>
      </c>
      <c r="E15" s="4"/>
      <c r="F15" s="2"/>
      <c r="G15" s="2">
        <f t="shared" ref="G15:G41" si="4">F15</f>
        <v>0</v>
      </c>
      <c r="H15" s="53"/>
      <c r="I15" s="4"/>
      <c r="J15" s="2"/>
      <c r="K15" s="2"/>
      <c r="L15" s="53"/>
      <c r="M15" s="4">
        <v>0</v>
      </c>
      <c r="N15" s="2">
        <v>2100</v>
      </c>
      <c r="O15" s="2">
        <f t="shared" ref="O15:O22" si="5">N15</f>
        <v>2100</v>
      </c>
      <c r="P15" s="53">
        <f t="shared" si="1"/>
        <v>100</v>
      </c>
      <c r="Q15" s="4"/>
      <c r="R15" s="2"/>
      <c r="S15" s="2"/>
      <c r="T15" s="53"/>
      <c r="U15" s="130"/>
      <c r="V15" s="95"/>
      <c r="W15" s="95"/>
      <c r="X15" s="131"/>
      <c r="Y15" s="4"/>
      <c r="Z15" s="2"/>
      <c r="AA15" s="2"/>
      <c r="AB15" s="53"/>
      <c r="AD15" s="111">
        <v>-60214041.68</v>
      </c>
    </row>
    <row r="16" spans="1:30" ht="17.100000000000001" customHeight="1">
      <c r="A16" s="61" t="s">
        <v>187</v>
      </c>
      <c r="B16" s="130"/>
      <c r="C16" s="95"/>
      <c r="D16" s="131" t="e">
        <f t="shared" si="0"/>
        <v>#DIV/0!</v>
      </c>
      <c r="E16" s="4">
        <v>0</v>
      </c>
      <c r="F16" s="2">
        <v>475</v>
      </c>
      <c r="G16" s="2">
        <f t="shared" si="4"/>
        <v>475</v>
      </c>
      <c r="H16" s="53">
        <f>G16/F16*100</f>
        <v>100</v>
      </c>
      <c r="I16" s="4"/>
      <c r="J16" s="2">
        <v>7402</v>
      </c>
      <c r="K16" s="2">
        <f>J16</f>
        <v>7402</v>
      </c>
      <c r="L16" s="53">
        <f>K16/J16*100</f>
        <v>100</v>
      </c>
      <c r="M16" s="4">
        <v>0</v>
      </c>
      <c r="N16" s="2">
        <v>9924</v>
      </c>
      <c r="O16" s="2">
        <f t="shared" si="5"/>
        <v>9924</v>
      </c>
      <c r="P16" s="53">
        <f t="shared" si="1"/>
        <v>100</v>
      </c>
      <c r="Q16" s="4"/>
      <c r="R16" s="2"/>
      <c r="S16" s="2">
        <f t="shared" si="2"/>
        <v>0</v>
      </c>
      <c r="T16" s="53"/>
      <c r="U16" s="130"/>
      <c r="V16" s="95"/>
      <c r="W16" s="95"/>
      <c r="X16" s="131"/>
      <c r="Y16" s="4">
        <v>0</v>
      </c>
      <c r="Z16" s="2">
        <v>1572</v>
      </c>
      <c r="AA16" s="2">
        <f>Z16</f>
        <v>1572</v>
      </c>
      <c r="AB16" s="53">
        <f t="shared" ref="AB16" si="6">AA16/Z16*100</f>
        <v>100</v>
      </c>
      <c r="AD16" s="111">
        <v>-63035627.25</v>
      </c>
    </row>
    <row r="17" spans="1:30" ht="17.100000000000001" customHeight="1">
      <c r="A17" s="61" t="s">
        <v>188</v>
      </c>
      <c r="B17" s="130"/>
      <c r="C17" s="95"/>
      <c r="D17" s="131" t="e">
        <f t="shared" si="0"/>
        <v>#DIV/0!</v>
      </c>
      <c r="E17" s="4">
        <v>0</v>
      </c>
      <c r="F17" s="2"/>
      <c r="G17" s="2">
        <f t="shared" si="4"/>
        <v>0</v>
      </c>
      <c r="H17" s="53"/>
      <c r="I17" s="4"/>
      <c r="J17" s="2"/>
      <c r="K17" s="2"/>
      <c r="L17" s="53"/>
      <c r="M17" s="4">
        <v>0</v>
      </c>
      <c r="N17" s="2">
        <v>3100</v>
      </c>
      <c r="O17" s="2">
        <f t="shared" si="5"/>
        <v>3100</v>
      </c>
      <c r="P17" s="53">
        <f t="shared" si="1"/>
        <v>100</v>
      </c>
      <c r="Q17" s="4"/>
      <c r="R17" s="2">
        <v>4000</v>
      </c>
      <c r="S17" s="2">
        <f t="shared" si="2"/>
        <v>4000</v>
      </c>
      <c r="T17" s="53">
        <f t="shared" ref="T17" si="7">S17/R17*100</f>
        <v>100</v>
      </c>
      <c r="U17" s="130"/>
      <c r="V17" s="95"/>
      <c r="W17" s="95"/>
      <c r="X17" s="131"/>
      <c r="Y17" s="4"/>
      <c r="Z17" s="2"/>
      <c r="AA17" s="2"/>
      <c r="AB17" s="53"/>
      <c r="AD17" s="111">
        <v>-54247433</v>
      </c>
    </row>
    <row r="18" spans="1:30" ht="17.100000000000001" customHeight="1">
      <c r="A18" s="61" t="s">
        <v>189</v>
      </c>
      <c r="B18" s="130"/>
      <c r="C18" s="95"/>
      <c r="D18" s="131" t="e">
        <f t="shared" si="0"/>
        <v>#DIV/0!</v>
      </c>
      <c r="E18" s="4"/>
      <c r="F18" s="2"/>
      <c r="G18" s="2">
        <f t="shared" si="4"/>
        <v>0</v>
      </c>
      <c r="H18" s="53"/>
      <c r="I18" s="4"/>
      <c r="J18" s="2"/>
      <c r="K18" s="2"/>
      <c r="L18" s="53"/>
      <c r="M18" s="4"/>
      <c r="N18" s="2">
        <v>60</v>
      </c>
      <c r="O18" s="2">
        <f>N18</f>
        <v>60</v>
      </c>
      <c r="P18" s="53">
        <f t="shared" si="1"/>
        <v>100</v>
      </c>
      <c r="Q18" s="4"/>
      <c r="R18" s="2"/>
      <c r="S18" s="2">
        <f t="shared" si="2"/>
        <v>0</v>
      </c>
      <c r="T18" s="53"/>
      <c r="U18" s="130"/>
      <c r="V18" s="95"/>
      <c r="W18" s="95"/>
      <c r="X18" s="131"/>
      <c r="Y18" s="4"/>
      <c r="Z18" s="2"/>
      <c r="AA18" s="2"/>
      <c r="AB18" s="53"/>
      <c r="AD18" s="111">
        <v>-10829194</v>
      </c>
    </row>
    <row r="19" spans="1:30" ht="17.100000000000001" customHeight="1">
      <c r="A19" s="61" t="s">
        <v>190</v>
      </c>
      <c r="B19" s="130"/>
      <c r="C19" s="95"/>
      <c r="D19" s="131" t="e">
        <f t="shared" si="0"/>
        <v>#DIV/0!</v>
      </c>
      <c r="E19" s="4"/>
      <c r="F19" s="2"/>
      <c r="G19" s="2">
        <f t="shared" si="4"/>
        <v>0</v>
      </c>
      <c r="H19" s="53"/>
      <c r="I19" s="4"/>
      <c r="J19" s="2"/>
      <c r="K19" s="2"/>
      <c r="L19" s="53"/>
      <c r="M19" s="4"/>
      <c r="N19" s="2">
        <v>2100</v>
      </c>
      <c r="O19" s="2">
        <f t="shared" si="5"/>
        <v>2100</v>
      </c>
      <c r="P19" s="53">
        <f t="shared" si="1"/>
        <v>100</v>
      </c>
      <c r="Q19" s="4">
        <v>0</v>
      </c>
      <c r="R19" s="2">
        <v>50</v>
      </c>
      <c r="S19" s="2">
        <f>R19</f>
        <v>50</v>
      </c>
      <c r="T19" s="53">
        <f t="shared" ref="T19" si="8">S19/R19*100</f>
        <v>100</v>
      </c>
      <c r="U19" s="130"/>
      <c r="V19" s="95"/>
      <c r="W19" s="95"/>
      <c r="X19" s="131"/>
      <c r="Y19" s="4"/>
      <c r="Z19" s="2"/>
      <c r="AA19" s="2"/>
      <c r="AB19" s="53"/>
      <c r="AD19" s="111">
        <v>-91613555.709999993</v>
      </c>
    </row>
    <row r="20" spans="1:30" ht="17.100000000000001" customHeight="1">
      <c r="A20" s="61" t="s">
        <v>191</v>
      </c>
      <c r="B20" s="130"/>
      <c r="C20" s="95"/>
      <c r="D20" s="131" t="e">
        <f t="shared" si="0"/>
        <v>#DIV/0!</v>
      </c>
      <c r="E20" s="4">
        <v>0</v>
      </c>
      <c r="F20" s="2">
        <v>98</v>
      </c>
      <c r="G20" s="2">
        <f t="shared" si="4"/>
        <v>98</v>
      </c>
      <c r="H20" s="53">
        <f>G20/F20*100</f>
        <v>100</v>
      </c>
      <c r="I20" s="4"/>
      <c r="J20" s="2">
        <f>1668-1</f>
        <v>1667</v>
      </c>
      <c r="K20" s="2">
        <f>J20</f>
        <v>1667</v>
      </c>
      <c r="L20" s="53">
        <f>K20/J20*100</f>
        <v>100</v>
      </c>
      <c r="M20" s="4">
        <v>0</v>
      </c>
      <c r="N20" s="2">
        <v>4120</v>
      </c>
      <c r="O20" s="2">
        <v>3225</v>
      </c>
      <c r="P20" s="53">
        <f t="shared" si="1"/>
        <v>78.27669902912622</v>
      </c>
      <c r="Q20" s="4">
        <v>0</v>
      </c>
      <c r="R20" s="2"/>
      <c r="S20" s="2"/>
      <c r="T20" s="53"/>
      <c r="U20" s="130"/>
      <c r="V20" s="95"/>
      <c r="W20" s="95"/>
      <c r="X20" s="131"/>
      <c r="Y20" s="4"/>
      <c r="Z20" s="2"/>
      <c r="AA20" s="2"/>
      <c r="AB20" s="53"/>
      <c r="AD20" s="111">
        <v>-178555435.13</v>
      </c>
    </row>
    <row r="21" spans="1:30" ht="17.100000000000001" customHeight="1">
      <c r="A21" s="61" t="s">
        <v>192</v>
      </c>
      <c r="B21" s="130"/>
      <c r="C21" s="95"/>
      <c r="D21" s="131" t="e">
        <f t="shared" si="0"/>
        <v>#DIV/0!</v>
      </c>
      <c r="E21" s="4"/>
      <c r="F21" s="2"/>
      <c r="G21" s="2">
        <f t="shared" si="4"/>
        <v>0</v>
      </c>
      <c r="H21" s="53"/>
      <c r="I21" s="4"/>
      <c r="J21" s="2"/>
      <c r="K21" s="2"/>
      <c r="L21" s="53"/>
      <c r="M21" s="4"/>
      <c r="N21" s="2"/>
      <c r="O21" s="2">
        <f t="shared" si="5"/>
        <v>0</v>
      </c>
      <c r="P21" s="53"/>
      <c r="Q21" s="4"/>
      <c r="R21" s="2"/>
      <c r="S21" s="2">
        <f t="shared" si="2"/>
        <v>0</v>
      </c>
      <c r="T21" s="53"/>
      <c r="U21" s="130"/>
      <c r="V21" s="95"/>
      <c r="W21" s="95"/>
      <c r="X21" s="131"/>
      <c r="Y21" s="4"/>
      <c r="Z21" s="2"/>
      <c r="AA21" s="2"/>
      <c r="AB21" s="53"/>
      <c r="AD21" s="111">
        <v>-9817000</v>
      </c>
    </row>
    <row r="22" spans="1:30" ht="17.100000000000001" customHeight="1">
      <c r="A22" s="61" t="s">
        <v>193</v>
      </c>
      <c r="B22" s="130"/>
      <c r="C22" s="95"/>
      <c r="D22" s="131" t="e">
        <f t="shared" si="0"/>
        <v>#DIV/0!</v>
      </c>
      <c r="E22" s="4"/>
      <c r="F22" s="2"/>
      <c r="G22" s="2">
        <f t="shared" si="4"/>
        <v>0</v>
      </c>
      <c r="H22" s="53"/>
      <c r="I22" s="4"/>
      <c r="J22" s="2"/>
      <c r="K22" s="2"/>
      <c r="L22" s="53"/>
      <c r="M22" s="4">
        <v>0</v>
      </c>
      <c r="N22" s="2">
        <v>3970</v>
      </c>
      <c r="O22" s="2">
        <f t="shared" si="5"/>
        <v>3970</v>
      </c>
      <c r="P22" s="53">
        <f t="shared" ref="P22:P30" si="9">O22/N22*100</f>
        <v>100</v>
      </c>
      <c r="Q22" s="4"/>
      <c r="R22" s="2"/>
      <c r="S22" s="2"/>
      <c r="T22" s="53"/>
      <c r="U22" s="130"/>
      <c r="V22" s="95"/>
      <c r="W22" s="95"/>
      <c r="X22" s="131"/>
      <c r="Y22" s="4"/>
      <c r="Z22" s="2"/>
      <c r="AA22" s="2"/>
      <c r="AB22" s="53"/>
      <c r="AD22" s="111">
        <v>-45060845.18</v>
      </c>
    </row>
    <row r="23" spans="1:30" ht="17.100000000000001" customHeight="1">
      <c r="A23" s="61" t="s">
        <v>194</v>
      </c>
      <c r="B23" s="130"/>
      <c r="C23" s="95"/>
      <c r="D23" s="131" t="e">
        <f t="shared" si="0"/>
        <v>#DIV/0!</v>
      </c>
      <c r="E23" s="4"/>
      <c r="F23" s="2"/>
      <c r="G23" s="2">
        <f t="shared" si="4"/>
        <v>0</v>
      </c>
      <c r="H23" s="53"/>
      <c r="I23" s="4"/>
      <c r="J23" s="2"/>
      <c r="K23" s="2"/>
      <c r="L23" s="53"/>
      <c r="M23" s="4">
        <v>0</v>
      </c>
      <c r="N23" s="2">
        <v>4210</v>
      </c>
      <c r="O23" s="2">
        <f>N23</f>
        <v>4210</v>
      </c>
      <c r="P23" s="53">
        <f t="shared" si="9"/>
        <v>100</v>
      </c>
      <c r="Q23" s="4"/>
      <c r="R23" s="2">
        <v>200</v>
      </c>
      <c r="S23" s="2">
        <f>R23</f>
        <v>200</v>
      </c>
      <c r="T23" s="53">
        <f t="shared" ref="T23:T26" si="10">S23/R23*100</f>
        <v>100</v>
      </c>
      <c r="U23" s="130"/>
      <c r="V23" s="95"/>
      <c r="W23" s="95"/>
      <c r="X23" s="131"/>
      <c r="Y23" s="4"/>
      <c r="Z23" s="2"/>
      <c r="AA23" s="2"/>
      <c r="AB23" s="53"/>
      <c r="AD23" s="111">
        <v>-16088110</v>
      </c>
    </row>
    <row r="24" spans="1:30" ht="17.100000000000001" customHeight="1">
      <c r="A24" s="61" t="s">
        <v>195</v>
      </c>
      <c r="B24" s="130"/>
      <c r="C24" s="95"/>
      <c r="D24" s="131" t="e">
        <f t="shared" si="0"/>
        <v>#DIV/0!</v>
      </c>
      <c r="E24" s="4"/>
      <c r="F24" s="2">
        <v>155</v>
      </c>
      <c r="G24" s="2">
        <f t="shared" si="4"/>
        <v>155</v>
      </c>
      <c r="H24" s="53">
        <f>G24/F24*100</f>
        <v>100</v>
      </c>
      <c r="I24" s="4"/>
      <c r="J24" s="2">
        <v>2640</v>
      </c>
      <c r="K24" s="2">
        <f>J24</f>
        <v>2640</v>
      </c>
      <c r="L24" s="53">
        <f>K24/J24*100</f>
        <v>100</v>
      </c>
      <c r="M24" s="4">
        <v>0</v>
      </c>
      <c r="N24" s="2">
        <v>11000</v>
      </c>
      <c r="O24" s="2">
        <f>N24</f>
        <v>11000</v>
      </c>
      <c r="P24" s="53">
        <f t="shared" si="9"/>
        <v>100</v>
      </c>
      <c r="Q24" s="4"/>
      <c r="R24" s="2"/>
      <c r="S24" s="2"/>
      <c r="T24" s="53"/>
      <c r="U24" s="130"/>
      <c r="V24" s="95"/>
      <c r="W24" s="95"/>
      <c r="X24" s="131"/>
      <c r="Y24" s="4"/>
      <c r="Z24" s="2"/>
      <c r="AA24" s="2"/>
      <c r="AB24" s="53"/>
      <c r="AD24" s="111">
        <v>-23612145</v>
      </c>
    </row>
    <row r="25" spans="1:30" ht="17.100000000000001" customHeight="1">
      <c r="A25" s="61" t="s">
        <v>196</v>
      </c>
      <c r="B25" s="130"/>
      <c r="C25" s="95"/>
      <c r="D25" s="131" t="e">
        <f t="shared" si="0"/>
        <v>#DIV/0!</v>
      </c>
      <c r="E25" s="4"/>
      <c r="F25" s="2"/>
      <c r="G25" s="2">
        <f t="shared" si="4"/>
        <v>0</v>
      </c>
      <c r="H25" s="53"/>
      <c r="I25" s="4"/>
      <c r="J25" s="2"/>
      <c r="K25" s="2"/>
      <c r="L25" s="53"/>
      <c r="M25" s="4">
        <v>0</v>
      </c>
      <c r="N25" s="2">
        <v>33400</v>
      </c>
      <c r="O25" s="2">
        <f t="shared" ref="O25:O29" si="11">N25</f>
        <v>33400</v>
      </c>
      <c r="P25" s="53">
        <f t="shared" si="9"/>
        <v>100</v>
      </c>
      <c r="Q25" s="4">
        <v>0</v>
      </c>
      <c r="R25" s="2"/>
      <c r="S25" s="2"/>
      <c r="T25" s="53"/>
      <c r="U25" s="130"/>
      <c r="V25" s="95"/>
      <c r="W25" s="95"/>
      <c r="X25" s="131"/>
      <c r="Y25" s="4"/>
      <c r="Z25" s="2"/>
      <c r="AA25" s="2"/>
      <c r="AB25" s="53"/>
      <c r="AD25" s="111">
        <v>-266906236.69999999</v>
      </c>
    </row>
    <row r="26" spans="1:30" ht="17.100000000000001" customHeight="1">
      <c r="A26" s="61" t="s">
        <v>197</v>
      </c>
      <c r="B26" s="130"/>
      <c r="C26" s="95"/>
      <c r="D26" s="131" t="e">
        <f t="shared" si="0"/>
        <v>#DIV/0!</v>
      </c>
      <c r="E26" s="4"/>
      <c r="F26" s="2"/>
      <c r="G26" s="2">
        <f t="shared" si="4"/>
        <v>0</v>
      </c>
      <c r="H26" s="53"/>
      <c r="I26" s="4"/>
      <c r="J26" s="2"/>
      <c r="K26" s="2"/>
      <c r="L26" s="53"/>
      <c r="M26" s="4">
        <v>0</v>
      </c>
      <c r="N26" s="2">
        <f t="shared" ref="N26" si="12">M26</f>
        <v>0</v>
      </c>
      <c r="O26" s="2">
        <f t="shared" si="11"/>
        <v>0</v>
      </c>
      <c r="P26" s="53"/>
      <c r="Q26" s="4"/>
      <c r="R26" s="2">
        <v>84</v>
      </c>
      <c r="S26" s="2">
        <f>R26</f>
        <v>84</v>
      </c>
      <c r="T26" s="53">
        <f t="shared" si="10"/>
        <v>100</v>
      </c>
      <c r="U26" s="130"/>
      <c r="V26" s="95"/>
      <c r="W26" s="95"/>
      <c r="X26" s="131"/>
      <c r="Y26" s="4"/>
      <c r="Z26" s="2"/>
      <c r="AA26" s="2"/>
      <c r="AB26" s="53"/>
      <c r="AD26" s="111">
        <v>-26251438</v>
      </c>
    </row>
    <row r="27" spans="1:30" ht="17.100000000000001" customHeight="1">
      <c r="A27" s="61" t="s">
        <v>198</v>
      </c>
      <c r="B27" s="130"/>
      <c r="C27" s="95"/>
      <c r="D27" s="131" t="e">
        <f t="shared" si="0"/>
        <v>#DIV/0!</v>
      </c>
      <c r="E27" s="4"/>
      <c r="F27" s="2"/>
      <c r="G27" s="2">
        <f t="shared" si="4"/>
        <v>0</v>
      </c>
      <c r="H27" s="53"/>
      <c r="I27" s="4"/>
      <c r="J27" s="2"/>
      <c r="K27" s="2"/>
      <c r="L27" s="53"/>
      <c r="M27" s="4">
        <v>0</v>
      </c>
      <c r="N27" s="2">
        <v>4600</v>
      </c>
      <c r="O27" s="2">
        <f t="shared" si="11"/>
        <v>4600</v>
      </c>
      <c r="P27" s="53">
        <f t="shared" si="9"/>
        <v>100</v>
      </c>
      <c r="Q27" s="4">
        <v>0</v>
      </c>
      <c r="R27" s="2"/>
      <c r="S27" s="2"/>
      <c r="T27" s="53"/>
      <c r="U27" s="130"/>
      <c r="V27" s="95"/>
      <c r="W27" s="95"/>
      <c r="X27" s="131"/>
      <c r="Y27" s="4">
        <v>0</v>
      </c>
      <c r="Z27" s="2"/>
      <c r="AA27" s="2"/>
      <c r="AB27" s="53"/>
      <c r="AD27" s="111">
        <v>-152766419.56999999</v>
      </c>
    </row>
    <row r="28" spans="1:30" ht="17.100000000000001" customHeight="1">
      <c r="A28" s="61" t="s">
        <v>199</v>
      </c>
      <c r="B28" s="130"/>
      <c r="C28" s="95"/>
      <c r="D28" s="131" t="e">
        <f t="shared" si="0"/>
        <v>#DIV/0!</v>
      </c>
      <c r="E28" s="4"/>
      <c r="F28" s="2"/>
      <c r="G28" s="2">
        <f t="shared" si="4"/>
        <v>0</v>
      </c>
      <c r="H28" s="53"/>
      <c r="I28" s="4"/>
      <c r="J28" s="2"/>
      <c r="K28" s="2"/>
      <c r="L28" s="53"/>
      <c r="M28" s="4">
        <v>0</v>
      </c>
      <c r="N28" s="2">
        <v>11580</v>
      </c>
      <c r="O28" s="2">
        <f t="shared" si="11"/>
        <v>11580</v>
      </c>
      <c r="P28" s="53">
        <f t="shared" si="9"/>
        <v>100</v>
      </c>
      <c r="Q28" s="4"/>
      <c r="R28" s="2"/>
      <c r="S28" s="2"/>
      <c r="T28" s="53"/>
      <c r="U28" s="130"/>
      <c r="V28" s="95"/>
      <c r="W28" s="95"/>
      <c r="X28" s="131"/>
      <c r="Y28" s="4"/>
      <c r="Z28" s="2"/>
      <c r="AA28" s="2"/>
      <c r="AB28" s="53"/>
      <c r="AD28" s="111">
        <v>-49285763.170000002</v>
      </c>
    </row>
    <row r="29" spans="1:30" ht="17.100000000000001" customHeight="1">
      <c r="A29" s="61" t="s">
        <v>200</v>
      </c>
      <c r="B29" s="130"/>
      <c r="C29" s="95"/>
      <c r="D29" s="131" t="e">
        <f t="shared" si="0"/>
        <v>#DIV/0!</v>
      </c>
      <c r="E29" s="4"/>
      <c r="F29" s="2"/>
      <c r="G29" s="2">
        <f t="shared" si="4"/>
        <v>0</v>
      </c>
      <c r="H29" s="53"/>
      <c r="I29" s="4"/>
      <c r="J29" s="2"/>
      <c r="K29" s="2"/>
      <c r="L29" s="53"/>
      <c r="M29" s="4">
        <v>0</v>
      </c>
      <c r="N29" s="2">
        <v>44521</v>
      </c>
      <c r="O29" s="2">
        <f t="shared" si="11"/>
        <v>44521</v>
      </c>
      <c r="P29" s="53">
        <f t="shared" si="9"/>
        <v>100</v>
      </c>
      <c r="Q29" s="4"/>
      <c r="R29" s="2"/>
      <c r="S29" s="2"/>
      <c r="T29" s="53"/>
      <c r="U29" s="130"/>
      <c r="V29" s="95"/>
      <c r="W29" s="95"/>
      <c r="X29" s="131"/>
      <c r="Y29" s="4"/>
      <c r="Z29" s="2"/>
      <c r="AA29" s="2"/>
      <c r="AB29" s="53"/>
      <c r="AD29" s="111">
        <v>-67333269.640000001</v>
      </c>
    </row>
    <row r="30" spans="1:30" ht="15" customHeight="1">
      <c r="A30" s="61" t="s">
        <v>201</v>
      </c>
      <c r="B30" s="130"/>
      <c r="C30" s="95"/>
      <c r="D30" s="131" t="e">
        <f t="shared" si="0"/>
        <v>#DIV/0!</v>
      </c>
      <c r="E30" s="4"/>
      <c r="F30" s="2">
        <v>115</v>
      </c>
      <c r="G30" s="2">
        <f t="shared" si="4"/>
        <v>115</v>
      </c>
      <c r="H30" s="53">
        <f>G30/F30*100</f>
        <v>100</v>
      </c>
      <c r="I30" s="4"/>
      <c r="J30" s="2">
        <v>1949</v>
      </c>
      <c r="K30" s="2">
        <f>J30</f>
        <v>1949</v>
      </c>
      <c r="L30" s="53">
        <f>K30/J30*100</f>
        <v>100</v>
      </c>
      <c r="M30" s="4"/>
      <c r="N30" s="2">
        <v>3070</v>
      </c>
      <c r="O30" s="2">
        <f t="shared" ref="O30:O41" si="13">N30</f>
        <v>3070</v>
      </c>
      <c r="P30" s="53">
        <f t="shared" si="9"/>
        <v>100</v>
      </c>
      <c r="Q30" s="4"/>
      <c r="R30" s="2"/>
      <c r="S30" s="2"/>
      <c r="T30" s="53"/>
      <c r="U30" s="130"/>
      <c r="V30" s="95"/>
      <c r="W30" s="95"/>
      <c r="X30" s="131"/>
      <c r="Y30" s="4"/>
      <c r="Z30" s="2"/>
      <c r="AA30" s="2"/>
      <c r="AB30" s="53"/>
      <c r="AD30" s="111">
        <v>-59764627</v>
      </c>
    </row>
    <row r="31" spans="1:30" ht="17.100000000000001" customHeight="1">
      <c r="A31" s="61" t="s">
        <v>202</v>
      </c>
      <c r="B31" s="130"/>
      <c r="C31" s="95"/>
      <c r="D31" s="131" t="e">
        <f t="shared" si="0"/>
        <v>#DIV/0!</v>
      </c>
      <c r="E31" s="4"/>
      <c r="F31" s="2"/>
      <c r="G31" s="2">
        <f t="shared" si="4"/>
        <v>0</v>
      </c>
      <c r="H31" s="53"/>
      <c r="I31" s="4"/>
      <c r="J31" s="2"/>
      <c r="K31" s="2"/>
      <c r="L31" s="53"/>
      <c r="M31" s="4">
        <v>0</v>
      </c>
      <c r="N31" s="2">
        <v>9410</v>
      </c>
      <c r="O31" s="2">
        <f t="shared" si="13"/>
        <v>9410</v>
      </c>
      <c r="P31" s="53">
        <f t="shared" ref="P31:P37" si="14">O31/N31*100</f>
        <v>100</v>
      </c>
      <c r="Q31" s="4"/>
      <c r="R31" s="2"/>
      <c r="S31" s="2"/>
      <c r="T31" s="53"/>
      <c r="U31" s="130"/>
      <c r="V31" s="95"/>
      <c r="W31" s="95"/>
      <c r="X31" s="131"/>
      <c r="Y31" s="4"/>
      <c r="Z31" s="2"/>
      <c r="AA31" s="2"/>
      <c r="AB31" s="53"/>
      <c r="AD31" s="111">
        <v>-132849360.91</v>
      </c>
    </row>
    <row r="32" spans="1:30" ht="17.100000000000001" customHeight="1">
      <c r="A32" s="61" t="s">
        <v>203</v>
      </c>
      <c r="B32" s="130"/>
      <c r="C32" s="95"/>
      <c r="D32" s="131" t="e">
        <f t="shared" si="0"/>
        <v>#DIV/0!</v>
      </c>
      <c r="E32" s="4"/>
      <c r="F32" s="2"/>
      <c r="G32" s="2">
        <f t="shared" si="4"/>
        <v>0</v>
      </c>
      <c r="H32" s="53"/>
      <c r="I32" s="4"/>
      <c r="J32" s="2"/>
      <c r="K32" s="2"/>
      <c r="L32" s="53"/>
      <c r="M32" s="4">
        <v>0</v>
      </c>
      <c r="N32" s="2">
        <v>4000</v>
      </c>
      <c r="O32" s="2">
        <f t="shared" si="13"/>
        <v>4000</v>
      </c>
      <c r="P32" s="53">
        <f t="shared" si="14"/>
        <v>100</v>
      </c>
      <c r="Q32" s="4"/>
      <c r="R32" s="2"/>
      <c r="S32" s="2"/>
      <c r="T32" s="53"/>
      <c r="U32" s="130"/>
      <c r="V32" s="95"/>
      <c r="W32" s="95"/>
      <c r="X32" s="131"/>
      <c r="Y32" s="4"/>
      <c r="Z32" s="2"/>
      <c r="AA32" s="2"/>
      <c r="AB32" s="53"/>
      <c r="AD32" s="111">
        <v>-60565305.759999998</v>
      </c>
    </row>
    <row r="33" spans="1:30" ht="17.100000000000001" customHeight="1">
      <c r="A33" s="61" t="s">
        <v>204</v>
      </c>
      <c r="B33" s="130"/>
      <c r="C33" s="95"/>
      <c r="D33" s="131" t="e">
        <f t="shared" si="0"/>
        <v>#DIV/0!</v>
      </c>
      <c r="E33" s="4"/>
      <c r="F33" s="2"/>
      <c r="G33" s="2">
        <f t="shared" si="4"/>
        <v>0</v>
      </c>
      <c r="H33" s="53"/>
      <c r="I33" s="4"/>
      <c r="J33" s="2"/>
      <c r="K33" s="2"/>
      <c r="L33" s="53"/>
      <c r="M33" s="4">
        <v>0</v>
      </c>
      <c r="N33" s="2">
        <v>2700</v>
      </c>
      <c r="O33" s="2">
        <f t="shared" si="13"/>
        <v>2700</v>
      </c>
      <c r="P33" s="53">
        <f t="shared" si="14"/>
        <v>100</v>
      </c>
      <c r="Q33" s="4"/>
      <c r="R33" s="2"/>
      <c r="S33" s="2"/>
      <c r="T33" s="53"/>
      <c r="U33" s="130"/>
      <c r="V33" s="95"/>
      <c r="W33" s="95"/>
      <c r="X33" s="131"/>
      <c r="Y33" s="4"/>
      <c r="Z33" s="2"/>
      <c r="AA33" s="2"/>
      <c r="AB33" s="53"/>
      <c r="AD33" s="111">
        <v>-36248300</v>
      </c>
    </row>
    <row r="34" spans="1:30" ht="17.100000000000001" customHeight="1">
      <c r="A34" s="61" t="s">
        <v>205</v>
      </c>
      <c r="B34" s="130"/>
      <c r="C34" s="95"/>
      <c r="D34" s="131" t="e">
        <f t="shared" si="0"/>
        <v>#DIV/0!</v>
      </c>
      <c r="E34" s="4"/>
      <c r="F34" s="2"/>
      <c r="G34" s="2">
        <f t="shared" si="4"/>
        <v>0</v>
      </c>
      <c r="H34" s="53"/>
      <c r="I34" s="4"/>
      <c r="J34" s="2"/>
      <c r="K34" s="2"/>
      <c r="L34" s="53"/>
      <c r="M34" s="4">
        <v>0</v>
      </c>
      <c r="N34" s="2">
        <v>60</v>
      </c>
      <c r="O34" s="2">
        <f t="shared" si="13"/>
        <v>60</v>
      </c>
      <c r="P34" s="53">
        <f t="shared" si="14"/>
        <v>100</v>
      </c>
      <c r="Q34" s="4">
        <v>0</v>
      </c>
      <c r="R34" s="2"/>
      <c r="S34" s="2"/>
      <c r="T34" s="53"/>
      <c r="U34" s="130"/>
      <c r="V34" s="95"/>
      <c r="W34" s="95"/>
      <c r="X34" s="131"/>
      <c r="Y34" s="4"/>
      <c r="Z34" s="2"/>
      <c r="AA34" s="2"/>
      <c r="AB34" s="53"/>
      <c r="AD34" s="111">
        <v>-17039822</v>
      </c>
    </row>
    <row r="35" spans="1:30" ht="17.100000000000001" customHeight="1">
      <c r="A35" s="61" t="s">
        <v>206</v>
      </c>
      <c r="B35" s="130"/>
      <c r="C35" s="95"/>
      <c r="D35" s="131" t="e">
        <f t="shared" si="0"/>
        <v>#DIV/0!</v>
      </c>
      <c r="E35" s="4"/>
      <c r="F35" s="2"/>
      <c r="G35" s="2">
        <f t="shared" si="4"/>
        <v>0</v>
      </c>
      <c r="H35" s="53"/>
      <c r="I35" s="4"/>
      <c r="J35" s="2"/>
      <c r="K35" s="2"/>
      <c r="L35" s="53"/>
      <c r="M35" s="4">
        <v>0</v>
      </c>
      <c r="N35" s="2">
        <v>670</v>
      </c>
      <c r="O35" s="2">
        <f t="shared" si="13"/>
        <v>670</v>
      </c>
      <c r="P35" s="53">
        <f t="shared" si="14"/>
        <v>100</v>
      </c>
      <c r="Q35" s="4"/>
      <c r="R35" s="2"/>
      <c r="S35" s="2">
        <f t="shared" si="2"/>
        <v>0</v>
      </c>
      <c r="T35" s="53"/>
      <c r="U35" s="130"/>
      <c r="V35" s="95"/>
      <c r="W35" s="95"/>
      <c r="X35" s="131"/>
      <c r="Y35" s="4"/>
      <c r="Z35" s="2"/>
      <c r="AA35" s="2"/>
      <c r="AB35" s="53"/>
      <c r="AD35" s="111">
        <v>-164432175.19999999</v>
      </c>
    </row>
    <row r="36" spans="1:30" ht="17.100000000000001" customHeight="1">
      <c r="A36" s="61" t="s">
        <v>207</v>
      </c>
      <c r="B36" s="130"/>
      <c r="C36" s="95"/>
      <c r="D36" s="131" t="e">
        <f t="shared" si="0"/>
        <v>#DIV/0!</v>
      </c>
      <c r="E36" s="4"/>
      <c r="F36" s="2"/>
      <c r="G36" s="2">
        <f t="shared" si="4"/>
        <v>0</v>
      </c>
      <c r="H36" s="53"/>
      <c r="I36" s="4"/>
      <c r="J36" s="2"/>
      <c r="K36" s="2"/>
      <c r="L36" s="53"/>
      <c r="M36" s="4"/>
      <c r="N36" s="2">
        <v>100</v>
      </c>
      <c r="O36" s="2">
        <f t="shared" si="13"/>
        <v>100</v>
      </c>
      <c r="P36" s="53">
        <f t="shared" si="14"/>
        <v>100</v>
      </c>
      <c r="Q36" s="4"/>
      <c r="R36" s="2"/>
      <c r="S36" s="2">
        <f t="shared" si="2"/>
        <v>0</v>
      </c>
      <c r="T36" s="53"/>
      <c r="U36" s="130"/>
      <c r="V36" s="95"/>
      <c r="W36" s="95"/>
      <c r="X36" s="131"/>
      <c r="Y36" s="4"/>
      <c r="Z36" s="2"/>
      <c r="AA36" s="2">
        <f t="shared" si="3"/>
        <v>0</v>
      </c>
      <c r="AB36" s="53"/>
      <c r="AD36" s="111">
        <v>-23039510</v>
      </c>
    </row>
    <row r="37" spans="1:30" ht="17.100000000000001" customHeight="1">
      <c r="A37" s="61" t="s">
        <v>208</v>
      </c>
      <c r="B37" s="130"/>
      <c r="C37" s="95"/>
      <c r="D37" s="131" t="e">
        <f t="shared" si="0"/>
        <v>#DIV/0!</v>
      </c>
      <c r="E37" s="4"/>
      <c r="F37" s="2"/>
      <c r="G37" s="2">
        <f t="shared" si="4"/>
        <v>0</v>
      </c>
      <c r="H37" s="53"/>
      <c r="I37" s="4">
        <v>0</v>
      </c>
      <c r="J37" s="2">
        <v>3605</v>
      </c>
      <c r="K37" s="2">
        <f>J37</f>
        <v>3605</v>
      </c>
      <c r="L37" s="53">
        <f>K37/J37*100</f>
        <v>100</v>
      </c>
      <c r="M37" s="4">
        <v>0</v>
      </c>
      <c r="N37" s="2">
        <v>4300</v>
      </c>
      <c r="O37" s="2">
        <f t="shared" si="13"/>
        <v>4300</v>
      </c>
      <c r="P37" s="53">
        <f t="shared" si="14"/>
        <v>100</v>
      </c>
      <c r="Q37" s="4"/>
      <c r="R37" s="2"/>
      <c r="S37" s="2">
        <f t="shared" si="2"/>
        <v>0</v>
      </c>
      <c r="T37" s="53"/>
      <c r="U37" s="130"/>
      <c r="V37" s="95"/>
      <c r="W37" s="95"/>
      <c r="X37" s="131"/>
      <c r="Y37" s="4"/>
      <c r="Z37" s="2"/>
      <c r="AA37" s="2">
        <f t="shared" si="3"/>
        <v>0</v>
      </c>
      <c r="AB37" s="53"/>
      <c r="AD37" s="111">
        <v>-72696106</v>
      </c>
    </row>
    <row r="38" spans="1:30" ht="17.100000000000001" customHeight="1">
      <c r="A38" s="61" t="s">
        <v>209</v>
      </c>
      <c r="B38" s="130"/>
      <c r="C38" s="95"/>
      <c r="D38" s="131" t="e">
        <f t="shared" si="0"/>
        <v>#DIV/0!</v>
      </c>
      <c r="E38" s="4"/>
      <c r="F38" s="2"/>
      <c r="G38" s="2">
        <f t="shared" si="4"/>
        <v>0</v>
      </c>
      <c r="H38" s="53"/>
      <c r="I38" s="4"/>
      <c r="J38" s="2"/>
      <c r="K38" s="2"/>
      <c r="L38" s="53"/>
      <c r="M38" s="4">
        <v>0</v>
      </c>
      <c r="N38" s="2"/>
      <c r="O38" s="2">
        <f t="shared" si="13"/>
        <v>0</v>
      </c>
      <c r="P38" s="53"/>
      <c r="Q38" s="4"/>
      <c r="R38" s="2"/>
      <c r="S38" s="2">
        <f t="shared" si="2"/>
        <v>0</v>
      </c>
      <c r="T38" s="53"/>
      <c r="U38" s="130"/>
      <c r="V38" s="95"/>
      <c r="W38" s="95"/>
      <c r="X38" s="131"/>
      <c r="Y38" s="4"/>
      <c r="Z38" s="2"/>
      <c r="AA38" s="2">
        <f t="shared" si="3"/>
        <v>0</v>
      </c>
      <c r="AB38" s="53"/>
      <c r="AD38" s="111">
        <v>-5453610</v>
      </c>
    </row>
    <row r="39" spans="1:30" ht="17.100000000000001" customHeight="1">
      <c r="A39" s="61" t="s">
        <v>210</v>
      </c>
      <c r="B39" s="130"/>
      <c r="C39" s="95"/>
      <c r="D39" s="131" t="e">
        <f t="shared" si="0"/>
        <v>#DIV/0!</v>
      </c>
      <c r="E39" s="4"/>
      <c r="F39" s="2"/>
      <c r="G39" s="2">
        <f t="shared" si="4"/>
        <v>0</v>
      </c>
      <c r="H39" s="53"/>
      <c r="I39" s="4"/>
      <c r="J39" s="2"/>
      <c r="K39" s="2"/>
      <c r="L39" s="53"/>
      <c r="M39" s="4"/>
      <c r="N39" s="2"/>
      <c r="O39" s="2">
        <f t="shared" si="13"/>
        <v>0</v>
      </c>
      <c r="P39" s="53"/>
      <c r="Q39" s="4"/>
      <c r="R39" s="2"/>
      <c r="S39" s="2">
        <f t="shared" si="2"/>
        <v>0</v>
      </c>
      <c r="T39" s="53"/>
      <c r="U39" s="130"/>
      <c r="V39" s="95"/>
      <c r="W39" s="95"/>
      <c r="X39" s="131"/>
      <c r="Y39" s="4"/>
      <c r="Z39" s="2"/>
      <c r="AA39" s="2">
        <f t="shared" si="3"/>
        <v>0</v>
      </c>
      <c r="AB39" s="53"/>
      <c r="AD39" s="111">
        <v>-6467775</v>
      </c>
    </row>
    <row r="40" spans="1:30" ht="17.100000000000001" customHeight="1">
      <c r="A40" s="61" t="s">
        <v>211</v>
      </c>
      <c r="B40" s="130"/>
      <c r="C40" s="95"/>
      <c r="D40" s="131" t="e">
        <f>C40/B40*100</f>
        <v>#DIV/0!</v>
      </c>
      <c r="E40" s="4"/>
      <c r="F40" s="2"/>
      <c r="G40" s="2">
        <f t="shared" si="4"/>
        <v>0</v>
      </c>
      <c r="H40" s="53"/>
      <c r="I40" s="4"/>
      <c r="J40" s="2"/>
      <c r="K40" s="2"/>
      <c r="L40" s="53"/>
      <c r="M40" s="4"/>
      <c r="N40" s="2"/>
      <c r="O40" s="2">
        <f t="shared" si="13"/>
        <v>0</v>
      </c>
      <c r="P40" s="53"/>
      <c r="Q40" s="4"/>
      <c r="R40" s="2"/>
      <c r="S40" s="2">
        <f>R40</f>
        <v>0</v>
      </c>
      <c r="T40" s="53"/>
      <c r="U40" s="130"/>
      <c r="V40" s="95"/>
      <c r="W40" s="95"/>
      <c r="X40" s="131"/>
      <c r="Y40" s="4"/>
      <c r="Z40" s="2"/>
      <c r="AA40" s="2">
        <f>Z40</f>
        <v>0</v>
      </c>
      <c r="AB40" s="53"/>
      <c r="AD40" s="111">
        <v>-7508706.1799999997</v>
      </c>
    </row>
    <row r="41" spans="1:30" ht="15" customHeight="1" thickBot="1">
      <c r="A41" s="62" t="s">
        <v>212</v>
      </c>
      <c r="B41" s="132"/>
      <c r="C41" s="96"/>
      <c r="D41" s="133" t="e">
        <f>C41/B41*100</f>
        <v>#DIV/0!</v>
      </c>
      <c r="E41" s="5"/>
      <c r="F41" s="6"/>
      <c r="G41" s="6">
        <f t="shared" si="4"/>
        <v>0</v>
      </c>
      <c r="H41" s="54"/>
      <c r="I41" s="5"/>
      <c r="J41" s="6"/>
      <c r="K41" s="6"/>
      <c r="L41" s="54"/>
      <c r="M41" s="5"/>
      <c r="N41" s="6"/>
      <c r="O41" s="6">
        <f t="shared" si="13"/>
        <v>0</v>
      </c>
      <c r="P41" s="54"/>
      <c r="Q41" s="5">
        <v>0</v>
      </c>
      <c r="R41" s="6"/>
      <c r="S41" s="6"/>
      <c r="T41" s="54"/>
      <c r="U41" s="132"/>
      <c r="V41" s="96"/>
      <c r="W41" s="96"/>
      <c r="X41" s="133"/>
      <c r="Y41" s="5"/>
      <c r="Z41" s="6"/>
      <c r="AA41" s="6"/>
      <c r="AB41" s="54"/>
      <c r="AD41" s="111">
        <v>-2298000</v>
      </c>
    </row>
    <row r="42" spans="1:30" ht="20.100000000000001" customHeight="1" thickBot="1">
      <c r="A42" s="24"/>
      <c r="E42" s="74"/>
      <c r="F42" s="73"/>
      <c r="G42" s="73"/>
      <c r="H42" s="55"/>
      <c r="I42" s="74"/>
      <c r="J42" s="73"/>
      <c r="K42" s="73"/>
      <c r="L42" s="55"/>
      <c r="M42" s="74"/>
      <c r="N42" s="73"/>
      <c r="O42" s="73"/>
      <c r="P42" s="55"/>
      <c r="Q42" s="74"/>
      <c r="R42" s="73"/>
      <c r="S42" s="73"/>
      <c r="T42" s="55"/>
      <c r="Y42" s="74"/>
      <c r="Z42" s="73"/>
      <c r="AA42" s="73"/>
      <c r="AB42" s="55"/>
    </row>
    <row r="43" spans="1:30" s="112" customFormat="1" ht="18" customHeight="1" thickBot="1">
      <c r="A43" s="134" t="s">
        <v>231</v>
      </c>
      <c r="B43" s="97">
        <f>SUM(B12:B41)</f>
        <v>0</v>
      </c>
      <c r="C43" s="97">
        <f>SUM(C12:C41)</f>
        <v>0</v>
      </c>
      <c r="D43" s="135" t="e">
        <f>C43/B43*100</f>
        <v>#DIV/0!</v>
      </c>
      <c r="E43" s="57">
        <f>SUM(E12:E41)</f>
        <v>0</v>
      </c>
      <c r="F43" s="50">
        <f>SUM(F12:F41)</f>
        <v>1040</v>
      </c>
      <c r="G43" s="50">
        <f>SUM(G12:G41)</f>
        <v>1040</v>
      </c>
      <c r="H43" s="56">
        <f>G43/F43*100</f>
        <v>100</v>
      </c>
      <c r="I43" s="57"/>
      <c r="J43" s="50">
        <f>SUM(J13:J41)</f>
        <v>24424</v>
      </c>
      <c r="K43" s="50">
        <f>SUM(K13:K41)</f>
        <v>24424</v>
      </c>
      <c r="L43" s="56">
        <f>K43/J43*100</f>
        <v>100</v>
      </c>
      <c r="M43" s="57"/>
      <c r="N43" s="50">
        <f>SUM(N12:N41)</f>
        <v>172347</v>
      </c>
      <c r="O43" s="50">
        <f>SUM(O12:O41)</f>
        <v>171452</v>
      </c>
      <c r="P43" s="56">
        <f>O43/N43*100</f>
        <v>99.480698822723923</v>
      </c>
      <c r="Q43" s="57"/>
      <c r="R43" s="50">
        <f>SUM(R13:R41)</f>
        <v>4334</v>
      </c>
      <c r="S43" s="50">
        <f>SUM(S13:S41)</f>
        <v>4334</v>
      </c>
      <c r="T43" s="56">
        <f>S43/R43*100</f>
        <v>100</v>
      </c>
      <c r="U43" s="136"/>
      <c r="V43" s="97">
        <f>SUM(V12:V41)</f>
        <v>0</v>
      </c>
      <c r="W43" s="97">
        <f>SUM(W12:W41)</f>
        <v>0</v>
      </c>
      <c r="X43" s="135"/>
      <c r="Y43" s="57"/>
      <c r="Z43" s="50">
        <f>SUM(Z13:Z41)</f>
        <v>1572</v>
      </c>
      <c r="AA43" s="50">
        <f>SUM(AA13:AA41)</f>
        <v>1572</v>
      </c>
      <c r="AB43" s="56">
        <f>AA43/Z43*100</f>
        <v>100</v>
      </c>
      <c r="AC43" s="112">
        <f>SUM(AC13:AC42)</f>
        <v>0</v>
      </c>
      <c r="AD43" s="112">
        <f>SUM(AD13:AD41)*-1</f>
        <v>2110621846.0100002</v>
      </c>
    </row>
    <row r="45" spans="1:30" ht="15" hidden="1" customHeight="1"/>
    <row r="46" spans="1:30" hidden="1"/>
    <row r="47" spans="1:30" hidden="1">
      <c r="A47" s="112">
        <v>2012</v>
      </c>
      <c r="B47" s="111">
        <v>14900</v>
      </c>
      <c r="C47" s="111">
        <v>14900</v>
      </c>
      <c r="E47" s="1">
        <v>1500</v>
      </c>
      <c r="F47" s="1">
        <v>17125.87</v>
      </c>
      <c r="G47" s="1">
        <v>17125</v>
      </c>
      <c r="H47" s="1"/>
      <c r="I47" s="1">
        <v>0</v>
      </c>
      <c r="J47" s="1">
        <v>7540</v>
      </c>
      <c r="K47" s="1">
        <v>7540</v>
      </c>
      <c r="L47" s="1"/>
      <c r="M47" s="1">
        <v>0</v>
      </c>
      <c r="N47" s="1">
        <v>144096</v>
      </c>
      <c r="O47" s="1">
        <v>144096</v>
      </c>
      <c r="P47" s="1"/>
      <c r="Q47" s="1">
        <v>0</v>
      </c>
      <c r="R47" s="1">
        <v>1360</v>
      </c>
      <c r="S47" s="1">
        <v>1360</v>
      </c>
      <c r="T47" s="1"/>
      <c r="U47" s="1"/>
      <c r="V47" s="1"/>
      <c r="W47" s="1">
        <v>6930</v>
      </c>
      <c r="X47" s="1"/>
      <c r="Y47" s="1">
        <v>0</v>
      </c>
      <c r="Z47" s="1">
        <v>1211</v>
      </c>
      <c r="AA47" s="1">
        <v>1211</v>
      </c>
      <c r="AB47" s="1"/>
    </row>
    <row r="48" spans="1:30" hidden="1">
      <c r="A48" s="112">
        <v>2013</v>
      </c>
      <c r="E48" s="1"/>
      <c r="F48" s="1">
        <v>1040</v>
      </c>
      <c r="G48" s="1">
        <v>1040</v>
      </c>
      <c r="H48" s="1"/>
      <c r="I48" s="1"/>
      <c r="J48" s="1">
        <v>24424</v>
      </c>
      <c r="K48" s="1">
        <v>24424</v>
      </c>
      <c r="L48" s="1"/>
      <c r="M48" s="1"/>
      <c r="N48" s="1">
        <v>172347</v>
      </c>
      <c r="O48" s="1">
        <v>171452</v>
      </c>
      <c r="P48" s="1"/>
      <c r="Q48" s="1"/>
      <c r="R48" s="1">
        <v>4334</v>
      </c>
      <c r="S48" s="1">
        <v>4334</v>
      </c>
      <c r="T48" s="1"/>
      <c r="U48" s="1"/>
      <c r="V48" s="1"/>
      <c r="W48" s="1"/>
      <c r="X48" s="1"/>
      <c r="Y48" s="1"/>
      <c r="Z48" s="1">
        <v>1572</v>
      </c>
      <c r="AA48" s="1">
        <v>1572</v>
      </c>
      <c r="AB48" s="1"/>
    </row>
    <row r="49" spans="1:18" hidden="1">
      <c r="R49" s="111">
        <f>R43-R47</f>
        <v>2974</v>
      </c>
    </row>
    <row r="50" spans="1:18" hidden="1">
      <c r="O50" s="111">
        <f>O43/'Příjmy '!R41*100</f>
        <v>8.5254754345356059</v>
      </c>
    </row>
    <row r="51" spans="1:18" hidden="1"/>
    <row r="52" spans="1:18" hidden="1">
      <c r="G52" s="1">
        <f>G47-G48</f>
        <v>16085</v>
      </c>
      <c r="O52" s="1">
        <f>O47-O48</f>
        <v>-27356</v>
      </c>
    </row>
    <row r="53" spans="1:18" hidden="1">
      <c r="G53" s="111">
        <f>G52/G48*100</f>
        <v>1546.6346153846152</v>
      </c>
      <c r="O53" s="111">
        <f>O52/O48*100</f>
        <v>-15.955486083568578</v>
      </c>
    </row>
    <row r="54" spans="1:18" hidden="1">
      <c r="N54" s="111">
        <v>2009</v>
      </c>
      <c r="O54" s="111">
        <v>169796</v>
      </c>
    </row>
    <row r="55" spans="1:18" hidden="1"/>
    <row r="56" spans="1:18" hidden="1">
      <c r="A56" s="112">
        <v>2011</v>
      </c>
      <c r="E56" s="1">
        <f>G48+K48+S48</f>
        <v>29798</v>
      </c>
    </row>
    <row r="57" spans="1:18" hidden="1">
      <c r="A57" s="112">
        <v>2012</v>
      </c>
      <c r="E57" s="1">
        <f>G47+K47+S47</f>
        <v>26025</v>
      </c>
    </row>
    <row r="58" spans="1:18" hidden="1">
      <c r="E58" s="1">
        <f>E57-E56</f>
        <v>-3773</v>
      </c>
    </row>
    <row r="59" spans="1:18" hidden="1">
      <c r="E59" s="111">
        <f>E58/E56*100</f>
        <v>-12.661923619034834</v>
      </c>
    </row>
    <row r="60" spans="1:18" hidden="1"/>
    <row r="61" spans="1:18" hidden="1"/>
  </sheetData>
  <mergeCells count="38">
    <mergeCell ref="A2:AB2"/>
    <mergeCell ref="A4:AB4"/>
    <mergeCell ref="E9:E10"/>
    <mergeCell ref="F9:F10"/>
    <mergeCell ref="G9:G10"/>
    <mergeCell ref="I9:I10"/>
    <mergeCell ref="J9:J10"/>
    <mergeCell ref="K9:K10"/>
    <mergeCell ref="M9:M10"/>
    <mergeCell ref="N9:N10"/>
    <mergeCell ref="O9:O10"/>
    <mergeCell ref="AA9:AA10"/>
    <mergeCell ref="A7:A10"/>
    <mergeCell ref="Q9:Q10"/>
    <mergeCell ref="R9:R10"/>
    <mergeCell ref="S9:S10"/>
    <mergeCell ref="B11:D11"/>
    <mergeCell ref="E11:H11"/>
    <mergeCell ref="I7:L7"/>
    <mergeCell ref="E7:H7"/>
    <mergeCell ref="Y7:AB7"/>
    <mergeCell ref="Y11:AB11"/>
    <mergeCell ref="Y8:AB8"/>
    <mergeCell ref="U7:X7"/>
    <mergeCell ref="I11:L11"/>
    <mergeCell ref="M11:P11"/>
    <mergeCell ref="Q11:T11"/>
    <mergeCell ref="U11:X11"/>
    <mergeCell ref="U8:X8"/>
    <mergeCell ref="M7:P7"/>
    <mergeCell ref="M8:P8"/>
    <mergeCell ref="I8:L8"/>
    <mergeCell ref="Y9:Y10"/>
    <mergeCell ref="Z9:Z10"/>
    <mergeCell ref="B7:D7"/>
    <mergeCell ref="Q7:T7"/>
    <mergeCell ref="E8:H8"/>
    <mergeCell ref="B8:D8"/>
  </mergeCells>
  <phoneticPr fontId="8" type="noConversion"/>
  <printOptions horizontalCentered="1" verticalCentered="1"/>
  <pageMargins left="0.39370078740157483" right="0.39370078740157483" top="0.74803149606299213" bottom="0.74803149606299213" header="0.51181102362204722" footer="0.51181102362204722"/>
  <pageSetup paperSize="9" scale="57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4C4C1-D683-4842-815B-481C5050BE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ED73E-A138-4C30-944E-CE364A2A90C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6E63306-E7C6-4386-917D-321D0877C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Příjmy a Výdaje </vt:lpstr>
      <vt:lpstr>Příjmy </vt:lpstr>
      <vt:lpstr>Daňové příjmy</vt:lpstr>
      <vt:lpstr>Ost.daně=Místní popl.</vt:lpstr>
      <vt:lpstr>Nedaňové příjmy</vt:lpstr>
      <vt:lpstr>Kapitálové příjmy</vt:lpstr>
      <vt:lpstr>Transfery neinvestiční 2.5</vt:lpstr>
      <vt:lpstr>Transfery nein.2.5a</vt:lpstr>
      <vt:lpstr>Transfery investiční</vt:lpstr>
      <vt:lpstr>Výdaje </vt:lpstr>
      <vt:lpstr>Provozní výdaje</vt:lpstr>
      <vt:lpstr>Kapitálové výdaje</vt:lpstr>
      <vt:lpstr>Financování</vt:lpstr>
      <vt:lpstr>'Daňové příjmy'!Oblast_tisku</vt:lpstr>
      <vt:lpstr>Financování!Oblast_tisku</vt:lpstr>
      <vt:lpstr>'Kapitálové příjmy'!Oblast_tisku</vt:lpstr>
      <vt:lpstr>'Kapitálové výdaje'!Oblast_tisku</vt:lpstr>
      <vt:lpstr>'Nedaňové příjmy'!Oblast_tisku</vt:lpstr>
      <vt:lpstr>'Ost.daně=Místní popl.'!Oblast_tisku</vt:lpstr>
      <vt:lpstr>'Provozní výdaje'!Oblast_tisku</vt:lpstr>
      <vt:lpstr>'Příjmy '!Oblast_tisku</vt:lpstr>
      <vt:lpstr>'Příjmy a Výdaje '!Oblast_tisku</vt:lpstr>
      <vt:lpstr>'Transfery investiční'!Oblast_tisku</vt:lpstr>
      <vt:lpstr>'Transfery nein.2.5a'!Oblast_tisku</vt:lpstr>
      <vt:lpstr>'Transfery neinvestiční 2.5'!Oblast_tisku</vt:lpstr>
      <vt:lpstr>'Výdaje '!Oblast_tisku</vt:lpstr>
    </vt:vector>
  </TitlesOfParts>
  <Company>MMB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Jiří Trnečka</cp:lastModifiedBy>
  <cp:lastPrinted>2014-04-16T15:02:03Z</cp:lastPrinted>
  <dcterms:created xsi:type="dcterms:W3CDTF">1999-07-13T07:42:57Z</dcterms:created>
  <dcterms:modified xsi:type="dcterms:W3CDTF">2014-06-10T06:30:08Z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b86c185d-c1cd-42cd-bec6-cc393d2c4e1e</vt:lpwstr>
  </property>
</Properties>
</file>