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45" activeTab="0"/>
  </bookViews>
  <sheets>
    <sheet name="Daňové" sheetId="1" r:id="rId1"/>
    <sheet name="Nedaňové" sheetId="2" r:id="rId2"/>
    <sheet name="Kapitálové" sheetId="3" r:id="rId3"/>
    <sheet name="Transfery" sheetId="4" r:id="rId4"/>
    <sheet name="Provozní_výd" sheetId="5" r:id="rId5"/>
    <sheet name="PV - položky" sheetId="6" r:id="rId6"/>
    <sheet name="Kapitálové_výd" sheetId="7" r:id="rId7"/>
    <sheet name="Investice" sheetId="8" r:id="rId8"/>
    <sheet name="Investice-oddíly" sheetId="9" r:id="rId9"/>
  </sheets>
  <definedNames>
    <definedName name="_xlfn.IFERROR" hidden="1">#NAME?</definedName>
    <definedName name="_xlfn.SUMIFS" hidden="1">#NAME?</definedName>
    <definedName name="_xlnm.Print_Titles" localSheetId="0">'Daňové'!$1:$1</definedName>
    <definedName name="_xlnm.Print_Titles" localSheetId="7">'Investice'!$1:$1</definedName>
    <definedName name="_xlnm.Print_Titles" localSheetId="2">'Kapitálové'!$2:$2</definedName>
    <definedName name="_xlnm.Print_Titles" localSheetId="6">'Kapitálové_výd'!$1:$1</definedName>
    <definedName name="_xlnm.Print_Titles" localSheetId="1">'Nedaňové'!$1:$1</definedName>
    <definedName name="_xlnm.Print_Titles" localSheetId="4">'Provozní_výd'!$1:$1</definedName>
    <definedName name="_xlnm.Print_Titles" localSheetId="5">'PV - položky'!$1:$1</definedName>
    <definedName name="_xlnm.Print_Titles" localSheetId="3">'Transfery'!$2:$2</definedName>
    <definedName name="_xlnm.Print_Area" localSheetId="0">'Daňové'!$A$1:$I$38</definedName>
    <definedName name="_xlnm.Print_Area" localSheetId="2">'Kapitálové'!$A$1:$K$24</definedName>
    <definedName name="_xlnm.Print_Area" localSheetId="6">'Kapitálové_výd'!$A$1:$H$135</definedName>
    <definedName name="_xlnm.Print_Area" localSheetId="1">'Nedaňové'!$A$1:$K$203</definedName>
    <definedName name="_xlnm.Print_Area" localSheetId="4">'Provozní_výd'!$A$1:$H$216</definedName>
    <definedName name="_xlnm.Print_Area" localSheetId="5">'PV - položky'!$A$1:$L$987</definedName>
    <definedName name="_xlnm.Print_Area" localSheetId="3">'Transfery'!$A$1:$I$30</definedName>
  </definedNames>
  <calcPr fullCalcOnLoad="1"/>
</workbook>
</file>

<file path=xl/comments6.xml><?xml version="1.0" encoding="utf-8"?>
<comments xmlns="http://schemas.openxmlformats.org/spreadsheetml/2006/main">
  <authors>
    <author>Jiří Trnečka</author>
  </authors>
  <commentList>
    <comment ref="J903" authorId="0">
      <text>
        <r>
          <rPr>
            <b/>
            <sz val="8"/>
            <rFont val="Tahoma"/>
            <family val="0"/>
          </rPr>
          <t>Jiří Trnečka:</t>
        </r>
        <r>
          <rPr>
            <sz val="8"/>
            <rFont val="Tahoma"/>
            <family val="0"/>
          </rPr>
          <t xml:space="preserve">
+1</t>
        </r>
      </text>
    </comment>
  </commentList>
</comments>
</file>

<file path=xl/comments8.xml><?xml version="1.0" encoding="utf-8"?>
<comments xmlns="http://schemas.openxmlformats.org/spreadsheetml/2006/main">
  <authors>
    <author>Petr Bauer</author>
    <author>Michala Schořová</author>
    <author>svobodaj</author>
    <author>klimesoh</author>
    <author>trnecka</author>
  </authors>
  <commentList>
    <comment ref="J22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původně 2440
R6/119 bod č. 100
</t>
        </r>
      </text>
    </comment>
    <comment ref="J27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R6/085
R6/088</t>
        </r>
      </text>
    </comment>
    <comment ref="J43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R6/072
R6/111 (pův. 38 620)
</t>
        </r>
      </text>
    </comment>
    <comment ref="J63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Z6/025 (pův. 372 500)
</t>
        </r>
      </text>
    </comment>
    <comment ref="J68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R6/119, bod 15
</t>
        </r>
      </text>
    </comment>
    <comment ref="J69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R6/115, bod 6
</t>
        </r>
      </text>
    </comment>
    <comment ref="J70" authorId="2">
      <text>
        <r>
          <rPr>
            <b/>
            <sz val="9"/>
            <rFont val="Tahoma"/>
            <family val="2"/>
          </rPr>
          <t>svobodaj:</t>
        </r>
        <r>
          <rPr>
            <sz val="9"/>
            <rFont val="Tahoma"/>
            <family val="2"/>
          </rPr>
          <t xml:space="preserve">
Z6/015, bod. č. 12</t>
        </r>
      </text>
    </comment>
    <comment ref="J71" authorId="2">
      <text>
        <r>
          <rPr>
            <b/>
            <sz val="9"/>
            <rFont val="Tahoma"/>
            <family val="2"/>
          </rPr>
          <t>svobodaj:</t>
        </r>
        <r>
          <rPr>
            <sz val="9"/>
            <rFont val="Tahoma"/>
            <family val="2"/>
          </rPr>
          <t xml:space="preserve">
Z6/015, bod. č. 12</t>
        </r>
      </text>
    </comment>
    <comment ref="J73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(nová akce)</t>
        </r>
      </text>
    </comment>
    <comment ref="J74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původně 9300
Z6/028 bod č. 19</t>
        </r>
      </text>
    </comment>
    <comment ref="J77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2 970)</t>
        </r>
      </text>
    </comment>
    <comment ref="J78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3 546)</t>
        </r>
      </text>
    </comment>
    <comment ref="J80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
R6/098 (pův. 6 305)
Z6/028 bod č. 19 (původně 5842)</t>
        </r>
      </text>
    </comment>
    <comment ref="J81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
R6/098 (pův. 3 102)
R6/111 (pův. 2 584)
</t>
        </r>
      </text>
    </comment>
    <comment ref="J82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</t>
        </r>
      </text>
    </comment>
    <comment ref="J83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23 000)</t>
        </r>
      </text>
    </comment>
    <comment ref="J84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15 434)</t>
        </r>
      </text>
    </comment>
    <comment ref="J85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R6/098 (pův. 6 715)
Z6/028 bod č. 19 (původně 6518)</t>
        </r>
      </text>
    </comment>
    <comment ref="J86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88 794)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R6/111 (pův. 88 390)</t>
        </r>
        <r>
          <rPr>
            <sz val="9"/>
            <rFont val="Tahoma"/>
            <family val="2"/>
          </rPr>
          <t xml:space="preserve">
</t>
        </r>
      </text>
    </comment>
    <comment ref="J87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R6/098 (pův. 6 086)
R6/111 (pův. 5 871)
</t>
        </r>
      </text>
    </comment>
    <comment ref="J91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48 150)</t>
        </r>
      </text>
    </comment>
    <comment ref="J92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
</t>
        </r>
      </text>
    </comment>
    <comment ref="J93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</t>
        </r>
      </text>
    </comment>
    <comment ref="J98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(nová akce)</t>
        </r>
      </text>
    </comment>
    <comment ref="J99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(nová akce)</t>
        </r>
      </text>
    </comment>
    <comment ref="J100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(nová akce)</t>
        </r>
      </text>
    </comment>
    <comment ref="J122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(původně 800)</t>
        </r>
      </text>
    </comment>
    <comment ref="J123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(85 000)</t>
        </r>
      </text>
    </comment>
    <comment ref="J124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28 350)</t>
        </r>
      </text>
    </comment>
    <comment ref="J125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8 000) </t>
        </r>
      </text>
    </comment>
    <comment ref="J126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52 000)</t>
        </r>
      </text>
    </comment>
    <comment ref="J129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7 500)</t>
        </r>
      </text>
    </comment>
    <comment ref="J130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15 080)</t>
        </r>
      </text>
    </comment>
    <comment ref="J134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86 000)</t>
        </r>
      </text>
    </comment>
    <comment ref="J137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R6/081
Z6/028 bod č. 19 (původně 6638)</t>
        </r>
      </text>
    </comment>
    <comment ref="J139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</t>
        </r>
      </text>
    </comment>
    <comment ref="J141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95 000)</t>
        </r>
      </text>
    </comment>
    <comment ref="J143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7 000)</t>
        </r>
      </text>
    </comment>
    <comment ref="J144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</t>
        </r>
      </text>
    </comment>
    <comment ref="J145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R6/081
Z6/028 bod č. 19 (pův 21 445)</t>
        </r>
      </text>
    </comment>
    <comment ref="J146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 29510)</t>
        </r>
      </text>
    </comment>
    <comment ref="J148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24 172)
Z6/028 bod č. 19 (pův. 23807)</t>
        </r>
      </text>
    </comment>
    <comment ref="J149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(pův. 45802)</t>
        </r>
      </text>
    </comment>
    <comment ref="J151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R6/068
Z6/028 bod č. 19 (pův. 29068)</t>
        </r>
      </text>
    </comment>
    <comment ref="J154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R6/098 (pův. 20 030)</t>
        </r>
      </text>
    </comment>
    <comment ref="J156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R6/068
R6/098 (pův. 32 641)</t>
        </r>
      </text>
    </comment>
    <comment ref="J157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R6/081
Z6/028 bod č. 19 (pův. 21840)</t>
        </r>
      </text>
    </comment>
    <comment ref="J158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R6/111 (pův. 16 334)</t>
        </r>
      </text>
    </comment>
    <comment ref="J159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</t>
        </r>
      </text>
    </comment>
    <comment ref="J161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17 000)</t>
        </r>
      </text>
    </comment>
    <comment ref="J162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(pův. 44160)</t>
        </r>
      </text>
    </comment>
    <comment ref="J165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10 650)</t>
        </r>
      </text>
    </comment>
    <comment ref="J170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19 554)</t>
        </r>
      </text>
    </comment>
    <comment ref="J171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(pův. 50336)</t>
        </r>
      </text>
    </comment>
    <comment ref="J172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69 400)</t>
        </r>
      </text>
    </comment>
    <comment ref="J174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 199000)</t>
        </r>
      </text>
    </comment>
    <comment ref="J178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(pův. 3683)</t>
        </r>
      </text>
    </comment>
    <comment ref="J180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R6/111 (pův. 190 000)</t>
        </r>
        <r>
          <rPr>
            <sz val="9"/>
            <rFont val="Tahoma"/>
            <family val="2"/>
          </rPr>
          <t xml:space="preserve">
</t>
        </r>
      </text>
    </comment>
    <comment ref="J181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R6/072</t>
        </r>
      </text>
    </comment>
    <comment ref="J183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</t>
        </r>
      </text>
    </comment>
    <comment ref="J188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</t>
        </r>
      </text>
    </comment>
    <comment ref="J223" authorId="3">
      <text>
        <r>
          <rPr>
            <b/>
            <sz val="9"/>
            <rFont val="Tahoma"/>
            <family val="2"/>
          </rPr>
          <t>klimesoh:</t>
        </r>
        <r>
          <rPr>
            <sz val="9"/>
            <rFont val="Tahoma"/>
            <family val="2"/>
          </rPr>
          <t xml:space="preserve">
Z6/026, původně 30 000 tis. Kč
</t>
        </r>
      </text>
    </comment>
    <comment ref="J224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Z6/025 (pův. 16 800)
</t>
        </r>
      </text>
    </comment>
    <comment ref="J227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R6/124 (pův. 24 100)</t>
        </r>
      </text>
    </comment>
    <comment ref="J245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R6/051</t>
        </r>
      </text>
    </comment>
    <comment ref="J266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R6/056
R6/065, bod č. 78</t>
        </r>
      </text>
    </comment>
    <comment ref="J274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R6/085 (pův. 58 400)
R6/124 (pův. 67 300)</t>
        </r>
      </text>
    </comment>
    <comment ref="J275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návrh změny názvu, doby realizace a CRN na Z6/026
pův. 28 000</t>
        </r>
      </text>
    </comment>
    <comment ref="B277" authorId="4">
      <text>
        <r>
          <rPr>
            <b/>
            <sz val="9"/>
            <rFont val="Tahoma"/>
            <family val="2"/>
          </rPr>
          <t>trnecka:</t>
        </r>
        <r>
          <rPr>
            <sz val="9"/>
            <rFont val="Tahoma"/>
            <family val="2"/>
          </rPr>
          <t xml:space="preserve">
V lednu 2013 bude převedeno na § 6409, pol. 6341</t>
        </r>
      </text>
    </comment>
    <comment ref="J297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Z6/019
původně 17.000
33000 - R6/120 bod č. 42</t>
        </r>
      </text>
    </comment>
    <comment ref="J308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zařazeno Z6/027, bod č. 13
</t>
        </r>
      </text>
    </comment>
    <comment ref="J311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240 000)</t>
        </r>
      </text>
    </comment>
    <comment ref="J313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R6/056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Z6/019</t>
        </r>
        <r>
          <rPr>
            <sz val="9"/>
            <rFont val="Tahoma"/>
            <family val="2"/>
          </rPr>
          <t xml:space="preserve">
</t>
        </r>
      </text>
    </comment>
    <comment ref="J314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R6/061
Z6/019
</t>
        </r>
        <r>
          <rPr>
            <b/>
            <sz val="9"/>
            <rFont val="Tahoma"/>
            <family val="2"/>
          </rPr>
          <t>feigerlo:</t>
        </r>
        <r>
          <rPr>
            <sz val="9"/>
            <rFont val="Tahoma"/>
            <family val="2"/>
          </rPr>
          <t xml:space="preserve">
R6/118
</t>
        </r>
      </text>
    </comment>
    <comment ref="J318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Z6/021 (pův. 35 000)</t>
        </r>
      </text>
    </comment>
    <comment ref="J320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Z6/021 (pův. 45 000)</t>
        </r>
      </text>
    </comment>
    <comment ref="J321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Z6/020 (pův. 22 000)</t>
        </r>
      </text>
    </comment>
    <comment ref="J322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Z6/020 (pův. 20 000)
</t>
        </r>
      </text>
    </comment>
    <comment ref="J336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akce nebyla zařazena usnesením RMB - OD na to zapomněl; schváleno RO v ZMB Z6/026, bod 140
</t>
        </r>
      </text>
    </comment>
    <comment ref="J341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Z6/019
Z6/023 (pův. 29 457)</t>
        </r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Z6/027 32.457 (pův. 31.457)
</t>
        </r>
      </text>
    </comment>
    <comment ref="J355" authorId="4">
      <text>
        <r>
          <rPr>
            <b/>
            <sz val="9"/>
            <rFont val="Tahoma"/>
            <family val="2"/>
          </rPr>
          <t>trnecka:</t>
        </r>
        <r>
          <rPr>
            <sz val="9"/>
            <rFont val="Tahoma"/>
            <family val="2"/>
          </rPr>
          <t xml:space="preserve">
pův. 1 875</t>
        </r>
      </text>
    </comment>
    <comment ref="J371" authorId="0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R6/119, bod 71
</t>
        </r>
      </text>
    </comment>
    <comment ref="J372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R6/049</t>
        </r>
      </text>
    </comment>
    <comment ref="J374" authorId="2">
      <text>
        <r>
          <rPr>
            <b/>
            <sz val="9"/>
            <rFont val="Tahoma"/>
            <family val="2"/>
          </rPr>
          <t>svobodaj: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Z6/019
</t>
        </r>
      </text>
    </comment>
    <comment ref="J376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R6/106 (pův. 53 000)</t>
        </r>
      </text>
    </comment>
    <comment ref="J387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Z6/024 (pův. 33 000)</t>
        </r>
      </text>
    </comment>
    <comment ref="J388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Z6/024 (pův. 30 000)</t>
        </r>
      </text>
    </comment>
    <comment ref="J392" authorId="3">
      <text>
        <r>
          <rPr>
            <b/>
            <sz val="9"/>
            <rFont val="Tahoma"/>
            <family val="2"/>
          </rPr>
          <t>klimesoh:</t>
        </r>
        <r>
          <rPr>
            <sz val="9"/>
            <rFont val="Tahoma"/>
            <family val="2"/>
          </rPr>
          <t xml:space="preserve">
Z6/026, původně 16 440 tis. Kč
</t>
        </r>
      </text>
    </comment>
    <comment ref="J397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R6/102 (pův. 1 131)</t>
        </r>
      </text>
    </comment>
    <comment ref="J414" authorId="1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Z6/023 (pův. 15 834)</t>
        </r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Z6/027 20.334 (pův. 19.334)
</t>
        </r>
      </text>
    </comment>
  </commentList>
</comments>
</file>

<file path=xl/sharedStrings.xml><?xml version="1.0" encoding="utf-8"?>
<sst xmlns="http://schemas.openxmlformats.org/spreadsheetml/2006/main" count="4547" uniqueCount="1212">
  <si>
    <t>§</t>
  </si>
  <si>
    <t>Pohřebnictví</t>
  </si>
  <si>
    <t>Péče o vzhled obcí a veřejnou zeleň</t>
  </si>
  <si>
    <t>Název paragrafu</t>
  </si>
  <si>
    <t>Odbor životního prostředí</t>
  </si>
  <si>
    <t>Pitná voda</t>
  </si>
  <si>
    <t>Ochrana druhů a stanovišť</t>
  </si>
  <si>
    <t>Chráněné části přírody</t>
  </si>
  <si>
    <t>Ekologická výchova a osvěta</t>
  </si>
  <si>
    <t>Činnost místní správy</t>
  </si>
  <si>
    <t>Veřejné osvětlení</t>
  </si>
  <si>
    <t>5700 Celkem</t>
  </si>
  <si>
    <t>Bytové hospodářství</t>
  </si>
  <si>
    <t>Všeobecná ambulantní péče</t>
  </si>
  <si>
    <t>7100 Celkem</t>
  </si>
  <si>
    <t>5400 Celkem</t>
  </si>
  <si>
    <t>5600 Celkem</t>
  </si>
  <si>
    <t>Odbor dopravy</t>
  </si>
  <si>
    <t>Odbor investiční</t>
  </si>
  <si>
    <t>Silnice</t>
  </si>
  <si>
    <t>Ostatní dráhy</t>
  </si>
  <si>
    <t>Odvádění a čištění odpadních vod j.n.</t>
  </si>
  <si>
    <t>Úpravy drobných vodních toků</t>
  </si>
  <si>
    <t>Základní školy</t>
  </si>
  <si>
    <t>Divadelní činnost</t>
  </si>
  <si>
    <t>Činnost muzeí a galerií</t>
  </si>
  <si>
    <t xml:space="preserve">Činnost místní správy </t>
  </si>
  <si>
    <t>7300 Celkem</t>
  </si>
  <si>
    <t>Zachování a obnova kulturních památek</t>
  </si>
  <si>
    <t>8200 Celkem</t>
  </si>
  <si>
    <t>Odbor kultury</t>
  </si>
  <si>
    <t>Městská policie</t>
  </si>
  <si>
    <t>5311</t>
  </si>
  <si>
    <t xml:space="preserve">Bezpečnost a veřejný pořádek </t>
  </si>
  <si>
    <t>3200 Celkem</t>
  </si>
  <si>
    <t>7200 Celkem</t>
  </si>
  <si>
    <t>7400 Celkem</t>
  </si>
  <si>
    <t>Odbor vnitřních věcí</t>
  </si>
  <si>
    <t>Odbor městské informatiky</t>
  </si>
  <si>
    <t>Ostatní činnosti j.n.</t>
  </si>
  <si>
    <t>Odbor sociální péče</t>
  </si>
  <si>
    <t>Odbor školství, mládeže a tělovýchovy</t>
  </si>
  <si>
    <t xml:space="preserve">Komunální služby a územní rozvoj </t>
  </si>
  <si>
    <t>5300 Celkem</t>
  </si>
  <si>
    <t>Odbor rozpočtu a financování</t>
  </si>
  <si>
    <t>Odbor vodního a lesního hospodářství a zemědělství</t>
  </si>
  <si>
    <t>Odbor technických sítí</t>
  </si>
  <si>
    <t>Výstavba a údržba místních inženýrských sítí</t>
  </si>
  <si>
    <t>Ostatní ústavní péče</t>
  </si>
  <si>
    <t>Ostatní záležitosti kultury</t>
  </si>
  <si>
    <t>Ostatní tělovýchovná činnost</t>
  </si>
  <si>
    <t xml:space="preserve"> % Sk/SR</t>
  </si>
  <si>
    <t xml:space="preserve"> %Sk/UR</t>
  </si>
  <si>
    <t>Odvádění a čištění odp. vod a nakládání s kaly</t>
  </si>
  <si>
    <t>Ostatní záležitosti pozemních komunikací</t>
  </si>
  <si>
    <t>Kapitálové výdaje města celkem</t>
  </si>
  <si>
    <t>Archiv města Brna</t>
  </si>
  <si>
    <t>Archivní činnost</t>
  </si>
  <si>
    <t>Ostatní záležitosti sdělovacích prostředků</t>
  </si>
  <si>
    <t>Ostatní zájmová činnost a rekreace</t>
  </si>
  <si>
    <t>Zastupitelstva obcí</t>
  </si>
  <si>
    <t>Odbor obrany</t>
  </si>
  <si>
    <t>3600 Celkem</t>
  </si>
  <si>
    <t>Finanční operace j.n.</t>
  </si>
  <si>
    <t xml:space="preserve">Finanční vypořádání minulých let </t>
  </si>
  <si>
    <t>Ozdravování hospodářských zvířat a plodin</t>
  </si>
  <si>
    <t>Monitoring ochrany ovzduší</t>
  </si>
  <si>
    <t>Sběr a svoz komunálních odpadů</t>
  </si>
  <si>
    <t>Využívání a zneškodňování komun. odpadů</t>
  </si>
  <si>
    <t>Ostatní nakládání s odpady</t>
  </si>
  <si>
    <t>Monitoring půdy a podzemní vody</t>
  </si>
  <si>
    <t>Ostatní ochrana půdy a spodní vody</t>
  </si>
  <si>
    <t xml:space="preserve">Celospolečenské funkce lesů </t>
  </si>
  <si>
    <t xml:space="preserve">Pitná voda </t>
  </si>
  <si>
    <t>Územní plánování</t>
  </si>
  <si>
    <t xml:space="preserve">Protierozní a protipožární ochrana </t>
  </si>
  <si>
    <t>Ostatní záležitosti v dopravě</t>
  </si>
  <si>
    <t>Odvádění a čištění odp.vod a nakládání s kaly</t>
  </si>
  <si>
    <t>Ostatní záležitosti bydlení a komunálních služeb</t>
  </si>
  <si>
    <t>3639</t>
  </si>
  <si>
    <t>6200 Celkem</t>
  </si>
  <si>
    <t>Programy rozvoje bydlení a byt. hospodářství</t>
  </si>
  <si>
    <t>Soc. pomoc os. v hmot. nouzi a soc. nepřizpůsobivým</t>
  </si>
  <si>
    <t>Ostatní finanční operace</t>
  </si>
  <si>
    <t>6600 Celkem</t>
  </si>
  <si>
    <t>Odbor územního plánování a rozvoje</t>
  </si>
  <si>
    <t>Odborné léčebné ústavy</t>
  </si>
  <si>
    <t>Ostatní zdr.zařízení a služby pro zdravotnictví</t>
  </si>
  <si>
    <t>Ostatní činnost ve zdravotnictví</t>
  </si>
  <si>
    <t>Soc. pomoc přistěhovalcům a vybr. etnikům</t>
  </si>
  <si>
    <t>Bezpečnost a veřejný pořádek</t>
  </si>
  <si>
    <t>Hudební činnost</t>
  </si>
  <si>
    <t>Činnosti knihovnické</t>
  </si>
  <si>
    <t>Činnosti muzeí a galerií</t>
  </si>
  <si>
    <t>Výstavní činnosti v kultuře</t>
  </si>
  <si>
    <t>Ost. zařízení související s výchovou a vzd. mládeže</t>
  </si>
  <si>
    <t>Využití volného času dětí a mládeže</t>
  </si>
  <si>
    <t>Předškolní zařízení</t>
  </si>
  <si>
    <t>Finanční vypořádání minulých let</t>
  </si>
  <si>
    <t>Odbor památkové péče</t>
  </si>
  <si>
    <t>7500 Celkem</t>
  </si>
  <si>
    <t>Provozní výdaje města celkem</t>
  </si>
  <si>
    <t>Seskup.</t>
  </si>
  <si>
    <t>Pol.</t>
  </si>
  <si>
    <t>Název položky</t>
  </si>
  <si>
    <t xml:space="preserve"> % S/SR</t>
  </si>
  <si>
    <t xml:space="preserve"> % S/UR</t>
  </si>
  <si>
    <t>Daň z příjmů fyz. osob ze  závislé činnosti</t>
  </si>
  <si>
    <t>Daň z příjmů fyz. osob ze sam. výděl. činnosti</t>
  </si>
  <si>
    <t>Daň z příjmů fyz. osob z kapitálových výnosů</t>
  </si>
  <si>
    <t>111 Daně z příjmů fyzických osob</t>
  </si>
  <si>
    <t>Daň z příjmů právnických osob</t>
  </si>
  <si>
    <t>Daň z příjmů právnických osob za obce</t>
  </si>
  <si>
    <t>112 Daně z příjmů právnických osob</t>
  </si>
  <si>
    <t xml:space="preserve">Daň z přidané hodnoty </t>
  </si>
  <si>
    <t>121 Obecné vnitřní daně ze zboží a služeb</t>
  </si>
  <si>
    <t>Odvody za odnětí půdy ze ZPF</t>
  </si>
  <si>
    <t>Poplatky za odnětí pozemků plnění funkcí lesa</t>
  </si>
  <si>
    <t>133 Poplatky za znečišťování ŽP a využívání přírodních zdrojů</t>
  </si>
  <si>
    <t>Poplatek za povolení k vjezdu</t>
  </si>
  <si>
    <t>Správní poplatky</t>
  </si>
  <si>
    <t>136 Správní poplatky</t>
  </si>
  <si>
    <t>Daň z nemovitostí</t>
  </si>
  <si>
    <t>151 Daně z majetku</t>
  </si>
  <si>
    <t>Daňové příjmy města celkem</t>
  </si>
  <si>
    <t>Název §</t>
  </si>
  <si>
    <t>Příjmy z vlastní činnosti</t>
  </si>
  <si>
    <t>Příjmy z poskytování služeb a výrobků</t>
  </si>
  <si>
    <t>Komunální služby a územní rozvoj</t>
  </si>
  <si>
    <t>Využívání a zneškodňování  komunálních odpadů</t>
  </si>
  <si>
    <t>211 Příjmy z vlastní činnosti celkem</t>
  </si>
  <si>
    <t>Odvody přebytků organizací s přímým vztahem</t>
  </si>
  <si>
    <t>Odvody příspěvkových organizací</t>
  </si>
  <si>
    <t>212 Odvody přebytků organizací s přímým vztahem celkem</t>
  </si>
  <si>
    <t>Příjmy z pronájmu majetku</t>
  </si>
  <si>
    <t>Příjmy z pronájmu pozemků</t>
  </si>
  <si>
    <t>Pěstební činnost</t>
  </si>
  <si>
    <t>Podpora ostatních produkčních činností</t>
  </si>
  <si>
    <t>213 Příjmy z pronájmu majetku celkem</t>
  </si>
  <si>
    <t xml:space="preserve">Příjmy z úroků </t>
  </si>
  <si>
    <t>Programy rozvoje bydlení a byt. hosp. j.n.</t>
  </si>
  <si>
    <t>Obecné příjmy a výdaje z finančních operací</t>
  </si>
  <si>
    <t>Přijaté sankční platby</t>
  </si>
  <si>
    <t>Ostatní záležitosti vodního hospodářství</t>
  </si>
  <si>
    <t>221 Přijaté sankční platby celkem</t>
  </si>
  <si>
    <t>Ostatní přijaté vratky transferů</t>
  </si>
  <si>
    <t>222 Přijaté vratky transferů a ostatní příjmy z FV celkem</t>
  </si>
  <si>
    <t>Příjmy z prodeje krátkodobého majetku</t>
  </si>
  <si>
    <t>Ostatní nedaňové příjmy</t>
  </si>
  <si>
    <t>Přijaté neinvestiční dary</t>
  </si>
  <si>
    <t>Přijaté nekapitálové příspěvky a náhrady</t>
  </si>
  <si>
    <t>Neidentifikované příjmy</t>
  </si>
  <si>
    <t>Podpora ostatních produkčních činnosti</t>
  </si>
  <si>
    <t>Ostatní nedaňové příjmy j. n.</t>
  </si>
  <si>
    <t>Ostatní činnosti k ochraně přírody a krajiny</t>
  </si>
  <si>
    <t>Příjmy z úhrad dobývacího prostoru a vydob. nerostů</t>
  </si>
  <si>
    <t>232 a 234 Ostatní nedaňové příjmy celkem</t>
  </si>
  <si>
    <t xml:space="preserve">Splátky půjčených prostředků od MČ </t>
  </si>
  <si>
    <t>244 Splátky půjč. prostředků od veř. rozp. územní úrovně celkem</t>
  </si>
  <si>
    <t>Splátky půjčených prostředků od obyvatelstva</t>
  </si>
  <si>
    <t>246 Splátky půjčených prostředků od obyvatelstva celkem</t>
  </si>
  <si>
    <t>Nedaňové příjmy města celkem</t>
  </si>
  <si>
    <t>Příjmy z prodeje pozemků</t>
  </si>
  <si>
    <t>Příjmy z prodeje ost. nemovitostí a jejich částí</t>
  </si>
  <si>
    <t>Příjmy z prodeje ostatního hm. dlouhod. majetku</t>
  </si>
  <si>
    <t>311 Příjmy z prodeje dlouhodobého majetku celkem</t>
  </si>
  <si>
    <t>Kapitálové příjmy města celkem</t>
  </si>
  <si>
    <t>Převody z vlastních fondů hospodářské činnosti</t>
  </si>
  <si>
    <t>Škol. stravování při předškolním a zákl. vzdělávání</t>
  </si>
  <si>
    <t>241 Splátky půjč. prostředků od podnikatelských subjektů celkem</t>
  </si>
  <si>
    <t>1900 Celkem</t>
  </si>
  <si>
    <t>Územní rozvoj</t>
  </si>
  <si>
    <t>Kancelář primátora města Brna</t>
  </si>
  <si>
    <t>Příjmy z prodeje dlouhodobého majetku</t>
  </si>
  <si>
    <t>Pořizování, zachování a obnova kult. hodnot</t>
  </si>
  <si>
    <t>Ozdrav. hosp. zvířat, plodin a zvl. veterinár. péče</t>
  </si>
  <si>
    <t>6200</t>
  </si>
  <si>
    <t>Převody z ostatních vlastních fondů</t>
  </si>
  <si>
    <t>134 Místní poplatky z vybíraných činností a služeb</t>
  </si>
  <si>
    <t>Osobní asistence, pečovatelská služba</t>
  </si>
  <si>
    <t>Domovy</t>
  </si>
  <si>
    <t>Příjmy za zkoušky OZ od žadatelů o řid. oprávnění</t>
  </si>
  <si>
    <t>135 Ostatní odvody z vybraných činností a služeb</t>
  </si>
  <si>
    <t>41 Neinvestiční přijaté transfery</t>
  </si>
  <si>
    <t>42 Investiční přijaté transfery</t>
  </si>
  <si>
    <t>Transfery přijaté městem celkem</t>
  </si>
  <si>
    <t>Neinv. přij. transfery z Všeobecné pokladní správy SR</t>
  </si>
  <si>
    <t>Neinv. přij. transfery v rámci souhrn. dot. vztahu</t>
  </si>
  <si>
    <t>Ostatní neinvestiční transfery přijaté ze SR</t>
  </si>
  <si>
    <t>Neinvestiční přijaté transfery od obcí</t>
  </si>
  <si>
    <t>Neinvestiční přijaté transfery od krajů</t>
  </si>
  <si>
    <t>Splátky půjčených prostředků od podnikatelských subjektů</t>
  </si>
  <si>
    <t>Splátky půjčených prostředků od veřejných rozpočtů územní úrovně</t>
  </si>
  <si>
    <t>Cestovní ruch</t>
  </si>
  <si>
    <t>Krizová pomoc</t>
  </si>
  <si>
    <t>Azylové domy, nízkoprahová denní centra</t>
  </si>
  <si>
    <t>Služby následné péče, kontaktní centra</t>
  </si>
  <si>
    <t>Ost. služby a činnosti v oblasti sociální prevence</t>
  </si>
  <si>
    <t>Úpravy hosp. významných a vodárenských toků</t>
  </si>
  <si>
    <t>Odbor zdraví</t>
  </si>
  <si>
    <t>Chráněné bydlení</t>
  </si>
  <si>
    <t>Denní stacionáře a centra denních služeb</t>
  </si>
  <si>
    <t>Ostatní služby a činnosti v oblasti sociální péče</t>
  </si>
  <si>
    <t>1700 Celkem</t>
  </si>
  <si>
    <t>4200 Celkem</t>
  </si>
  <si>
    <t>4100 Celkem</t>
  </si>
  <si>
    <t>4300 Celkem</t>
  </si>
  <si>
    <t>Průvodcovské a předčitatelské služby</t>
  </si>
  <si>
    <t>Nízkoprahová zařízení pro děti a mládež</t>
  </si>
  <si>
    <t>Terénní programy</t>
  </si>
  <si>
    <t xml:space="preserve">Ost. záležitosti bezpečnosti a veřejného pořádku </t>
  </si>
  <si>
    <t>Raná péče a soc. aktivizační služby pro rodiny s dětmi</t>
  </si>
  <si>
    <t>Přijaté pojistné náhrady</t>
  </si>
  <si>
    <t>6600</t>
  </si>
  <si>
    <t>3900 Celkem</t>
  </si>
  <si>
    <t>Majetkový odbor</t>
  </si>
  <si>
    <t>6300 Celkem</t>
  </si>
  <si>
    <t>Odvádění a čištění o odpadních vod j. n.</t>
  </si>
  <si>
    <t>Sportovní zařízení v majetku obce</t>
  </si>
  <si>
    <t>Ostatní nemocnice</t>
  </si>
  <si>
    <t>Ostatní odvody z vybraných činností a služeb</t>
  </si>
  <si>
    <t>Příjmy z pronájmu ost. nemovitostí a jejich částí</t>
  </si>
  <si>
    <t>Splátky půjčených prostředků od přísp. organizací</t>
  </si>
  <si>
    <t>Splátky půjčených prostředků od zřízených a podobných subjektů</t>
  </si>
  <si>
    <t>Prevence vzniku odpadů</t>
  </si>
  <si>
    <t>Sociální rehabilitace</t>
  </si>
  <si>
    <t>245 Splátky půjč. prostředků od zřízených apod. subjektů celkem</t>
  </si>
  <si>
    <t>Prevence před drogami, alkoholem, nikotinem</t>
  </si>
  <si>
    <t>Ostatní záležitosti v silniční dopravě</t>
  </si>
  <si>
    <t>Sankční platby, přijaté od jiných subjektů</t>
  </si>
  <si>
    <t>Bytový odbor</t>
  </si>
  <si>
    <t>Tísňová péče</t>
  </si>
  <si>
    <t>1700</t>
  </si>
  <si>
    <t>Sociální pomoc osobám v hmotné nouzi</t>
  </si>
  <si>
    <t>Odbor správy majetku</t>
  </si>
  <si>
    <t>Splátky půjček od podn. subjektů - právnických osob</t>
  </si>
  <si>
    <t>Příjmy z finančního vypořádání od MČ</t>
  </si>
  <si>
    <t>Neinvestiční přijaté transfery od mezinárodních institucí</t>
  </si>
  <si>
    <t>Příjmy z prodeje krátkodobého a drobného dlouhodobého majetku</t>
  </si>
  <si>
    <t>Ost. poplatky a odvody v oblasti životního prostředí</t>
  </si>
  <si>
    <t>Výnosy z finančního majetku</t>
  </si>
  <si>
    <t>214 Výnosy z finančního majetku celkem</t>
  </si>
  <si>
    <t>231 Příjmy z prodeje krátk. a drobného dlouh. majetku celkem</t>
  </si>
  <si>
    <t>Požární ochrana - profesionální část</t>
  </si>
  <si>
    <t>Investiční přijaté transfery od krajů</t>
  </si>
  <si>
    <t>DPH - reverse charge</t>
  </si>
  <si>
    <t>8887 Celkem</t>
  </si>
  <si>
    <t>Poplatek za provoz systému - komunální odpad</t>
  </si>
  <si>
    <t>Ochrana obyvatelstva</t>
  </si>
  <si>
    <t>Ostatní správa v oblasti krizového řízení</t>
  </si>
  <si>
    <t xml:space="preserve">Ostatní tělovýchovná činnost </t>
  </si>
  <si>
    <t>ORJ</t>
  </si>
  <si>
    <t>Investiční přijaté transfery od městských částí</t>
  </si>
  <si>
    <t>Investiční přijaté transfery od regionálních rad</t>
  </si>
  <si>
    <t>Odvod z výherních hracích přístrojů</t>
  </si>
  <si>
    <t>Odvod z loterií apod. her kromě z výh. hracích přístrojů</t>
  </si>
  <si>
    <t>Využívání a zneškodňování komunálních odpadů</t>
  </si>
  <si>
    <t>Ost. záležitosti soc. věcí a politiky zaměstnanosti</t>
  </si>
  <si>
    <t>Neinvestiční přijaté transfery od cizích států</t>
  </si>
  <si>
    <t>Ostatní záležitosti vzdělávání</t>
  </si>
  <si>
    <t>Příjmy z podílů na zisku a dividend</t>
  </si>
  <si>
    <t>Splátky půjčených prostředků od o.p.s. a podobných subjektů</t>
  </si>
  <si>
    <t>4100</t>
  </si>
  <si>
    <t>Splátky půjček od o.p.s. a podobných subjektů</t>
  </si>
  <si>
    <t>242 Splátky půjč. prostředků od o.p.s. apod. subjektů celkem</t>
  </si>
  <si>
    <t>SR 2013</t>
  </si>
  <si>
    <t>Mezinárodní spolupráce</t>
  </si>
  <si>
    <t>Ostatní výzkum a vývoj</t>
  </si>
  <si>
    <t xml:space="preserve">Ozdravování hospodářských zvířat a plodin </t>
  </si>
  <si>
    <t>Odvádění a čištění odp.vod a naklád. s kaly</t>
  </si>
  <si>
    <t>Ost. záležitosti pozemních komunikací</t>
  </si>
  <si>
    <t>Odborné sociální poradenství</t>
  </si>
  <si>
    <t>Přijaté dary na pořízení dlouhodobého majetku</t>
  </si>
  <si>
    <t>Ostatní odvody příspěvkových organizací</t>
  </si>
  <si>
    <t>Záležitosti vodních toků a vodohosp. děl</t>
  </si>
  <si>
    <t>Volba prezidenta republiky</t>
  </si>
  <si>
    <t>Úpravy vodohosp. významných a vodárenských toků</t>
  </si>
  <si>
    <t>312 Ostatní kapitálové příjmy celkem</t>
  </si>
  <si>
    <t>Ostatní kapitálové příjmy</t>
  </si>
  <si>
    <t>Investiční přijaté transfery ze státních fondů</t>
  </si>
  <si>
    <t>Ostatní investiční transfery přijaté ze SR</t>
  </si>
  <si>
    <t>Zrušené daně, jejich předmětem je příjem fyz. osob</t>
  </si>
  <si>
    <t>Ostatní záležitosti lesního hospodářství</t>
  </si>
  <si>
    <t>Mezinár. spolupráce v oblasti bydlení, kom. služeb</t>
  </si>
  <si>
    <t>Zařízení pro děti vyžadující okamžitou pomoc</t>
  </si>
  <si>
    <t>Ostatní záležitosti sociálních věcí</t>
  </si>
  <si>
    <t>Neinvestiční přijaté transfery od regionálních rad</t>
  </si>
  <si>
    <t>Ost. neinv. transfery přijaté od rozpočtů ústřední úrovně</t>
  </si>
  <si>
    <t>Neinvestiční přijaté transfery ze státních fondů</t>
  </si>
  <si>
    <t>Ost. příjmy z fin. vypořádání od jiných veř. rozpočtů</t>
  </si>
  <si>
    <t>Ostatní odvody přebytků org. s přímým vztahem</t>
  </si>
  <si>
    <t>Lékárenská služba</t>
  </si>
  <si>
    <t>Kursové rozdíly v příjmech</t>
  </si>
  <si>
    <t>Ost.správa v obl.hosp.opatření pro krizové stavy</t>
  </si>
  <si>
    <t>Ost.správa v obl. hosp. opatření pro krizové stavy</t>
  </si>
  <si>
    <t>Ostatní činnosti související se službami pro obyv.</t>
  </si>
  <si>
    <t>Příjmy z prodeje dlouhodobého finančního majetku</t>
  </si>
  <si>
    <t>Příjmy z prodeje akcií</t>
  </si>
  <si>
    <t>320 Příjmy z prodeje dlouhodobého finančního majetku celkem</t>
  </si>
  <si>
    <t>5400</t>
  </si>
  <si>
    <t>5600</t>
  </si>
  <si>
    <t>Neinvestiční přijaté transfery od městských částí</t>
  </si>
  <si>
    <t>První stupeň základních škol</t>
  </si>
  <si>
    <t>Přijaté vratky transferů a ostatní příjmy z finančního vypořádání</t>
  </si>
  <si>
    <t>Přijaté příspěvky na pořízení dlouhodobého majetku</t>
  </si>
  <si>
    <t>Domovy pro osoby se zdr. postižením a se zvl. režimem</t>
  </si>
  <si>
    <t>UR k 31.12.2013</t>
  </si>
  <si>
    <t>Skut. k 31.12.2013</t>
  </si>
  <si>
    <t>Sk k 31.12.2013</t>
  </si>
  <si>
    <t>Volby do Parlamentu ČR</t>
  </si>
  <si>
    <t>Ostatní činnosti</t>
  </si>
  <si>
    <t>Ostatní zálěžitosti vodního hospodářství</t>
  </si>
  <si>
    <t>č.ř.</t>
  </si>
  <si>
    <t>Upřesnění</t>
  </si>
  <si>
    <t>UR 2013</t>
  </si>
  <si>
    <t>SK 2013</t>
  </si>
  <si>
    <t>SK-UR</t>
  </si>
  <si>
    <t>SK/UR</t>
  </si>
  <si>
    <t>Konzultační, poradenské a právní služby</t>
  </si>
  <si>
    <t>Ostatní náhrady placené obyvatelstvu</t>
  </si>
  <si>
    <t>3511 Celkem</t>
  </si>
  <si>
    <t>Nákup ostatních služeb</t>
  </si>
  <si>
    <t>Úhrady sankcí jiným rozpočtům</t>
  </si>
  <si>
    <t>6171 Celkem</t>
  </si>
  <si>
    <t>Úroky vlastní</t>
  </si>
  <si>
    <t>Kursové rozdíly ve výdajích</t>
  </si>
  <si>
    <t>Služby peněžních ústavů</t>
  </si>
  <si>
    <t>Poplatky</t>
  </si>
  <si>
    <t>6310 Celkem</t>
  </si>
  <si>
    <t>Platby daní a poplatků státnímu rozpočtu</t>
  </si>
  <si>
    <t>DPPO za obce</t>
  </si>
  <si>
    <t>6399 Celkem</t>
  </si>
  <si>
    <t>Vratky veř. rozpočtům ústřední úrovně transferů z min. let</t>
  </si>
  <si>
    <t>Výdaje z fin. vypořádání minulých let mezi krajem a obcemi</t>
  </si>
  <si>
    <t>Výdaje s fin. vypořádání minulých let mezi městem a MČ</t>
  </si>
  <si>
    <t>6402 Celkem</t>
  </si>
  <si>
    <t xml:space="preserve">Ostatní činnosti j.n. </t>
  </si>
  <si>
    <t>Neinvestiční transfery městským částem</t>
  </si>
  <si>
    <t>FBV</t>
  </si>
  <si>
    <t>Nespecifikované rezervy - ORF</t>
  </si>
  <si>
    <t>6409 Celkem</t>
  </si>
  <si>
    <t>Pohoštění</t>
  </si>
  <si>
    <t>Poskytnuté neinvestiční příspěvky a náhrady</t>
  </si>
  <si>
    <t>Neinvestiční transfery neziskovým a podobným org.</t>
  </si>
  <si>
    <t>Centrála cest. ruchu</t>
  </si>
  <si>
    <t>Neinvestiční příspěvky zřízeným p. o.</t>
  </si>
  <si>
    <t>TIC</t>
  </si>
  <si>
    <t>Neinvestiční transfery zřízeným přísp. organizacím</t>
  </si>
  <si>
    <t>2143 Celkem</t>
  </si>
  <si>
    <t>Nákup materiálu j.n.</t>
  </si>
  <si>
    <t>Věcné dary</t>
  </si>
  <si>
    <t>3349 Celkem</t>
  </si>
  <si>
    <t>Odměny za užití duševního vlastnictví</t>
  </si>
  <si>
    <t>Drobný hmotný dlouhodobý majetek</t>
  </si>
  <si>
    <t>Studená voda</t>
  </si>
  <si>
    <t>Teplo</t>
  </si>
  <si>
    <t>Elektrická energie</t>
  </si>
  <si>
    <t>Nájemné</t>
  </si>
  <si>
    <t>3636 Celkem</t>
  </si>
  <si>
    <t>Platy zaměstnanců v pracovním poměru</t>
  </si>
  <si>
    <t>FKEP</t>
  </si>
  <si>
    <t>Povinné pojistné na sociální zabezpečení</t>
  </si>
  <si>
    <t>Povinné pojistné na veřejné zdravotní pojištění</t>
  </si>
  <si>
    <t>Cestovné (tuzemské i zahraniční)</t>
  </si>
  <si>
    <t>2219 Celkem</t>
  </si>
  <si>
    <t>Ostatní osobní výdaje</t>
  </si>
  <si>
    <t>2271 Celkem</t>
  </si>
  <si>
    <t>3299 Celkem</t>
  </si>
  <si>
    <t>Sociální fond</t>
  </si>
  <si>
    <t>3429 Celkem</t>
  </si>
  <si>
    <t>3727 Celkem</t>
  </si>
  <si>
    <t>Ostatní správa v obl. hosp.opatření pro krizové stavy</t>
  </si>
  <si>
    <t>Neinvestiční transfery obcím</t>
  </si>
  <si>
    <t>5269 Celkem</t>
  </si>
  <si>
    <t>Ost. záležitosti bezpečnosti a veř. pořádku</t>
  </si>
  <si>
    <t>5319 Celkem</t>
  </si>
  <si>
    <t>Ostatní neinvestiční transfery jiným veřejným rozpočtům</t>
  </si>
  <si>
    <t>HZS JMK</t>
  </si>
  <si>
    <t>5511 Celkem</t>
  </si>
  <si>
    <t>Ostatní platy</t>
  </si>
  <si>
    <t>Odměny členů zastupitelstev obcí a krajů</t>
  </si>
  <si>
    <t>Ostatní povinné pojistné placené zaměstnavatelem</t>
  </si>
  <si>
    <t>6112 Celkem</t>
  </si>
  <si>
    <t>Volby do parlamentu ČR</t>
  </si>
  <si>
    <t>Povinné poj.na soc.zab.a přísp.na st.pol.zaměst.</t>
  </si>
  <si>
    <t>Povinné poj.na veřejné zdravotní pojištění</t>
  </si>
  <si>
    <t>Pohonné hmoty a maziva</t>
  </si>
  <si>
    <t>Služby pošt</t>
  </si>
  <si>
    <t>6114 Celkem</t>
  </si>
  <si>
    <t>Volba prezidenta ČR</t>
  </si>
  <si>
    <t>Povinné poj.na co.zab.a přísp.na st.pol.zaměstan.</t>
  </si>
  <si>
    <t>6118 Celkem</t>
  </si>
  <si>
    <t>Odstupné</t>
  </si>
  <si>
    <t>Povinné pojistné na úrazové pojištění</t>
  </si>
  <si>
    <t>Ochranné pomůcky</t>
  </si>
  <si>
    <t>Léky a zdravotnický materiál</t>
  </si>
  <si>
    <t>Knihy, učební pomůcky a tisk</t>
  </si>
  <si>
    <t>Jednotná kont.místa</t>
  </si>
  <si>
    <t>Ostatní úroky a ostatní finanční výdaje</t>
  </si>
  <si>
    <t>Plyn</t>
  </si>
  <si>
    <t>Služby telekomunikací a radiokomunikací</t>
  </si>
  <si>
    <t>Služby školení a vzdělávání</t>
  </si>
  <si>
    <t>Opravy a udržování</t>
  </si>
  <si>
    <t>Účastnické poplatky na konference</t>
  </si>
  <si>
    <t>Ostatní nákupy j. n.</t>
  </si>
  <si>
    <t>Nákup kolků</t>
  </si>
  <si>
    <t>Platby daní a poplatků krajům, obcím a státním fondům</t>
  </si>
  <si>
    <t>Náhrady mezd v době nemoci</t>
  </si>
  <si>
    <t>Dary obyvatelstvu</t>
  </si>
  <si>
    <t>Ostatní neinvestiční transfery obyvatelstvu</t>
  </si>
  <si>
    <t>Ostatní neinvestiční výdaje j.n.</t>
  </si>
  <si>
    <t>6223 Celkem</t>
  </si>
  <si>
    <t xml:space="preserve">Nákup ostatních služeb </t>
  </si>
  <si>
    <t>5212 Celkem</t>
  </si>
  <si>
    <t>Ost. správa v oblasti hosp. opatření pro krizové stavy</t>
  </si>
  <si>
    <t>Programové vybavení</t>
  </si>
  <si>
    <t>5273 Celkem</t>
  </si>
  <si>
    <t>Členské příspěvky</t>
  </si>
  <si>
    <t>6211 Celkem</t>
  </si>
  <si>
    <t>2229 Celkem</t>
  </si>
  <si>
    <t>Ostatní služby</t>
  </si>
  <si>
    <t>3111 Celkem</t>
  </si>
  <si>
    <t>3113 Celkem</t>
  </si>
  <si>
    <t>3319 Celkem</t>
  </si>
  <si>
    <t>3322 Celkem</t>
  </si>
  <si>
    <t>3412 Celkem</t>
  </si>
  <si>
    <t>3421 Celkem</t>
  </si>
  <si>
    <t>územně-plán. podklady</t>
  </si>
  <si>
    <t>3635 Celkem</t>
  </si>
  <si>
    <t>JIC</t>
  </si>
  <si>
    <t>3639 Celkem</t>
  </si>
  <si>
    <t>3745 Celkem</t>
  </si>
  <si>
    <t>3792 Celkem</t>
  </si>
  <si>
    <t>Neinvestiční transfery občanským sdružením</t>
  </si>
  <si>
    <t>Brnopolis</t>
  </si>
  <si>
    <t>JIC, JCMM</t>
  </si>
  <si>
    <t>4341 Celkem</t>
  </si>
  <si>
    <t>Výdaje z finančního vypoř. min. let mezi krajem a obcemi</t>
  </si>
  <si>
    <t>Ozdr. hosp. zvířat, plodin a zvl. vet. péče</t>
  </si>
  <si>
    <t>Konzultační ,poradenské a právní služby</t>
  </si>
  <si>
    <t>1014 Celkem</t>
  </si>
  <si>
    <t>SHMB, p.o.</t>
  </si>
  <si>
    <t>3632 Celkem</t>
  </si>
  <si>
    <t>3716 Celkem</t>
  </si>
  <si>
    <t>3722 Celkem</t>
  </si>
  <si>
    <t>Využívání a znešk. komunálních odpadů</t>
  </si>
  <si>
    <t>3725 Celkem</t>
  </si>
  <si>
    <t>Neinvestiční transfery do zahraničí</t>
  </si>
  <si>
    <t>3729 Celkem</t>
  </si>
  <si>
    <t>3733 Celkem</t>
  </si>
  <si>
    <t>3739 Celkem</t>
  </si>
  <si>
    <t>ZOO, p.o.</t>
  </si>
  <si>
    <t>3741 Celkem</t>
  </si>
  <si>
    <t>Služby zpracování dat</t>
  </si>
  <si>
    <t>3742 Celkem</t>
  </si>
  <si>
    <t>VZMB, p.o.</t>
  </si>
  <si>
    <t>Neinv.transfery obecně prospěšným společnostem</t>
  </si>
  <si>
    <t>Neinvestiční příspěvky ost. příspěvkovým organizacím</t>
  </si>
  <si>
    <t>Celospolečenské funkce lesů</t>
  </si>
  <si>
    <t>přičleněné pozemky - honitby</t>
  </si>
  <si>
    <t>Neinv. transfery nefin. podnik. subj. - práv. osobám</t>
  </si>
  <si>
    <t>meliorační dřeviny</t>
  </si>
  <si>
    <t>1037 Celkem</t>
  </si>
  <si>
    <t>Záležitosti lesního hospodářství</t>
  </si>
  <si>
    <t>1039 Celkem</t>
  </si>
  <si>
    <t>2310 Celkem</t>
  </si>
  <si>
    <t>veř. služba - Holásky</t>
  </si>
  <si>
    <t>2321 Celkem</t>
  </si>
  <si>
    <t>Úpravy vodohosp. význ. a vodárenských toků</t>
  </si>
  <si>
    <t>Ostatní neinvestiční transfery podnikatelským subjektům</t>
  </si>
  <si>
    <t>Povodí Moravy, s.p.</t>
  </si>
  <si>
    <t>2331 Celkem</t>
  </si>
  <si>
    <t>2333 Celkem</t>
  </si>
  <si>
    <t>Protierozní, protilavinová a protipožární ochrana</t>
  </si>
  <si>
    <t>3744 Celkem</t>
  </si>
  <si>
    <t>obměna VT</t>
  </si>
  <si>
    <t>Platba daní a poplatků státnímu rozpočtu</t>
  </si>
  <si>
    <t>Ost. neinvestiční transfery veřejným rozpočtům územní úrovně</t>
  </si>
  <si>
    <t>DSO CS Brno-Vídeň</t>
  </si>
  <si>
    <t>SÚS JMK, ŘSD</t>
  </si>
  <si>
    <t>2212 Celkem</t>
  </si>
  <si>
    <t>Věcná břemena</t>
  </si>
  <si>
    <t>DPMB, a. s.</t>
  </si>
  <si>
    <t>tram. tratě mimo ZK</t>
  </si>
  <si>
    <t>Záležitosti v dopravě j. n.</t>
  </si>
  <si>
    <t>KORDIS JMK</t>
  </si>
  <si>
    <t>Nespecifikované rezervy</t>
  </si>
  <si>
    <t>2299 Celkem</t>
  </si>
  <si>
    <t>Odvádění a čištění odpadních vod</t>
  </si>
  <si>
    <t>Záležitosti kultury j.n.</t>
  </si>
  <si>
    <t>Neinv. transfery nefinančním podnik. subj. - práv. osobám</t>
  </si>
  <si>
    <t>TSB, a.s.</t>
  </si>
  <si>
    <t>3631 Celkem</t>
  </si>
  <si>
    <t>Výstavba a údržba místních inž. sítí</t>
  </si>
  <si>
    <t>3633 Celkem</t>
  </si>
  <si>
    <t xml:space="preserve">Záležitosti bydlení a kom. služeb j. n. </t>
  </si>
  <si>
    <t>3699 Celkem</t>
  </si>
  <si>
    <t>Neinv. transfery společenstvím vlastníků jednotek</t>
  </si>
  <si>
    <t>Převody vlastním fondům hospodářské činnosti</t>
  </si>
  <si>
    <t>FRB</t>
  </si>
  <si>
    <t>3612 Celkem</t>
  </si>
  <si>
    <t>Programy rozvoje bydlení a byt. hosp.</t>
  </si>
  <si>
    <t>Neinvestiční půjčky nefinančním pod. subj. - práv. os.</t>
  </si>
  <si>
    <t>Neinvestiční půjčky obyvatelstvu</t>
  </si>
  <si>
    <t>3619 Celkem</t>
  </si>
  <si>
    <t>Daň z nemovitosti, z převodu nemov.</t>
  </si>
  <si>
    <t>Soc. pomoc os. v hmotné nouzi a soc. nepřizp.</t>
  </si>
  <si>
    <t>CDOZS-poliklinika, p.o.</t>
  </si>
  <si>
    <t>SZZ II., p.o.</t>
  </si>
  <si>
    <t>Neinvestiční transfery zřízeným p. o.</t>
  </si>
  <si>
    <t>NMB, p.o.</t>
  </si>
  <si>
    <t>ÚN, p.o.</t>
  </si>
  <si>
    <t>Neinvestiční půjč. prostředky zřízeným přísp.organizacím</t>
  </si>
  <si>
    <t>3522 Celkem</t>
  </si>
  <si>
    <t>CDOZS - stacionáře, p.o.</t>
  </si>
  <si>
    <t>3523 Celkem</t>
  </si>
  <si>
    <t>Ústavní péče j.n.</t>
  </si>
  <si>
    <t>Dětské centrum Brno, p.o.</t>
  </si>
  <si>
    <t>3529 Celkem</t>
  </si>
  <si>
    <t>Ostatní činnost ve zdravotnictví j.n.</t>
  </si>
  <si>
    <t>Neinv. transfery nefinančním podnik. subj. - fyz. os.</t>
  </si>
  <si>
    <t>dotace "A"</t>
  </si>
  <si>
    <t>Neinvestiční transfery církvím a náb. společnostem</t>
  </si>
  <si>
    <t>dotace "B"</t>
  </si>
  <si>
    <t>Neinvestiční transfery vysokým školám</t>
  </si>
  <si>
    <t>3599 Celkem</t>
  </si>
  <si>
    <t>Ost. čin. související se službami pro obyv.</t>
  </si>
  <si>
    <t>CDOZS - jesle, p.o.</t>
  </si>
  <si>
    <t>Prevence před drogami, alkoholem a nikot.</t>
  </si>
  <si>
    <t>dotace "A", "B"</t>
  </si>
  <si>
    <t>Detox - dotace "A"</t>
  </si>
  <si>
    <t>3541 Celkem</t>
  </si>
  <si>
    <t>Mezinár. Spolupr. v obl. bydlení, kom.sl. a úz. rozvoje</t>
  </si>
  <si>
    <t>projekty sítě Eurocities</t>
  </si>
  <si>
    <t>3691 Celkem</t>
  </si>
  <si>
    <t>4312 Celkem</t>
  </si>
  <si>
    <t>SPOD</t>
  </si>
  <si>
    <t>4324 Celkem</t>
  </si>
  <si>
    <t>Prádlo, oděv a obuv</t>
  </si>
  <si>
    <t>Teplá voda</t>
  </si>
  <si>
    <t>Soc. péče a pomoc přistěh. vybr. etnikům</t>
  </si>
  <si>
    <t>národnostní menšiny</t>
  </si>
  <si>
    <t>4342 Celkem</t>
  </si>
  <si>
    <t>4344 Celkem</t>
  </si>
  <si>
    <t>Os. asistence, peč. služba a podpora sam. bydlení</t>
  </si>
  <si>
    <t>4351 Celkem</t>
  </si>
  <si>
    <t>4353 Celkem</t>
  </si>
  <si>
    <t>4354 Celkem</t>
  </si>
  <si>
    <t>4356 Celkem</t>
  </si>
  <si>
    <t>Domovy pro os. se zdrav. postižením a se zvl. režimem</t>
  </si>
  <si>
    <t>DS Věstonická, p.o.</t>
  </si>
  <si>
    <t>DS Nopova, p.o.</t>
  </si>
  <si>
    <t>DS Kosmonautů, p.o.</t>
  </si>
  <si>
    <t>DS Kociánka, p.o.</t>
  </si>
  <si>
    <t>DS Mikuláškovo nám., p.o.</t>
  </si>
  <si>
    <t>DS Foltýnova, p.o.</t>
  </si>
  <si>
    <t>DS Okružní, p.o.</t>
  </si>
  <si>
    <t>DS Podpěrova, p.o.</t>
  </si>
  <si>
    <t>DS Koniklecová, p.o.</t>
  </si>
  <si>
    <t>DS Vychodilova, p.o.</t>
  </si>
  <si>
    <t>DS Holásecká, p.o.</t>
  </si>
  <si>
    <t>CSS Tábor, p.o.</t>
  </si>
  <si>
    <t>4357 Celkem</t>
  </si>
  <si>
    <t>Ost. služby a činnosti v oblasti soc. péče</t>
  </si>
  <si>
    <t>Dotace "B"</t>
  </si>
  <si>
    <t>4359 Celkem</t>
  </si>
  <si>
    <t>Raná péče a soc. aktivizační služby</t>
  </si>
  <si>
    <t>4371 Celkem</t>
  </si>
  <si>
    <t>4372 Celkem</t>
  </si>
  <si>
    <t>Azyl. domy,nízkoprah. denní centra a noclehárny</t>
  </si>
  <si>
    <t>4374 Celkem</t>
  </si>
  <si>
    <t>4375 Celkem</t>
  </si>
  <si>
    <t>Služby následné péče, terapeutické komunity</t>
  </si>
  <si>
    <t>4376 Celkem</t>
  </si>
  <si>
    <t>4378 Celkem</t>
  </si>
  <si>
    <t>Ost. služby a činnosti v oblasti soc. prevence</t>
  </si>
  <si>
    <t>Dotace "A"</t>
  </si>
  <si>
    <t>4379 Celkem</t>
  </si>
  <si>
    <t>Pěstounská péče</t>
  </si>
  <si>
    <t>4399 Celkem</t>
  </si>
  <si>
    <t>Prevence kriminality</t>
  </si>
  <si>
    <t>Neinvestiční transfery státnímu rozpočtu</t>
  </si>
  <si>
    <t>NDB, p.o.</t>
  </si>
  <si>
    <t>CED, p.o.</t>
  </si>
  <si>
    <t>MDB, p.o.</t>
  </si>
  <si>
    <t>Divadlo Radost, p.o.</t>
  </si>
  <si>
    <t>3311 Celkem</t>
  </si>
  <si>
    <t>Činnosti uměleckých souborů</t>
  </si>
  <si>
    <t>Filharmonie Brno, p.o.</t>
  </si>
  <si>
    <t>3312 Celkem</t>
  </si>
  <si>
    <t>KJM, p.o.</t>
  </si>
  <si>
    <t>Výdaje z fin. vypořádání min. let mezi krajem a obcemi</t>
  </si>
  <si>
    <t>3314 Celkem</t>
  </si>
  <si>
    <t>Muzeum města Brna, p.o.</t>
  </si>
  <si>
    <t>3315 Celkem</t>
  </si>
  <si>
    <t>Dům umění, p.o.</t>
  </si>
  <si>
    <t>3317 Celkem</t>
  </si>
  <si>
    <t>HaP, p.o.</t>
  </si>
  <si>
    <t>Pořizování, zachov. a obnova kult. hodnot</t>
  </si>
  <si>
    <t>3326 Celkem</t>
  </si>
  <si>
    <t>MŠ Štolcova, MŠ Veslařská</t>
  </si>
  <si>
    <t>MŠ Štolcova, p.o.</t>
  </si>
  <si>
    <t>MŠ Veslařská, p.o.</t>
  </si>
  <si>
    <t>MŠ - výuka angličtiny</t>
  </si>
  <si>
    <t>Fond krytí škod</t>
  </si>
  <si>
    <t>Vybavení škol</t>
  </si>
  <si>
    <t xml:space="preserve">Zajištění plaveckého výcviku </t>
  </si>
  <si>
    <t>Síť brněn. otevřených škol</t>
  </si>
  <si>
    <t>ZŠ Čejkovická,WZŠ Plovdivská</t>
  </si>
  <si>
    <t>ZŠ a MŠ Pramínek</t>
  </si>
  <si>
    <t>ZŠ - výuka angličtiny</t>
  </si>
  <si>
    <t>ZŠ Čejkovická, p.o.</t>
  </si>
  <si>
    <t>WZŠ a MŠ Plovdivská</t>
  </si>
  <si>
    <t xml:space="preserve">ZŠ Nám. 28. října - platy </t>
  </si>
  <si>
    <t xml:space="preserve">ZŠ Křenová - platy </t>
  </si>
  <si>
    <t>ZŠ Merhautova</t>
  </si>
  <si>
    <t>ZŠ Nám. Republiky</t>
  </si>
  <si>
    <t>Síť brněn. otevř. škol</t>
  </si>
  <si>
    <t>Mezinárodní aktivity</t>
  </si>
  <si>
    <t>ZŠ Čejkovická - JmK</t>
  </si>
  <si>
    <t>3117 Celkem</t>
  </si>
  <si>
    <t>Školní stravování při předškol. a zákl. vzděl.</t>
  </si>
  <si>
    <t>Vybavení jídelen</t>
  </si>
  <si>
    <t>3141 Celkem</t>
  </si>
  <si>
    <t>Ost. zař. souvis. s výchovou a vzděl. mlád.</t>
  </si>
  <si>
    <t>prestižní akce</t>
  </si>
  <si>
    <t>BCES</t>
  </si>
  <si>
    <t>3149 Celkem</t>
  </si>
  <si>
    <t>Grand Prix ČR</t>
  </si>
  <si>
    <t>HC KOMETA BRNO</t>
  </si>
  <si>
    <t>činnosti OŠMT</t>
  </si>
  <si>
    <t>BASKETBAL SPORT</t>
  </si>
  <si>
    <t>Zaplacené sankce</t>
  </si>
  <si>
    <t>Lázně města Brna, p.o.</t>
  </si>
  <si>
    <t>Sport. a rekr. areál Kraví Hora</t>
  </si>
  <si>
    <t>3419 Celkem</t>
  </si>
  <si>
    <t>Volnočasové aktivity</t>
  </si>
  <si>
    <t xml:space="preserve">Centra volného času </t>
  </si>
  <si>
    <t>Účelové neinv. transfery nepodnikajicím fyz. osobám</t>
  </si>
  <si>
    <t>Ostatní platby za provedenou práci j. n.</t>
  </si>
  <si>
    <t>Potraviny</t>
  </si>
  <si>
    <t>Veřejná sbírka</t>
  </si>
  <si>
    <t>5311 Celkem</t>
  </si>
  <si>
    <t>DPH</t>
  </si>
  <si>
    <t>CELKEM</t>
  </si>
  <si>
    <t>Název paragrafu / Název oddílu</t>
  </si>
  <si>
    <t>Náklady akce/ město</t>
  </si>
  <si>
    <t>z toho kryto dotací</t>
  </si>
  <si>
    <t>Skutečnost k 31.12.2012</t>
  </si>
  <si>
    <t>Schválený rozpočet 2013</t>
  </si>
  <si>
    <t>Upravený rozpočet k 31.12.2013</t>
  </si>
  <si>
    <t>Skutečnost       k 31.12.2013</t>
  </si>
  <si>
    <t>SK/UR (%)</t>
  </si>
  <si>
    <t>1014 - Ozdravování hospod. zvířat, polních a spec. plodin a zvl. veterinární péče</t>
  </si>
  <si>
    <t>10 Zemědělství, lesní hospodářství a rybářství</t>
  </si>
  <si>
    <t>2143 - Cestovní ruch</t>
  </si>
  <si>
    <t>21 Průmysl, stavebnictví, obchod a služby</t>
  </si>
  <si>
    <t>2212 - Silnice</t>
  </si>
  <si>
    <t>2219 - Ostatní záležitosti pozemních komunikací</t>
  </si>
  <si>
    <t>2229 - Ostatní záležitosti v silniční dopravě</t>
  </si>
  <si>
    <t>2271 - Ostatní dráhy</t>
  </si>
  <si>
    <t>22 Doprava</t>
  </si>
  <si>
    <t>2310 - Pitná voda</t>
  </si>
  <si>
    <t>2321 - Odvádění a čištění odpadních vod</t>
  </si>
  <si>
    <t>2329 - Odvádění a čistění odpadních vod j.n.</t>
  </si>
  <si>
    <t>2331 - Úpravy vodohospodářsky významných a vodárenských toků</t>
  </si>
  <si>
    <t>2333 - Úpravy drobných vodních toků</t>
  </si>
  <si>
    <t xml:space="preserve"> </t>
  </si>
  <si>
    <t>2334 - Revitalizace říčních systémů</t>
  </si>
  <si>
    <t>2339 - Záležitosti vodních toků a vodohospodářských děl j.n.</t>
  </si>
  <si>
    <t>23 Vodní hospodářství</t>
  </si>
  <si>
    <t>3111 - Předškolní zařízení</t>
  </si>
  <si>
    <t>3113 - Základní školy</t>
  </si>
  <si>
    <t>31 Vzdělávání</t>
  </si>
  <si>
    <t>3311 - Divadelní činnost</t>
  </si>
  <si>
    <t>3312 - Hudební činnost</t>
  </si>
  <si>
    <t>3314 - Činnosti knihovnické</t>
  </si>
  <si>
    <t>3315 - Činnosti muzeí a galerií</t>
  </si>
  <si>
    <t>3319 - Ostatní záležitosti kultury</t>
  </si>
  <si>
    <t>3322 - Zachování a obnova kulturních památek</t>
  </si>
  <si>
    <t xml:space="preserve">3326 - Pořízení, zachování a obnova hodnot místního kulturního, národního a hist. povědomí </t>
  </si>
  <si>
    <t>33 Kultura, církve a sdělovací prostředky</t>
  </si>
  <si>
    <t>3412 - Sportovní zařízení v majetku obce</t>
  </si>
  <si>
    <t>3419 - Ostatní tělovýchovná činnost</t>
  </si>
  <si>
    <t>3421 - Využití volného času dětí a mládeže</t>
  </si>
  <si>
    <t>3429 - Ostatní zájmová činnost a rekreace</t>
  </si>
  <si>
    <t>34 Tělovýchova a zájmová činnost</t>
  </si>
  <si>
    <t>3511 - Všeobecná ambulatní péče</t>
  </si>
  <si>
    <t>3522 - Ostatní nemocnice</t>
  </si>
  <si>
    <t>3523 - Odborné léčebné ústavy</t>
  </si>
  <si>
    <t>3599 - Ostatní činnost ve zdravotnictví</t>
  </si>
  <si>
    <t>35 Zdravotnictví</t>
  </si>
  <si>
    <t>3612 - Bytové hospodářství</t>
  </si>
  <si>
    <t>3619 - Ostatní rozvoj bydlení a bytového hospodářství</t>
  </si>
  <si>
    <t>3632 - Pohřebnictví</t>
  </si>
  <si>
    <t>3633 - Výstavba a údržba místních inženýrských sítí</t>
  </si>
  <si>
    <t>3636 - Územní rozvoj</t>
  </si>
  <si>
    <t>3639 - Komunální služby a územní rozvoj j.n.</t>
  </si>
  <si>
    <t>3699 - Ostatní záležitosti bydlení, komunálních služeb a územního rozvoje</t>
  </si>
  <si>
    <t>36 Bydlení, komunální služby a územní rozvoj</t>
  </si>
  <si>
    <t>3716 - Monitoring ochrany ovzduší</t>
  </si>
  <si>
    <t>3725 - Využívání a zneškodňování komunálních odpadů</t>
  </si>
  <si>
    <t>3741 - Ochrana druhů a stanovišť</t>
  </si>
  <si>
    <t xml:space="preserve">3743 - Rekultivace půdy v důsledku těžební a důlní činnosti, po skládkách odpadů apod. </t>
  </si>
  <si>
    <t>3744 - Protierozní, protilavinová a protipožární ochrana</t>
  </si>
  <si>
    <t>3745 - Péče a vzhled obcí a veřejnou zeleň</t>
  </si>
  <si>
    <t>3792 - Ekologická výchova a osvěta</t>
  </si>
  <si>
    <t>37 Ochrana životního prostředí</t>
  </si>
  <si>
    <t>4351 - Osobní asistence, pečovatelská služba a podpora samostatného bydlení</t>
  </si>
  <si>
    <t>4352 - Tísňová péče</t>
  </si>
  <si>
    <t>4357 - Domovy pro osoby se zdravotním postižením a domovy se zvláštním režimem</t>
  </si>
  <si>
    <t>4375 - Nízkoprahová zařízení pro děti a mládež</t>
  </si>
  <si>
    <t>43 Sociální péče a pomoc a spol. činnosti v soc. zabezp. a pol. zaměstnanosti</t>
  </si>
  <si>
    <t>5311 - Bezpečnost a veřejný pořádek</t>
  </si>
  <si>
    <t>5319 - Ostatní záležitosti bezpečnosti a veřejného pořádku</t>
  </si>
  <si>
    <t>53 Bezpečnost a veřejný pořádek</t>
  </si>
  <si>
    <t>5512 - Požární ochrana - dobrovolná část</t>
  </si>
  <si>
    <t>55 Požární ochrana a integrovaný záchranný systém</t>
  </si>
  <si>
    <t>6171 - Činnost místní správy</t>
  </si>
  <si>
    <t>61 Státní moc, státní správa, územní samospráva a politické strany</t>
  </si>
  <si>
    <t>6211 - Archivní činnost</t>
  </si>
  <si>
    <t>62 Jiné veřejné služby a činnosti</t>
  </si>
  <si>
    <t>6409 - Ostatní činnosti j.n.</t>
  </si>
  <si>
    <t>64 Ostatní činnosti</t>
  </si>
  <si>
    <t>ORG</t>
  </si>
  <si>
    <t>pol.</t>
  </si>
  <si>
    <t>Zdroj</t>
  </si>
  <si>
    <t>Název akce</t>
  </si>
  <si>
    <t>Rok zahájení</t>
  </si>
  <si>
    <t>Rok dokončení</t>
  </si>
  <si>
    <t>Náklady akce/město</t>
  </si>
  <si>
    <t>Skut.k 31.12.12</t>
  </si>
  <si>
    <t>Sk/UR</t>
  </si>
  <si>
    <t>SR 2014</t>
  </si>
  <si>
    <t>RV 2015</t>
  </si>
  <si>
    <t>Další roky</t>
  </si>
  <si>
    <t>Zajišťuje</t>
  </si>
  <si>
    <t>Nestavební investice MP</t>
  </si>
  <si>
    <t>MP</t>
  </si>
  <si>
    <t>Celkem z 1014 - Ozdravování hospod. zvířat, polních a spec. plodin a zvl. veterinární péče</t>
  </si>
  <si>
    <t>Investiční transfery OD</t>
  </si>
  <si>
    <t>OD</t>
  </si>
  <si>
    <t>1900</t>
  </si>
  <si>
    <t>Transfer na investice TIC</t>
  </si>
  <si>
    <t>KPMB</t>
  </si>
  <si>
    <t>Celkem z 2143 - Cestovní ruch</t>
  </si>
  <si>
    <t>Komunikace Maříkova I. et. chodník</t>
  </si>
  <si>
    <t>OI</t>
  </si>
  <si>
    <t>Terénní úpravy chodníku pro pěší a CS Zouvalka</t>
  </si>
  <si>
    <t>Terminál Bystrc</t>
  </si>
  <si>
    <t>Rozšíření kom. Ulrychova</t>
  </si>
  <si>
    <t>Terminál Starý Lískovec</t>
  </si>
  <si>
    <t>Mendlovo nám. terminál hromadné dopravy</t>
  </si>
  <si>
    <t>Parkoviště při ulici Spodní</t>
  </si>
  <si>
    <t>Rekonstrukce ulice Veveří I.</t>
  </si>
  <si>
    <t>Rekonstrukce ulice Jana Babáka</t>
  </si>
  <si>
    <t>Prodloužení TT Kamechy</t>
  </si>
  <si>
    <t>Prodloužení TT Lesná</t>
  </si>
  <si>
    <t>Prodloužení TT z Osové ke Kampusu MU v Bohunicích</t>
  </si>
  <si>
    <t>Zařízení parkoviště na Přemyslově nám.</t>
  </si>
  <si>
    <t>Dopravní napojení lokality Komínské louky</t>
  </si>
  <si>
    <t>Chodník při ulici Černohorské</t>
  </si>
  <si>
    <t>Rekonstrukce návsi v Ořešíně</t>
  </si>
  <si>
    <t>Stav. úpravy křiž. Kaštanová-Popelova-Vinohradská</t>
  </si>
  <si>
    <t xml:space="preserve">Rekonstrukce komunikací </t>
  </si>
  <si>
    <t>Městský kamerový dohlížecí systém</t>
  </si>
  <si>
    <t>Rekonstrukce ulice Milady Horákové</t>
  </si>
  <si>
    <t>IDS Terminál Chrlice, nádraží</t>
  </si>
  <si>
    <t>Rozšíření nástupiště na Mendlově náměstí</t>
  </si>
  <si>
    <t>Horova - komunikace</t>
  </si>
  <si>
    <t>Minská - komunikace</t>
  </si>
  <si>
    <t>Rek.křiž.Dlouhá-Hraničky-Čeňka Růžičky</t>
  </si>
  <si>
    <t>Areál VUT v Brně CEITEC - komunikace</t>
  </si>
  <si>
    <t>Silnice I/42, VMO Žabovřeská I (CRN 2,84 mld.)</t>
  </si>
  <si>
    <t>Nové využití chodníku Kounicova 1-27</t>
  </si>
  <si>
    <t>Nové využití chodníků Morav. nám.-Kounicova</t>
  </si>
  <si>
    <t>EUROPOINT Brno - městská infrastruktura</t>
  </si>
  <si>
    <t>VMO Dobrovského (CRN 7,66 mld.)</t>
  </si>
  <si>
    <t>Tramvaj Plotní - soubor staveb</t>
  </si>
  <si>
    <t>VMO Tomkovo náměstí (CRN 1,27 mld.)</t>
  </si>
  <si>
    <t>VMO Rokytova (CRN 1,54 mld.)</t>
  </si>
  <si>
    <t>Rek. povrchů komunikací, MČ Brno-Ořešín</t>
  </si>
  <si>
    <t>Rekonstrukce ulice Klimešova</t>
  </si>
  <si>
    <t>Dukelská třída - rekonstrukce</t>
  </si>
  <si>
    <t>Rekonstrukce Vaňkova náměstí</t>
  </si>
  <si>
    <t>Rekonstrukce komunikací Tuřany II.</t>
  </si>
  <si>
    <t>Rekonstrukce ulice Bratislavská</t>
  </si>
  <si>
    <t>Rezerva kapitálových výdajů</t>
  </si>
  <si>
    <t>Celkem z 2212 - Silnice</t>
  </si>
  <si>
    <t>Dopravně informační centrum - II. etapa</t>
  </si>
  <si>
    <t>CS Svratecká (v úseku hrad Veveří-Rakovec)</t>
  </si>
  <si>
    <t>Dohledový systém BKOM</t>
  </si>
  <si>
    <t>Výkupy pozemků a objektů pro OD MMB</t>
  </si>
  <si>
    <t>Zvýšení ZK BKOM</t>
  </si>
  <si>
    <t>Centrální technický dispečink</t>
  </si>
  <si>
    <t>Majetkoprávní vypořádání a přípr. doprav. staveb</t>
  </si>
  <si>
    <t>EU</t>
  </si>
  <si>
    <t>Strategie parkování v městě Brně</t>
  </si>
  <si>
    <t>Petrov</t>
  </si>
  <si>
    <t>Zelný trh</t>
  </si>
  <si>
    <t>Orlí, Měnínská a Novobranská</t>
  </si>
  <si>
    <t>CIVITAS PLUS II -  2MOVE2</t>
  </si>
  <si>
    <t>Celkem z 2219 - Ostatní záležitosti pozemních komunikací</t>
  </si>
  <si>
    <t>Dopravní telematika 2010-2013</t>
  </si>
  <si>
    <t>Dopravní telematika ve městě Brně - 1. část</t>
  </si>
  <si>
    <t>Dopravní telematika ve městě Brně - 2. část</t>
  </si>
  <si>
    <t>Dopravní telematika ve městě Brně - 3. část</t>
  </si>
  <si>
    <t>Celkem z 2229 - Ostatní záležitosti v silniční dopravě</t>
  </si>
  <si>
    <t>Trolejbusová vozovna Komín - výměna oken</t>
  </si>
  <si>
    <t>Trolejbusová vozovna Komín - vzduchotechnika</t>
  </si>
  <si>
    <t>TROLLEY</t>
  </si>
  <si>
    <t>Celkem z 2271 - Ostatní dráhy</t>
  </si>
  <si>
    <t>Pastrnkova - rekonstrukce vodovodu</t>
  </si>
  <si>
    <t>BVK</t>
  </si>
  <si>
    <t>Zeleného I - rekonstrukce vodovodu (úsek Gogolova - garáže)</t>
  </si>
  <si>
    <t>Park Lužánky - rekonstrukce vodovodu</t>
  </si>
  <si>
    <t>Solniční I,Česká II - rek. vodovodu</t>
  </si>
  <si>
    <t>Rumiště - rekonstrukce vodovodu</t>
  </si>
  <si>
    <t>Škárova - rekonstrukce vodovodu</t>
  </si>
  <si>
    <t>Modřická - výstavba vodovodu DN 200</t>
  </si>
  <si>
    <t>6121</t>
  </si>
  <si>
    <t>Marie Steyskalové - rekonstrukce vodovodu</t>
  </si>
  <si>
    <t>Ruský vrch - rekonstrukce vodovodu</t>
  </si>
  <si>
    <t>Vranovská I - rekonstrukce vodovodu</t>
  </si>
  <si>
    <t>Viniční I, II - rekonstrukce vodovodu</t>
  </si>
  <si>
    <t>Elišky Krásnohorské - rekonstrukce vodovodu</t>
  </si>
  <si>
    <t>Chudobova - rekonstrukce vodovodu</t>
  </si>
  <si>
    <t>Přívod.a zásob. řád Bosonohy-Kamen.vrch</t>
  </si>
  <si>
    <t>Šámalova - rekonstrukce vodovodu</t>
  </si>
  <si>
    <t>Vančurova - rekonstrukce vodovodu</t>
  </si>
  <si>
    <t>Skřivanova - rekonstrukce vodovodu</t>
  </si>
  <si>
    <t>Vodárenské objekty - energetický audit</t>
  </si>
  <si>
    <t>Přepásmování vodovodu - Sportovní - I.a II</t>
  </si>
  <si>
    <t>Hraničky - rekonstrukce vodovodu</t>
  </si>
  <si>
    <t>Lány - rekonstrukce vodovodu</t>
  </si>
  <si>
    <t>Nám. Míru I. - rekonstrukce vodovodu</t>
  </si>
  <si>
    <t>Čerpací stanice - rekonstrukce armatur a strojů</t>
  </si>
  <si>
    <t>Provozní budova BVK ÚV Pisárky</t>
  </si>
  <si>
    <t>Celkem z 2310 - Pitná voda</t>
  </si>
  <si>
    <t>Staňkova II - rekonstrukce kanal.  a vodovodu (úsek Rybníček - Poděbradova)</t>
  </si>
  <si>
    <t>Zeleného II - rekonstrukce kanalizace a vodovodu (úsek Šmejkalova - Bráfova)</t>
  </si>
  <si>
    <t>Slovanské náměstí - rekonstrukce kanalizace a vodovodu</t>
  </si>
  <si>
    <t>RKS D, RN Královky - výstavba dešťové zdrže, I. et.</t>
  </si>
  <si>
    <t>RKS A, úsek Dufkovo nábř. - Táborského nábř.</t>
  </si>
  <si>
    <t>Kanalizace Bosonohy III. a IV. et. - odd. kanal. systém</t>
  </si>
  <si>
    <t>Davídkova, MČ Brno-Chrlice - splašková kanalizace</t>
  </si>
  <si>
    <t>Brno, Obřany - stoková síť v ul. Hradiska a Mlýn. nábř.</t>
  </si>
  <si>
    <t>Vančurova, Dulánek - rekonstrukce kanalizace</t>
  </si>
  <si>
    <t>Húskova - rekonstrukce kanalizace a vodovodu</t>
  </si>
  <si>
    <t>Gorkého - rekonstrukce kanalizace a vodovodu</t>
  </si>
  <si>
    <t>Gallašova - rekonstrukce kanalizace a vodovodu</t>
  </si>
  <si>
    <t>Fryčajova - rekonstrukce kanalizace a vodovodu</t>
  </si>
  <si>
    <t>Drobného - rekonstrukce kanalizace a vodovodu</t>
  </si>
  <si>
    <t>Údolní I - rek. kanalizace a vodovodu (Joštova - Úvoz)</t>
  </si>
  <si>
    <t>Antonína Macka - rekonstrukce kanal. a vodovodu</t>
  </si>
  <si>
    <t>Kopaniny - rekonstrukce kanalizace a vodovodu</t>
  </si>
  <si>
    <t>Dukelská, Dačického - rekonstrukce kanal. a vod.</t>
  </si>
  <si>
    <t>Chlupova - rekonstrukce kanalizace a vodovodu</t>
  </si>
  <si>
    <t>Luční - rekonstrukce kanalizace a vodovodu</t>
  </si>
  <si>
    <t>Jugoslávská - rek. kan. a vod. (Vranovská - Merhaut.)</t>
  </si>
  <si>
    <t>Lerchova II, Klácelova- rekon.kanal. a vodovodu</t>
  </si>
  <si>
    <t>Viniční II- rek.kanal. (úsek Hrabalova-Škrochova)</t>
  </si>
  <si>
    <t>Koliště- rekonstrukce kanalizace a vodovodu</t>
  </si>
  <si>
    <t>Kučerova- rekonstrukce kanalizace a vodovodu</t>
  </si>
  <si>
    <t>Francouzská-rekonstrukce kanalizace a vodovodu</t>
  </si>
  <si>
    <t>Erbenova-rekonstrukce kanalizace a vodovodu</t>
  </si>
  <si>
    <t xml:space="preserve">Elišky Krásnohorské-rekonstrukce kanalizace </t>
  </si>
  <si>
    <t>Dvorského, Polní II -rekonstrukce kanal. a vod.</t>
  </si>
  <si>
    <t>Dřevařská-rekonstrukce kanalizace a vodovodu</t>
  </si>
  <si>
    <t>Cupákova-rekonstrukce kanalizace a vodovodu</t>
  </si>
  <si>
    <t>Brandlova, Žerot. n. I, Morav. n. I - rek. kan. a vod.</t>
  </si>
  <si>
    <t>Bendlova - rekonstrukce kanalizace a vodovodu</t>
  </si>
  <si>
    <t>Lerchova I,Roubalova I, Kampelíkova I - rek.kan. a vod.</t>
  </si>
  <si>
    <t>Jemelkova, Klobásova - odvádění dešť. vod. - rek.k.</t>
  </si>
  <si>
    <t>Mojmírovo náměstí - rekonstrukce kanalizace</t>
  </si>
  <si>
    <t>Staňkova I, Skřivanova II - rek. kan. a vod.</t>
  </si>
  <si>
    <t>Krkoškova, Zátiší, Fügnerova I - rek. kanalizace a vod.</t>
  </si>
  <si>
    <t>Chodská - rekonstrukce kanalizace a vodovodu</t>
  </si>
  <si>
    <t>Chelčického - rekonstrukce kanalizace a vodovodu</t>
  </si>
  <si>
    <t>Benešova - rekonstrukce kanalizace a vodovodu</t>
  </si>
  <si>
    <t>Vackova - rekonstrukce kanalizace a vodovodu</t>
  </si>
  <si>
    <t>RN Jeneweinova a vodovod Komárov</t>
  </si>
  <si>
    <t>Vránova - rekonstrukce kanalizace a vodovodu</t>
  </si>
  <si>
    <t>Šafaříkova - rekonstrukce kanalizace</t>
  </si>
  <si>
    <t>Lužánky - rekonstrukce kanalizace</t>
  </si>
  <si>
    <t>Lužánecká - rekonstrukce kanalizace a vodovodu</t>
  </si>
  <si>
    <t>Cyrilská, Mlýnská II- rekon. kanal. a vodovodu</t>
  </si>
  <si>
    <t>Alešova - rekonstrukce kanalizace a vodovodu</t>
  </si>
  <si>
    <t>Králova - rekonstrukce kanalizace</t>
  </si>
  <si>
    <t>Vážného II - rekonstrukce kanalizace</t>
  </si>
  <si>
    <t>Škárova, Poděbradova I, Rostislav. nám. - rek. kan. a vod.</t>
  </si>
  <si>
    <t>Monitoring a měření na odleh. komorách kanal. sítě</t>
  </si>
  <si>
    <t>Tomáškova - rekonstrukce kanalizace a vodovovodu</t>
  </si>
  <si>
    <t>Bráfova I - rekonstrukce kanalizace</t>
  </si>
  <si>
    <t>Horova - rekonstrukce kanalizace a vodovodu</t>
  </si>
  <si>
    <t>Stará - rekonstrukce kanalizace a vodovodu</t>
  </si>
  <si>
    <t>Veveří - rek. kanal. a vodov. (Žerot. nám. - Koneč. nám.)</t>
  </si>
  <si>
    <t>Rybářská I - rekonstrukce kanalizace a vodovodu</t>
  </si>
  <si>
    <t>Schodová - rekonstrukce kanalizace a vodovodu</t>
  </si>
  <si>
    <t>Malátova - rekonstrukce kanalizace a vodovodu</t>
  </si>
  <si>
    <t>Barvičova -  rek. kanal. (úsek Lipová - Kampelíkova)</t>
  </si>
  <si>
    <t>Floriánova, Košínova - rekonstrukce kanalizace</t>
  </si>
  <si>
    <t>Drobné rekonstrukce na kanal. a vodovod.</t>
  </si>
  <si>
    <t>Chaloupkova - rekonstrukce kanalizace a vodovodu</t>
  </si>
  <si>
    <t>Milady Horákové II. - rek. kan. a vod.(Příkop-Durďákova)</t>
  </si>
  <si>
    <t>Stoková síť - Hradiska, Mlýnské nábřeží</t>
  </si>
  <si>
    <t>Světlá, Dolnopolní I. - rek. kanalizace a vodovodu</t>
  </si>
  <si>
    <t>Kanalizační sběrač Kamenný vrch</t>
  </si>
  <si>
    <t>Kovácká - rek. kanalizace</t>
  </si>
  <si>
    <t>Milady Horákové - rek. kanalizace a vodovodu</t>
  </si>
  <si>
    <t>Rekonstrukce nevypořádané infrastruktury</t>
  </si>
  <si>
    <t>Komárovská - rekonstrukce kanalizace a vodovodu</t>
  </si>
  <si>
    <t>Sládkova - rek. kanalizace a vodovodu</t>
  </si>
  <si>
    <t>Cornovova - rek. kanalizace a vodovodu</t>
  </si>
  <si>
    <t>FS</t>
  </si>
  <si>
    <t>Rekonstrukce a dostavba kanalizace v Brně - dotace</t>
  </si>
  <si>
    <t xml:space="preserve">Rekonstrukce a dostavba kanalizace v Brně </t>
  </si>
  <si>
    <t>Mezírka - rek. kanalizace a vodovodu</t>
  </si>
  <si>
    <t>RKS EI - úsek Hájecká, Nezamyslova</t>
  </si>
  <si>
    <t>Kamenná čtvrt - podzemní sítě a vozovky</t>
  </si>
  <si>
    <t>Rekonstrukce objektů - havarijní stav</t>
  </si>
  <si>
    <t>Dešťová kanalizace Brno - Ořešín</t>
  </si>
  <si>
    <t>Stránského, Haasova - rekonstrukce kanalizace</t>
  </si>
  <si>
    <t>Filipínského II, Bub. II, - rek. kanal. a vodov. (Bub. - Klíny)</t>
  </si>
  <si>
    <t>Minská - rekonstrukce kanalizace a vodovodu</t>
  </si>
  <si>
    <t>Úprava toku Leskavy</t>
  </si>
  <si>
    <t>Údolní II - rek. kanal. a vodovodu (Úvoz - Nám. Míru)</t>
  </si>
  <si>
    <t>Okružní  - rekonstrukce kanalizace II.</t>
  </si>
  <si>
    <t>Špirkova - výstavba dešťové kanalizace</t>
  </si>
  <si>
    <t>Oddílný kanal.systém Brno-Starý Lískovec</t>
  </si>
  <si>
    <t>Dostavba kanal. sítě ulic Rozhraní, Osamělá, aj.</t>
  </si>
  <si>
    <t>Bratislavská - rek. kanalizace a vodovodu</t>
  </si>
  <si>
    <t>Celkem z 2321 - Odvádění a čištění odpadních vod</t>
  </si>
  <si>
    <t>Majetkoprávní vypoř. a přípr. vodohosp. staveb</t>
  </si>
  <si>
    <t>5700</t>
  </si>
  <si>
    <t>Nákup inženýrských sítí do majetku MB</t>
  </si>
  <si>
    <t>OTS</t>
  </si>
  <si>
    <t>Nezdrojová DPH</t>
  </si>
  <si>
    <t>Příprava staveb, geom. plány a výkupy pozemků</t>
  </si>
  <si>
    <t>Celkem z 2329 - Odvádění a čistění odpadních vod j.n.</t>
  </si>
  <si>
    <t>4300</t>
  </si>
  <si>
    <t>Brněnská údolní nádrž - Povodí Moravy</t>
  </si>
  <si>
    <t>OVLHZ</t>
  </si>
  <si>
    <t>Celkem z 2331 - Úpravy vodohospodářsky významných a vodárenských toků</t>
  </si>
  <si>
    <t>Retenční nádrž na Medláneckém potoce</t>
  </si>
  <si>
    <t>Celkem z 2333 - Úpravy drobných vodních toků</t>
  </si>
  <si>
    <t>Rev. koryta řeky Svratky a výstavba parku podél železniční trati</t>
  </si>
  <si>
    <t>Revitalizace přír. pam. Holásecká jezera</t>
  </si>
  <si>
    <t>Celkem z 2334 - Revitalizace říčních systémů</t>
  </si>
  <si>
    <t>Sanace odvodňovacích vrtů Brno-Bystrc, 2.etapa</t>
  </si>
  <si>
    <t>Celkem z 2339 - Záležitosti vodních toků a vodohospodářských děl j.n.</t>
  </si>
  <si>
    <t>Přístavba MŠ Šromova 55</t>
  </si>
  <si>
    <t>Přístavba MŠ Tumaňanova 59</t>
  </si>
  <si>
    <t>Zelená mateřská škola Oblá</t>
  </si>
  <si>
    <t>41/5600</t>
  </si>
  <si>
    <t>Zateplení MŠ Měřičkova</t>
  </si>
  <si>
    <t>OI/OÚPR</t>
  </si>
  <si>
    <t>Zateplení MŠ Hněvkovského</t>
  </si>
  <si>
    <t>Zateplení MŠ Škrétova</t>
  </si>
  <si>
    <t>Zateplení MŠ Absolonova</t>
  </si>
  <si>
    <t>Úpravy zahrady v přírodním stylu, MŠ Veslařská</t>
  </si>
  <si>
    <t>Celkem z 3111 - Předškolní zařízení</t>
  </si>
  <si>
    <t>ZŠ Úvoz - sportovní hřiště</t>
  </si>
  <si>
    <t>ZŠ Novolíšeňská - sportovní centrum</t>
  </si>
  <si>
    <t>Otevřená škola</t>
  </si>
  <si>
    <t>IN line dráha, ZŠ Pavlovská 16</t>
  </si>
  <si>
    <t>Rekonstrukce sportoviště při ZŠ Jasanová 2</t>
  </si>
  <si>
    <t>ZŠ Bosonožské nám. - pohybové prostory</t>
  </si>
  <si>
    <t>Sportovní areál, ZŠ a MŠ Zemědělská</t>
  </si>
  <si>
    <t>Přístavba tělocvičny (Kamenačky)</t>
  </si>
  <si>
    <t>Rozšíření a rekonstrukce ZŠ Měšťanská 21</t>
  </si>
  <si>
    <t>Stavební úpravy ZŠ Mutěnická - 3. etapa</t>
  </si>
  <si>
    <t>ZŠ Hroznová, jazyková učebna - nástavba</t>
  </si>
  <si>
    <t>Zateplení ZŠ Blažkova</t>
  </si>
  <si>
    <t>Zateplení ZŠ Labská</t>
  </si>
  <si>
    <t>Zateplení ZŠ Úvoz</t>
  </si>
  <si>
    <t>Zateplení ZŠ Svážná</t>
  </si>
  <si>
    <t>Zateplení ZŠ Přemyslovo náměstí</t>
  </si>
  <si>
    <t>Zateplení ZŠ Vedlejší</t>
  </si>
  <si>
    <t>Revitalizace sportovních ploch při MŠ a ZŠ v MČ Brno-Židenice</t>
  </si>
  <si>
    <t>ZŠ Vranovská - rekonstrukce hřiště</t>
  </si>
  <si>
    <t>7400</t>
  </si>
  <si>
    <t>Transfer na investice ZŠ Vedlejší</t>
  </si>
  <si>
    <t>RŠ</t>
  </si>
  <si>
    <t>Transfer na investice ZŠ Holzova 1</t>
  </si>
  <si>
    <t>Transfer na investice ZŠ Tuháčkova</t>
  </si>
  <si>
    <t>Transfer na investice ZŠ Úvoz</t>
  </si>
  <si>
    <t>Transfer na investice ZŠ Laštůvkova</t>
  </si>
  <si>
    <t>Transfer na investice EZŠ Čejkovická</t>
  </si>
  <si>
    <t>OŠMT</t>
  </si>
  <si>
    <t>Celkem z 3113 - Základní školy</t>
  </si>
  <si>
    <t>3119 - ost. záležitosti předškolní výchovy a zákl. vzdělávání</t>
  </si>
  <si>
    <t>Rekonstrukce školských zařízení</t>
  </si>
  <si>
    <t>Celkem z 3119 - ost. záležitosti předškolní výchovy a zákl. vzdělávání</t>
  </si>
  <si>
    <t>Městské divadlo Brno - přístavba dílen a skladů</t>
  </si>
  <si>
    <t>MDB</t>
  </si>
  <si>
    <t>Vodorovná kanalizace Lidická 18 MD Brno</t>
  </si>
  <si>
    <t>Rek. a dobudování Janáčkova divadla</t>
  </si>
  <si>
    <t>Celkem z 3311 - Divadelní činnost</t>
  </si>
  <si>
    <t>Janáčkovo kulturní centrum</t>
  </si>
  <si>
    <t>OI, FB</t>
  </si>
  <si>
    <t>Nadační fond Campianus - půjčka</t>
  </si>
  <si>
    <t>OÚPR</t>
  </si>
  <si>
    <t>7300</t>
  </si>
  <si>
    <t>Transfer na investice Filharmonie Brno</t>
  </si>
  <si>
    <t>FB</t>
  </si>
  <si>
    <t>Celkem z 3312 - Hudební činnost</t>
  </si>
  <si>
    <t>Knihovna pro město</t>
  </si>
  <si>
    <t>Transfer na investice Knihovna Jiřího Mahena</t>
  </si>
  <si>
    <t>OK</t>
  </si>
  <si>
    <t>Celkem z 3314 - Činnosti knihovnické</t>
  </si>
  <si>
    <t>Vila Tugendhat - rek. přípojky kanalizace</t>
  </si>
  <si>
    <t>Vila Tugendhat</t>
  </si>
  <si>
    <t>Celkem z 3315 - Činnosti muzeí a galerií</t>
  </si>
  <si>
    <t>Přírodovědné digitárium - návštěvnické centrum</t>
  </si>
  <si>
    <t>Jezdecká socha na Moravském náměstí</t>
  </si>
  <si>
    <t>Přírodovědné digitárium</t>
  </si>
  <si>
    <t>Investiční transfery OTS</t>
  </si>
  <si>
    <t>Transfer na investice H a P - úpravy prostor planetária</t>
  </si>
  <si>
    <t>Celkem z 3319 - Ostatní záležitosti kultury</t>
  </si>
  <si>
    <t>NKP Špilberk-stat.zajištění hradeb.plent a mostu</t>
  </si>
  <si>
    <t>Rekonstrukce NKP Špilberk, II.etapa</t>
  </si>
  <si>
    <t>Špilberk - Jižní křídlo</t>
  </si>
  <si>
    <t>Celkem z 3322 - Zachování a obnova kulturních památek</t>
  </si>
  <si>
    <t>Památník holocaustu v Brně</t>
  </si>
  <si>
    <t>Sochy pro Brno</t>
  </si>
  <si>
    <t>Nestavební investice OK</t>
  </si>
  <si>
    <t xml:space="preserve">Celkem z 3326 - Pořízení, zachování a obnova hodnot místního kulturního, národního a hist. povědomí </t>
  </si>
  <si>
    <t>Příprava sportovně-zábavního areálu Ponava</t>
  </si>
  <si>
    <t>Sportovní areál Brno-Útěchov</t>
  </si>
  <si>
    <t>Sportovní areál lokalita Hněvkovského</t>
  </si>
  <si>
    <t>Novostavba tělocvičny v MČ Brno-Tuřany</t>
  </si>
  <si>
    <t>Celkem z 3412 - Sportovní zařízení v majetku obce</t>
  </si>
  <si>
    <t>Tenisové kurty Kneslova 1a - studna, zavlažování</t>
  </si>
  <si>
    <t>MČ</t>
  </si>
  <si>
    <t>Modernizace fotbal. stadionu za Lužánkami</t>
  </si>
  <si>
    <t>Nestavební investice OŠMT</t>
  </si>
  <si>
    <t>Investiční transfery OŠMT</t>
  </si>
  <si>
    <t>Celkem z 3419 - Ostatní tělovýchovná činnost</t>
  </si>
  <si>
    <t>Areál dopravní výchovy</t>
  </si>
  <si>
    <t>Zahrada v pohybu</t>
  </si>
  <si>
    <t>Zateplení SVČ Stamicova</t>
  </si>
  <si>
    <t>Rekonstrukce sportovišť v MČ Brno-střed</t>
  </si>
  <si>
    <t>Regenerace sportovišť Vsetínská, Trýbova, Čechyňská</t>
  </si>
  <si>
    <t>Regenerace veř. prostranství pro volnočasové aktivity nekomerčního charakteru MČ Brno-sever</t>
  </si>
  <si>
    <t>Celkem z 3421 - Využití volného času dětí a mládeže</t>
  </si>
  <si>
    <t>Přírodní koupací biotop Brno, Horní Heršpice</t>
  </si>
  <si>
    <t>Zvýšení atraktivity Brněnské přehrady</t>
  </si>
  <si>
    <t>Sportovně-rekreační plocha Kartouzská</t>
  </si>
  <si>
    <t>Celkem z 3429 - Ostatní zájmová činnost a rekreace</t>
  </si>
  <si>
    <t>Rekonstrukce polikliniky Zahradníkova</t>
  </si>
  <si>
    <t>Rek. objektu Bílý dům</t>
  </si>
  <si>
    <t>Celkem z 3511 - Všeobecná ambulatní péče</t>
  </si>
  <si>
    <t>Rekonstrukce v objektu NMB</t>
  </si>
  <si>
    <t>NMB</t>
  </si>
  <si>
    <t>Rekonstrukce v objektu NMB - humanizace lůžkové péče</t>
  </si>
  <si>
    <t>Oddělení stálé chirurgické a úrazové služby ÚN v Brně - rekonstrukce a přístavba</t>
  </si>
  <si>
    <t>ÚNB</t>
  </si>
  <si>
    <t>Celkem z 3522 - Ostatní nemocnice</t>
  </si>
  <si>
    <t>ÚN v Brně - rek. střechy a půdní vestavba kanceláří Koliště 41</t>
  </si>
  <si>
    <t>ÚN v Brně - rekonstrukce 7. NP budovy</t>
  </si>
  <si>
    <t>Celkem z 3523 - Odborné léčebné ústavy</t>
  </si>
  <si>
    <t>7100</t>
  </si>
  <si>
    <t xml:space="preserve">Generel přístupnosti města (odstr.bariér) </t>
  </si>
  <si>
    <t>OZ</t>
  </si>
  <si>
    <t>Liga vozíčkářů, o.s. - investiční půjčka</t>
  </si>
  <si>
    <t>Celkem z 3599 - Ostatní činnost ve zdravotnictví</t>
  </si>
  <si>
    <t>Protihluková opatření - výměna oken</t>
  </si>
  <si>
    <t>Stavební úpravy objektu Kobližná 10 a využití 3.NP a 4. NP pro funkci bydlení</t>
  </si>
  <si>
    <t>BO</t>
  </si>
  <si>
    <t>Technické zhodnocení sociálních bytů</t>
  </si>
  <si>
    <t>OSM</t>
  </si>
  <si>
    <t>Bytové domy Vojtova</t>
  </si>
  <si>
    <t>Startovací byty - nákup 200-250 b.j.</t>
  </si>
  <si>
    <t>Přestavba ubytovny JUVENTUS</t>
  </si>
  <si>
    <t>Technické zhodnocení bytových domů</t>
  </si>
  <si>
    <t>Bytov. dům B vč. komunik. a TI Jeneweinova</t>
  </si>
  <si>
    <t>Lokalita bydlení Holásky - TI</t>
  </si>
  <si>
    <t>Rek. domu Francouzská 20/Stará 1</t>
  </si>
  <si>
    <t>Rek. bytového domu Francouzská 42</t>
  </si>
  <si>
    <t>Rek. domu Přadlácká 9/Spolková 17</t>
  </si>
  <si>
    <t>Rek. bytového domu Bratislavská 39</t>
  </si>
  <si>
    <t>Rek. bytového domu Bratislavská 36a</t>
  </si>
  <si>
    <t>Rek. bytového domu Bratislavská 60</t>
  </si>
  <si>
    <t>Venkovní úpravy Francouzská</t>
  </si>
  <si>
    <t>Investiční transfery BO</t>
  </si>
  <si>
    <t>Investiční půjčené prostředky městským částem (FRB)</t>
  </si>
  <si>
    <t>Celkem z 3612 - Bytové hospodářství</t>
  </si>
  <si>
    <t>Investiční půjčky z FRB</t>
  </si>
  <si>
    <t>Celkem z 3619 - Ostatní rozvoj bydlení a bytového hospodářství</t>
  </si>
  <si>
    <t>Rozšíření hřbitova Slatina</t>
  </si>
  <si>
    <t>2014</t>
  </si>
  <si>
    <t>2015</t>
  </si>
  <si>
    <t>Dokončení rozšíření hřbitova Řečkovice</t>
  </si>
  <si>
    <t>Rozšíření hřbitova v Líšni</t>
  </si>
  <si>
    <t>4200</t>
  </si>
  <si>
    <t>Transfer na investice SHMB</t>
  </si>
  <si>
    <t>OŽP</t>
  </si>
  <si>
    <t>Celkem z 3632 - Pohřebnictví</t>
  </si>
  <si>
    <t>9. stavba sekund. kol. Dvořákova -Beth.</t>
  </si>
  <si>
    <t>Celkem z 3633 - Výstavba a údržba místních inženýrských sítí</t>
  </si>
  <si>
    <t>Plán udržitelné městské mobility</t>
  </si>
  <si>
    <t>Celkem z 3636 - Územní rozvoj</t>
  </si>
  <si>
    <t>Použití finančních prostředků FBV - rezerva</t>
  </si>
  <si>
    <t>Dům pánů z Kunštátu - úprava vstupu</t>
  </si>
  <si>
    <t xml:space="preserve">Majetkopráv.vypořádání a příprava staveb j.n. </t>
  </si>
  <si>
    <t>Technické zhodnocení objektů města</t>
  </si>
  <si>
    <t>6300</t>
  </si>
  <si>
    <t>MO - výkupy pozemků a objektů</t>
  </si>
  <si>
    <t>MO</t>
  </si>
  <si>
    <t>Projektové práce pro OÚPR</t>
  </si>
  <si>
    <t>Kapitálové výdaje z Fondu bytové výstavby</t>
  </si>
  <si>
    <t>Výkupy pozemků pro OVLHZ</t>
  </si>
  <si>
    <t>Příprava strategických projektů pro nové programovací období</t>
  </si>
  <si>
    <t>Sanace - skalní řícení v ulici Pod Horkou</t>
  </si>
  <si>
    <t>Investiční transfery OSM</t>
  </si>
  <si>
    <t>Celkem z 3639 - Komunální služby a územní rozvoj j.n.</t>
  </si>
  <si>
    <t>Zvýšení zákl. kapitálu - Technic.sítě</t>
  </si>
  <si>
    <t>Celkem z 3699 - Ostatní záležitosti bydlení, komunálních služeb a územního rozvoje</t>
  </si>
  <si>
    <t>Imisní monitoring SMB - Obnova systému sledování kvality ovzduší</t>
  </si>
  <si>
    <t>Celkem z 3716 - Monitoring ochrany ovzduší</t>
  </si>
  <si>
    <t>Sběrné středisko odpadů Slaměníkova</t>
  </si>
  <si>
    <t>Technické zhodnocení garáží v pronájmu SAKO Brno</t>
  </si>
  <si>
    <t>Nezdrojová DPH - OŽP</t>
  </si>
  <si>
    <t>Celkem z 3725 - Využívání a zneškodňování komunálních odpadů</t>
  </si>
  <si>
    <t>Bezpečí obojživelníků - Žebět. rybník, III. etapa</t>
  </si>
  <si>
    <t>Realizace strategie rozvoje ZOO</t>
  </si>
  <si>
    <t>Rek. obj. stálé akvarij. výstavy Radnická 6</t>
  </si>
  <si>
    <t>Výstavba provozního zázemí ZOO</t>
  </si>
  <si>
    <t>ZOO Brno - Expozice klokanů</t>
  </si>
  <si>
    <t>Kalahari - africká vesnice</t>
  </si>
  <si>
    <t>Expozice orlů</t>
  </si>
  <si>
    <t>Celkem z 3741 - Ochrana druhů a stanovišť</t>
  </si>
  <si>
    <t>Rekultivace skládky Černovice  -I. etapa</t>
  </si>
  <si>
    <t xml:space="preserve">Celkem z 3743 - Rekultivace půdy v důsledku těžební a důlní činnosti, po skládkách odpadů apod. </t>
  </si>
  <si>
    <t>Kamenná čtvrť - stat. zajištění svahu</t>
  </si>
  <si>
    <t>Celkem z 3744 - Protierozní, protilavinová a protipožární ochrana</t>
  </si>
  <si>
    <t>Úprava veřejného prostoru před JD</t>
  </si>
  <si>
    <t>Vinice na Špilberku</t>
  </si>
  <si>
    <t>Přístupová cesta do Wilsonova lesa z ulice Rezkovy</t>
  </si>
  <si>
    <t>NKP Špilberk - rekonstrukce parku III. etapa, 3. č.</t>
  </si>
  <si>
    <t>Rekonstrukce Wilsonova lesa</t>
  </si>
  <si>
    <t>Revitalizace městských parků, I. etapa</t>
  </si>
  <si>
    <t>Revitalizace městských parků, II. etapa</t>
  </si>
  <si>
    <t>Park Hvězdička</t>
  </si>
  <si>
    <t>Výstavba parku Pod Plachtami</t>
  </si>
  <si>
    <t>Rekonstrukce parku Lužánky, V. etapa</t>
  </si>
  <si>
    <t>Nízkoprahové centrum v parku Hvězdička</t>
  </si>
  <si>
    <t>Úprava ploch VZ v okolí bytových domů Sibiřská</t>
  </si>
  <si>
    <t>Transfer na investice VZMB</t>
  </si>
  <si>
    <t>Celkem z 3745 - Péče a vzhled obcí a veřejnou zeleň</t>
  </si>
  <si>
    <t>Rekonstrukce objektu Hlídka 4</t>
  </si>
  <si>
    <t>Inv. transfery OŽP</t>
  </si>
  <si>
    <t>Celkem z 3792 - Ekologická výchova a osvěta</t>
  </si>
  <si>
    <t>DPS Mlýnská</t>
  </si>
  <si>
    <t>DPS Křídlovická</t>
  </si>
  <si>
    <t>Celkem z 4351 - Osobní asistence, pečovatelská služba a podpora samostatného bydlení</t>
  </si>
  <si>
    <t>Zavedení služby tísňové péče pro seniory</t>
  </si>
  <si>
    <t>Celkem z 4352 - Tísňová péče</t>
  </si>
  <si>
    <t>Domov pro seniory, Foltýnova 21, Brno - odstranění bariér a zvýšení lůžkové kapacity</t>
  </si>
  <si>
    <t>Celkem z 4357 - Domovy pro osoby se zdravotním postižením a domovy se zvláštním režimem</t>
  </si>
  <si>
    <t>Plácky - aktivizační centra</t>
  </si>
  <si>
    <t>Celkem z 4375 - Nízkoprahová zařízení pro děti a mládež</t>
  </si>
  <si>
    <t>8200</t>
  </si>
  <si>
    <t>Radiový systém TETRA</t>
  </si>
  <si>
    <t>Rekonstrukce chat RZ Sykovec</t>
  </si>
  <si>
    <t>Rek. obj. na služebnu MP Brno-západ</t>
  </si>
  <si>
    <t>Investiční transfery MP</t>
  </si>
  <si>
    <t>Celkem z 5311 - Bezpečnost a veřejný pořádek</t>
  </si>
  <si>
    <t>7200</t>
  </si>
  <si>
    <t>Investiční transfery OSP</t>
  </si>
  <si>
    <t>OSP</t>
  </si>
  <si>
    <t>Celkem z 5319 - Ostatní záležitosti bezpečnosti a veřejného pořádku</t>
  </si>
  <si>
    <t>Rek. hasičské stanice MČ B-sever, Netušilova 18</t>
  </si>
  <si>
    <t>Stav. úpr. hasičské stanice, B-Soběšice</t>
  </si>
  <si>
    <t>Celkem z 5512 - Požární ochrana - dobrovolná část</t>
  </si>
  <si>
    <t>Rekonstrukce administrativního centra Jalta</t>
  </si>
  <si>
    <t>Rekonstrukce sídla ÚMČ Brno-Ivanovice</t>
  </si>
  <si>
    <t>Statické zajištění budovy Staré Radnice</t>
  </si>
  <si>
    <t>Zřízení klimatizace v objektech MMB (Husova 5,12, Malin. nám. 3)</t>
  </si>
  <si>
    <t>5300</t>
  </si>
  <si>
    <t>GIS - rozvoj systému</t>
  </si>
  <si>
    <t>OMI</t>
  </si>
  <si>
    <t>Síň rady na Nové radnici - úpravy, rest. obnova</t>
  </si>
  <si>
    <t>Technické zhodnocení objektů MMB</t>
  </si>
  <si>
    <t>ISMB - agendový aplikační software</t>
  </si>
  <si>
    <t>OMI - informační systém</t>
  </si>
  <si>
    <t>Metropolitní síť Brno</t>
  </si>
  <si>
    <t>Digitalizace archivu města Brna</t>
  </si>
  <si>
    <t>3200</t>
  </si>
  <si>
    <t>Nestavební investice OVV</t>
  </si>
  <si>
    <t>OVV</t>
  </si>
  <si>
    <t>Celkem z 6171 - Činnost místní správy</t>
  </si>
  <si>
    <t>3900</t>
  </si>
  <si>
    <t>Velké dějiny města Brna</t>
  </si>
  <si>
    <t>AMB</t>
  </si>
  <si>
    <t>Celkem z 6211 - Archivní činnost</t>
  </si>
  <si>
    <t>Investiční transfery městským částem (FBV - ORF)</t>
  </si>
  <si>
    <t>Investiční půj. prostředky měst. částem (FBV - ORF)</t>
  </si>
  <si>
    <t>Investiční transfery městských částem (ORF)</t>
  </si>
  <si>
    <t>Investiční transfery městským částem (OŠMT)</t>
  </si>
  <si>
    <t>Celkem z 6409 - Ostatní činnosti j.n.</t>
  </si>
  <si>
    <t>Celkový součet</t>
  </si>
  <si>
    <t>Rekapitulace (v tis. Kč)</t>
  </si>
  <si>
    <t>SK 31.12.2013</t>
  </si>
  <si>
    <t>Sk/UR (%)</t>
  </si>
  <si>
    <t>Základní rozpočet</t>
  </si>
  <si>
    <t>Základní rozpočet - akce zajišťované společností BVK, a.s. (ÚZ 49)</t>
  </si>
  <si>
    <t>Fond kofinancování evropských projektů (ORG 5xxx)</t>
  </si>
  <si>
    <t>Fond rozvoje bydlení (ÚZ 40)</t>
  </si>
  <si>
    <t>Fond bytové výstavby (ÚZ 41)</t>
  </si>
  <si>
    <t>Celkem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</si>
</sst>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,000&quot;Kč&quot;"/>
    <numFmt numFmtId="165" formatCode="#,##0.00&quot;Kč&quot;"/>
    <numFmt numFmtId="166" formatCode="0.0%"/>
    <numFmt numFmtId="167" formatCode="0.0"/>
    <numFmt numFmtId="168" formatCode="#,##0.0"/>
    <numFmt numFmtId="169" formatCode="#,##0_ ;[Red]\-#,##0\ "/>
    <numFmt numFmtId="170" formatCode="000\ 00"/>
    <numFmt numFmtId="171" formatCode="#,##0_);\(#,##0\)"/>
    <numFmt numFmtId="172" formatCode="0_)"/>
    <numFmt numFmtId="173" formatCode="0.000"/>
    <numFmt numFmtId="174" formatCode="###0"/>
    <numFmt numFmtId="175" formatCode="d/m"/>
    <numFmt numFmtId="176" formatCode="d/m/yy"/>
    <numFmt numFmtId="177" formatCode="#0"/>
    <numFmt numFmtId="178" formatCode="0000"/>
    <numFmt numFmtId="179" formatCode="#,##0.0_);\(#,##0.0\)"/>
  </numFmts>
  <fonts count="72">
    <font>
      <sz val="10"/>
      <name val="Arial CE"/>
      <family val="0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  <font>
      <sz val="10"/>
      <color indexed="8"/>
      <name val="Times New Roman CE"/>
      <family val="1"/>
    </font>
    <font>
      <b/>
      <sz val="12"/>
      <name val="Times New Roman CE"/>
      <family val="1"/>
    </font>
    <font>
      <sz val="9"/>
      <name val="Times New Roman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 CE"/>
      <family val="0"/>
    </font>
    <font>
      <b/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name val="Calibri"/>
      <family val="2"/>
    </font>
    <font>
      <sz val="10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0" tint="-0.1499900072813034"/>
      <name val="Calibri"/>
      <family val="2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>
      <alignment/>
      <protection/>
    </xf>
    <xf numFmtId="0" fontId="60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58">
    <xf numFmtId="0" fontId="0" fillId="0" borderId="0" xfId="0" applyAlignment="1">
      <alignment/>
    </xf>
    <xf numFmtId="0" fontId="2" fillId="0" borderId="0" xfId="59">
      <alignment/>
      <protection/>
    </xf>
    <xf numFmtId="0" fontId="4" fillId="0" borderId="10" xfId="59" applyFont="1" applyBorder="1" applyAlignment="1">
      <alignment horizontal="center"/>
      <protection/>
    </xf>
    <xf numFmtId="0" fontId="5" fillId="0" borderId="0" xfId="59" applyFont="1">
      <alignment/>
      <protection/>
    </xf>
    <xf numFmtId="3" fontId="2" fillId="0" borderId="0" xfId="59" applyNumberFormat="1">
      <alignment/>
      <protection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8" fillId="0" borderId="11" xfId="59" applyFont="1" applyBorder="1" applyAlignment="1">
      <alignment horizontal="left"/>
      <protection/>
    </xf>
    <xf numFmtId="3" fontId="8" fillId="0" borderId="11" xfId="59" applyNumberFormat="1" applyFont="1" applyFill="1" applyBorder="1">
      <alignment/>
      <protection/>
    </xf>
    <xf numFmtId="0" fontId="8" fillId="0" borderId="11" xfId="59" applyFont="1" applyFill="1" applyBorder="1" applyAlignment="1">
      <alignment horizontal="left"/>
      <protection/>
    </xf>
    <xf numFmtId="0" fontId="8" fillId="0" borderId="11" xfId="59" applyFont="1" applyFill="1" applyBorder="1">
      <alignment/>
      <protection/>
    </xf>
    <xf numFmtId="0" fontId="8" fillId="0" borderId="11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0" borderId="11" xfId="59" applyFont="1" applyFill="1" applyBorder="1" applyAlignment="1">
      <alignment horizontal="center"/>
      <protection/>
    </xf>
    <xf numFmtId="0" fontId="2" fillId="0" borderId="0" xfId="59" applyAlignment="1">
      <alignment horizontal="left"/>
      <protection/>
    </xf>
    <xf numFmtId="0" fontId="8" fillId="0" borderId="11" xfId="59" applyFont="1" applyBorder="1" applyAlignment="1">
      <alignment horizontal="center"/>
      <protection/>
    </xf>
    <xf numFmtId="0" fontId="8" fillId="0" borderId="11" xfId="0" applyFont="1" applyFill="1" applyBorder="1" applyAlignment="1">
      <alignment horizontal="center"/>
    </xf>
    <xf numFmtId="0" fontId="8" fillId="0" borderId="11" xfId="59" applyFont="1" applyFill="1" applyBorder="1" applyAlignment="1">
      <alignment horizontal="center" vertical="center"/>
      <protection/>
    </xf>
    <xf numFmtId="0" fontId="2" fillId="0" borderId="0" xfId="59" applyAlignment="1">
      <alignment horizontal="center"/>
      <protection/>
    </xf>
    <xf numFmtId="3" fontId="8" fillId="0" borderId="12" xfId="59" applyNumberFormat="1" applyFont="1" applyFill="1" applyBorder="1">
      <alignment/>
      <protection/>
    </xf>
    <xf numFmtId="3" fontId="8" fillId="0" borderId="12" xfId="56" applyNumberFormat="1" applyFont="1" applyBorder="1">
      <alignment/>
      <protection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7" fillId="0" borderId="13" xfId="59" applyFont="1" applyFill="1" applyBorder="1" applyAlignment="1">
      <alignment horizontal="left"/>
      <protection/>
    </xf>
    <xf numFmtId="0" fontId="7" fillId="0" borderId="14" xfId="59" applyFont="1" applyFill="1" applyBorder="1" applyAlignment="1">
      <alignment horizontal="left"/>
      <protection/>
    </xf>
    <xf numFmtId="0" fontId="8" fillId="0" borderId="15" xfId="59" applyFont="1" applyFill="1" applyBorder="1" applyAlignment="1">
      <alignment horizontal="center"/>
      <protection/>
    </xf>
    <xf numFmtId="0" fontId="8" fillId="0" borderId="15" xfId="59" applyFont="1" applyFill="1" applyBorder="1" applyAlignment="1">
      <alignment horizontal="left"/>
      <protection/>
    </xf>
    <xf numFmtId="0" fontId="7" fillId="0" borderId="13" xfId="59" applyNumberFormat="1" applyFont="1" applyFill="1" applyBorder="1" applyAlignment="1">
      <alignment horizontal="left"/>
      <protection/>
    </xf>
    <xf numFmtId="0" fontId="7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0" borderId="13" xfId="59" applyFont="1" applyFill="1" applyBorder="1" applyAlignment="1">
      <alignment horizontal="left" vertical="center"/>
      <protection/>
    </xf>
    <xf numFmtId="168" fontId="8" fillId="0" borderId="0" xfId="59" applyNumberFormat="1" applyFont="1">
      <alignment/>
      <protection/>
    </xf>
    <xf numFmtId="168" fontId="7" fillId="0" borderId="10" xfId="59" applyNumberFormat="1" applyFont="1" applyBorder="1" applyAlignment="1">
      <alignment horizontal="center"/>
      <protection/>
    </xf>
    <xf numFmtId="168" fontId="7" fillId="0" borderId="16" xfId="59" applyNumberFormat="1" applyFont="1" applyBorder="1" applyAlignment="1">
      <alignment horizontal="center"/>
      <protection/>
    </xf>
    <xf numFmtId="3" fontId="7" fillId="0" borderId="11" xfId="59" applyNumberFormat="1" applyFont="1" applyFill="1" applyBorder="1">
      <alignment/>
      <protection/>
    </xf>
    <xf numFmtId="3" fontId="7" fillId="0" borderId="12" xfId="59" applyNumberFormat="1" applyFont="1" applyFill="1" applyBorder="1">
      <alignment/>
      <protection/>
    </xf>
    <xf numFmtId="3" fontId="7" fillId="0" borderId="15" xfId="59" applyNumberFormat="1" applyFont="1" applyFill="1" applyBorder="1">
      <alignment/>
      <protection/>
    </xf>
    <xf numFmtId="3" fontId="4" fillId="0" borderId="17" xfId="59" applyNumberFormat="1" applyFont="1" applyBorder="1" applyAlignment="1">
      <alignment horizontal="center"/>
      <protection/>
    </xf>
    <xf numFmtId="3" fontId="4" fillId="0" borderId="18" xfId="59" applyNumberFormat="1" applyFont="1" applyBorder="1" applyAlignment="1">
      <alignment horizontal="center"/>
      <protection/>
    </xf>
    <xf numFmtId="3" fontId="7" fillId="0" borderId="10" xfId="59" applyNumberFormat="1" applyFont="1" applyBorder="1" applyAlignment="1">
      <alignment horizontal="center"/>
      <protection/>
    </xf>
    <xf numFmtId="168" fontId="8" fillId="0" borderId="19" xfId="0" applyNumberFormat="1" applyFont="1" applyBorder="1" applyAlignment="1">
      <alignment/>
    </xf>
    <xf numFmtId="0" fontId="8" fillId="0" borderId="12" xfId="0" applyFont="1" applyBorder="1" applyAlignment="1">
      <alignment/>
    </xf>
    <xf numFmtId="168" fontId="8" fillId="0" borderId="12" xfId="59" applyNumberFormat="1" applyFont="1" applyFill="1" applyBorder="1">
      <alignment/>
      <protection/>
    </xf>
    <xf numFmtId="168" fontId="8" fillId="0" borderId="19" xfId="59" applyNumberFormat="1" applyFont="1" applyFill="1" applyBorder="1">
      <alignment/>
      <protection/>
    </xf>
    <xf numFmtId="168" fontId="7" fillId="0" borderId="12" xfId="59" applyNumberFormat="1" applyFont="1" applyFill="1" applyBorder="1">
      <alignment/>
      <protection/>
    </xf>
    <xf numFmtId="168" fontId="7" fillId="0" borderId="19" xfId="59" applyNumberFormat="1" applyFont="1" applyFill="1" applyBorder="1">
      <alignment/>
      <protection/>
    </xf>
    <xf numFmtId="168" fontId="8" fillId="0" borderId="12" xfId="0" applyNumberFormat="1" applyFont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8" fillId="0" borderId="19" xfId="0" applyNumberFormat="1" applyFont="1" applyFill="1" applyBorder="1" applyAlignment="1">
      <alignment/>
    </xf>
    <xf numFmtId="0" fontId="4" fillId="0" borderId="20" xfId="59" applyFont="1" applyFill="1" applyBorder="1" applyAlignment="1">
      <alignment horizontal="center"/>
      <protection/>
    </xf>
    <xf numFmtId="0" fontId="8" fillId="0" borderId="13" xfId="59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3" fontId="7" fillId="0" borderId="21" xfId="59" applyNumberFormat="1" applyFont="1" applyFill="1" applyBorder="1">
      <alignment/>
      <protection/>
    </xf>
    <xf numFmtId="168" fontId="7" fillId="0" borderId="21" xfId="59" applyNumberFormat="1" applyFont="1" applyFill="1" applyBorder="1">
      <alignment/>
      <protection/>
    </xf>
    <xf numFmtId="168" fontId="7" fillId="0" borderId="22" xfId="59" applyNumberFormat="1" applyFont="1" applyFill="1" applyBorder="1">
      <alignment/>
      <protection/>
    </xf>
    <xf numFmtId="3" fontId="11" fillId="0" borderId="10" xfId="59" applyNumberFormat="1" applyFont="1" applyFill="1" applyBorder="1">
      <alignment/>
      <protection/>
    </xf>
    <xf numFmtId="168" fontId="11" fillId="0" borderId="10" xfId="59" applyNumberFormat="1" applyFont="1" applyBorder="1">
      <alignment/>
      <protection/>
    </xf>
    <xf numFmtId="0" fontId="12" fillId="0" borderId="10" xfId="59" applyFont="1" applyFill="1" applyBorder="1" applyAlignment="1">
      <alignment horizontal="center"/>
      <protection/>
    </xf>
    <xf numFmtId="0" fontId="12" fillId="0" borderId="10" xfId="59" applyFont="1" applyFill="1" applyBorder="1" applyAlignment="1">
      <alignment horizontal="left"/>
      <protection/>
    </xf>
    <xf numFmtId="168" fontId="7" fillId="0" borderId="19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0" fontId="13" fillId="0" borderId="20" xfId="59" applyFont="1" applyFill="1" applyBorder="1" applyAlignment="1">
      <alignment horizontal="left"/>
      <protection/>
    </xf>
    <xf numFmtId="0" fontId="7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3" fontId="7" fillId="0" borderId="24" xfId="59" applyNumberFormat="1" applyFont="1" applyFill="1" applyBorder="1">
      <alignment/>
      <protection/>
    </xf>
    <xf numFmtId="3" fontId="7" fillId="0" borderId="25" xfId="59" applyNumberFormat="1" applyFont="1" applyFill="1" applyBorder="1">
      <alignment/>
      <protection/>
    </xf>
    <xf numFmtId="168" fontId="7" fillId="0" borderId="25" xfId="59" applyNumberFormat="1" applyFont="1" applyFill="1" applyBorder="1">
      <alignment/>
      <protection/>
    </xf>
    <xf numFmtId="168" fontId="7" fillId="0" borderId="26" xfId="59" applyNumberFormat="1" applyFont="1" applyFill="1" applyBorder="1">
      <alignment/>
      <protection/>
    </xf>
    <xf numFmtId="0" fontId="8" fillId="0" borderId="23" xfId="0" applyFont="1" applyBorder="1" applyAlignment="1">
      <alignment horizontal="center"/>
    </xf>
    <xf numFmtId="3" fontId="8" fillId="0" borderId="24" xfId="59" applyNumberFormat="1" applyFont="1" applyFill="1" applyBorder="1">
      <alignment/>
      <protection/>
    </xf>
    <xf numFmtId="3" fontId="8" fillId="0" borderId="25" xfId="59" applyNumberFormat="1" applyFont="1" applyFill="1" applyBorder="1">
      <alignment/>
      <protection/>
    </xf>
    <xf numFmtId="0" fontId="0" fillId="0" borderId="0" xfId="0" applyFont="1" applyAlignment="1">
      <alignment/>
    </xf>
    <xf numFmtId="0" fontId="8" fillId="0" borderId="11" xfId="59" applyNumberFormat="1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0" borderId="11" xfId="55" applyFont="1" applyFill="1" applyBorder="1" applyAlignment="1">
      <alignment horizontal="left"/>
      <protection/>
    </xf>
    <xf numFmtId="0" fontId="7" fillId="34" borderId="13" xfId="51" applyFont="1" applyFill="1" applyBorder="1" applyAlignment="1">
      <alignment horizontal="left"/>
      <protection/>
    </xf>
    <xf numFmtId="0" fontId="7" fillId="0" borderId="23" xfId="59" applyFont="1" applyFill="1" applyBorder="1" applyAlignment="1">
      <alignment horizontal="left"/>
      <protection/>
    </xf>
    <xf numFmtId="0" fontId="8" fillId="0" borderId="24" xfId="59" applyFont="1" applyFill="1" applyBorder="1" applyAlignment="1">
      <alignment horizontal="center"/>
      <protection/>
    </xf>
    <xf numFmtId="0" fontId="8" fillId="0" borderId="24" xfId="59" applyFont="1" applyFill="1" applyBorder="1" applyAlignment="1">
      <alignment horizontal="left"/>
      <protection/>
    </xf>
    <xf numFmtId="0" fontId="15" fillId="0" borderId="20" xfId="59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shrinkToFit="1"/>
    </xf>
    <xf numFmtId="1" fontId="8" fillId="0" borderId="27" xfId="56" applyNumberFormat="1" applyFont="1" applyFill="1" applyBorder="1" applyAlignment="1">
      <alignment horizontal="left"/>
      <protection/>
    </xf>
    <xf numFmtId="0" fontId="8" fillId="0" borderId="28" xfId="56" applyFont="1" applyFill="1" applyBorder="1" applyAlignment="1">
      <alignment/>
      <protection/>
    </xf>
    <xf numFmtId="1" fontId="8" fillId="0" borderId="28" xfId="56" applyNumberFormat="1" applyFont="1" applyFill="1" applyBorder="1" applyAlignment="1">
      <alignment horizontal="center"/>
      <protection/>
    </xf>
    <xf numFmtId="0" fontId="8" fillId="0" borderId="28" xfId="56" applyFont="1" applyFill="1" applyBorder="1" applyAlignment="1">
      <alignment horizontal="left"/>
      <protection/>
    </xf>
    <xf numFmtId="3" fontId="8" fillId="0" borderId="28" xfId="56" applyNumberFormat="1" applyFont="1" applyFill="1" applyBorder="1" applyAlignment="1">
      <alignment horizontal="right"/>
      <protection/>
    </xf>
    <xf numFmtId="168" fontId="8" fillId="0" borderId="28" xfId="0" applyNumberFormat="1" applyFont="1" applyBorder="1" applyAlignment="1">
      <alignment horizontal="right"/>
    </xf>
    <xf numFmtId="1" fontId="8" fillId="0" borderId="13" xfId="56" applyNumberFormat="1" applyFont="1" applyFill="1" applyBorder="1" applyAlignment="1">
      <alignment horizontal="left"/>
      <protection/>
    </xf>
    <xf numFmtId="1" fontId="8" fillId="0" borderId="11" xfId="56" applyNumberFormat="1" applyFont="1" applyFill="1" applyBorder="1" applyAlignment="1">
      <alignment horizontal="center"/>
      <protection/>
    </xf>
    <xf numFmtId="0" fontId="8" fillId="0" borderId="11" xfId="56" applyFont="1" applyFill="1" applyBorder="1" applyAlignment="1">
      <alignment horizontal="left"/>
      <protection/>
    </xf>
    <xf numFmtId="3" fontId="8" fillId="0" borderId="11" xfId="56" applyNumberFormat="1" applyFont="1" applyFill="1" applyBorder="1" applyAlignment="1">
      <alignment horizontal="right"/>
      <protection/>
    </xf>
    <xf numFmtId="1" fontId="7" fillId="0" borderId="28" xfId="56" applyNumberFormat="1" applyFont="1" applyFill="1" applyBorder="1" applyAlignment="1">
      <alignment/>
      <protection/>
    </xf>
    <xf numFmtId="3" fontId="7" fillId="0" borderId="11" xfId="56" applyNumberFormat="1" applyFont="1" applyFill="1" applyBorder="1" applyAlignment="1">
      <alignment horizontal="right"/>
      <protection/>
    </xf>
    <xf numFmtId="0" fontId="7" fillId="0" borderId="28" xfId="56" applyFont="1" applyFill="1" applyBorder="1" applyAlignment="1">
      <alignment/>
      <protection/>
    </xf>
    <xf numFmtId="3" fontId="8" fillId="0" borderId="11" xfId="51" applyNumberFormat="1" applyFont="1" applyFill="1" applyBorder="1" applyAlignment="1">
      <alignment horizontal="right"/>
      <protection/>
    </xf>
    <xf numFmtId="168" fontId="8" fillId="0" borderId="11" xfId="56" applyNumberFormat="1" applyFont="1" applyFill="1" applyBorder="1" applyAlignment="1">
      <alignment horizontal="right"/>
      <protection/>
    </xf>
    <xf numFmtId="168" fontId="8" fillId="0" borderId="19" xfId="56" applyNumberFormat="1" applyFont="1" applyFill="1" applyBorder="1" applyAlignment="1">
      <alignment horizontal="right"/>
      <protection/>
    </xf>
    <xf numFmtId="1" fontId="8" fillId="0" borderId="23" xfId="56" applyNumberFormat="1" applyFont="1" applyFill="1" applyBorder="1" applyAlignment="1">
      <alignment horizontal="left"/>
      <protection/>
    </xf>
    <xf numFmtId="0" fontId="7" fillId="0" borderId="24" xfId="56" applyFont="1" applyFill="1" applyBorder="1" applyAlignment="1">
      <alignment/>
      <protection/>
    </xf>
    <xf numFmtId="1" fontId="8" fillId="0" borderId="24" xfId="56" applyNumberFormat="1" applyFont="1" applyFill="1" applyBorder="1" applyAlignment="1">
      <alignment horizontal="center"/>
      <protection/>
    </xf>
    <xf numFmtId="0" fontId="8" fillId="0" borderId="24" xfId="56" applyFont="1" applyFill="1" applyBorder="1" applyAlignment="1">
      <alignment horizontal="left"/>
      <protection/>
    </xf>
    <xf numFmtId="3" fontId="7" fillId="0" borderId="24" xfId="56" applyNumberFormat="1" applyFont="1" applyFill="1" applyBorder="1" applyAlignment="1">
      <alignment horizontal="right"/>
      <protection/>
    </xf>
    <xf numFmtId="1" fontId="8" fillId="0" borderId="20" xfId="56" applyNumberFormat="1" applyFont="1" applyFill="1" applyBorder="1" applyAlignment="1">
      <alignment horizontal="left"/>
      <protection/>
    </xf>
    <xf numFmtId="1" fontId="8" fillId="0" borderId="10" xfId="56" applyNumberFormat="1" applyFont="1" applyFill="1" applyBorder="1" applyAlignment="1">
      <alignment horizontal="center"/>
      <protection/>
    </xf>
    <xf numFmtId="0" fontId="8" fillId="0" borderId="10" xfId="56" applyFont="1" applyFill="1" applyBorder="1" applyAlignment="1">
      <alignment horizontal="left"/>
      <protection/>
    </xf>
    <xf numFmtId="0" fontId="8" fillId="0" borderId="11" xfId="56" applyFont="1" applyFill="1" applyBorder="1" applyAlignment="1">
      <alignment/>
      <protection/>
    </xf>
    <xf numFmtId="1" fontId="7" fillId="0" borderId="15" xfId="56" applyNumberFormat="1" applyFont="1" applyFill="1" applyBorder="1" applyAlignment="1">
      <alignment/>
      <protection/>
    </xf>
    <xf numFmtId="1" fontId="7" fillId="0" borderId="17" xfId="56" applyNumberFormat="1" applyFont="1" applyFill="1" applyBorder="1" applyAlignment="1">
      <alignment/>
      <protection/>
    </xf>
    <xf numFmtId="1" fontId="8" fillId="0" borderId="28" xfId="56" applyNumberFormat="1" applyFont="1" applyFill="1" applyBorder="1" applyAlignment="1">
      <alignment horizontal="left"/>
      <protection/>
    </xf>
    <xf numFmtId="168" fontId="8" fillId="0" borderId="11" xfId="0" applyNumberFormat="1" applyFont="1" applyFill="1" applyBorder="1" applyAlignment="1">
      <alignment horizontal="right"/>
    </xf>
    <xf numFmtId="168" fontId="8" fillId="0" borderId="19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24" xfId="56" applyNumberFormat="1" applyFont="1" applyFill="1" applyBorder="1" applyAlignment="1">
      <alignment horizontal="right"/>
      <protection/>
    </xf>
    <xf numFmtId="1" fontId="7" fillId="0" borderId="13" xfId="56" applyNumberFormat="1" applyFont="1" applyFill="1" applyBorder="1" applyAlignment="1">
      <alignment horizontal="left"/>
      <protection/>
    </xf>
    <xf numFmtId="0" fontId="8" fillId="0" borderId="11" xfId="56" applyFont="1" applyFill="1" applyBorder="1" applyAlignment="1">
      <alignment horizontal="left" shrinkToFit="1"/>
      <protection/>
    </xf>
    <xf numFmtId="0" fontId="8" fillId="0" borderId="24" xfId="56" applyFont="1" applyFill="1" applyBorder="1" applyAlignment="1">
      <alignment/>
      <protection/>
    </xf>
    <xf numFmtId="1" fontId="17" fillId="0" borderId="11" xfId="56" applyNumberFormat="1" applyFont="1" applyFill="1" applyBorder="1" applyAlignment="1">
      <alignment horizontal="center"/>
      <protection/>
    </xf>
    <xf numFmtId="0" fontId="17" fillId="0" borderId="11" xfId="56" applyFont="1" applyFill="1" applyBorder="1" applyAlignment="1">
      <alignment/>
      <protection/>
    </xf>
    <xf numFmtId="3" fontId="8" fillId="0" borderId="24" xfId="51" applyNumberFormat="1" applyFont="1" applyFill="1" applyBorder="1" applyAlignment="1">
      <alignment horizontal="right"/>
      <protection/>
    </xf>
    <xf numFmtId="168" fontId="7" fillId="0" borderId="17" xfId="59" applyNumberFormat="1" applyFont="1" applyBorder="1" applyAlignment="1">
      <alignment horizontal="center"/>
      <protection/>
    </xf>
    <xf numFmtId="1" fontId="8" fillId="0" borderId="14" xfId="56" applyNumberFormat="1" applyFont="1" applyFill="1" applyBorder="1" applyAlignment="1">
      <alignment horizontal="left"/>
      <protection/>
    </xf>
    <xf numFmtId="1" fontId="8" fillId="0" borderId="15" xfId="56" applyNumberFormat="1" applyFont="1" applyFill="1" applyBorder="1" applyAlignment="1">
      <alignment horizontal="center"/>
      <protection/>
    </xf>
    <xf numFmtId="0" fontId="8" fillId="0" borderId="15" xfId="56" applyFont="1" applyFill="1" applyBorder="1" applyAlignment="1">
      <alignment horizontal="left"/>
      <protection/>
    </xf>
    <xf numFmtId="3" fontId="7" fillId="0" borderId="15" xfId="56" applyNumberFormat="1" applyFont="1" applyFill="1" applyBorder="1" applyAlignment="1">
      <alignment horizontal="right"/>
      <protection/>
    </xf>
    <xf numFmtId="168" fontId="7" fillId="0" borderId="12" xfId="0" applyNumberFormat="1" applyFont="1" applyBorder="1" applyAlignment="1">
      <alignment/>
    </xf>
    <xf numFmtId="1" fontId="11" fillId="0" borderId="15" xfId="56" applyNumberFormat="1" applyFont="1" applyFill="1" applyBorder="1" applyAlignment="1">
      <alignment/>
      <protection/>
    </xf>
    <xf numFmtId="0" fontId="11" fillId="0" borderId="10" xfId="56" applyFont="1" applyFill="1" applyBorder="1" applyAlignment="1">
      <alignment/>
      <protection/>
    </xf>
    <xf numFmtId="0" fontId="7" fillId="0" borderId="11" xfId="56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" fontId="8" fillId="0" borderId="13" xfId="51" applyNumberFormat="1" applyFont="1" applyFill="1" applyBorder="1" applyAlignment="1">
      <alignment horizontal="left"/>
      <protection/>
    </xf>
    <xf numFmtId="1" fontId="8" fillId="0" borderId="11" xfId="51" applyNumberFormat="1" applyFont="1" applyFill="1" applyBorder="1" applyAlignment="1">
      <alignment horizontal="center"/>
      <protection/>
    </xf>
    <xf numFmtId="0" fontId="8" fillId="0" borderId="11" xfId="51" applyFont="1" applyFill="1" applyBorder="1" applyAlignment="1">
      <alignment/>
      <protection/>
    </xf>
    <xf numFmtId="168" fontId="8" fillId="0" borderId="11" xfId="51" applyNumberFormat="1" applyFont="1" applyFill="1" applyBorder="1" applyAlignment="1">
      <alignment horizontal="right"/>
      <protection/>
    </xf>
    <xf numFmtId="168" fontId="8" fillId="0" borderId="19" xfId="51" applyNumberFormat="1" applyFont="1" applyFill="1" applyBorder="1" applyAlignment="1">
      <alignment horizontal="right"/>
      <protection/>
    </xf>
    <xf numFmtId="0" fontId="8" fillId="0" borderId="11" xfId="56" applyFont="1" applyFill="1" applyBorder="1">
      <alignment/>
      <protection/>
    </xf>
    <xf numFmtId="0" fontId="8" fillId="0" borderId="11" xfId="59" applyNumberFormat="1" applyFont="1" applyFill="1" applyBorder="1" applyAlignment="1">
      <alignment horizontal="left"/>
      <protection/>
    </xf>
    <xf numFmtId="1" fontId="8" fillId="0" borderId="13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49" fontId="8" fillId="0" borderId="23" xfId="56" applyNumberFormat="1" applyFont="1" applyFill="1" applyBorder="1" applyAlignment="1">
      <alignment horizontal="left" shrinkToFit="1"/>
      <protection/>
    </xf>
    <xf numFmtId="0" fontId="8" fillId="0" borderId="12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49" fontId="8" fillId="0" borderId="13" xfId="56" applyNumberFormat="1" applyFont="1" applyFill="1" applyBorder="1" applyAlignment="1">
      <alignment horizontal="left" shrinkToFit="1"/>
      <protection/>
    </xf>
    <xf numFmtId="1" fontId="8" fillId="0" borderId="11" xfId="56" applyNumberFormat="1" applyFont="1" applyFill="1" applyBorder="1" applyAlignment="1">
      <alignment horizontal="left"/>
      <protection/>
    </xf>
    <xf numFmtId="3" fontId="7" fillId="0" borderId="10" xfId="59" applyNumberFormat="1" applyFont="1" applyFill="1" applyBorder="1" applyAlignment="1">
      <alignment horizontal="center"/>
      <protection/>
    </xf>
    <xf numFmtId="168" fontId="7" fillId="0" borderId="10" xfId="59" applyNumberFormat="1" applyFont="1" applyFill="1" applyBorder="1" applyAlignment="1">
      <alignment horizontal="center"/>
      <protection/>
    </xf>
    <xf numFmtId="3" fontId="7" fillId="0" borderId="28" xfId="59" applyNumberFormat="1" applyFont="1" applyFill="1" applyBorder="1" applyAlignment="1">
      <alignment horizontal="center"/>
      <protection/>
    </xf>
    <xf numFmtId="168" fontId="8" fillId="0" borderId="28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68" fontId="7" fillId="0" borderId="15" xfId="56" applyNumberFormat="1" applyFont="1" applyFill="1" applyBorder="1" applyAlignment="1">
      <alignment horizontal="right"/>
      <protection/>
    </xf>
    <xf numFmtId="3" fontId="7" fillId="0" borderId="28" xfId="0" applyNumberFormat="1" applyFont="1" applyFill="1" applyBorder="1" applyAlignment="1">
      <alignment horizontal="right"/>
    </xf>
    <xf numFmtId="168" fontId="7" fillId="0" borderId="28" xfId="56" applyNumberFormat="1" applyFont="1" applyFill="1" applyBorder="1" applyAlignment="1">
      <alignment horizontal="right"/>
      <protection/>
    </xf>
    <xf numFmtId="3" fontId="7" fillId="0" borderId="11" xfId="0" applyNumberFormat="1" applyFont="1" applyFill="1" applyBorder="1" applyAlignment="1">
      <alignment horizontal="right"/>
    </xf>
    <xf numFmtId="168" fontId="7" fillId="0" borderId="11" xfId="56" applyNumberFormat="1" applyFont="1" applyFill="1" applyBorder="1" applyAlignment="1">
      <alignment horizontal="right"/>
      <protection/>
    </xf>
    <xf numFmtId="168" fontId="7" fillId="0" borderId="24" xfId="56" applyNumberFormat="1" applyFont="1" applyFill="1" applyBorder="1" applyAlignment="1">
      <alignment horizontal="right"/>
      <protection/>
    </xf>
    <xf numFmtId="168" fontId="8" fillId="0" borderId="24" xfId="51" applyNumberFormat="1" applyFont="1" applyFill="1" applyBorder="1" applyAlignment="1">
      <alignment horizontal="right"/>
      <protection/>
    </xf>
    <xf numFmtId="168" fontId="7" fillId="0" borderId="15" xfId="51" applyNumberFormat="1" applyFont="1" applyFill="1" applyBorder="1" applyAlignment="1">
      <alignment horizontal="right"/>
      <protection/>
    </xf>
    <xf numFmtId="168" fontId="8" fillId="0" borderId="28" xfId="51" applyNumberFormat="1" applyFont="1" applyFill="1" applyBorder="1" applyAlignment="1">
      <alignment horizontal="right"/>
      <protection/>
    </xf>
    <xf numFmtId="3" fontId="7" fillId="0" borderId="24" xfId="0" applyNumberFormat="1" applyFont="1" applyFill="1" applyBorder="1" applyAlignment="1">
      <alignment horizontal="right"/>
    </xf>
    <xf numFmtId="168" fontId="7" fillId="0" borderId="10" xfId="56" applyNumberFormat="1" applyFont="1" applyFill="1" applyBorder="1" applyAlignment="1">
      <alignment horizontal="right"/>
      <protection/>
    </xf>
    <xf numFmtId="3" fontId="8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17" xfId="56" applyFont="1" applyFill="1" applyBorder="1" applyAlignment="1">
      <alignment/>
      <protection/>
    </xf>
    <xf numFmtId="3" fontId="8" fillId="0" borderId="11" xfId="59" applyNumberFormat="1" applyFont="1" applyFill="1" applyBorder="1">
      <alignment/>
      <protection/>
    </xf>
    <xf numFmtId="3" fontId="8" fillId="0" borderId="12" xfId="59" applyNumberFormat="1" applyFont="1" applyFill="1" applyBorder="1">
      <alignment/>
      <protection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7" fillId="0" borderId="10" xfId="56" applyFont="1" applyFill="1" applyBorder="1" applyAlignment="1">
      <alignment horizontal="center"/>
      <protection/>
    </xf>
    <xf numFmtId="1" fontId="7" fillId="0" borderId="10" xfId="56" applyNumberFormat="1" applyFont="1" applyFill="1" applyBorder="1" applyAlignment="1">
      <alignment horizontal="center"/>
      <protection/>
    </xf>
    <xf numFmtId="168" fontId="7" fillId="0" borderId="16" xfId="59" applyNumberFormat="1" applyFont="1" applyFill="1" applyBorder="1" applyAlignment="1">
      <alignment horizontal="center"/>
      <protection/>
    </xf>
    <xf numFmtId="0" fontId="16" fillId="0" borderId="0" xfId="56" applyFont="1" applyFill="1">
      <alignment/>
      <protection/>
    </xf>
    <xf numFmtId="168" fontId="8" fillId="0" borderId="29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68" fontId="7" fillId="0" borderId="11" xfId="0" applyNumberFormat="1" applyFont="1" applyFill="1" applyBorder="1" applyAlignment="1">
      <alignment horizontal="right"/>
    </xf>
    <xf numFmtId="168" fontId="7" fillId="0" borderId="19" xfId="0" applyNumberFormat="1" applyFont="1" applyFill="1" applyBorder="1" applyAlignment="1">
      <alignment horizontal="right"/>
    </xf>
    <xf numFmtId="0" fontId="8" fillId="0" borderId="11" xfId="51" applyFont="1" applyFill="1" applyBorder="1" applyAlignment="1">
      <alignment horizontal="left"/>
      <protection/>
    </xf>
    <xf numFmtId="0" fontId="16" fillId="0" borderId="0" xfId="56" applyFont="1" applyFill="1" applyBorder="1">
      <alignment/>
      <protection/>
    </xf>
    <xf numFmtId="168" fontId="7" fillId="0" borderId="24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>
      <alignment horizontal="right"/>
    </xf>
    <xf numFmtId="3" fontId="7" fillId="0" borderId="10" xfId="56" applyNumberFormat="1" applyFont="1" applyFill="1" applyBorder="1" applyAlignment="1">
      <alignment horizontal="right"/>
      <protection/>
    </xf>
    <xf numFmtId="168" fontId="7" fillId="0" borderId="10" xfId="0" applyNumberFormat="1" applyFont="1" applyFill="1" applyBorder="1" applyAlignment="1">
      <alignment horizontal="right"/>
    </xf>
    <xf numFmtId="168" fontId="7" fillId="0" borderId="16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8" fillId="0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3" fontId="8" fillId="0" borderId="30" xfId="0" applyNumberFormat="1" applyFont="1" applyFill="1" applyBorder="1" applyAlignment="1">
      <alignment horizontal="right"/>
    </xf>
    <xf numFmtId="168" fontId="8" fillId="0" borderId="30" xfId="0" applyNumberFormat="1" applyFont="1" applyFill="1" applyBorder="1" applyAlignment="1">
      <alignment horizontal="right"/>
    </xf>
    <xf numFmtId="3" fontId="7" fillId="0" borderId="10" xfId="59" applyNumberFormat="1" applyFont="1" applyFill="1" applyBorder="1" applyAlignment="1">
      <alignment horizontal="center" shrinkToFit="1"/>
      <protection/>
    </xf>
    <xf numFmtId="1" fontId="7" fillId="0" borderId="31" xfId="56" applyNumberFormat="1" applyFont="1" applyFill="1" applyBorder="1" applyAlignment="1">
      <alignment horizontal="left"/>
      <protection/>
    </xf>
    <xf numFmtId="1" fontId="7" fillId="0" borderId="17" xfId="56" applyNumberFormat="1" applyFont="1" applyFill="1" applyBorder="1" applyAlignment="1">
      <alignment horizontal="center"/>
      <protection/>
    </xf>
    <xf numFmtId="0" fontId="7" fillId="0" borderId="17" xfId="56" applyFont="1" applyFill="1" applyBorder="1" applyAlignment="1">
      <alignment horizontal="center"/>
      <protection/>
    </xf>
    <xf numFmtId="3" fontId="7" fillId="0" borderId="17" xfId="59" applyNumberFormat="1" applyFont="1" applyFill="1" applyBorder="1" applyAlignment="1">
      <alignment horizontal="center"/>
      <protection/>
    </xf>
    <xf numFmtId="168" fontId="7" fillId="0" borderId="17" xfId="59" applyNumberFormat="1" applyFont="1" applyFill="1" applyBorder="1" applyAlignment="1">
      <alignment horizontal="center"/>
      <protection/>
    </xf>
    <xf numFmtId="168" fontId="7" fillId="0" borderId="32" xfId="59" applyNumberFormat="1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/>
    </xf>
    <xf numFmtId="1" fontId="8" fillId="0" borderId="23" xfId="51" applyNumberFormat="1" applyFont="1" applyFill="1" applyBorder="1" applyAlignment="1">
      <alignment horizontal="left"/>
      <protection/>
    </xf>
    <xf numFmtId="1" fontId="8" fillId="0" borderId="24" xfId="51" applyNumberFormat="1" applyFont="1" applyFill="1" applyBorder="1" applyAlignment="1">
      <alignment horizontal="center"/>
      <protection/>
    </xf>
    <xf numFmtId="168" fontId="7" fillId="0" borderId="22" xfId="51" applyNumberFormat="1" applyFont="1" applyFill="1" applyBorder="1" applyAlignment="1">
      <alignment horizontal="right"/>
      <protection/>
    </xf>
    <xf numFmtId="1" fontId="8" fillId="0" borderId="20" xfId="51" applyNumberFormat="1" applyFont="1" applyFill="1" applyBorder="1" applyAlignment="1">
      <alignment horizontal="left"/>
      <protection/>
    </xf>
    <xf numFmtId="1" fontId="8" fillId="0" borderId="10" xfId="51" applyNumberFormat="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/>
      <protection/>
    </xf>
    <xf numFmtId="0" fontId="8" fillId="0" borderId="10" xfId="51" applyFont="1" applyFill="1" applyBorder="1" applyAlignment="1">
      <alignment horizontal="left"/>
      <protection/>
    </xf>
    <xf numFmtId="168" fontId="7" fillId="0" borderId="15" xfId="0" applyNumberFormat="1" applyFont="1" applyFill="1" applyBorder="1" applyAlignment="1">
      <alignment horizontal="right"/>
    </xf>
    <xf numFmtId="168" fontId="7" fillId="0" borderId="22" xfId="0" applyNumberFormat="1" applyFont="1" applyFill="1" applyBorder="1" applyAlignment="1">
      <alignment horizontal="right"/>
    </xf>
    <xf numFmtId="1" fontId="8" fillId="0" borderId="31" xfId="0" applyNumberFormat="1" applyFont="1" applyFill="1" applyBorder="1" applyAlignment="1">
      <alignment horizontal="left"/>
    </xf>
    <xf numFmtId="0" fontId="8" fillId="0" borderId="33" xfId="0" applyFont="1" applyFill="1" applyBorder="1" applyAlignment="1">
      <alignment/>
    </xf>
    <xf numFmtId="1" fontId="8" fillId="0" borderId="33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left"/>
    </xf>
    <xf numFmtId="3" fontId="8" fillId="0" borderId="33" xfId="0" applyNumberFormat="1" applyFont="1" applyFill="1" applyBorder="1" applyAlignment="1">
      <alignment horizontal="right"/>
    </xf>
    <xf numFmtId="168" fontId="8" fillId="0" borderId="33" xfId="0" applyNumberFormat="1" applyFont="1" applyFill="1" applyBorder="1" applyAlignment="1">
      <alignment horizontal="right"/>
    </xf>
    <xf numFmtId="1" fontId="8" fillId="0" borderId="24" xfId="0" applyNumberFormat="1" applyFont="1" applyFill="1" applyBorder="1" applyAlignment="1">
      <alignment horizontal="center"/>
    </xf>
    <xf numFmtId="3" fontId="8" fillId="0" borderId="34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168" fontId="8" fillId="0" borderId="24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1" fontId="7" fillId="0" borderId="27" xfId="56" applyNumberFormat="1" applyFont="1" applyFill="1" applyBorder="1" applyAlignment="1">
      <alignment horizontal="left"/>
      <protection/>
    </xf>
    <xf numFmtId="1" fontId="7" fillId="0" borderId="28" xfId="56" applyNumberFormat="1" applyFont="1" applyFill="1" applyBorder="1" applyAlignment="1">
      <alignment horizontal="center"/>
      <protection/>
    </xf>
    <xf numFmtId="0" fontId="7" fillId="0" borderId="28" xfId="56" applyFont="1" applyFill="1" applyBorder="1" applyAlignment="1">
      <alignment horizontal="center"/>
      <protection/>
    </xf>
    <xf numFmtId="3" fontId="8" fillId="0" borderId="11" xfId="42" applyNumberFormat="1" applyFont="1" applyFill="1" applyBorder="1" applyAlignment="1">
      <alignment horizontal="right"/>
      <protection/>
    </xf>
    <xf numFmtId="1" fontId="8" fillId="0" borderId="15" xfId="56" applyNumberFormat="1" applyFont="1" applyFill="1" applyBorder="1" applyAlignment="1">
      <alignment horizontal="left"/>
      <protection/>
    </xf>
    <xf numFmtId="0" fontId="8" fillId="0" borderId="15" xfId="0" applyFont="1" applyFill="1" applyBorder="1" applyAlignment="1">
      <alignment/>
    </xf>
    <xf numFmtId="168" fontId="7" fillId="0" borderId="22" xfId="56" applyNumberFormat="1" applyFont="1" applyFill="1" applyBorder="1" applyAlignment="1">
      <alignment horizontal="right"/>
      <protection/>
    </xf>
    <xf numFmtId="1" fontId="8" fillId="0" borderId="31" xfId="56" applyNumberFormat="1" applyFont="1" applyFill="1" applyBorder="1" applyAlignment="1">
      <alignment horizontal="left"/>
      <protection/>
    </xf>
    <xf numFmtId="1" fontId="8" fillId="0" borderId="17" xfId="56" applyNumberFormat="1" applyFont="1" applyFill="1" applyBorder="1" applyAlignment="1">
      <alignment horizontal="center"/>
      <protection/>
    </xf>
    <xf numFmtId="1" fontId="8" fillId="0" borderId="17" xfId="56" applyNumberFormat="1" applyFont="1" applyFill="1" applyBorder="1" applyAlignment="1">
      <alignment horizontal="left"/>
      <protection/>
    </xf>
    <xf numFmtId="0" fontId="8" fillId="0" borderId="28" xfId="0" applyFont="1" applyFill="1" applyBorder="1" applyAlignment="1">
      <alignment/>
    </xf>
    <xf numFmtId="168" fontId="7" fillId="0" borderId="32" xfId="56" applyNumberFormat="1" applyFont="1" applyFill="1" applyBorder="1" applyAlignment="1">
      <alignment horizontal="right"/>
      <protection/>
    </xf>
    <xf numFmtId="168" fontId="7" fillId="0" borderId="19" xfId="56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8" fillId="0" borderId="11" xfId="51" applyNumberFormat="1" applyFont="1" applyFill="1" applyBorder="1" applyAlignment="1">
      <alignment horizontal="center"/>
      <protection/>
    </xf>
    <xf numFmtId="1" fontId="8" fillId="0" borderId="27" xfId="51" applyNumberFormat="1" applyFont="1" applyFill="1" applyBorder="1" applyAlignment="1">
      <alignment horizontal="left"/>
      <protection/>
    </xf>
    <xf numFmtId="1" fontId="8" fillId="0" borderId="28" xfId="51" applyNumberFormat="1" applyFont="1" applyFill="1" applyBorder="1" applyAlignment="1">
      <alignment horizontal="center"/>
      <protection/>
    </xf>
    <xf numFmtId="0" fontId="8" fillId="0" borderId="28" xfId="51" applyFont="1" applyFill="1" applyBorder="1" applyAlignment="1">
      <alignment/>
      <protection/>
    </xf>
    <xf numFmtId="0" fontId="8" fillId="0" borderId="28" xfId="51" applyFont="1" applyFill="1" applyBorder="1" applyAlignment="1">
      <alignment horizontal="left"/>
      <protection/>
    </xf>
    <xf numFmtId="168" fontId="7" fillId="0" borderId="29" xfId="56" applyNumberFormat="1" applyFont="1" applyFill="1" applyBorder="1" applyAlignment="1">
      <alignment horizontal="right"/>
      <protection/>
    </xf>
    <xf numFmtId="1" fontId="7" fillId="0" borderId="13" xfId="51" applyNumberFormat="1" applyFont="1" applyFill="1" applyBorder="1" applyAlignment="1">
      <alignment horizontal="left"/>
      <protection/>
    </xf>
    <xf numFmtId="1" fontId="8" fillId="0" borderId="11" xfId="59" applyNumberFormat="1" applyFont="1" applyFill="1" applyBorder="1" applyAlignment="1">
      <alignment horizontal="center"/>
      <protection/>
    </xf>
    <xf numFmtId="168" fontId="7" fillId="0" borderId="26" xfId="56" applyNumberFormat="1" applyFont="1" applyFill="1" applyBorder="1" applyAlignment="1">
      <alignment horizontal="right"/>
      <protection/>
    </xf>
    <xf numFmtId="1" fontId="8" fillId="0" borderId="13" xfId="51" applyNumberFormat="1" applyFont="1" applyFill="1" applyBorder="1" applyAlignment="1">
      <alignment horizontal="left"/>
      <protection/>
    </xf>
    <xf numFmtId="168" fontId="8" fillId="0" borderId="29" xfId="51" applyNumberFormat="1" applyFont="1" applyFill="1" applyBorder="1" applyAlignment="1">
      <alignment horizontal="right"/>
      <protection/>
    </xf>
    <xf numFmtId="1" fontId="8" fillId="0" borderId="24" xfId="56" applyNumberFormat="1" applyFont="1" applyFill="1" applyBorder="1" applyAlignment="1">
      <alignment horizontal="left"/>
      <protection/>
    </xf>
    <xf numFmtId="0" fontId="8" fillId="0" borderId="24" xfId="0" applyFont="1" applyFill="1" applyBorder="1" applyAlignment="1">
      <alignment/>
    </xf>
    <xf numFmtId="178" fontId="8" fillId="0" borderId="11" xfId="51" applyNumberFormat="1" applyFont="1" applyFill="1" applyBorder="1" applyAlignment="1">
      <alignment horizontal="left"/>
      <protection/>
    </xf>
    <xf numFmtId="3" fontId="7" fillId="0" borderId="10" xfId="0" applyNumberFormat="1" applyFont="1" applyFill="1" applyBorder="1" applyAlignment="1">
      <alignment horizontal="right"/>
    </xf>
    <xf numFmtId="168" fontId="7" fillId="0" borderId="16" xfId="56" applyNumberFormat="1" applyFont="1" applyFill="1" applyBorder="1" applyAlignment="1">
      <alignment horizontal="right"/>
      <protection/>
    </xf>
    <xf numFmtId="0" fontId="2" fillId="0" borderId="0" xfId="59" applyFill="1">
      <alignment/>
      <protection/>
    </xf>
    <xf numFmtId="168" fontId="11" fillId="0" borderId="10" xfId="59" applyNumberFormat="1" applyFont="1" applyFill="1" applyBorder="1">
      <alignment/>
      <protection/>
    </xf>
    <xf numFmtId="168" fontId="11" fillId="0" borderId="16" xfId="59" applyNumberFormat="1" applyFont="1" applyFill="1" applyBorder="1">
      <alignment/>
      <protection/>
    </xf>
    <xf numFmtId="0" fontId="2" fillId="0" borderId="0" xfId="59" applyFill="1" applyAlignment="1">
      <alignment horizontal="left"/>
      <protection/>
    </xf>
    <xf numFmtId="0" fontId="2" fillId="0" borderId="0" xfId="59" applyFill="1" applyAlignment="1">
      <alignment horizontal="center"/>
      <protection/>
    </xf>
    <xf numFmtId="3" fontId="2" fillId="0" borderId="0" xfId="59" applyNumberFormat="1" applyFill="1">
      <alignment/>
      <protection/>
    </xf>
    <xf numFmtId="168" fontId="8" fillId="0" borderId="0" xfId="59" applyNumberFormat="1" applyFont="1" applyFill="1">
      <alignment/>
      <protection/>
    </xf>
    <xf numFmtId="1" fontId="7" fillId="0" borderId="20" xfId="56" applyNumberFormat="1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" fontId="8" fillId="0" borderId="14" xfId="51" applyNumberFormat="1" applyFont="1" applyFill="1" applyBorder="1" applyAlignment="1">
      <alignment horizontal="left"/>
      <protection/>
    </xf>
    <xf numFmtId="1" fontId="8" fillId="0" borderId="15" xfId="51" applyNumberFormat="1" applyFont="1" applyFill="1" applyBorder="1" applyAlignment="1">
      <alignment horizontal="center"/>
      <protection/>
    </xf>
    <xf numFmtId="0" fontId="8" fillId="0" borderId="15" xfId="51" applyFont="1" applyFill="1" applyBorder="1" applyAlignment="1">
      <alignment/>
      <protection/>
    </xf>
    <xf numFmtId="0" fontId="8" fillId="0" borderId="15" xfId="51" applyFont="1" applyFill="1" applyBorder="1" applyAlignment="1">
      <alignment horizontal="left"/>
      <protection/>
    </xf>
    <xf numFmtId="3" fontId="7" fillId="0" borderId="15" xfId="51" applyNumberFormat="1" applyFont="1" applyFill="1" applyBorder="1" applyAlignment="1">
      <alignment horizontal="right"/>
      <protection/>
    </xf>
    <xf numFmtId="1" fontId="8" fillId="0" borderId="35" xfId="51" applyNumberFormat="1" applyFont="1" applyFill="1" applyBorder="1" applyAlignment="1">
      <alignment horizontal="left"/>
      <protection/>
    </xf>
    <xf numFmtId="1" fontId="8" fillId="0" borderId="33" xfId="51" applyNumberFormat="1" applyFont="1" applyFill="1" applyBorder="1" applyAlignment="1">
      <alignment horizontal="center"/>
      <protection/>
    </xf>
    <xf numFmtId="0" fontId="8" fillId="0" borderId="33" xfId="51" applyFont="1" applyFill="1" applyBorder="1" applyAlignment="1">
      <alignment/>
      <protection/>
    </xf>
    <xf numFmtId="1" fontId="11" fillId="0" borderId="33" xfId="56" applyNumberFormat="1" applyFont="1" applyFill="1" applyBorder="1" applyAlignment="1">
      <alignment/>
      <protection/>
    </xf>
    <xf numFmtId="0" fontId="8" fillId="0" borderId="33" xfId="51" applyFont="1" applyFill="1" applyBorder="1" applyAlignment="1">
      <alignment horizontal="left"/>
      <protection/>
    </xf>
    <xf numFmtId="3" fontId="7" fillId="0" borderId="33" xfId="51" applyNumberFormat="1" applyFont="1" applyFill="1" applyBorder="1" applyAlignment="1">
      <alignment horizontal="right"/>
      <protection/>
    </xf>
    <xf numFmtId="168" fontId="7" fillId="0" borderId="33" xfId="51" applyNumberFormat="1" applyFont="1" applyFill="1" applyBorder="1" applyAlignment="1">
      <alignment horizontal="right"/>
      <protection/>
    </xf>
    <xf numFmtId="168" fontId="7" fillId="0" borderId="36" xfId="51" applyNumberFormat="1" applyFont="1" applyFill="1" applyBorder="1" applyAlignment="1">
      <alignment horizontal="right"/>
      <protection/>
    </xf>
    <xf numFmtId="1" fontId="7" fillId="0" borderId="11" xfId="56" applyNumberFormat="1" applyFont="1" applyFill="1" applyBorder="1" applyAlignment="1">
      <alignment horizontal="center"/>
      <protection/>
    </xf>
    <xf numFmtId="0" fontId="7" fillId="0" borderId="11" xfId="56" applyFont="1" applyFill="1" applyBorder="1" applyAlignment="1">
      <alignment horizontal="center"/>
      <protection/>
    </xf>
    <xf numFmtId="3" fontId="7" fillId="0" borderId="11" xfId="59" applyNumberFormat="1" applyFont="1" applyFill="1" applyBorder="1" applyAlignment="1">
      <alignment horizontal="center"/>
      <protection/>
    </xf>
    <xf numFmtId="168" fontId="7" fillId="0" borderId="11" xfId="59" applyNumberFormat="1" applyFont="1" applyFill="1" applyBorder="1" applyAlignment="1">
      <alignment horizontal="center"/>
      <protection/>
    </xf>
    <xf numFmtId="168" fontId="7" fillId="0" borderId="19" xfId="59" applyNumberFormat="1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left" shrinkToFit="1"/>
    </xf>
    <xf numFmtId="0" fontId="0" fillId="0" borderId="0" xfId="0" applyFont="1" applyFill="1" applyAlignment="1">
      <alignment/>
    </xf>
    <xf numFmtId="0" fontId="8" fillId="0" borderId="24" xfId="51" applyFont="1" applyFill="1" applyBorder="1" applyAlignment="1">
      <alignment/>
      <protection/>
    </xf>
    <xf numFmtId="0" fontId="8" fillId="0" borderId="24" xfId="51" applyFont="1" applyFill="1" applyBorder="1" applyAlignment="1">
      <alignment horizontal="left"/>
      <protection/>
    </xf>
    <xf numFmtId="0" fontId="4" fillId="0" borderId="31" xfId="59" applyFont="1" applyFill="1" applyBorder="1" applyAlignment="1">
      <alignment horizontal="center"/>
      <protection/>
    </xf>
    <xf numFmtId="0" fontId="4" fillId="0" borderId="17" xfId="59" applyFont="1" applyBorder="1" applyAlignment="1">
      <alignment horizontal="center"/>
      <protection/>
    </xf>
    <xf numFmtId="3" fontId="7" fillId="0" borderId="17" xfId="59" applyNumberFormat="1" applyFont="1" applyBorder="1" applyAlignment="1">
      <alignment horizontal="center"/>
      <protection/>
    </xf>
    <xf numFmtId="3" fontId="7" fillId="0" borderId="18" xfId="59" applyNumberFormat="1" applyFont="1" applyBorder="1" applyAlignment="1">
      <alignment horizontal="center"/>
      <protection/>
    </xf>
    <xf numFmtId="168" fontId="7" fillId="0" borderId="18" xfId="59" applyNumberFormat="1" applyFont="1" applyBorder="1" applyAlignment="1">
      <alignment horizontal="center"/>
      <protection/>
    </xf>
    <xf numFmtId="168" fontId="7" fillId="0" borderId="32" xfId="59" applyNumberFormat="1" applyFont="1" applyBorder="1" applyAlignment="1">
      <alignment horizontal="center"/>
      <protection/>
    </xf>
    <xf numFmtId="1" fontId="7" fillId="0" borderId="13" xfId="56" applyNumberFormat="1" applyFont="1" applyFill="1" applyBorder="1" applyAlignment="1">
      <alignment/>
      <protection/>
    </xf>
    <xf numFmtId="1" fontId="7" fillId="0" borderId="11" xfId="56" applyNumberFormat="1" applyFont="1" applyFill="1" applyBorder="1" applyAlignment="1">
      <alignment/>
      <protection/>
    </xf>
    <xf numFmtId="3" fontId="7" fillId="0" borderId="11" xfId="51" applyNumberFormat="1" applyFont="1" applyFill="1" applyBorder="1" applyAlignment="1">
      <alignment horizontal="right"/>
      <protection/>
    </xf>
    <xf numFmtId="168" fontId="7" fillId="0" borderId="11" xfId="51" applyNumberFormat="1" applyFont="1" applyFill="1" applyBorder="1" applyAlignment="1">
      <alignment horizontal="right"/>
      <protection/>
    </xf>
    <xf numFmtId="168" fontId="7" fillId="0" borderId="19" xfId="51" applyNumberFormat="1" applyFont="1" applyFill="1" applyBorder="1" applyAlignment="1">
      <alignment horizontal="right"/>
      <protection/>
    </xf>
    <xf numFmtId="0" fontId="7" fillId="33" borderId="37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" fontId="7" fillId="0" borderId="24" xfId="56" applyNumberFormat="1" applyFont="1" applyFill="1" applyBorder="1" applyAlignment="1">
      <alignment/>
      <protection/>
    </xf>
    <xf numFmtId="3" fontId="7" fillId="0" borderId="24" xfId="51" applyNumberFormat="1" applyFont="1" applyFill="1" applyBorder="1" applyAlignment="1">
      <alignment horizontal="right"/>
      <protection/>
    </xf>
    <xf numFmtId="168" fontId="7" fillId="0" borderId="24" xfId="51" applyNumberFormat="1" applyFont="1" applyFill="1" applyBorder="1" applyAlignment="1">
      <alignment horizontal="right"/>
      <protection/>
    </xf>
    <xf numFmtId="168" fontId="7" fillId="0" borderId="26" xfId="51" applyNumberFormat="1" applyFont="1" applyFill="1" applyBorder="1" applyAlignment="1">
      <alignment horizontal="right"/>
      <protection/>
    </xf>
    <xf numFmtId="1" fontId="7" fillId="0" borderId="10" xfId="56" applyNumberFormat="1" applyFont="1" applyFill="1" applyBorder="1" applyAlignment="1">
      <alignment/>
      <protection/>
    </xf>
    <xf numFmtId="3" fontId="7" fillId="0" borderId="10" xfId="51" applyNumberFormat="1" applyFont="1" applyFill="1" applyBorder="1" applyAlignment="1">
      <alignment horizontal="right"/>
      <protection/>
    </xf>
    <xf numFmtId="168" fontId="7" fillId="0" borderId="10" xfId="51" applyNumberFormat="1" applyFont="1" applyFill="1" applyBorder="1" applyAlignment="1">
      <alignment horizontal="right"/>
      <protection/>
    </xf>
    <xf numFmtId="168" fontId="7" fillId="0" borderId="16" xfId="51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 horizontal="right"/>
    </xf>
    <xf numFmtId="0" fontId="18" fillId="0" borderId="2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shrinkToFit="1"/>
    </xf>
    <xf numFmtId="49" fontId="7" fillId="0" borderId="41" xfId="0" applyNumberFormat="1" applyFont="1" applyFill="1" applyBorder="1" applyAlignment="1">
      <alignment horizontal="center" shrinkToFit="1"/>
    </xf>
    <xf numFmtId="0" fontId="8" fillId="0" borderId="0" xfId="0" applyFont="1" applyFill="1" applyAlignment="1">
      <alignment/>
    </xf>
    <xf numFmtId="0" fontId="19" fillId="0" borderId="13" xfId="58" applyFont="1" applyFill="1" applyBorder="1" applyAlignment="1">
      <alignment horizontal="left"/>
      <protection/>
    </xf>
    <xf numFmtId="0" fontId="20" fillId="0" borderId="11" xfId="59" applyFont="1" applyFill="1" applyBorder="1" applyAlignment="1">
      <alignment horizontal="left"/>
      <protection/>
    </xf>
    <xf numFmtId="0" fontId="20" fillId="0" borderId="12" xfId="59" applyFont="1" applyFill="1" applyBorder="1" applyAlignment="1">
      <alignment horizontal="left"/>
      <protection/>
    </xf>
    <xf numFmtId="3" fontId="8" fillId="0" borderId="12" xfId="59" applyNumberFormat="1" applyFont="1" applyFill="1" applyBorder="1" applyAlignment="1">
      <alignment horizontal="right"/>
      <protection/>
    </xf>
    <xf numFmtId="3" fontId="8" fillId="0" borderId="11" xfId="59" applyNumberFormat="1" applyFont="1" applyFill="1" applyBorder="1" applyAlignment="1">
      <alignment horizontal="right"/>
      <protection/>
    </xf>
    <xf numFmtId="168" fontId="7" fillId="0" borderId="42" xfId="0" applyNumberFormat="1" applyFont="1" applyFill="1" applyBorder="1" applyAlignment="1">
      <alignment horizontal="center"/>
    </xf>
    <xf numFmtId="168" fontId="7" fillId="0" borderId="43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right"/>
    </xf>
    <xf numFmtId="0" fontId="20" fillId="0" borderId="39" xfId="58" applyFont="1" applyFill="1" applyBorder="1" applyAlignment="1">
      <alignment horizontal="left"/>
      <protection/>
    </xf>
    <xf numFmtId="0" fontId="20" fillId="0" borderId="11" xfId="58" applyFont="1" applyFill="1" applyBorder="1" applyAlignment="1">
      <alignment horizontal="left"/>
      <protection/>
    </xf>
    <xf numFmtId="3" fontId="8" fillId="0" borderId="37" xfId="59" applyNumberFormat="1" applyFont="1" applyFill="1" applyBorder="1" applyAlignment="1">
      <alignment horizontal="right"/>
      <protection/>
    </xf>
    <xf numFmtId="168" fontId="8" fillId="0" borderId="19" xfId="59" applyNumberFormat="1" applyFont="1" applyFill="1" applyBorder="1" applyAlignment="1">
      <alignment horizontal="right"/>
      <protection/>
    </xf>
    <xf numFmtId="0" fontId="18" fillId="0" borderId="39" xfId="58" applyFont="1" applyFill="1" applyBorder="1" applyAlignment="1">
      <alignment horizontal="left"/>
      <protection/>
    </xf>
    <xf numFmtId="0" fontId="18" fillId="0" borderId="11" xfId="58" applyFont="1" applyFill="1" applyBorder="1" applyAlignment="1">
      <alignment horizontal="left"/>
      <protection/>
    </xf>
    <xf numFmtId="0" fontId="18" fillId="0" borderId="11" xfId="59" applyFont="1" applyFill="1" applyBorder="1" applyAlignment="1">
      <alignment horizontal="left"/>
      <protection/>
    </xf>
    <xf numFmtId="0" fontId="18" fillId="0" borderId="12" xfId="59" applyFont="1" applyFill="1" applyBorder="1" applyAlignment="1">
      <alignment horizontal="left"/>
      <protection/>
    </xf>
    <xf numFmtId="3" fontId="7" fillId="0" borderId="12" xfId="58" applyNumberFormat="1" applyFont="1" applyFill="1" applyBorder="1" applyAlignment="1">
      <alignment/>
      <protection/>
    </xf>
    <xf numFmtId="3" fontId="7" fillId="0" borderId="37" xfId="58" applyNumberFormat="1" applyFont="1" applyFill="1" applyBorder="1" applyAlignment="1">
      <alignment/>
      <protection/>
    </xf>
    <xf numFmtId="168" fontId="7" fillId="0" borderId="19" xfId="58" applyNumberFormat="1" applyFont="1" applyFill="1" applyBorder="1" applyAlignment="1">
      <alignment/>
      <protection/>
    </xf>
    <xf numFmtId="0" fontId="20" fillId="0" borderId="11" xfId="58" applyFont="1" applyFill="1" applyBorder="1" applyAlignment="1">
      <alignment horizontal="left" shrinkToFit="1"/>
      <protection/>
    </xf>
    <xf numFmtId="0" fontId="20" fillId="0" borderId="12" xfId="58" applyFont="1" applyFill="1" applyBorder="1" applyAlignment="1">
      <alignment horizontal="left"/>
      <protection/>
    </xf>
    <xf numFmtId="0" fontId="18" fillId="0" borderId="12" xfId="58" applyFont="1" applyFill="1" applyBorder="1" applyAlignment="1">
      <alignment horizontal="left"/>
      <protection/>
    </xf>
    <xf numFmtId="0" fontId="20" fillId="0" borderId="11" xfId="0" applyFont="1" applyFill="1" applyBorder="1" applyAlignment="1">
      <alignment horizontal="left"/>
    </xf>
    <xf numFmtId="0" fontId="18" fillId="0" borderId="11" xfId="55" applyFont="1" applyFill="1" applyBorder="1" applyAlignment="1">
      <alignment horizontal="left"/>
      <protection/>
    </xf>
    <xf numFmtId="0" fontId="18" fillId="0" borderId="12" xfId="55" applyFont="1" applyFill="1" applyBorder="1" applyAlignment="1">
      <alignment horizontal="left"/>
      <protection/>
    </xf>
    <xf numFmtId="0" fontId="20" fillId="0" borderId="11" xfId="55" applyFont="1" applyFill="1" applyBorder="1" applyAlignment="1">
      <alignment horizontal="left"/>
      <protection/>
    </xf>
    <xf numFmtId="0" fontId="20" fillId="0" borderId="12" xfId="55" applyFont="1" applyFill="1" applyBorder="1" applyAlignment="1">
      <alignment horizontal="left"/>
      <protection/>
    </xf>
    <xf numFmtId="3" fontId="8" fillId="0" borderId="12" xfId="58" applyNumberFormat="1" applyFont="1" applyFill="1" applyBorder="1" applyAlignment="1">
      <alignment/>
      <protection/>
    </xf>
    <xf numFmtId="3" fontId="8" fillId="0" borderId="37" xfId="58" applyNumberFormat="1" applyFont="1" applyFill="1" applyBorder="1" applyAlignment="1">
      <alignment/>
      <protection/>
    </xf>
    <xf numFmtId="168" fontId="8" fillId="0" borderId="19" xfId="58" applyNumberFormat="1" applyFont="1" applyFill="1" applyBorder="1" applyAlignment="1">
      <alignment/>
      <protection/>
    </xf>
    <xf numFmtId="0" fontId="18" fillId="0" borderId="45" xfId="59" applyFont="1" applyFill="1" applyBorder="1" applyAlignment="1">
      <alignment horizontal="left"/>
      <protection/>
    </xf>
    <xf numFmtId="0" fontId="18" fillId="0" borderId="15" xfId="59" applyFont="1" applyFill="1" applyBorder="1" applyAlignment="1">
      <alignment horizontal="left"/>
      <protection/>
    </xf>
    <xf numFmtId="0" fontId="18" fillId="0" borderId="21" xfId="59" applyFont="1" applyFill="1" applyBorder="1" applyAlignment="1">
      <alignment horizontal="left"/>
      <protection/>
    </xf>
    <xf numFmtId="3" fontId="7" fillId="0" borderId="21" xfId="59" applyNumberFormat="1" applyFont="1" applyFill="1" applyBorder="1" applyAlignment="1">
      <alignment/>
      <protection/>
    </xf>
    <xf numFmtId="3" fontId="7" fillId="0" borderId="46" xfId="59" applyNumberFormat="1" applyFont="1" applyFill="1" applyBorder="1" applyAlignment="1">
      <alignment/>
      <protection/>
    </xf>
    <xf numFmtId="168" fontId="7" fillId="0" borderId="22" xfId="59" applyNumberFormat="1" applyFont="1" applyFill="1" applyBorder="1" applyAlignment="1">
      <alignment/>
      <protection/>
    </xf>
    <xf numFmtId="0" fontId="18" fillId="0" borderId="47" xfId="52" applyFont="1" applyFill="1" applyBorder="1" applyAlignment="1">
      <alignment horizontal="left"/>
      <protection/>
    </xf>
    <xf numFmtId="0" fontId="18" fillId="0" borderId="48" xfId="52" applyFont="1" applyFill="1" applyBorder="1" applyAlignment="1">
      <alignment horizontal="left"/>
      <protection/>
    </xf>
    <xf numFmtId="0" fontId="18" fillId="0" borderId="48" xfId="52" applyFont="1" applyFill="1" applyBorder="1" applyAlignment="1">
      <alignment horizontal="left" wrapText="1"/>
      <protection/>
    </xf>
    <xf numFmtId="0" fontId="18" fillId="0" borderId="49" xfId="52" applyFont="1" applyFill="1" applyBorder="1" applyAlignment="1">
      <alignment horizontal="left" wrapText="1"/>
      <protection/>
    </xf>
    <xf numFmtId="3" fontId="7" fillId="0" borderId="49" xfId="52" applyNumberFormat="1" applyFont="1" applyFill="1" applyBorder="1" applyAlignment="1">
      <alignment/>
      <protection/>
    </xf>
    <xf numFmtId="3" fontId="7" fillId="0" borderId="50" xfId="52" applyNumberFormat="1" applyFont="1" applyFill="1" applyBorder="1" applyAlignment="1">
      <alignment/>
      <protection/>
    </xf>
    <xf numFmtId="168" fontId="7" fillId="0" borderId="43" xfId="52" applyNumberFormat="1" applyFont="1" applyFill="1" applyBorder="1" applyAlignment="1">
      <alignment/>
      <protection/>
    </xf>
    <xf numFmtId="0" fontId="19" fillId="0" borderId="39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20" fillId="0" borderId="51" xfId="0" applyFont="1" applyFill="1" applyBorder="1" applyAlignment="1">
      <alignment horizontal="center"/>
    </xf>
    <xf numFmtId="3" fontId="8" fillId="0" borderId="51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horizontal="center"/>
    </xf>
    <xf numFmtId="168" fontId="8" fillId="0" borderId="29" xfId="0" applyNumberFormat="1" applyFont="1" applyFill="1" applyBorder="1" applyAlignment="1">
      <alignment horizontal="center"/>
    </xf>
    <xf numFmtId="0" fontId="20" fillId="0" borderId="39" xfId="59" applyFont="1" applyFill="1" applyBorder="1" applyAlignment="1">
      <alignment horizontal="left"/>
      <protection/>
    </xf>
    <xf numFmtId="0" fontId="20" fillId="0" borderId="11" xfId="54" applyFont="1" applyFill="1" applyBorder="1">
      <alignment/>
      <protection/>
    </xf>
    <xf numFmtId="0" fontId="20" fillId="0" borderId="11" xfId="52" applyFont="1" applyFill="1" applyBorder="1" applyAlignment="1">
      <alignment horizontal="left" wrapText="1"/>
      <protection/>
    </xf>
    <xf numFmtId="3" fontId="8" fillId="0" borderId="51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0" fontId="20" fillId="0" borderId="51" xfId="0" applyFont="1" applyFill="1" applyBorder="1" applyAlignment="1">
      <alignment horizontal="left"/>
    </xf>
    <xf numFmtId="0" fontId="18" fillId="0" borderId="39" xfId="59" applyFont="1" applyFill="1" applyBorder="1" applyAlignment="1">
      <alignment horizontal="left"/>
      <protection/>
    </xf>
    <xf numFmtId="3" fontId="7" fillId="0" borderId="51" xfId="0" applyNumberFormat="1" applyFont="1" applyFill="1" applyBorder="1" applyAlignment="1">
      <alignment horizontal="right"/>
    </xf>
    <xf numFmtId="3" fontId="7" fillId="0" borderId="52" xfId="0" applyNumberFormat="1" applyFont="1" applyFill="1" applyBorder="1" applyAlignment="1">
      <alignment horizontal="right"/>
    </xf>
    <xf numFmtId="168" fontId="7" fillId="0" borderId="2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7" fillId="0" borderId="12" xfId="59" applyNumberFormat="1" applyFont="1" applyFill="1" applyBorder="1" applyAlignment="1">
      <alignment horizontal="right"/>
      <protection/>
    </xf>
    <xf numFmtId="3" fontId="7" fillId="0" borderId="37" xfId="59" applyNumberFormat="1" applyFont="1" applyFill="1" applyBorder="1" applyAlignment="1">
      <alignment horizontal="right"/>
      <protection/>
    </xf>
    <xf numFmtId="168" fontId="7" fillId="0" borderId="19" xfId="59" applyNumberFormat="1" applyFont="1" applyFill="1" applyBorder="1" applyAlignment="1">
      <alignment horizontal="right"/>
      <protection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/>
    </xf>
    <xf numFmtId="3" fontId="7" fillId="0" borderId="50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3" fontId="7" fillId="0" borderId="12" xfId="58" applyNumberFormat="1" applyFont="1" applyFill="1" applyBorder="1" applyAlignment="1">
      <alignment horizontal="center"/>
      <protection/>
    </xf>
    <xf numFmtId="3" fontId="7" fillId="0" borderId="37" xfId="58" applyNumberFormat="1" applyFont="1" applyFill="1" applyBorder="1" applyAlignment="1">
      <alignment horizontal="center"/>
      <protection/>
    </xf>
    <xf numFmtId="168" fontId="7" fillId="0" borderId="19" xfId="58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8" fillId="0" borderId="39" xfId="59" applyFont="1" applyFill="1" applyBorder="1" applyAlignment="1">
      <alignment horizontal="left"/>
      <protection/>
    </xf>
    <xf numFmtId="0" fontId="20" fillId="0" borderId="12" xfId="0" applyFont="1" applyFill="1" applyBorder="1" applyAlignment="1">
      <alignment/>
    </xf>
    <xf numFmtId="0" fontId="7" fillId="0" borderId="39" xfId="59" applyFont="1" applyFill="1" applyBorder="1" applyAlignment="1">
      <alignment horizontal="left"/>
      <protection/>
    </xf>
    <xf numFmtId="0" fontId="7" fillId="0" borderId="11" xfId="59" applyFont="1" applyFill="1" applyBorder="1" applyAlignment="1">
      <alignment horizontal="left"/>
      <protection/>
    </xf>
    <xf numFmtId="3" fontId="7" fillId="0" borderId="11" xfId="59" applyNumberFormat="1" applyFont="1" applyFill="1" applyBorder="1" applyAlignment="1">
      <alignment/>
      <protection/>
    </xf>
    <xf numFmtId="3" fontId="7" fillId="0" borderId="12" xfId="59" applyNumberFormat="1" applyFont="1" applyFill="1" applyBorder="1" applyAlignment="1">
      <alignment/>
      <protection/>
    </xf>
    <xf numFmtId="3" fontId="7" fillId="0" borderId="37" xfId="59" applyNumberFormat="1" applyFont="1" applyFill="1" applyBorder="1" applyAlignment="1">
      <alignment/>
      <protection/>
    </xf>
    <xf numFmtId="168" fontId="7" fillId="0" borderId="19" xfId="59" applyNumberFormat="1" applyFont="1" applyFill="1" applyBorder="1" applyAlignment="1">
      <alignment/>
      <protection/>
    </xf>
    <xf numFmtId="0" fontId="8" fillId="0" borderId="11" xfId="52" applyFont="1" applyFill="1" applyBorder="1" applyAlignment="1">
      <alignment horizontal="left" wrapText="1"/>
      <protection/>
    </xf>
    <xf numFmtId="3" fontId="8" fillId="0" borderId="11" xfId="59" applyNumberFormat="1" applyFont="1" applyFill="1" applyBorder="1" applyAlignment="1">
      <alignment/>
      <protection/>
    </xf>
    <xf numFmtId="3" fontId="8" fillId="0" borderId="12" xfId="59" applyNumberFormat="1" applyFont="1" applyFill="1" applyBorder="1" applyAlignment="1">
      <alignment/>
      <protection/>
    </xf>
    <xf numFmtId="3" fontId="8" fillId="0" borderId="37" xfId="59" applyNumberFormat="1" applyFont="1" applyFill="1" applyBorder="1" applyAlignment="1">
      <alignment/>
      <protection/>
    </xf>
    <xf numFmtId="168" fontId="8" fillId="0" borderId="19" xfId="59" applyNumberFormat="1" applyFont="1" applyFill="1" applyBorder="1" applyAlignment="1">
      <alignment/>
      <protection/>
    </xf>
    <xf numFmtId="0" fontId="8" fillId="0" borderId="39" xfId="59" applyFont="1" applyFill="1" applyBorder="1" applyAlignment="1">
      <alignment horizontal="left"/>
      <protection/>
    </xf>
    <xf numFmtId="3" fontId="8" fillId="0" borderId="37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168" fontId="7" fillId="0" borderId="19" xfId="0" applyNumberFormat="1" applyFont="1" applyFill="1" applyBorder="1" applyAlignment="1">
      <alignment/>
    </xf>
    <xf numFmtId="0" fontId="20" fillId="0" borderId="11" xfId="52" applyFont="1" applyFill="1" applyBorder="1" applyAlignment="1">
      <alignment horizontal="left"/>
      <protection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3" fontId="7" fillId="0" borderId="13" xfId="0" applyNumberFormat="1" applyFont="1" applyFill="1" applyBorder="1" applyAlignment="1">
      <alignment/>
    </xf>
    <xf numFmtId="168" fontId="7" fillId="0" borderId="32" xfId="0" applyNumberFormat="1" applyFont="1" applyFill="1" applyBorder="1" applyAlignment="1">
      <alignment/>
    </xf>
    <xf numFmtId="3" fontId="8" fillId="0" borderId="11" xfId="59" applyNumberFormat="1" applyFont="1" applyFill="1" applyBorder="1" applyAlignment="1">
      <alignment/>
      <protection/>
    </xf>
    <xf numFmtId="3" fontId="8" fillId="0" borderId="12" xfId="59" applyNumberFormat="1" applyFont="1" applyFill="1" applyBorder="1" applyAlignment="1">
      <alignment/>
      <protection/>
    </xf>
    <xf numFmtId="3" fontId="8" fillId="0" borderId="37" xfId="59" applyNumberFormat="1" applyFont="1" applyFill="1" applyBorder="1" applyAlignment="1">
      <alignment/>
      <protection/>
    </xf>
    <xf numFmtId="168" fontId="8" fillId="0" borderId="19" xfId="59" applyNumberFormat="1" applyFont="1" applyFill="1" applyBorder="1" applyAlignment="1">
      <alignment/>
      <protection/>
    </xf>
    <xf numFmtId="0" fontId="8" fillId="0" borderId="11" xfId="59" applyFont="1" applyFill="1" applyBorder="1" applyAlignment="1">
      <alignment horizontal="left"/>
      <protection/>
    </xf>
    <xf numFmtId="0" fontId="7" fillId="0" borderId="39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168" fontId="8" fillId="0" borderId="19" xfId="0" applyNumberFormat="1" applyFont="1" applyFill="1" applyBorder="1" applyAlignment="1">
      <alignment/>
    </xf>
    <xf numFmtId="0" fontId="8" fillId="0" borderId="12" xfId="59" applyFont="1" applyFill="1" applyBorder="1" applyAlignment="1">
      <alignment horizontal="left"/>
      <protection/>
    </xf>
    <xf numFmtId="3" fontId="8" fillId="0" borderId="24" xfId="59" applyNumberFormat="1" applyFont="1" applyFill="1" applyBorder="1" applyAlignment="1">
      <alignment vertical="center"/>
      <protection/>
    </xf>
    <xf numFmtId="3" fontId="8" fillId="0" borderId="25" xfId="59" applyNumberFormat="1" applyFont="1" applyFill="1" applyBorder="1" applyAlignment="1">
      <alignment vertical="center"/>
      <protection/>
    </xf>
    <xf numFmtId="3" fontId="8" fillId="0" borderId="54" xfId="59" applyNumberFormat="1" applyFont="1" applyFill="1" applyBorder="1" applyAlignment="1">
      <alignment vertical="center"/>
      <protection/>
    </xf>
    <xf numFmtId="168" fontId="8" fillId="0" borderId="26" xfId="59" applyNumberFormat="1" applyFont="1" applyFill="1" applyBorder="1" applyAlignment="1">
      <alignment vertical="center"/>
      <protection/>
    </xf>
    <xf numFmtId="3" fontId="8" fillId="0" borderId="11" xfId="59" applyNumberFormat="1" applyFont="1" applyFill="1" applyBorder="1" applyAlignment="1">
      <alignment vertical="center"/>
      <protection/>
    </xf>
    <xf numFmtId="3" fontId="8" fillId="0" borderId="12" xfId="59" applyNumberFormat="1" applyFont="1" applyFill="1" applyBorder="1" applyAlignment="1">
      <alignment vertical="center"/>
      <protection/>
    </xf>
    <xf numFmtId="3" fontId="8" fillId="0" borderId="37" xfId="59" applyNumberFormat="1" applyFont="1" applyFill="1" applyBorder="1" applyAlignment="1">
      <alignment vertical="center"/>
      <protection/>
    </xf>
    <xf numFmtId="168" fontId="8" fillId="0" borderId="19" xfId="59" applyNumberFormat="1" applyFont="1" applyFill="1" applyBorder="1" applyAlignment="1">
      <alignment vertical="center"/>
      <protection/>
    </xf>
    <xf numFmtId="3" fontId="8" fillId="0" borderId="28" xfId="59" applyNumberFormat="1" applyFont="1" applyFill="1" applyBorder="1" applyAlignment="1">
      <alignment vertical="center"/>
      <protection/>
    </xf>
    <xf numFmtId="3" fontId="8" fillId="0" borderId="51" xfId="59" applyNumberFormat="1" applyFont="1" applyFill="1" applyBorder="1" applyAlignment="1">
      <alignment vertical="center"/>
      <protection/>
    </xf>
    <xf numFmtId="3" fontId="8" fillId="0" borderId="52" xfId="59" applyNumberFormat="1" applyFont="1" applyFill="1" applyBorder="1" applyAlignment="1">
      <alignment vertical="center"/>
      <protection/>
    </xf>
    <xf numFmtId="168" fontId="8" fillId="0" borderId="29" xfId="59" applyNumberFormat="1" applyFont="1" applyFill="1" applyBorder="1" applyAlignment="1">
      <alignment vertical="center"/>
      <protection/>
    </xf>
    <xf numFmtId="0" fontId="8" fillId="0" borderId="12" xfId="52" applyFont="1" applyFill="1" applyBorder="1" applyAlignment="1">
      <alignment horizontal="left" wrapText="1"/>
      <protection/>
    </xf>
    <xf numFmtId="3" fontId="8" fillId="0" borderId="0" xfId="0" applyNumberFormat="1" applyFont="1" applyFill="1" applyAlignment="1">
      <alignment/>
    </xf>
    <xf numFmtId="3" fontId="8" fillId="0" borderId="13" xfId="0" applyNumberFormat="1" applyFont="1" applyFill="1" applyBorder="1" applyAlignment="1">
      <alignment/>
    </xf>
    <xf numFmtId="168" fontId="8" fillId="0" borderId="32" xfId="0" applyNumberFormat="1" applyFont="1" applyFill="1" applyBorder="1" applyAlignment="1">
      <alignment/>
    </xf>
    <xf numFmtId="0" fontId="8" fillId="0" borderId="39" xfId="0" applyFont="1" applyFill="1" applyBorder="1" applyAlignment="1">
      <alignment horizontal="left"/>
    </xf>
    <xf numFmtId="0" fontId="20" fillId="0" borderId="25" xfId="59" applyFont="1" applyFill="1" applyBorder="1" applyAlignment="1">
      <alignment horizontal="left"/>
      <protection/>
    </xf>
    <xf numFmtId="0" fontId="7" fillId="0" borderId="55" xfId="59" applyFont="1" applyFill="1" applyBorder="1" applyAlignment="1">
      <alignment horizontal="left"/>
      <protection/>
    </xf>
    <xf numFmtId="0" fontId="7" fillId="0" borderId="24" xfId="59" applyFont="1" applyFill="1" applyBorder="1" applyAlignment="1">
      <alignment horizontal="left"/>
      <protection/>
    </xf>
    <xf numFmtId="0" fontId="7" fillId="0" borderId="24" xfId="52" applyFont="1" applyFill="1" applyBorder="1" applyAlignment="1">
      <alignment horizontal="left" wrapText="1"/>
      <protection/>
    </xf>
    <xf numFmtId="3" fontId="7" fillId="0" borderId="24" xfId="59" applyNumberFormat="1" applyFont="1" applyFill="1" applyBorder="1" applyAlignment="1">
      <alignment/>
      <protection/>
    </xf>
    <xf numFmtId="3" fontId="7" fillId="0" borderId="25" xfId="59" applyNumberFormat="1" applyFont="1" applyFill="1" applyBorder="1" applyAlignment="1">
      <alignment/>
      <protection/>
    </xf>
    <xf numFmtId="3" fontId="7" fillId="0" borderId="54" xfId="59" applyNumberFormat="1" applyFont="1" applyFill="1" applyBorder="1" applyAlignment="1">
      <alignment/>
      <protection/>
    </xf>
    <xf numFmtId="168" fontId="7" fillId="0" borderId="26" xfId="59" applyNumberFormat="1" applyFont="1" applyFill="1" applyBorder="1" applyAlignment="1">
      <alignment/>
      <protection/>
    </xf>
    <xf numFmtId="0" fontId="8" fillId="0" borderId="39" xfId="0" applyFont="1" applyFill="1" applyBorder="1" applyAlignment="1">
      <alignment/>
    </xf>
    <xf numFmtId="3" fontId="7" fillId="0" borderId="15" xfId="59" applyNumberFormat="1" applyFont="1" applyFill="1" applyBorder="1" applyAlignment="1">
      <alignment/>
      <protection/>
    </xf>
    <xf numFmtId="3" fontId="7" fillId="0" borderId="21" xfId="59" applyNumberFormat="1" applyFont="1" applyFill="1" applyBorder="1" applyAlignment="1">
      <alignment/>
      <protection/>
    </xf>
    <xf numFmtId="3" fontId="7" fillId="0" borderId="46" xfId="59" applyNumberFormat="1" applyFont="1" applyFill="1" applyBorder="1" applyAlignment="1">
      <alignment/>
      <protection/>
    </xf>
    <xf numFmtId="168" fontId="7" fillId="0" borderId="22" xfId="59" applyNumberFormat="1" applyFont="1" applyFill="1" applyBorder="1" applyAlignment="1">
      <alignment/>
      <protection/>
    </xf>
    <xf numFmtId="0" fontId="18" fillId="0" borderId="47" xfId="59" applyFont="1" applyFill="1" applyBorder="1" applyAlignment="1">
      <alignment horizontal="left"/>
      <protection/>
    </xf>
    <xf numFmtId="0" fontId="18" fillId="0" borderId="48" xfId="59" applyFont="1" applyFill="1" applyBorder="1" applyAlignment="1">
      <alignment horizontal="left"/>
      <protection/>
    </xf>
    <xf numFmtId="0" fontId="18" fillId="0" borderId="49" xfId="59" applyFont="1" applyFill="1" applyBorder="1" applyAlignment="1">
      <alignment horizontal="left"/>
      <protection/>
    </xf>
    <xf numFmtId="3" fontId="7" fillId="0" borderId="49" xfId="59" applyNumberFormat="1" applyFont="1" applyFill="1" applyBorder="1" applyAlignment="1">
      <alignment/>
      <protection/>
    </xf>
    <xf numFmtId="3" fontId="7" fillId="0" borderId="50" xfId="59" applyNumberFormat="1" applyFont="1" applyFill="1" applyBorder="1" applyAlignment="1">
      <alignment/>
      <protection/>
    </xf>
    <xf numFmtId="168" fontId="7" fillId="0" borderId="43" xfId="59" applyNumberFormat="1" applyFont="1" applyFill="1" applyBorder="1" applyAlignment="1">
      <alignment/>
      <protection/>
    </xf>
    <xf numFmtId="0" fontId="20" fillId="0" borderId="12" xfId="0" applyFont="1" applyFill="1" applyBorder="1" applyAlignment="1">
      <alignment horizontal="left"/>
    </xf>
    <xf numFmtId="3" fontId="8" fillId="0" borderId="12" xfId="59" applyNumberFormat="1" applyFont="1" applyFill="1" applyBorder="1" applyAlignment="1">
      <alignment horizontal="right"/>
      <protection/>
    </xf>
    <xf numFmtId="3" fontId="8" fillId="0" borderId="37" xfId="59" applyNumberFormat="1" applyFont="1" applyFill="1" applyBorder="1" applyAlignment="1">
      <alignment horizontal="right"/>
      <protection/>
    </xf>
    <xf numFmtId="168" fontId="8" fillId="0" borderId="19" xfId="59" applyNumberFormat="1" applyFont="1" applyFill="1" applyBorder="1" applyAlignment="1">
      <alignment horizontal="right"/>
      <protection/>
    </xf>
    <xf numFmtId="3" fontId="8" fillId="0" borderId="25" xfId="59" applyNumberFormat="1" applyFont="1" applyFill="1" applyBorder="1" applyAlignment="1">
      <alignment/>
      <protection/>
    </xf>
    <xf numFmtId="3" fontId="8" fillId="0" borderId="54" xfId="59" applyNumberFormat="1" applyFont="1" applyFill="1" applyBorder="1" applyAlignment="1">
      <alignment/>
      <protection/>
    </xf>
    <xf numFmtId="168" fontId="8" fillId="0" borderId="26" xfId="59" applyNumberFormat="1" applyFont="1" applyFill="1" applyBorder="1" applyAlignment="1">
      <alignment/>
      <protection/>
    </xf>
    <xf numFmtId="0" fontId="18" fillId="0" borderId="25" xfId="59" applyFont="1" applyFill="1" applyBorder="1" applyAlignment="1">
      <alignment horizontal="left"/>
      <protection/>
    </xf>
    <xf numFmtId="0" fontId="18" fillId="0" borderId="39" xfId="52" applyFont="1" applyFill="1" applyBorder="1" applyAlignment="1">
      <alignment horizontal="left"/>
      <protection/>
    </xf>
    <xf numFmtId="0" fontId="18" fillId="0" borderId="11" xfId="52" applyFont="1" applyFill="1" applyBorder="1" applyAlignment="1">
      <alignment horizontal="left"/>
      <protection/>
    </xf>
    <xf numFmtId="0" fontId="18" fillId="0" borderId="11" xfId="52" applyFont="1" applyFill="1" applyBorder="1" applyAlignment="1">
      <alignment horizontal="left" wrapText="1"/>
      <protection/>
    </xf>
    <xf numFmtId="0" fontId="18" fillId="0" borderId="12" xfId="52" applyFont="1" applyFill="1" applyBorder="1" applyAlignment="1">
      <alignment horizontal="left" wrapText="1"/>
      <protection/>
    </xf>
    <xf numFmtId="3" fontId="7" fillId="0" borderId="12" xfId="52" applyNumberFormat="1" applyFont="1" applyFill="1" applyBorder="1" applyAlignment="1">
      <alignment/>
      <protection/>
    </xf>
    <xf numFmtId="3" fontId="7" fillId="0" borderId="37" xfId="52" applyNumberFormat="1" applyFont="1" applyFill="1" applyBorder="1" applyAlignment="1">
      <alignment/>
      <protection/>
    </xf>
    <xf numFmtId="168" fontId="7" fillId="0" borderId="19" xfId="52" applyNumberFormat="1" applyFont="1" applyFill="1" applyBorder="1" applyAlignment="1">
      <alignment/>
      <protection/>
    </xf>
    <xf numFmtId="3" fontId="8" fillId="0" borderId="12" xfId="55" applyNumberFormat="1" applyFont="1" applyFill="1" applyBorder="1">
      <alignment/>
      <protection/>
    </xf>
    <xf numFmtId="3" fontId="8" fillId="0" borderId="37" xfId="55" applyNumberFormat="1" applyFont="1" applyFill="1" applyBorder="1">
      <alignment/>
      <protection/>
    </xf>
    <xf numFmtId="168" fontId="8" fillId="0" borderId="19" xfId="55" applyNumberFormat="1" applyFont="1" applyFill="1" applyBorder="1">
      <alignment/>
      <protection/>
    </xf>
    <xf numFmtId="3" fontId="7" fillId="0" borderId="12" xfId="59" applyNumberFormat="1" applyFont="1" applyFill="1" applyBorder="1" applyAlignment="1">
      <alignment/>
      <protection/>
    </xf>
    <xf numFmtId="3" fontId="7" fillId="0" borderId="37" xfId="59" applyNumberFormat="1" applyFont="1" applyFill="1" applyBorder="1" applyAlignment="1">
      <alignment/>
      <protection/>
    </xf>
    <xf numFmtId="168" fontId="7" fillId="0" borderId="19" xfId="59" applyNumberFormat="1" applyFont="1" applyFill="1" applyBorder="1" applyAlignment="1">
      <alignment/>
      <protection/>
    </xf>
    <xf numFmtId="0" fontId="18" fillId="0" borderId="53" xfId="52" applyFont="1" applyFill="1" applyBorder="1" applyAlignment="1">
      <alignment horizontal="left"/>
      <protection/>
    </xf>
    <xf numFmtId="0" fontId="18" fillId="0" borderId="28" xfId="52" applyFont="1" applyFill="1" applyBorder="1" applyAlignment="1">
      <alignment horizontal="left"/>
      <protection/>
    </xf>
    <xf numFmtId="0" fontId="18" fillId="0" borderId="28" xfId="52" applyFont="1" applyFill="1" applyBorder="1" applyAlignment="1">
      <alignment horizontal="left" wrapText="1"/>
      <protection/>
    </xf>
    <xf numFmtId="0" fontId="18" fillId="0" borderId="51" xfId="52" applyFont="1" applyFill="1" applyBorder="1" applyAlignment="1">
      <alignment horizontal="left" wrapText="1"/>
      <protection/>
    </xf>
    <xf numFmtId="0" fontId="19" fillId="0" borderId="39" xfId="55" applyFont="1" applyFill="1" applyBorder="1" applyAlignment="1">
      <alignment horizontal="left"/>
      <protection/>
    </xf>
    <xf numFmtId="3" fontId="7" fillId="0" borderId="12" xfId="59" applyNumberFormat="1" applyFont="1" applyFill="1" applyBorder="1" applyAlignment="1">
      <alignment horizontal="right"/>
      <protection/>
    </xf>
    <xf numFmtId="3" fontId="7" fillId="0" borderId="37" xfId="59" applyNumberFormat="1" applyFont="1" applyFill="1" applyBorder="1" applyAlignment="1">
      <alignment horizontal="right"/>
      <protection/>
    </xf>
    <xf numFmtId="168" fontId="7" fillId="0" borderId="19" xfId="59" applyNumberFormat="1" applyFont="1" applyFill="1" applyBorder="1" applyAlignment="1">
      <alignment horizontal="right"/>
      <protection/>
    </xf>
    <xf numFmtId="0" fontId="20" fillId="0" borderId="55" xfId="59" applyFont="1" applyFill="1" applyBorder="1" applyAlignment="1">
      <alignment horizontal="left"/>
      <protection/>
    </xf>
    <xf numFmtId="0" fontId="20" fillId="0" borderId="24" xfId="59" applyFont="1" applyFill="1" applyBorder="1" applyAlignment="1">
      <alignment horizontal="left"/>
      <protection/>
    </xf>
    <xf numFmtId="0" fontId="20" fillId="0" borderId="51" xfId="59" applyFont="1" applyFill="1" applyBorder="1" applyAlignment="1">
      <alignment horizontal="left"/>
      <protection/>
    </xf>
    <xf numFmtId="0" fontId="20" fillId="0" borderId="28" xfId="59" applyFont="1" applyFill="1" applyBorder="1" applyAlignment="1">
      <alignment horizontal="left"/>
      <protection/>
    </xf>
    <xf numFmtId="0" fontId="18" fillId="0" borderId="51" xfId="59" applyFont="1" applyFill="1" applyBorder="1" applyAlignment="1">
      <alignment horizontal="left"/>
      <protection/>
    </xf>
    <xf numFmtId="0" fontId="18" fillId="0" borderId="28" xfId="59" applyFont="1" applyFill="1" applyBorder="1" applyAlignment="1">
      <alignment horizontal="left"/>
      <protection/>
    </xf>
    <xf numFmtId="0" fontId="8" fillId="0" borderId="28" xfId="59" applyFont="1" applyFill="1" applyBorder="1" applyAlignment="1">
      <alignment horizontal="left"/>
      <protection/>
    </xf>
    <xf numFmtId="0" fontId="8" fillId="0" borderId="11" xfId="54" applyFont="1" applyFill="1" applyBorder="1">
      <alignment/>
      <protection/>
    </xf>
    <xf numFmtId="0" fontId="8" fillId="0" borderId="12" xfId="59" applyFont="1" applyFill="1" applyBorder="1" applyAlignment="1">
      <alignment horizontal="left"/>
      <protection/>
    </xf>
    <xf numFmtId="0" fontId="7" fillId="0" borderId="12" xfId="59" applyFont="1" applyFill="1" applyBorder="1" applyAlignment="1">
      <alignment horizontal="left"/>
      <protection/>
    </xf>
    <xf numFmtId="3" fontId="7" fillId="0" borderId="11" xfId="59" applyNumberFormat="1" applyFont="1" applyFill="1" applyBorder="1" applyAlignment="1">
      <alignment/>
      <protection/>
    </xf>
    <xf numFmtId="0" fontId="20" fillId="0" borderId="39" xfId="55" applyFont="1" applyFill="1" applyBorder="1" applyAlignment="1">
      <alignment horizontal="left"/>
      <protection/>
    </xf>
    <xf numFmtId="0" fontId="8" fillId="0" borderId="39" xfId="55" applyFont="1" applyFill="1" applyBorder="1" applyAlignment="1">
      <alignment horizontal="left"/>
      <protection/>
    </xf>
    <xf numFmtId="0" fontId="18" fillId="0" borderId="39" xfId="55" applyFont="1" applyFill="1" applyBorder="1" applyAlignment="1">
      <alignment horizontal="left"/>
      <protection/>
    </xf>
    <xf numFmtId="3" fontId="7" fillId="0" borderId="12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168" fontId="7" fillId="0" borderId="19" xfId="0" applyNumberFormat="1" applyFont="1" applyFill="1" applyBorder="1" applyAlignment="1">
      <alignment/>
    </xf>
    <xf numFmtId="0" fontId="8" fillId="0" borderId="11" xfId="55" applyFont="1" applyFill="1" applyBorder="1" applyAlignment="1">
      <alignment horizontal="left"/>
      <protection/>
    </xf>
    <xf numFmtId="0" fontId="19" fillId="0" borderId="39" xfId="59" applyFont="1" applyFill="1" applyBorder="1" applyAlignment="1">
      <alignment horizontal="left"/>
      <protection/>
    </xf>
    <xf numFmtId="0" fontId="20" fillId="0" borderId="39" xfId="62" applyFont="1" applyFill="1" applyBorder="1" applyAlignment="1">
      <alignment horizontal="left"/>
      <protection/>
    </xf>
    <xf numFmtId="0" fontId="20" fillId="0" borderId="11" xfId="62" applyFont="1" applyFill="1" applyBorder="1" applyAlignment="1">
      <alignment horizontal="left"/>
      <protection/>
    </xf>
    <xf numFmtId="0" fontId="20" fillId="0" borderId="11" xfId="62" applyFont="1" applyFill="1" applyBorder="1">
      <alignment/>
      <protection/>
    </xf>
    <xf numFmtId="0" fontId="20" fillId="0" borderId="12" xfId="62" applyFont="1" applyFill="1" applyBorder="1">
      <alignment/>
      <protection/>
    </xf>
    <xf numFmtId="3" fontId="8" fillId="0" borderId="12" xfId="62" applyNumberFormat="1" applyFont="1" applyFill="1" applyBorder="1">
      <alignment/>
      <protection/>
    </xf>
    <xf numFmtId="3" fontId="8" fillId="0" borderId="37" xfId="62" applyNumberFormat="1" applyFont="1" applyFill="1" applyBorder="1">
      <alignment/>
      <protection/>
    </xf>
    <xf numFmtId="168" fontId="8" fillId="0" borderId="19" xfId="62" applyNumberFormat="1" applyFont="1" applyFill="1" applyBorder="1">
      <alignment/>
      <protection/>
    </xf>
    <xf numFmtId="3" fontId="8" fillId="0" borderId="12" xfId="61" applyNumberFormat="1" applyFont="1" applyFill="1" applyBorder="1" applyAlignment="1">
      <alignment horizontal="right"/>
      <protection/>
    </xf>
    <xf numFmtId="3" fontId="8" fillId="0" borderId="37" xfId="61" applyNumberFormat="1" applyFont="1" applyFill="1" applyBorder="1" applyAlignment="1">
      <alignment horizontal="right"/>
      <protection/>
    </xf>
    <xf numFmtId="168" fontId="8" fillId="0" borderId="19" xfId="61" applyNumberFormat="1" applyFont="1" applyFill="1" applyBorder="1" applyAlignment="1">
      <alignment horizontal="right"/>
      <protection/>
    </xf>
    <xf numFmtId="3" fontId="8" fillId="0" borderId="12" xfId="63" applyNumberFormat="1" applyFont="1" applyFill="1" applyBorder="1">
      <alignment/>
      <protection/>
    </xf>
    <xf numFmtId="3" fontId="8" fillId="0" borderId="37" xfId="63" applyNumberFormat="1" applyFont="1" applyFill="1" applyBorder="1">
      <alignment/>
      <protection/>
    </xf>
    <xf numFmtId="168" fontId="8" fillId="0" borderId="19" xfId="63" applyNumberFormat="1" applyFont="1" applyFill="1" applyBorder="1">
      <alignment/>
      <protection/>
    </xf>
    <xf numFmtId="0" fontId="18" fillId="0" borderId="11" xfId="62" applyFont="1" applyFill="1" applyBorder="1" applyAlignment="1">
      <alignment horizontal="left"/>
      <protection/>
    </xf>
    <xf numFmtId="0" fontId="18" fillId="0" borderId="12" xfId="62" applyFont="1" applyFill="1" applyBorder="1" applyAlignment="1">
      <alignment horizontal="left"/>
      <protection/>
    </xf>
    <xf numFmtId="0" fontId="20" fillId="0" borderId="39" xfId="0" applyFont="1" applyFill="1" applyBorder="1" applyAlignment="1">
      <alignment horizontal="left"/>
    </xf>
    <xf numFmtId="0" fontId="18" fillId="0" borderId="39" xfId="0" applyFont="1" applyFill="1" applyBorder="1" applyAlignment="1">
      <alignment horizontal="left"/>
    </xf>
    <xf numFmtId="3" fontId="20" fillId="0" borderId="11" xfId="0" applyNumberFormat="1" applyFont="1" applyFill="1" applyBorder="1" applyAlignment="1">
      <alignment horizontal="left"/>
    </xf>
    <xf numFmtId="3" fontId="8" fillId="0" borderId="38" xfId="59" applyNumberFormat="1" applyFont="1" applyFill="1" applyBorder="1" applyAlignment="1">
      <alignment horizontal="right"/>
      <protection/>
    </xf>
    <xf numFmtId="3" fontId="8" fillId="0" borderId="13" xfId="59" applyNumberFormat="1" applyFont="1" applyFill="1" applyBorder="1" applyAlignment="1">
      <alignment horizontal="right"/>
      <protection/>
    </xf>
    <xf numFmtId="0" fontId="20" fillId="0" borderId="56" xfId="51" applyFont="1" applyFill="1" applyBorder="1">
      <alignment/>
      <protection/>
    </xf>
    <xf numFmtId="0" fontId="20" fillId="0" borderId="12" xfId="0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168" fontId="8" fillId="0" borderId="19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168" fontId="7" fillId="0" borderId="19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168" fontId="8" fillId="0" borderId="19" xfId="0" applyNumberFormat="1" applyFont="1" applyFill="1" applyBorder="1" applyAlignment="1">
      <alignment/>
    </xf>
    <xf numFmtId="0" fontId="18" fillId="0" borderId="47" xfId="0" applyFont="1" applyFill="1" applyBorder="1" applyAlignment="1">
      <alignment horizontal="left"/>
    </xf>
    <xf numFmtId="0" fontId="18" fillId="0" borderId="48" xfId="0" applyFont="1" applyFill="1" applyBorder="1" applyAlignment="1">
      <alignment horizontal="left"/>
    </xf>
    <xf numFmtId="0" fontId="18" fillId="0" borderId="49" xfId="0" applyFont="1" applyFill="1" applyBorder="1" applyAlignment="1">
      <alignment horizontal="left"/>
    </xf>
    <xf numFmtId="3" fontId="7" fillId="0" borderId="49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168" fontId="7" fillId="0" borderId="43" xfId="0" applyNumberFormat="1" applyFont="1" applyFill="1" applyBorder="1" applyAlignment="1">
      <alignment/>
    </xf>
    <xf numFmtId="0" fontId="19" fillId="0" borderId="39" xfId="59" applyNumberFormat="1" applyFont="1" applyFill="1" applyBorder="1" applyAlignment="1">
      <alignment horizontal="left"/>
      <protection/>
    </xf>
    <xf numFmtId="3" fontId="8" fillId="0" borderId="12" xfId="55" applyNumberFormat="1" applyFont="1" applyFill="1" applyBorder="1" applyAlignment="1">
      <alignment horizontal="right"/>
      <protection/>
    </xf>
    <xf numFmtId="3" fontId="8" fillId="0" borderId="37" xfId="55" applyNumberFormat="1" applyFont="1" applyFill="1" applyBorder="1" applyAlignment="1">
      <alignment horizontal="right"/>
      <protection/>
    </xf>
    <xf numFmtId="168" fontId="8" fillId="0" borderId="19" xfId="55" applyNumberFormat="1" applyFont="1" applyFill="1" applyBorder="1" applyAlignment="1">
      <alignment horizontal="right"/>
      <protection/>
    </xf>
    <xf numFmtId="0" fontId="20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3" fontId="8" fillId="0" borderId="12" xfId="55" applyNumberFormat="1" applyFont="1" applyFill="1" applyBorder="1" applyAlignment="1">
      <alignment horizontal="right"/>
      <protection/>
    </xf>
    <xf numFmtId="3" fontId="8" fillId="0" borderId="37" xfId="55" applyNumberFormat="1" applyFont="1" applyFill="1" applyBorder="1" applyAlignment="1">
      <alignment horizontal="right"/>
      <protection/>
    </xf>
    <xf numFmtId="168" fontId="8" fillId="0" borderId="19" xfId="55" applyNumberFormat="1" applyFont="1" applyFill="1" applyBorder="1" applyAlignment="1">
      <alignment horizontal="right"/>
      <protection/>
    </xf>
    <xf numFmtId="3" fontId="7" fillId="0" borderId="12" xfId="55" applyNumberFormat="1" applyFont="1" applyFill="1" applyBorder="1" applyAlignment="1">
      <alignment horizontal="right"/>
      <protection/>
    </xf>
    <xf numFmtId="3" fontId="7" fillId="0" borderId="37" xfId="55" applyNumberFormat="1" applyFont="1" applyFill="1" applyBorder="1" applyAlignment="1">
      <alignment horizontal="right"/>
      <protection/>
    </xf>
    <xf numFmtId="168" fontId="7" fillId="0" borderId="19" xfId="55" applyNumberFormat="1" applyFont="1" applyFill="1" applyBorder="1" applyAlignment="1">
      <alignment horizontal="right"/>
      <protection/>
    </xf>
    <xf numFmtId="3" fontId="8" fillId="0" borderId="12" xfId="60" applyNumberFormat="1" applyFont="1" applyFill="1" applyBorder="1" applyAlignment="1">
      <alignment horizontal="right"/>
      <protection/>
    </xf>
    <xf numFmtId="3" fontId="8" fillId="0" borderId="37" xfId="60" applyNumberFormat="1" applyFont="1" applyFill="1" applyBorder="1" applyAlignment="1">
      <alignment horizontal="right"/>
      <protection/>
    </xf>
    <xf numFmtId="168" fontId="8" fillId="0" borderId="19" xfId="60" applyNumberFormat="1" applyFont="1" applyFill="1" applyBorder="1" applyAlignment="1">
      <alignment horizontal="right"/>
      <protection/>
    </xf>
    <xf numFmtId="3" fontId="8" fillId="0" borderId="11" xfId="0" applyNumberFormat="1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59" applyFont="1" applyFill="1" applyBorder="1" applyAlignment="1">
      <alignment horizontal="left"/>
      <protection/>
    </xf>
    <xf numFmtId="3" fontId="7" fillId="0" borderId="38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18" fillId="0" borderId="5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168" fontId="7" fillId="0" borderId="26" xfId="0" applyNumberFormat="1" applyFont="1" applyFill="1" applyBorder="1" applyAlignment="1">
      <alignment horizontal="center"/>
    </xf>
    <xf numFmtId="0" fontId="19" fillId="0" borderId="39" xfId="52" applyFont="1" applyFill="1" applyBorder="1" applyAlignment="1">
      <alignment horizontal="left"/>
      <protection/>
    </xf>
    <xf numFmtId="0" fontId="19" fillId="0" borderId="11" xfId="52" applyFont="1" applyFill="1" applyBorder="1" applyAlignment="1">
      <alignment horizontal="left"/>
      <protection/>
    </xf>
    <xf numFmtId="0" fontId="20" fillId="0" borderId="12" xfId="52" applyFont="1" applyFill="1" applyBorder="1" applyAlignment="1">
      <alignment horizontal="left" wrapText="1"/>
      <protection/>
    </xf>
    <xf numFmtId="0" fontId="20" fillId="0" borderId="39" xfId="52" applyFont="1" applyFill="1" applyBorder="1" applyAlignment="1">
      <alignment horizontal="left"/>
      <protection/>
    </xf>
    <xf numFmtId="3" fontId="22" fillId="0" borderId="12" xfId="0" applyNumberFormat="1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168" fontId="22" fillId="0" borderId="19" xfId="0" applyNumberFormat="1" applyFont="1" applyFill="1" applyBorder="1" applyAlignment="1">
      <alignment/>
    </xf>
    <xf numFmtId="0" fontId="20" fillId="0" borderId="11" xfId="59" applyFont="1" applyFill="1" applyBorder="1" applyAlignment="1">
      <alignment horizontal="left" wrapText="1"/>
      <protection/>
    </xf>
    <xf numFmtId="0" fontId="20" fillId="0" borderId="12" xfId="59" applyFont="1" applyFill="1" applyBorder="1" applyAlignment="1">
      <alignment horizontal="left" wrapText="1"/>
      <protection/>
    </xf>
    <xf numFmtId="0" fontId="18" fillId="0" borderId="11" xfId="59" applyFont="1" applyFill="1" applyBorder="1" applyAlignment="1">
      <alignment horizontal="left" wrapText="1"/>
      <protection/>
    </xf>
    <xf numFmtId="0" fontId="18" fillId="0" borderId="12" xfId="59" applyFont="1" applyFill="1" applyBorder="1" applyAlignment="1">
      <alignment horizontal="left" wrapText="1"/>
      <protection/>
    </xf>
    <xf numFmtId="0" fontId="16" fillId="0" borderId="12" xfId="59" applyFont="1" applyFill="1" applyBorder="1" applyAlignment="1">
      <alignment horizontal="left"/>
      <protection/>
    </xf>
    <xf numFmtId="1" fontId="20" fillId="0" borderId="11" xfId="0" applyNumberFormat="1" applyFont="1" applyFill="1" applyBorder="1" applyAlignment="1">
      <alignment horizontal="left"/>
    </xf>
    <xf numFmtId="0" fontId="18" fillId="0" borderId="25" xfId="52" applyFont="1" applyFill="1" applyBorder="1" applyAlignment="1">
      <alignment horizontal="left" wrapText="1"/>
      <protection/>
    </xf>
    <xf numFmtId="3" fontId="8" fillId="0" borderId="25" xfId="52" applyNumberFormat="1" applyFont="1" applyFill="1" applyBorder="1" applyAlignment="1">
      <alignment/>
      <protection/>
    </xf>
    <xf numFmtId="3" fontId="8" fillId="0" borderId="54" xfId="52" applyNumberFormat="1" applyFont="1" applyFill="1" applyBorder="1" applyAlignment="1">
      <alignment/>
      <protection/>
    </xf>
    <xf numFmtId="168" fontId="8" fillId="0" borderId="26" xfId="52" applyNumberFormat="1" applyFont="1" applyFill="1" applyBorder="1" applyAlignment="1">
      <alignment/>
      <protection/>
    </xf>
    <xf numFmtId="3" fontId="20" fillId="0" borderId="12" xfId="0" applyNumberFormat="1" applyFont="1" applyFill="1" applyBorder="1" applyAlignment="1">
      <alignment horizontal="left"/>
    </xf>
    <xf numFmtId="0" fontId="20" fillId="0" borderId="12" xfId="59" applyFont="1" applyFill="1" applyBorder="1" applyAlignment="1">
      <alignment horizontal="left" shrinkToFit="1"/>
      <protection/>
    </xf>
    <xf numFmtId="1" fontId="18" fillId="0" borderId="11" xfId="0" applyNumberFormat="1" applyFont="1" applyFill="1" applyBorder="1" applyAlignment="1">
      <alignment horizontal="left"/>
    </xf>
    <xf numFmtId="3" fontId="7" fillId="0" borderId="12" xfId="55" applyNumberFormat="1" applyFont="1" applyFill="1" applyBorder="1" applyAlignment="1">
      <alignment horizontal="right"/>
      <protection/>
    </xf>
    <xf numFmtId="3" fontId="7" fillId="0" borderId="37" xfId="55" applyNumberFormat="1" applyFont="1" applyFill="1" applyBorder="1" applyAlignment="1">
      <alignment horizontal="right"/>
      <protection/>
    </xf>
    <xf numFmtId="168" fontId="7" fillId="0" borderId="19" xfId="55" applyNumberFormat="1" applyFont="1" applyFill="1" applyBorder="1" applyAlignment="1">
      <alignment horizontal="right"/>
      <protection/>
    </xf>
    <xf numFmtId="3" fontId="14" fillId="0" borderId="12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168" fontId="14" fillId="0" borderId="19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3" fontId="23" fillId="0" borderId="37" xfId="0" applyNumberFormat="1" applyFont="1" applyFill="1" applyBorder="1" applyAlignment="1">
      <alignment/>
    </xf>
    <xf numFmtId="168" fontId="23" fillId="0" borderId="19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8" fillId="0" borderId="12" xfId="52" applyNumberFormat="1" applyFont="1" applyFill="1" applyBorder="1" applyAlignment="1">
      <alignment/>
      <protection/>
    </xf>
    <xf numFmtId="3" fontId="8" fillId="0" borderId="37" xfId="52" applyNumberFormat="1" applyFont="1" applyFill="1" applyBorder="1" applyAlignment="1">
      <alignment/>
      <protection/>
    </xf>
    <xf numFmtId="168" fontId="8" fillId="0" borderId="19" xfId="52" applyNumberFormat="1" applyFont="1" applyFill="1" applyBorder="1" applyAlignment="1">
      <alignment/>
      <protection/>
    </xf>
    <xf numFmtId="3" fontId="8" fillId="0" borderId="37" xfId="59" applyNumberFormat="1" applyFont="1" applyFill="1" applyBorder="1">
      <alignment/>
      <protection/>
    </xf>
    <xf numFmtId="3" fontId="8" fillId="0" borderId="12" xfId="52" applyNumberFormat="1" applyFont="1" applyFill="1" applyBorder="1" applyAlignment="1">
      <alignment/>
      <protection/>
    </xf>
    <xf numFmtId="3" fontId="8" fillId="0" borderId="37" xfId="52" applyNumberFormat="1" applyFont="1" applyFill="1" applyBorder="1" applyAlignment="1">
      <alignment/>
      <protection/>
    </xf>
    <xf numFmtId="168" fontId="8" fillId="0" borderId="19" xfId="52" applyNumberFormat="1" applyFont="1" applyFill="1" applyBorder="1" applyAlignment="1">
      <alignment/>
      <protection/>
    </xf>
    <xf numFmtId="3" fontId="8" fillId="0" borderId="11" xfId="52" applyNumberFormat="1" applyFont="1" applyFill="1" applyBorder="1" applyAlignment="1">
      <alignment vertical="center"/>
      <protection/>
    </xf>
    <xf numFmtId="3" fontId="8" fillId="0" borderId="12" xfId="52" applyNumberFormat="1" applyFont="1" applyFill="1" applyBorder="1" applyAlignment="1">
      <alignment vertical="center"/>
      <protection/>
    </xf>
    <xf numFmtId="3" fontId="8" fillId="0" borderId="37" xfId="52" applyNumberFormat="1" applyFont="1" applyFill="1" applyBorder="1" applyAlignment="1">
      <alignment vertical="center"/>
      <protection/>
    </xf>
    <xf numFmtId="168" fontId="8" fillId="0" borderId="19" xfId="52" applyNumberFormat="1" applyFont="1" applyFill="1" applyBorder="1" applyAlignment="1">
      <alignment vertical="center"/>
      <protection/>
    </xf>
    <xf numFmtId="3" fontId="7" fillId="0" borderId="11" xfId="52" applyNumberFormat="1" applyFont="1" applyFill="1" applyBorder="1" applyAlignment="1">
      <alignment/>
      <protection/>
    </xf>
    <xf numFmtId="3" fontId="8" fillId="0" borderId="11" xfId="52" applyNumberFormat="1" applyFont="1" applyFill="1" applyBorder="1" applyAlignment="1">
      <alignment/>
      <protection/>
    </xf>
    <xf numFmtId="3" fontId="8" fillId="0" borderId="11" xfId="52" applyNumberFormat="1" applyFont="1" applyFill="1" applyBorder="1" applyAlignment="1">
      <alignment/>
      <protection/>
    </xf>
    <xf numFmtId="0" fontId="19" fillId="0" borderId="39" xfId="58" applyFont="1" applyFill="1" applyBorder="1" applyAlignment="1">
      <alignment horizontal="left"/>
      <protection/>
    </xf>
    <xf numFmtId="3" fontId="7" fillId="0" borderId="12" xfId="55" applyNumberFormat="1" applyFont="1" applyFill="1" applyBorder="1" applyAlignment="1">
      <alignment/>
      <protection/>
    </xf>
    <xf numFmtId="3" fontId="7" fillId="0" borderId="37" xfId="55" applyNumberFormat="1" applyFont="1" applyFill="1" applyBorder="1" applyAlignment="1">
      <alignment/>
      <protection/>
    </xf>
    <xf numFmtId="168" fontId="7" fillId="0" borderId="19" xfId="55" applyNumberFormat="1" applyFont="1" applyFill="1" applyBorder="1" applyAlignment="1">
      <alignment/>
      <protection/>
    </xf>
    <xf numFmtId="0" fontId="18" fillId="0" borderId="53" xfId="55" applyFont="1" applyFill="1" applyBorder="1" applyAlignment="1">
      <alignment horizontal="left"/>
      <protection/>
    </xf>
    <xf numFmtId="0" fontId="18" fillId="0" borderId="28" xfId="55" applyFont="1" applyFill="1" applyBorder="1" applyAlignment="1">
      <alignment horizontal="left"/>
      <protection/>
    </xf>
    <xf numFmtId="0" fontId="18" fillId="0" borderId="51" xfId="55" applyFont="1" applyFill="1" applyBorder="1" applyAlignment="1">
      <alignment horizontal="left"/>
      <protection/>
    </xf>
    <xf numFmtId="0" fontId="20" fillId="0" borderId="39" xfId="59" applyFont="1" applyFill="1" applyBorder="1" applyAlignment="1">
      <alignment horizontal="left" vertical="center"/>
      <protection/>
    </xf>
    <xf numFmtId="0" fontId="20" fillId="0" borderId="11" xfId="59" applyFont="1" applyFill="1" applyBorder="1" applyAlignment="1">
      <alignment horizontal="left" vertical="center"/>
      <protection/>
    </xf>
    <xf numFmtId="0" fontId="18" fillId="0" borderId="39" xfId="59" applyFont="1" applyFill="1" applyBorder="1" applyAlignment="1">
      <alignment horizontal="left" vertical="center"/>
      <protection/>
    </xf>
    <xf numFmtId="0" fontId="18" fillId="0" borderId="11" xfId="59" applyFont="1" applyFill="1" applyBorder="1" applyAlignment="1">
      <alignment horizontal="left" vertical="center"/>
      <protection/>
    </xf>
    <xf numFmtId="3" fontId="7" fillId="0" borderId="12" xfId="59" applyNumberFormat="1" applyFont="1" applyFill="1" applyBorder="1" applyAlignment="1">
      <alignment vertical="center"/>
      <protection/>
    </xf>
    <xf numFmtId="3" fontId="7" fillId="0" borderId="37" xfId="59" applyNumberFormat="1" applyFont="1" applyFill="1" applyBorder="1" applyAlignment="1">
      <alignment vertical="center"/>
      <protection/>
    </xf>
    <xf numFmtId="168" fontId="7" fillId="0" borderId="19" xfId="59" applyNumberFormat="1" applyFont="1" applyFill="1" applyBorder="1" applyAlignment="1">
      <alignment vertical="center"/>
      <protection/>
    </xf>
    <xf numFmtId="3" fontId="8" fillId="0" borderId="11" xfId="55" applyNumberFormat="1" applyFont="1" applyFill="1" applyBorder="1" applyAlignment="1">
      <alignment vertical="center"/>
      <protection/>
    </xf>
    <xf numFmtId="3" fontId="8" fillId="0" borderId="12" xfId="55" applyNumberFormat="1" applyFont="1" applyFill="1" applyBorder="1" applyAlignment="1">
      <alignment vertical="center"/>
      <protection/>
    </xf>
    <xf numFmtId="3" fontId="8" fillId="0" borderId="37" xfId="55" applyNumberFormat="1" applyFont="1" applyFill="1" applyBorder="1" applyAlignment="1">
      <alignment vertical="center"/>
      <protection/>
    </xf>
    <xf numFmtId="168" fontId="8" fillId="0" borderId="19" xfId="55" applyNumberFormat="1" applyFont="1" applyFill="1" applyBorder="1" applyAlignment="1">
      <alignment vertical="center"/>
      <protection/>
    </xf>
    <xf numFmtId="3" fontId="8" fillId="0" borderId="12" xfId="59" applyNumberFormat="1" applyFont="1" applyFill="1" applyBorder="1" applyAlignment="1">
      <alignment horizontal="right" vertical="center"/>
      <protection/>
    </xf>
    <xf numFmtId="3" fontId="8" fillId="0" borderId="37" xfId="59" applyNumberFormat="1" applyFont="1" applyFill="1" applyBorder="1" applyAlignment="1">
      <alignment horizontal="right" vertical="center"/>
      <protection/>
    </xf>
    <xf numFmtId="168" fontId="8" fillId="0" borderId="19" xfId="59" applyNumberFormat="1" applyFont="1" applyFill="1" applyBorder="1" applyAlignment="1">
      <alignment horizontal="right" vertical="center"/>
      <protection/>
    </xf>
    <xf numFmtId="0" fontId="19" fillId="0" borderId="11" xfId="59" applyFont="1" applyFill="1" applyBorder="1" applyAlignment="1">
      <alignment horizontal="left"/>
      <protection/>
    </xf>
    <xf numFmtId="0" fontId="18" fillId="0" borderId="11" xfId="59" applyFont="1" applyFill="1" applyBorder="1" applyAlignment="1">
      <alignment horizontal="left" shrinkToFit="1"/>
      <protection/>
    </xf>
    <xf numFmtId="0" fontId="20" fillId="0" borderId="24" xfId="52" applyFont="1" applyFill="1" applyBorder="1" applyAlignment="1">
      <alignment horizontal="left"/>
      <protection/>
    </xf>
    <xf numFmtId="0" fontId="20" fillId="0" borderId="25" xfId="52" applyFont="1" applyFill="1" applyBorder="1" applyAlignment="1">
      <alignment horizontal="left" wrapText="1"/>
      <protection/>
    </xf>
    <xf numFmtId="0" fontId="18" fillId="0" borderId="55" xfId="59" applyFont="1" applyFill="1" applyBorder="1" applyAlignment="1">
      <alignment horizontal="left"/>
      <protection/>
    </xf>
    <xf numFmtId="0" fontId="18" fillId="0" borderId="24" xfId="59" applyFont="1" applyFill="1" applyBorder="1" applyAlignment="1">
      <alignment horizontal="left"/>
      <protection/>
    </xf>
    <xf numFmtId="3" fontId="7" fillId="0" borderId="25" xfId="59" applyNumberFormat="1" applyFont="1" applyFill="1" applyBorder="1" applyAlignment="1">
      <alignment/>
      <protection/>
    </xf>
    <xf numFmtId="3" fontId="7" fillId="0" borderId="54" xfId="59" applyNumberFormat="1" applyFont="1" applyFill="1" applyBorder="1" applyAlignment="1">
      <alignment/>
      <protection/>
    </xf>
    <xf numFmtId="168" fontId="7" fillId="0" borderId="26" xfId="59" applyNumberFormat="1" applyFont="1" applyFill="1" applyBorder="1" applyAlignment="1">
      <alignment/>
      <protection/>
    </xf>
    <xf numFmtId="0" fontId="18" fillId="0" borderId="58" xfId="59" applyFont="1" applyFill="1" applyBorder="1" applyAlignment="1">
      <alignment horizontal="left"/>
      <protection/>
    </xf>
    <xf numFmtId="3" fontId="7" fillId="0" borderId="40" xfId="59" applyNumberFormat="1" applyFont="1" applyFill="1" applyBorder="1" applyAlignment="1">
      <alignment/>
      <protection/>
    </xf>
    <xf numFmtId="3" fontId="7" fillId="0" borderId="59" xfId="59" applyNumberFormat="1" applyFont="1" applyFill="1" applyBorder="1" applyAlignment="1">
      <alignment/>
      <protection/>
    </xf>
    <xf numFmtId="168" fontId="7" fillId="0" borderId="16" xfId="59" applyNumberFormat="1" applyFont="1" applyFill="1" applyBorder="1" applyAlignment="1">
      <alignment/>
      <protection/>
    </xf>
    <xf numFmtId="0" fontId="8" fillId="0" borderId="0" xfId="0" applyFont="1" applyFill="1" applyAlignment="1">
      <alignment shrinkToFi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5" fillId="35" borderId="11" xfId="53" applyFont="1" applyFill="1" applyBorder="1" applyAlignment="1">
      <alignment horizontal="center" vertical="center" wrapText="1"/>
      <protection/>
    </xf>
    <xf numFmtId="3" fontId="45" fillId="36" borderId="11" xfId="57" applyNumberFormat="1" applyFont="1" applyFill="1" applyBorder="1" applyAlignment="1">
      <alignment horizontal="center" vertical="center" wrapText="1"/>
      <protection/>
    </xf>
    <xf numFmtId="167" fontId="45" fillId="37" borderId="11" xfId="57" applyNumberFormat="1" applyFont="1" applyFill="1" applyBorder="1" applyAlignment="1">
      <alignment horizontal="center" vertical="center" wrapText="1"/>
      <protection/>
    </xf>
    <xf numFmtId="0" fontId="46" fillId="0" borderId="11" xfId="0" applyNumberFormat="1" applyFont="1" applyFill="1" applyBorder="1" applyAlignment="1">
      <alignment horizontal="left" vertical="center"/>
    </xf>
    <xf numFmtId="3" fontId="46" fillId="0" borderId="11" xfId="50" applyNumberFormat="1" applyFont="1" applyFill="1" applyBorder="1">
      <alignment/>
      <protection/>
    </xf>
    <xf numFmtId="167" fontId="46" fillId="0" borderId="11" xfId="53" applyNumberFormat="1" applyFont="1" applyFill="1" applyBorder="1" applyAlignment="1">
      <alignment vertical="center"/>
      <protection/>
    </xf>
    <xf numFmtId="3" fontId="46" fillId="0" borderId="0" xfId="50" applyNumberFormat="1" applyFont="1" applyFill="1" applyBorder="1">
      <alignment/>
      <protection/>
    </xf>
    <xf numFmtId="0" fontId="45" fillId="38" borderId="11" xfId="53" applyFont="1" applyFill="1" applyBorder="1" applyAlignment="1">
      <alignment horizontal="left" vertical="center" wrapText="1"/>
      <protection/>
    </xf>
    <xf numFmtId="3" fontId="45" fillId="39" borderId="11" xfId="57" applyNumberFormat="1" applyFont="1" applyFill="1" applyBorder="1" applyAlignment="1">
      <alignment horizontal="right" vertical="center" wrapText="1"/>
      <protection/>
    </xf>
    <xf numFmtId="0" fontId="45" fillId="40" borderId="11" xfId="53" applyFont="1" applyFill="1" applyBorder="1" applyAlignment="1">
      <alignment horizontal="right" vertical="center" wrapText="1"/>
      <protection/>
    </xf>
    <xf numFmtId="167" fontId="45" fillId="41" borderId="11" xfId="57" applyNumberFormat="1" applyFont="1" applyFill="1" applyBorder="1" applyAlignment="1">
      <alignment horizontal="right" vertical="center" wrapText="1"/>
      <protection/>
    </xf>
    <xf numFmtId="0" fontId="68" fillId="0" borderId="0" xfId="0" applyFont="1" applyFill="1" applyAlignment="1">
      <alignment horizontal="center" vertical="center"/>
    </xf>
    <xf numFmtId="49" fontId="46" fillId="42" borderId="11" xfId="0" applyNumberFormat="1" applyFont="1" applyFill="1" applyBorder="1" applyAlignment="1">
      <alignment horizontal="center" vertical="center"/>
    </xf>
    <xf numFmtId="0" fontId="46" fillId="43" borderId="11" xfId="0" applyFont="1" applyFill="1" applyBorder="1" applyAlignment="1">
      <alignment horizontal="center" vertical="center"/>
    </xf>
    <xf numFmtId="0" fontId="46" fillId="44" borderId="11" xfId="0" applyFont="1" applyFill="1" applyBorder="1" applyAlignment="1">
      <alignment horizontal="center" vertical="center" wrapText="1"/>
    </xf>
    <xf numFmtId="0" fontId="69" fillId="0" borderId="0" xfId="0" applyFont="1" applyFill="1" applyAlignment="1" applyProtection="1">
      <alignment/>
      <protection locked="0"/>
    </xf>
    <xf numFmtId="0" fontId="46" fillId="0" borderId="11" xfId="0" applyFont="1" applyFill="1" applyBorder="1" applyAlignment="1" applyProtection="1">
      <alignment horizontal="left"/>
      <protection locked="0"/>
    </xf>
    <xf numFmtId="49" fontId="46" fillId="0" borderId="11" xfId="0" applyNumberFormat="1" applyFont="1" applyFill="1" applyBorder="1" applyAlignment="1" applyProtection="1">
      <alignment horizontal="left" vertical="center"/>
      <protection locked="0"/>
    </xf>
    <xf numFmtId="0" fontId="46" fillId="0" borderId="11" xfId="0" applyFont="1" applyFill="1" applyBorder="1" applyAlignment="1" applyProtection="1">
      <alignment horizontal="left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vertical="center"/>
      <protection locked="0"/>
    </xf>
    <xf numFmtId="0" fontId="46" fillId="0" borderId="11" xfId="0" applyFont="1" applyFill="1" applyBorder="1" applyAlignment="1" applyProtection="1">
      <alignment horizontal="left" vertical="center" shrinkToFit="1"/>
      <protection locked="0"/>
    </xf>
    <xf numFmtId="3" fontId="46" fillId="0" borderId="11" xfId="0" applyNumberFormat="1" applyFont="1" applyFill="1" applyBorder="1" applyAlignment="1" applyProtection="1">
      <alignment vertical="center" wrapText="1"/>
      <protection locked="0"/>
    </xf>
    <xf numFmtId="3" fontId="46" fillId="0" borderId="11" xfId="0" applyNumberFormat="1" applyFont="1" applyFill="1" applyBorder="1" applyAlignment="1" applyProtection="1">
      <alignment vertical="center" shrinkToFit="1"/>
      <protection locked="0"/>
    </xf>
    <xf numFmtId="166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1" xfId="0" applyNumberFormat="1" applyFont="1" applyFill="1" applyBorder="1" applyAlignment="1" applyProtection="1">
      <alignment horizontal="right" vertical="center"/>
      <protection locked="0"/>
    </xf>
    <xf numFmtId="49" fontId="45" fillId="0" borderId="11" xfId="0" applyNumberFormat="1" applyFont="1" applyFill="1" applyBorder="1" applyAlignment="1" applyProtection="1">
      <alignment horizontal="left" vertical="center"/>
      <protection locked="0"/>
    </xf>
    <xf numFmtId="0" fontId="45" fillId="0" borderId="11" xfId="0" applyFont="1" applyFill="1" applyBorder="1" applyAlignment="1" applyProtection="1">
      <alignment horizontal="left" vertical="center"/>
      <protection locked="0"/>
    </xf>
    <xf numFmtId="0" fontId="46" fillId="0" borderId="11" xfId="0" applyFont="1" applyFill="1" applyBorder="1" applyAlignment="1" applyProtection="1">
      <alignment/>
      <protection locked="0"/>
    </xf>
    <xf numFmtId="49" fontId="46" fillId="0" borderId="11" xfId="0" applyNumberFormat="1" applyFont="1" applyFill="1" applyBorder="1" applyAlignment="1" applyProtection="1">
      <alignment/>
      <protection locked="0"/>
    </xf>
    <xf numFmtId="0" fontId="46" fillId="0" borderId="11" xfId="0" applyFont="1" applyFill="1" applyBorder="1" applyAlignment="1" applyProtection="1">
      <alignment horizontal="center"/>
      <protection locked="0"/>
    </xf>
    <xf numFmtId="3" fontId="46" fillId="0" borderId="11" xfId="0" applyNumberFormat="1" applyFont="1" applyFill="1" applyBorder="1" applyAlignment="1" applyProtection="1">
      <alignment/>
      <protection locked="0"/>
    </xf>
    <xf numFmtId="3" fontId="46" fillId="0" borderId="11" xfId="0" applyNumberFormat="1" applyFont="1" applyFill="1" applyBorder="1" applyAlignment="1" applyProtection="1">
      <alignment horizontal="right"/>
      <protection locked="0"/>
    </xf>
    <xf numFmtId="49" fontId="46" fillId="0" borderId="11" xfId="0" applyNumberFormat="1" applyFont="1" applyFill="1" applyBorder="1" applyAlignment="1" applyProtection="1">
      <alignment horizontal="left"/>
      <protection locked="0"/>
    </xf>
    <xf numFmtId="3" fontId="46" fillId="0" borderId="11" xfId="0" applyNumberFormat="1" applyFont="1" applyFill="1" applyBorder="1" applyAlignment="1" applyProtection="1">
      <alignment shrinkToFit="1"/>
      <protection locked="0"/>
    </xf>
    <xf numFmtId="0" fontId="46" fillId="0" borderId="11" xfId="0" applyNumberFormat="1" applyFont="1" applyFill="1" applyBorder="1" applyAlignment="1" applyProtection="1">
      <alignment horizontal="left"/>
      <protection locked="0"/>
    </xf>
    <xf numFmtId="0" fontId="45" fillId="0" borderId="11" xfId="0" applyFont="1" applyFill="1" applyBorder="1" applyAlignment="1" applyProtection="1">
      <alignment horizontal="left"/>
      <protection locked="0"/>
    </xf>
    <xf numFmtId="0" fontId="46" fillId="0" borderId="11" xfId="0" applyNumberFormat="1" applyFont="1" applyFill="1" applyBorder="1" applyAlignment="1" applyProtection="1">
      <alignment/>
      <protection locked="0"/>
    </xf>
    <xf numFmtId="0" fontId="46" fillId="0" borderId="11" xfId="0" applyFont="1" applyFill="1" applyBorder="1" applyAlignment="1" applyProtection="1">
      <alignment horizontal="right"/>
      <protection locked="0"/>
    </xf>
    <xf numFmtId="0" fontId="45" fillId="0" borderId="11" xfId="0" applyNumberFormat="1" applyFont="1" applyFill="1" applyBorder="1" applyAlignment="1" applyProtection="1">
      <alignment/>
      <protection locked="0"/>
    </xf>
    <xf numFmtId="0" fontId="46" fillId="0" borderId="11" xfId="0" applyFont="1" applyFill="1" applyBorder="1" applyAlignment="1" applyProtection="1">
      <alignment wrapText="1"/>
      <protection locked="0"/>
    </xf>
    <xf numFmtId="0" fontId="46" fillId="0" borderId="11" xfId="0" applyFont="1" applyFill="1" applyBorder="1" applyAlignment="1" applyProtection="1">
      <alignment vertical="top" wrapText="1"/>
      <protection locked="0"/>
    </xf>
    <xf numFmtId="3" fontId="46" fillId="0" borderId="11" xfId="0" applyNumberFormat="1" applyFont="1" applyFill="1" applyBorder="1" applyAlignment="1" applyProtection="1">
      <alignment horizontal="left"/>
      <protection locked="0"/>
    </xf>
    <xf numFmtId="0" fontId="46" fillId="0" borderId="11" xfId="0" applyFont="1" applyFill="1" applyBorder="1" applyAlignment="1" applyProtection="1">
      <alignment shrinkToFit="1"/>
      <protection locked="0"/>
    </xf>
    <xf numFmtId="49" fontId="46" fillId="0" borderId="0" xfId="0" applyNumberFormat="1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/>
      <protection locked="0"/>
    </xf>
    <xf numFmtId="3" fontId="46" fillId="0" borderId="0" xfId="0" applyNumberFormat="1" applyFont="1" applyFill="1" applyBorder="1" applyAlignment="1" applyProtection="1">
      <alignment/>
      <protection locked="0"/>
    </xf>
    <xf numFmtId="3" fontId="46" fillId="0" borderId="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Fill="1" applyAlignment="1">
      <alignment/>
    </xf>
    <xf numFmtId="49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/>
    </xf>
    <xf numFmtId="49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right"/>
    </xf>
    <xf numFmtId="0" fontId="49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3" fontId="46" fillId="0" borderId="0" xfId="0" applyNumberFormat="1" applyFont="1" applyFill="1" applyAlignment="1">
      <alignment/>
    </xf>
    <xf numFmtId="168" fontId="46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3" fontId="70" fillId="0" borderId="0" xfId="0" applyNumberFormat="1" applyFont="1" applyFill="1" applyBorder="1" applyAlignment="1">
      <alignment/>
    </xf>
    <xf numFmtId="0" fontId="45" fillId="0" borderId="59" xfId="0" applyFont="1" applyFill="1" applyBorder="1" applyAlignment="1">
      <alignment/>
    </xf>
    <xf numFmtId="3" fontId="45" fillId="0" borderId="58" xfId="0" applyNumberFormat="1" applyFont="1" applyFill="1" applyBorder="1" applyAlignment="1">
      <alignment/>
    </xf>
    <xf numFmtId="168" fontId="45" fillId="0" borderId="41" xfId="0" applyNumberFormat="1" applyFont="1" applyFill="1" applyBorder="1" applyAlignment="1">
      <alignment/>
    </xf>
    <xf numFmtId="0" fontId="4" fillId="0" borderId="52" xfId="59" applyFont="1" applyFill="1" applyBorder="1" applyAlignment="1">
      <alignment horizontal="left"/>
      <protection/>
    </xf>
    <xf numFmtId="0" fontId="4" fillId="0" borderId="60" xfId="59" applyFont="1" applyFill="1" applyBorder="1" applyAlignment="1">
      <alignment horizontal="left"/>
      <protection/>
    </xf>
    <xf numFmtId="0" fontId="4" fillId="0" borderId="53" xfId="59" applyFont="1" applyFill="1" applyBorder="1" applyAlignment="1">
      <alignment horizontal="left"/>
      <protection/>
    </xf>
    <xf numFmtId="0" fontId="18" fillId="0" borderId="12" xfId="59" applyFont="1" applyFill="1" applyBorder="1" applyAlignment="1">
      <alignment horizontal="left"/>
      <protection/>
    </xf>
    <xf numFmtId="0" fontId="18" fillId="0" borderId="39" xfId="59" applyFont="1" applyFill="1" applyBorder="1" applyAlignment="1">
      <alignment horizontal="left"/>
      <protection/>
    </xf>
    <xf numFmtId="0" fontId="18" fillId="0" borderId="12" xfId="0" applyFont="1" applyFill="1" applyBorder="1" applyAlignment="1">
      <alignment horizontal="left"/>
    </xf>
    <xf numFmtId="0" fontId="18" fillId="0" borderId="39" xfId="0" applyFont="1" applyFill="1" applyBorder="1" applyAlignment="1">
      <alignment horizontal="left"/>
    </xf>
    <xf numFmtId="0" fontId="19" fillId="0" borderId="39" xfId="52" applyFont="1" applyFill="1" applyBorder="1" applyAlignment="1">
      <alignment horizontal="left"/>
      <protection/>
    </xf>
    <xf numFmtId="0" fontId="19" fillId="0" borderId="11" xfId="52" applyFont="1" applyFill="1" applyBorder="1" applyAlignment="1">
      <alignment horizontal="left"/>
      <protection/>
    </xf>
    <xf numFmtId="0" fontId="7" fillId="0" borderId="37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0" borderId="37" xfId="0" applyFont="1" applyBorder="1" applyAlignment="1">
      <alignment horizontal="left"/>
    </xf>
  </cellXfs>
  <cellStyles count="67">
    <cellStyle name="Normal" xfId="0"/>
    <cellStyle name="_Příjmy 2001-tab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_x0001_n" xfId="42"/>
    <cellStyle name="Nadpis 1" xfId="43"/>
    <cellStyle name="Nadpis 2" xfId="44"/>
    <cellStyle name="Nadpis 3" xfId="45"/>
    <cellStyle name="Nadpis 4" xfId="46"/>
    <cellStyle name="Název" xfId="47"/>
    <cellStyle name="Nedefinován" xfId="48"/>
    <cellStyle name="Neutrální" xfId="49"/>
    <cellStyle name="normální 2" xfId="50"/>
    <cellStyle name="normální_Archiv- příjmy" xfId="51"/>
    <cellStyle name="normální_Kunovská-Plnění rozpočtu příjmů a výdajů v.m.06-2002" xfId="52"/>
    <cellStyle name="normální_KV4Q2008" xfId="53"/>
    <cellStyle name="normální_Perka 13-závěr" xfId="54"/>
    <cellStyle name="normální_Plnění PV" xfId="55"/>
    <cellStyle name="normální_Příjmy 2001-tab" xfId="56"/>
    <cellStyle name="normální_Rozpočet na 2002" xfId="57"/>
    <cellStyle name="normální_Výdaje" xfId="58"/>
    <cellStyle name="normální_Výdaje 2001-tab" xfId="59"/>
    <cellStyle name="normální_Výdaje provoz 2000" xfId="60"/>
    <cellStyle name="normální_Výdaje_Vydaje1_ OŽP -konečná verze" xfId="61"/>
    <cellStyle name="normální_Vydaje1_ OŽP -konečná verze" xfId="62"/>
    <cellStyle name="normální_Výdaje-2 etapa-vokurková" xfId="63"/>
    <cellStyle name="Followed Hyperlink" xfId="64"/>
    <cellStyle name="Poznámka" xfId="65"/>
    <cellStyle name="Percent" xfId="66"/>
    <cellStyle name="Propojená buňka" xfId="67"/>
    <cellStyle name="Správně" xfId="68"/>
    <cellStyle name="Styl 1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40">
    <dxf>
      <font>
        <b/>
        <i val="0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gradientFill degree="90">
          <stop position="0">
            <color theme="0" tint="-0.0509600006043911"/>
          </stop>
          <stop position="1">
            <color rgb="FFFFC000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gradientFill degree="90">
          <stop position="0">
            <color theme="0" tint="-0.0509600006043911"/>
          </stop>
          <stop position="1">
            <color rgb="FFFFFF99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C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gradientFill degree="90">
          <stop position="0">
            <color theme="0"/>
          </stop>
          <stop position="1">
            <color theme="9" tint="-0.2509700059890747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gradientFill degree="90">
          <stop position="0">
            <color theme="0" tint="-0.0509600006043911"/>
          </stop>
          <stop position="1">
            <color rgb="FFC09200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5.375" style="193" customWidth="1"/>
    <col min="2" max="2" width="8.125" style="194" customWidth="1"/>
    <col min="3" max="3" width="6.00390625" style="195" customWidth="1"/>
    <col min="4" max="4" width="42.25390625" style="196" customWidth="1"/>
    <col min="5" max="5" width="17.875" style="170" customWidth="1"/>
    <col min="6" max="6" width="15.75390625" style="170" customWidth="1"/>
    <col min="7" max="7" width="16.00390625" style="170" customWidth="1"/>
    <col min="8" max="8" width="9.125" style="171" customWidth="1"/>
    <col min="9" max="9" width="9.75390625" style="171" customWidth="1"/>
    <col min="10" max="16384" width="9.125" style="139" customWidth="1"/>
  </cols>
  <sheetData>
    <row r="1" spans="1:9" s="181" customFormat="1" ht="13.5" thickBot="1">
      <c r="A1" s="271" t="s">
        <v>251</v>
      </c>
      <c r="B1" s="178" t="s">
        <v>102</v>
      </c>
      <c r="C1" s="179" t="s">
        <v>103</v>
      </c>
      <c r="D1" s="178" t="s">
        <v>104</v>
      </c>
      <c r="E1" s="154" t="s">
        <v>265</v>
      </c>
      <c r="F1" s="154" t="s">
        <v>306</v>
      </c>
      <c r="G1" s="154" t="s">
        <v>307</v>
      </c>
      <c r="H1" s="155" t="s">
        <v>105</v>
      </c>
      <c r="I1" s="180" t="s">
        <v>106</v>
      </c>
    </row>
    <row r="2" spans="1:9" s="183" customFormat="1" ht="12.75">
      <c r="A2" s="91">
        <v>1700</v>
      </c>
      <c r="B2" s="92" t="str">
        <f>(MID(C2,1,3))</f>
        <v>111</v>
      </c>
      <c r="C2" s="93">
        <v>1111</v>
      </c>
      <c r="D2" s="94" t="s">
        <v>107</v>
      </c>
      <c r="E2" s="95">
        <v>1530000</v>
      </c>
      <c r="F2" s="95">
        <v>1530000</v>
      </c>
      <c r="G2" s="95">
        <v>1615923</v>
      </c>
      <c r="H2" s="157">
        <f>IF(E2&lt;=0,0,$G2/E2*100)</f>
        <v>105.61588235294117</v>
      </c>
      <c r="I2" s="182">
        <f>IF(F2&lt;=0,0,$G2/F2*100)</f>
        <v>105.61588235294117</v>
      </c>
    </row>
    <row r="3" spans="1:9" s="183" customFormat="1" ht="12.75">
      <c r="A3" s="97">
        <v>1700</v>
      </c>
      <c r="B3" s="92" t="str">
        <f>(MID(C3,1,3))</f>
        <v>111</v>
      </c>
      <c r="C3" s="98">
        <v>1112</v>
      </c>
      <c r="D3" s="99" t="s">
        <v>108</v>
      </c>
      <c r="E3" s="100">
        <v>70000</v>
      </c>
      <c r="F3" s="100">
        <v>70000</v>
      </c>
      <c r="G3" s="100">
        <v>112903</v>
      </c>
      <c r="H3" s="119">
        <f aca="true" t="shared" si="0" ref="H3:H38">IF(E3&lt;=0,0,$G3/E3*100)</f>
        <v>161.29</v>
      </c>
      <c r="I3" s="120">
        <f aca="true" t="shared" si="1" ref="I3:I38">IF(F3&lt;=0,0,$G3/F3*100)</f>
        <v>161.29</v>
      </c>
    </row>
    <row r="4" spans="1:9" s="183" customFormat="1" ht="12.75">
      <c r="A4" s="97">
        <v>1700</v>
      </c>
      <c r="B4" s="92" t="str">
        <f>(MID(C4,1,3))</f>
        <v>111</v>
      </c>
      <c r="C4" s="98">
        <v>1113</v>
      </c>
      <c r="D4" s="99" t="s">
        <v>109</v>
      </c>
      <c r="E4" s="100">
        <v>150000</v>
      </c>
      <c r="F4" s="100">
        <v>150000</v>
      </c>
      <c r="G4" s="100">
        <v>156113</v>
      </c>
      <c r="H4" s="119">
        <f t="shared" si="0"/>
        <v>104.07533333333335</v>
      </c>
      <c r="I4" s="120">
        <f t="shared" si="1"/>
        <v>104.07533333333335</v>
      </c>
    </row>
    <row r="5" spans="1:9" s="183" customFormat="1" ht="12.75">
      <c r="A5" s="97">
        <v>1700</v>
      </c>
      <c r="B5" s="92" t="str">
        <f>(MID(C5,1,3))</f>
        <v>111</v>
      </c>
      <c r="C5" s="98">
        <v>1119</v>
      </c>
      <c r="D5" s="99" t="s">
        <v>281</v>
      </c>
      <c r="E5" s="100"/>
      <c r="F5" s="100"/>
      <c r="G5" s="100">
        <v>1</v>
      </c>
      <c r="H5" s="119">
        <f>IF(E5&lt;=0,0,$G5/E5*100)</f>
        <v>0</v>
      </c>
      <c r="I5" s="120">
        <f>IF(F5&lt;=0,0,$G5/F5*100)</f>
        <v>0</v>
      </c>
    </row>
    <row r="6" spans="1:9" s="183" customFormat="1" ht="12.75">
      <c r="A6" s="97"/>
      <c r="B6" s="101" t="s">
        <v>110</v>
      </c>
      <c r="C6" s="98"/>
      <c r="D6" s="99"/>
      <c r="E6" s="102">
        <f>SUBTOTAL(9,E2:E5)</f>
        <v>1750000</v>
      </c>
      <c r="F6" s="102">
        <f>SUBTOTAL(9,F2:F5)</f>
        <v>1750000</v>
      </c>
      <c r="G6" s="102">
        <f>SUBTOTAL(9,G2:G5)</f>
        <v>1884940</v>
      </c>
      <c r="H6" s="184">
        <f t="shared" si="0"/>
        <v>107.71085714285715</v>
      </c>
      <c r="I6" s="185">
        <f t="shared" si="1"/>
        <v>107.71085714285715</v>
      </c>
    </row>
    <row r="7" spans="1:9" s="183" customFormat="1" ht="12.75">
      <c r="A7" s="97">
        <v>1700</v>
      </c>
      <c r="B7" s="92" t="str">
        <f>(MID(C7,1,3))</f>
        <v>112</v>
      </c>
      <c r="C7" s="98">
        <v>1121</v>
      </c>
      <c r="D7" s="99" t="s">
        <v>111</v>
      </c>
      <c r="E7" s="100">
        <v>1430000</v>
      </c>
      <c r="F7" s="100">
        <v>1430000</v>
      </c>
      <c r="G7" s="100">
        <v>1546119</v>
      </c>
      <c r="H7" s="119">
        <f t="shared" si="0"/>
        <v>108.1202097902098</v>
      </c>
      <c r="I7" s="120">
        <f t="shared" si="1"/>
        <v>108.1202097902098</v>
      </c>
    </row>
    <row r="8" spans="1:9" s="183" customFormat="1" ht="12.75">
      <c r="A8" s="97">
        <v>1700</v>
      </c>
      <c r="B8" s="92" t="str">
        <f>(MID(C8,1,3))</f>
        <v>112</v>
      </c>
      <c r="C8" s="98">
        <v>1122</v>
      </c>
      <c r="D8" s="99" t="s">
        <v>112</v>
      </c>
      <c r="E8" s="100">
        <v>350000</v>
      </c>
      <c r="F8" s="100">
        <v>297017</v>
      </c>
      <c r="G8" s="100">
        <v>297017</v>
      </c>
      <c r="H8" s="119">
        <f>IF(E8&lt;=0,0,$G8/E8*100)</f>
        <v>84.86200000000001</v>
      </c>
      <c r="I8" s="120">
        <f>IF(F8&lt;=0,0,$G8/F8*100)</f>
        <v>100</v>
      </c>
    </row>
    <row r="9" spans="1:9" s="183" customFormat="1" ht="12.75">
      <c r="A9" s="97">
        <v>3200</v>
      </c>
      <c r="B9" s="92" t="str">
        <f>(MID(C9,1,3))</f>
        <v>112</v>
      </c>
      <c r="C9" s="98">
        <v>1122</v>
      </c>
      <c r="D9" s="99" t="s">
        <v>112</v>
      </c>
      <c r="E9" s="100"/>
      <c r="F9" s="100">
        <v>372</v>
      </c>
      <c r="G9" s="100">
        <v>372</v>
      </c>
      <c r="H9" s="119">
        <f>IF(E9&lt;=0,0,$G9/E9*100)</f>
        <v>0</v>
      </c>
      <c r="I9" s="120">
        <f>IF(F9&lt;=0,0,$G9/F9*100)</f>
        <v>100</v>
      </c>
    </row>
    <row r="10" spans="1:9" ht="12.75">
      <c r="A10" s="97"/>
      <c r="B10" s="103" t="s">
        <v>113</v>
      </c>
      <c r="C10" s="98"/>
      <c r="D10" s="99"/>
      <c r="E10" s="102">
        <f>SUBTOTAL(9,E7:E9)</f>
        <v>1780000</v>
      </c>
      <c r="F10" s="102">
        <f>SUBTOTAL(9,F7:F9)</f>
        <v>1727389</v>
      </c>
      <c r="G10" s="102">
        <f>SUBTOTAL(9,G7:G9)</f>
        <v>1843508</v>
      </c>
      <c r="H10" s="184">
        <f t="shared" si="0"/>
        <v>103.56786516853933</v>
      </c>
      <c r="I10" s="185">
        <f t="shared" si="1"/>
        <v>106.7222264353889</v>
      </c>
    </row>
    <row r="11" spans="1:9" ht="12.75">
      <c r="A11" s="97">
        <v>1700</v>
      </c>
      <c r="B11" s="92" t="str">
        <f>(MID(C11,1,3))</f>
        <v>121</v>
      </c>
      <c r="C11" s="98">
        <v>1211</v>
      </c>
      <c r="D11" s="99" t="s">
        <v>114</v>
      </c>
      <c r="E11" s="100">
        <v>3140000</v>
      </c>
      <c r="F11" s="100">
        <v>3140000</v>
      </c>
      <c r="G11" s="100">
        <v>3285204</v>
      </c>
      <c r="H11" s="119">
        <f t="shared" si="0"/>
        <v>104.62433121019107</v>
      </c>
      <c r="I11" s="120">
        <f t="shared" si="1"/>
        <v>104.62433121019107</v>
      </c>
    </row>
    <row r="12" spans="1:9" ht="12.75">
      <c r="A12" s="97"/>
      <c r="B12" s="103" t="s">
        <v>115</v>
      </c>
      <c r="C12" s="98"/>
      <c r="D12" s="99"/>
      <c r="E12" s="102">
        <f>SUBTOTAL(9,E11:E11)</f>
        <v>3140000</v>
      </c>
      <c r="F12" s="102">
        <f>SUBTOTAL(9,F11:F11)</f>
        <v>3140000</v>
      </c>
      <c r="G12" s="102">
        <f>SUBTOTAL(9,G11:G11)</f>
        <v>3285204</v>
      </c>
      <c r="H12" s="184">
        <f t="shared" si="0"/>
        <v>104.62433121019107</v>
      </c>
      <c r="I12" s="185">
        <f t="shared" si="1"/>
        <v>104.62433121019107</v>
      </c>
    </row>
    <row r="13" spans="1:9" ht="12.75">
      <c r="A13" s="140">
        <v>4300</v>
      </c>
      <c r="B13" s="92" t="str">
        <f>(MID(C13,1,3))</f>
        <v>133</v>
      </c>
      <c r="C13" s="141">
        <v>1334</v>
      </c>
      <c r="D13" s="186" t="s">
        <v>116</v>
      </c>
      <c r="E13" s="104">
        <v>700</v>
      </c>
      <c r="F13" s="104">
        <v>700</v>
      </c>
      <c r="G13" s="104">
        <v>1544</v>
      </c>
      <c r="H13" s="143">
        <f t="shared" si="0"/>
        <v>220.57142857142856</v>
      </c>
      <c r="I13" s="144">
        <f t="shared" si="1"/>
        <v>220.57142857142856</v>
      </c>
    </row>
    <row r="14" spans="1:9" s="183" customFormat="1" ht="12.75">
      <c r="A14" s="140">
        <v>4300</v>
      </c>
      <c r="B14" s="92" t="str">
        <f>(MID(C14,1,3))</f>
        <v>133</v>
      </c>
      <c r="C14" s="141">
        <v>1335</v>
      </c>
      <c r="D14" s="186" t="s">
        <v>117</v>
      </c>
      <c r="E14" s="104">
        <v>50</v>
      </c>
      <c r="F14" s="104">
        <v>50</v>
      </c>
      <c r="G14" s="104">
        <v>152</v>
      </c>
      <c r="H14" s="143">
        <f t="shared" si="0"/>
        <v>304</v>
      </c>
      <c r="I14" s="144">
        <f t="shared" si="1"/>
        <v>304</v>
      </c>
    </row>
    <row r="15" spans="1:9" s="183" customFormat="1" ht="12.75">
      <c r="A15" s="97">
        <v>4200</v>
      </c>
      <c r="B15" s="92" t="str">
        <f>(MID(C15,1,3))</f>
        <v>133</v>
      </c>
      <c r="C15" s="98">
        <v>1339</v>
      </c>
      <c r="D15" s="99" t="s">
        <v>239</v>
      </c>
      <c r="E15" s="100">
        <v>100</v>
      </c>
      <c r="F15" s="100">
        <v>100</v>
      </c>
      <c r="G15" s="100">
        <v>114</v>
      </c>
      <c r="H15" s="105">
        <f t="shared" si="0"/>
        <v>113.99999999999999</v>
      </c>
      <c r="I15" s="106">
        <f t="shared" si="1"/>
        <v>113.99999999999999</v>
      </c>
    </row>
    <row r="16" spans="1:9" s="183" customFormat="1" ht="12.75">
      <c r="A16" s="97"/>
      <c r="B16" s="103" t="s">
        <v>118</v>
      </c>
      <c r="C16" s="98"/>
      <c r="D16" s="99"/>
      <c r="E16" s="102">
        <f>SUBTOTAL(9,E13:E15)</f>
        <v>850</v>
      </c>
      <c r="F16" s="102">
        <f>SUBTOTAL(9,F13:F15)</f>
        <v>850</v>
      </c>
      <c r="G16" s="102">
        <f>SUBTOTAL(9,G13:G15)</f>
        <v>1810</v>
      </c>
      <c r="H16" s="184">
        <f t="shared" si="0"/>
        <v>212.94117647058823</v>
      </c>
      <c r="I16" s="185">
        <f t="shared" si="1"/>
        <v>212.94117647058823</v>
      </c>
    </row>
    <row r="17" spans="1:9" s="183" customFormat="1" ht="12.75">
      <c r="A17" s="97">
        <v>4200</v>
      </c>
      <c r="B17" s="92" t="str">
        <f>(MID(C17,1,3))</f>
        <v>134</v>
      </c>
      <c r="C17" s="98">
        <v>1340</v>
      </c>
      <c r="D17" s="99" t="s">
        <v>247</v>
      </c>
      <c r="E17" s="100">
        <v>260600</v>
      </c>
      <c r="F17" s="100">
        <v>260600</v>
      </c>
      <c r="G17" s="100">
        <v>248383</v>
      </c>
      <c r="H17" s="105">
        <f>IF(E17&lt;=0,0,$G17/E17*100)</f>
        <v>95.31197237145051</v>
      </c>
      <c r="I17" s="106">
        <f>IF(F17&lt;=0,0,$G17/F17*100)</f>
        <v>95.31197237145051</v>
      </c>
    </row>
    <row r="18" spans="1:9" s="187" customFormat="1" ht="12.75">
      <c r="A18" s="140">
        <v>5400</v>
      </c>
      <c r="B18" s="92" t="str">
        <f>(MID(C18,1,3))</f>
        <v>134</v>
      </c>
      <c r="C18" s="141">
        <v>1346</v>
      </c>
      <c r="D18" s="186" t="s">
        <v>119</v>
      </c>
      <c r="E18" s="104">
        <v>5000</v>
      </c>
      <c r="F18" s="104">
        <v>5000</v>
      </c>
      <c r="G18" s="104">
        <v>3951</v>
      </c>
      <c r="H18" s="143">
        <f t="shared" si="0"/>
        <v>79.02</v>
      </c>
      <c r="I18" s="144">
        <f t="shared" si="1"/>
        <v>79.02</v>
      </c>
    </row>
    <row r="19" spans="1:9" s="187" customFormat="1" ht="12.75">
      <c r="A19" s="140"/>
      <c r="B19" s="103" t="s">
        <v>178</v>
      </c>
      <c r="C19" s="141"/>
      <c r="D19" s="186"/>
      <c r="E19" s="102">
        <f>SUBTOTAL(9,E17:E18)</f>
        <v>265600</v>
      </c>
      <c r="F19" s="102">
        <f>SUBTOTAL(9,F17:F18)</f>
        <v>265600</v>
      </c>
      <c r="G19" s="102">
        <f>SUBTOTAL(9,G17:G18)</f>
        <v>252334</v>
      </c>
      <c r="H19" s="184">
        <f t="shared" si="0"/>
        <v>95.00527108433735</v>
      </c>
      <c r="I19" s="185">
        <f t="shared" si="1"/>
        <v>95.00527108433735</v>
      </c>
    </row>
    <row r="20" spans="1:9" s="187" customFormat="1" ht="12.75">
      <c r="A20" s="140">
        <v>1700</v>
      </c>
      <c r="B20" s="92" t="str">
        <f>(MID(C20,1,3))</f>
        <v>135</v>
      </c>
      <c r="C20" s="141">
        <v>1351</v>
      </c>
      <c r="D20" s="186" t="s">
        <v>255</v>
      </c>
      <c r="E20" s="104">
        <v>33000</v>
      </c>
      <c r="F20" s="104">
        <v>33000</v>
      </c>
      <c r="G20" s="104">
        <v>31670</v>
      </c>
      <c r="H20" s="143">
        <f aca="true" t="shared" si="2" ref="H20:I22">IF(E20&lt;=0,0,$G20/E20*100)</f>
        <v>95.96969696969697</v>
      </c>
      <c r="I20" s="144">
        <f t="shared" si="2"/>
        <v>95.96969696969697</v>
      </c>
    </row>
    <row r="21" spans="1:9" s="187" customFormat="1" ht="12.75">
      <c r="A21" s="140">
        <v>5800</v>
      </c>
      <c r="B21" s="92" t="str">
        <f>(MID(C21,1,3))</f>
        <v>135</v>
      </c>
      <c r="C21" s="141">
        <v>1353</v>
      </c>
      <c r="D21" s="186" t="s">
        <v>181</v>
      </c>
      <c r="E21" s="104">
        <v>7000</v>
      </c>
      <c r="F21" s="104">
        <v>7000</v>
      </c>
      <c r="G21" s="104">
        <v>5878</v>
      </c>
      <c r="H21" s="143">
        <f t="shared" si="2"/>
        <v>83.97142857142858</v>
      </c>
      <c r="I21" s="144">
        <f t="shared" si="2"/>
        <v>83.97142857142858</v>
      </c>
    </row>
    <row r="22" spans="1:9" s="187" customFormat="1" ht="12.75">
      <c r="A22" s="140">
        <v>1700</v>
      </c>
      <c r="B22" s="92" t="str">
        <f>(MID(C22,1,3))</f>
        <v>135</v>
      </c>
      <c r="C22" s="141">
        <v>1355</v>
      </c>
      <c r="D22" s="186" t="s">
        <v>254</v>
      </c>
      <c r="E22" s="104">
        <v>200000</v>
      </c>
      <c r="F22" s="104">
        <v>200000</v>
      </c>
      <c r="G22" s="104">
        <v>230263</v>
      </c>
      <c r="H22" s="143">
        <f t="shared" si="2"/>
        <v>115.1315</v>
      </c>
      <c r="I22" s="144">
        <f t="shared" si="2"/>
        <v>115.1315</v>
      </c>
    </row>
    <row r="23" spans="1:9" s="187" customFormat="1" ht="12.75">
      <c r="A23" s="140">
        <v>5800</v>
      </c>
      <c r="B23" s="92" t="str">
        <f>(MID(C23,1,3))</f>
        <v>135</v>
      </c>
      <c r="C23" s="141">
        <v>1359</v>
      </c>
      <c r="D23" s="186" t="s">
        <v>220</v>
      </c>
      <c r="E23" s="104"/>
      <c r="F23" s="104"/>
      <c r="G23" s="104">
        <v>142</v>
      </c>
      <c r="H23" s="143"/>
      <c r="I23" s="144"/>
    </row>
    <row r="24" spans="1:9" s="187" customFormat="1" ht="12.75">
      <c r="A24" s="140"/>
      <c r="B24" s="103" t="s">
        <v>182</v>
      </c>
      <c r="C24" s="141"/>
      <c r="D24" s="186"/>
      <c r="E24" s="102">
        <f>SUBTOTAL(9,E20:E23)</f>
        <v>240000</v>
      </c>
      <c r="F24" s="102">
        <f>SUBTOTAL(9,F20:F23)</f>
        <v>240000</v>
      </c>
      <c r="G24" s="102">
        <f>SUBTOTAL(9,G20:G23)</f>
        <v>267953</v>
      </c>
      <c r="H24" s="184">
        <f>IF(E24&lt;=0,0,$G24/E24*100)</f>
        <v>111.64708333333333</v>
      </c>
      <c r="I24" s="185">
        <f>IF(F24&lt;=0,0,$G24/F24*100)</f>
        <v>111.64708333333333</v>
      </c>
    </row>
    <row r="25" spans="1:9" ht="12.75">
      <c r="A25" s="97">
        <v>1700</v>
      </c>
      <c r="B25" s="92" t="str">
        <f aca="true" t="shared" si="3" ref="B25:B31">(MID(C25,1,3))</f>
        <v>136</v>
      </c>
      <c r="C25" s="98">
        <v>1361</v>
      </c>
      <c r="D25" s="99" t="s">
        <v>120</v>
      </c>
      <c r="E25" s="100">
        <v>20</v>
      </c>
      <c r="F25" s="100">
        <v>20</v>
      </c>
      <c r="G25" s="100">
        <v>18</v>
      </c>
      <c r="H25" s="105">
        <f t="shared" si="0"/>
        <v>90</v>
      </c>
      <c r="I25" s="106">
        <f t="shared" si="1"/>
        <v>90</v>
      </c>
    </row>
    <row r="26" spans="1:9" s="187" customFormat="1" ht="12.75">
      <c r="A26" s="97">
        <v>3200</v>
      </c>
      <c r="B26" s="92" t="str">
        <f t="shared" si="3"/>
        <v>136</v>
      </c>
      <c r="C26" s="98">
        <v>1361</v>
      </c>
      <c r="D26" s="145" t="s">
        <v>120</v>
      </c>
      <c r="E26" s="100">
        <v>1100</v>
      </c>
      <c r="F26" s="100">
        <v>1100</v>
      </c>
      <c r="G26" s="100">
        <v>738</v>
      </c>
      <c r="H26" s="105">
        <f aca="true" t="shared" si="4" ref="H26:I29">IF(E26&lt;=0,0,$G26/E26*100)</f>
        <v>67.0909090909091</v>
      </c>
      <c r="I26" s="106">
        <f t="shared" si="4"/>
        <v>67.0909090909091</v>
      </c>
    </row>
    <row r="27" spans="1:9" s="187" customFormat="1" ht="12.75">
      <c r="A27" s="97">
        <v>3800</v>
      </c>
      <c r="B27" s="92" t="str">
        <f t="shared" si="3"/>
        <v>136</v>
      </c>
      <c r="C27" s="98">
        <v>1361</v>
      </c>
      <c r="D27" s="145" t="s">
        <v>120</v>
      </c>
      <c r="E27" s="100">
        <v>12500</v>
      </c>
      <c r="F27" s="100">
        <v>12500</v>
      </c>
      <c r="G27" s="100">
        <v>13410</v>
      </c>
      <c r="H27" s="105">
        <f t="shared" si="4"/>
        <v>107.28</v>
      </c>
      <c r="I27" s="106">
        <f t="shared" si="4"/>
        <v>107.28</v>
      </c>
    </row>
    <row r="28" spans="1:9" ht="12.75">
      <c r="A28" s="97">
        <v>3900</v>
      </c>
      <c r="B28" s="92" t="str">
        <f>(MID(C28,1,3))</f>
        <v>136</v>
      </c>
      <c r="C28" s="98">
        <v>1361</v>
      </c>
      <c r="D28" s="145" t="s">
        <v>120</v>
      </c>
      <c r="E28" s="121">
        <v>5</v>
      </c>
      <c r="F28" s="121">
        <v>5</v>
      </c>
      <c r="G28" s="121">
        <v>2</v>
      </c>
      <c r="H28" s="105">
        <f t="shared" si="4"/>
        <v>40</v>
      </c>
      <c r="I28" s="106">
        <f t="shared" si="4"/>
        <v>40</v>
      </c>
    </row>
    <row r="29" spans="1:9" ht="12.75">
      <c r="A29" s="97">
        <v>4200</v>
      </c>
      <c r="B29" s="92" t="str">
        <f t="shared" si="3"/>
        <v>136</v>
      </c>
      <c r="C29" s="98">
        <v>1361</v>
      </c>
      <c r="D29" s="99" t="s">
        <v>120</v>
      </c>
      <c r="E29" s="100">
        <v>5</v>
      </c>
      <c r="F29" s="100">
        <v>5</v>
      </c>
      <c r="G29" s="100">
        <v>3</v>
      </c>
      <c r="H29" s="105">
        <f t="shared" si="4"/>
        <v>60</v>
      </c>
      <c r="I29" s="106">
        <f t="shared" si="4"/>
        <v>60</v>
      </c>
    </row>
    <row r="30" spans="1:9" ht="12.75">
      <c r="A30" s="140">
        <v>4300</v>
      </c>
      <c r="B30" s="92" t="str">
        <f t="shared" si="3"/>
        <v>136</v>
      </c>
      <c r="C30" s="141">
        <v>1361</v>
      </c>
      <c r="D30" s="186" t="s">
        <v>120</v>
      </c>
      <c r="E30" s="104">
        <v>200</v>
      </c>
      <c r="F30" s="104">
        <v>200</v>
      </c>
      <c r="G30" s="104">
        <v>349</v>
      </c>
      <c r="H30" s="143">
        <f t="shared" si="0"/>
        <v>174.5</v>
      </c>
      <c r="I30" s="144">
        <f t="shared" si="1"/>
        <v>174.5</v>
      </c>
    </row>
    <row r="31" spans="1:9" ht="12.75">
      <c r="A31" s="140">
        <v>5400</v>
      </c>
      <c r="B31" s="92" t="str">
        <f t="shared" si="3"/>
        <v>136</v>
      </c>
      <c r="C31" s="141">
        <v>1361</v>
      </c>
      <c r="D31" s="186" t="s">
        <v>120</v>
      </c>
      <c r="E31" s="104">
        <v>500</v>
      </c>
      <c r="F31" s="104">
        <v>500</v>
      </c>
      <c r="G31" s="104">
        <v>800</v>
      </c>
      <c r="H31" s="143">
        <f t="shared" si="0"/>
        <v>160</v>
      </c>
      <c r="I31" s="144">
        <f t="shared" si="1"/>
        <v>160</v>
      </c>
    </row>
    <row r="32" spans="1:9" ht="12.75">
      <c r="A32" s="140">
        <v>5800</v>
      </c>
      <c r="B32" s="94">
        <v>136</v>
      </c>
      <c r="C32" s="141">
        <v>1361</v>
      </c>
      <c r="D32" s="186" t="s">
        <v>120</v>
      </c>
      <c r="E32" s="104">
        <v>45000</v>
      </c>
      <c r="F32" s="104">
        <v>45000</v>
      </c>
      <c r="G32" s="104">
        <v>43342</v>
      </c>
      <c r="H32" s="143">
        <f t="shared" si="0"/>
        <v>96.31555555555555</v>
      </c>
      <c r="I32" s="144">
        <f t="shared" si="1"/>
        <v>96.31555555555555</v>
      </c>
    </row>
    <row r="33" spans="1:9" ht="12.75">
      <c r="A33" s="140">
        <v>6500</v>
      </c>
      <c r="B33" s="94">
        <v>136</v>
      </c>
      <c r="C33" s="141">
        <v>1361</v>
      </c>
      <c r="D33" s="186" t="s">
        <v>120</v>
      </c>
      <c r="E33" s="104">
        <v>5875</v>
      </c>
      <c r="F33" s="104">
        <v>5875</v>
      </c>
      <c r="G33" s="104">
        <v>7518</v>
      </c>
      <c r="H33" s="143">
        <f>IF(E33&lt;=0,0,$G33/E33*100)</f>
        <v>127.96595744680852</v>
      </c>
      <c r="I33" s="144">
        <f>IF(F33&lt;=0,0,$G33/F33*100)</f>
        <v>127.96595744680852</v>
      </c>
    </row>
    <row r="34" spans="1:9" ht="12.75">
      <c r="A34" s="140">
        <v>7100</v>
      </c>
      <c r="B34" s="94">
        <v>136</v>
      </c>
      <c r="C34" s="141">
        <v>1361</v>
      </c>
      <c r="D34" s="186" t="s">
        <v>120</v>
      </c>
      <c r="E34" s="104"/>
      <c r="F34" s="104"/>
      <c r="G34" s="104">
        <v>2</v>
      </c>
      <c r="H34" s="119">
        <f>IF(E34&lt;=0,0,$G34/E34*100)</f>
        <v>0</v>
      </c>
      <c r="I34" s="120">
        <f>IF(F34&lt;=0,0,$G34/F34*100)</f>
        <v>0</v>
      </c>
    </row>
    <row r="35" spans="1:9" ht="12.75">
      <c r="A35" s="97"/>
      <c r="B35" s="103" t="s">
        <v>121</v>
      </c>
      <c r="C35" s="98"/>
      <c r="D35" s="145"/>
      <c r="E35" s="102">
        <f>SUBTOTAL(9,E25:E34)</f>
        <v>65205</v>
      </c>
      <c r="F35" s="102">
        <f>SUBTOTAL(9,F25:F34)</f>
        <v>65205</v>
      </c>
      <c r="G35" s="102">
        <f>SUBTOTAL(9,G25:G34)</f>
        <v>66182</v>
      </c>
      <c r="H35" s="184">
        <f t="shared" si="0"/>
        <v>101.49835135342383</v>
      </c>
      <c r="I35" s="185">
        <f t="shared" si="1"/>
        <v>101.49835135342383</v>
      </c>
    </row>
    <row r="36" spans="1:9" ht="12.75">
      <c r="A36" s="97">
        <v>1700</v>
      </c>
      <c r="B36" s="92" t="str">
        <f>(MID(C36,1,3))</f>
        <v>151</v>
      </c>
      <c r="C36" s="98">
        <v>1511</v>
      </c>
      <c r="D36" s="99" t="s">
        <v>122</v>
      </c>
      <c r="E36" s="100">
        <v>220000</v>
      </c>
      <c r="F36" s="100">
        <v>220000</v>
      </c>
      <c r="G36" s="100">
        <v>227460</v>
      </c>
      <c r="H36" s="119">
        <f t="shared" si="0"/>
        <v>103.39090909090909</v>
      </c>
      <c r="I36" s="120">
        <f t="shared" si="1"/>
        <v>103.39090909090909</v>
      </c>
    </row>
    <row r="37" spans="1:9" ht="13.5" thickBot="1">
      <c r="A37" s="107"/>
      <c r="B37" s="108" t="s">
        <v>123</v>
      </c>
      <c r="C37" s="109"/>
      <c r="D37" s="110"/>
      <c r="E37" s="111">
        <f>SUBTOTAL(9,E36:E36)</f>
        <v>220000</v>
      </c>
      <c r="F37" s="111">
        <f>SUBTOTAL(9,F36:F36)</f>
        <v>220000</v>
      </c>
      <c r="G37" s="111">
        <f>SUBTOTAL(9,G36:G36)</f>
        <v>227460</v>
      </c>
      <c r="H37" s="188">
        <f t="shared" si="0"/>
        <v>103.39090909090909</v>
      </c>
      <c r="I37" s="189">
        <f t="shared" si="1"/>
        <v>103.39090909090909</v>
      </c>
    </row>
    <row r="38" spans="1:9" ht="15" thickBot="1">
      <c r="A38" s="112"/>
      <c r="B38" s="136" t="s">
        <v>124</v>
      </c>
      <c r="C38" s="113"/>
      <c r="D38" s="114"/>
      <c r="E38" s="190">
        <f>SUBTOTAL(9,E2:E36)</f>
        <v>7461655</v>
      </c>
      <c r="F38" s="190">
        <f>SUBTOTAL(9,F2:F36)</f>
        <v>7409044</v>
      </c>
      <c r="G38" s="190">
        <f>SUBTOTAL(9,G2:G36)</f>
        <v>7829391</v>
      </c>
      <c r="H38" s="191">
        <f t="shared" si="0"/>
        <v>104.92834364494203</v>
      </c>
      <c r="I38" s="192">
        <f t="shared" si="1"/>
        <v>105.67343101215218</v>
      </c>
    </row>
  </sheetData>
  <sheetProtection/>
  <printOptions horizontalCentered="1" verticalCentered="1"/>
  <pageMargins left="0" right="0" top="0.9448818897637796" bottom="0.6299212598425197" header="0.5905511811023623" footer="0.5118110236220472"/>
  <pageSetup horizontalDpi="600" verticalDpi="600" orientation="landscape" paperSize="9" scale="99" r:id="rId1"/>
  <headerFooter alignWithMargins="0">
    <oddHeader>&amp;C&amp;"Times New Roman,Tučné"&amp;12Plnění rozpočtu daňových příjmů města k 31.12.2013 (v tis. Kč)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3"/>
  <sheetViews>
    <sheetView showZeros="0" zoomScaleSheetLayoutView="100" zoomScalePageLayoutView="0" workbookViewId="0" topLeftCell="A1">
      <pane xSplit="5" ySplit="1" topLeftCell="F2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" sqref="A1"/>
    </sheetView>
  </sheetViews>
  <sheetFormatPr defaultColWidth="9.00390625" defaultRowHeight="12.75"/>
  <cols>
    <col min="1" max="1" width="5.375" style="193" customWidth="1"/>
    <col min="2" max="2" width="4.875" style="195" customWidth="1"/>
    <col min="3" max="3" width="41.375" style="194" customWidth="1"/>
    <col min="4" max="4" width="7.375" style="194" bestFit="1" customWidth="1"/>
    <col min="5" max="5" width="4.75390625" style="195" customWidth="1"/>
    <col min="6" max="6" width="39.875" style="196" customWidth="1"/>
    <col min="7" max="7" width="13.625" style="170" customWidth="1"/>
    <col min="8" max="8" width="14.25390625" style="170" customWidth="1"/>
    <col min="9" max="9" width="15.625" style="170" customWidth="1"/>
    <col min="10" max="11" width="9.25390625" style="171" bestFit="1" customWidth="1"/>
    <col min="12" max="16384" width="9.125" style="139" customWidth="1"/>
  </cols>
  <sheetData>
    <row r="1" spans="1:11" s="181" customFormat="1" ht="13.5" thickBot="1">
      <c r="A1" s="271" t="s">
        <v>251</v>
      </c>
      <c r="B1" s="179" t="s">
        <v>0</v>
      </c>
      <c r="C1" s="178" t="s">
        <v>125</v>
      </c>
      <c r="D1" s="178" t="s">
        <v>102</v>
      </c>
      <c r="E1" s="179" t="s">
        <v>103</v>
      </c>
      <c r="F1" s="178" t="s">
        <v>104</v>
      </c>
      <c r="G1" s="154" t="s">
        <v>265</v>
      </c>
      <c r="H1" s="154" t="s">
        <v>306</v>
      </c>
      <c r="I1" s="154" t="s">
        <v>307</v>
      </c>
      <c r="J1" s="155" t="s">
        <v>105</v>
      </c>
      <c r="K1" s="180" t="s">
        <v>106</v>
      </c>
    </row>
    <row r="2" spans="1:11" s="181" customFormat="1" ht="12.75">
      <c r="A2" s="234" t="s">
        <v>126</v>
      </c>
      <c r="B2" s="235"/>
      <c r="C2" s="236"/>
      <c r="D2" s="236"/>
      <c r="E2" s="235"/>
      <c r="F2" s="236"/>
      <c r="G2" s="156"/>
      <c r="H2" s="156"/>
      <c r="I2" s="156"/>
      <c r="J2" s="157">
        <f>IF(G2&lt;=0,0,$I2/G2*100)</f>
        <v>0</v>
      </c>
      <c r="K2" s="182">
        <f>IF(H2&lt;=0,0,$I2/H2*100)</f>
        <v>0</v>
      </c>
    </row>
    <row r="3" spans="1:11" s="181" customFormat="1" ht="12.75">
      <c r="A3" s="91">
        <v>3200</v>
      </c>
      <c r="B3" s="93">
        <v>6171</v>
      </c>
      <c r="C3" s="115" t="s">
        <v>9</v>
      </c>
      <c r="D3" s="92" t="str">
        <f>(MID(E3,1,3))</f>
        <v>211</v>
      </c>
      <c r="E3" s="93">
        <v>2111</v>
      </c>
      <c r="F3" s="82" t="s">
        <v>127</v>
      </c>
      <c r="G3" s="95">
        <v>66</v>
      </c>
      <c r="H3" s="95">
        <v>66</v>
      </c>
      <c r="I3" s="95">
        <v>71</v>
      </c>
      <c r="J3" s="105">
        <f>IF(G3&lt;=0,0,$I3/G3*100)</f>
        <v>107.57575757575756</v>
      </c>
      <c r="K3" s="106">
        <f>IF(H3&lt;=0,0,$I3/H3*100)</f>
        <v>107.57575757575756</v>
      </c>
    </row>
    <row r="4" spans="1:11" ht="12.75">
      <c r="A4" s="97">
        <v>3900</v>
      </c>
      <c r="B4" s="98">
        <v>6211</v>
      </c>
      <c r="C4" s="153" t="s">
        <v>57</v>
      </c>
      <c r="D4" s="92" t="str">
        <f>(MID(E4,1,3))</f>
        <v>211</v>
      </c>
      <c r="E4" s="98">
        <v>2111</v>
      </c>
      <c r="F4" s="82" t="s">
        <v>127</v>
      </c>
      <c r="G4" s="121">
        <v>30</v>
      </c>
      <c r="H4" s="121">
        <v>30</v>
      </c>
      <c r="I4" s="121">
        <v>29</v>
      </c>
      <c r="J4" s="105">
        <f aca="true" t="shared" si="0" ref="J4:J12">IF(G4&lt;=0,0,$I4/G4*100)</f>
        <v>96.66666666666667</v>
      </c>
      <c r="K4" s="106">
        <f aca="true" t="shared" si="1" ref="K4:K12">IF(H4&lt;=0,0,$I4/H4*100)</f>
        <v>96.66666666666667</v>
      </c>
    </row>
    <row r="5" spans="1:11" ht="12.75">
      <c r="A5" s="97">
        <v>4200</v>
      </c>
      <c r="B5" s="98">
        <v>3632</v>
      </c>
      <c r="C5" s="115" t="s">
        <v>1</v>
      </c>
      <c r="D5" s="92" t="str">
        <f aca="true" t="shared" si="2" ref="D5:D12">(MID(E5,1,3))</f>
        <v>211</v>
      </c>
      <c r="E5" s="93">
        <v>2111</v>
      </c>
      <c r="F5" s="82" t="s">
        <v>127</v>
      </c>
      <c r="G5" s="100">
        <v>10000</v>
      </c>
      <c r="H5" s="100">
        <v>10000</v>
      </c>
      <c r="I5" s="100">
        <v>11412</v>
      </c>
      <c r="J5" s="105">
        <f t="shared" si="0"/>
        <v>114.12</v>
      </c>
      <c r="K5" s="106">
        <f t="shared" si="1"/>
        <v>114.12</v>
      </c>
    </row>
    <row r="6" spans="1:11" ht="12.75">
      <c r="A6" s="97">
        <v>4300</v>
      </c>
      <c r="B6" s="98">
        <v>1032</v>
      </c>
      <c r="C6" s="115" t="s">
        <v>137</v>
      </c>
      <c r="D6" s="92" t="str">
        <f>(MID(E6,1,3))</f>
        <v>211</v>
      </c>
      <c r="E6" s="93">
        <v>2111</v>
      </c>
      <c r="F6" s="82" t="s">
        <v>127</v>
      </c>
      <c r="G6" s="100">
        <v>384</v>
      </c>
      <c r="H6" s="100">
        <v>384</v>
      </c>
      <c r="I6" s="100">
        <v>248</v>
      </c>
      <c r="J6" s="105">
        <f aca="true" t="shared" si="3" ref="J6:K9">IF(G6&lt;=0,0,$I6/G6*100)</f>
        <v>64.58333333333334</v>
      </c>
      <c r="K6" s="106">
        <f t="shared" si="3"/>
        <v>64.58333333333334</v>
      </c>
    </row>
    <row r="7" spans="1:11" ht="12.75">
      <c r="A7" s="97">
        <v>5300</v>
      </c>
      <c r="B7" s="98">
        <v>6171</v>
      </c>
      <c r="C7" s="115" t="s">
        <v>9</v>
      </c>
      <c r="D7" s="92" t="str">
        <f t="shared" si="2"/>
        <v>211</v>
      </c>
      <c r="E7" s="93">
        <v>2111</v>
      </c>
      <c r="F7" s="82" t="s">
        <v>127</v>
      </c>
      <c r="G7" s="100">
        <v>10</v>
      </c>
      <c r="H7" s="100">
        <v>10</v>
      </c>
      <c r="I7" s="237">
        <v>1</v>
      </c>
      <c r="J7" s="105">
        <f t="shared" si="3"/>
        <v>10</v>
      </c>
      <c r="K7" s="106">
        <f t="shared" si="3"/>
        <v>10</v>
      </c>
    </row>
    <row r="8" spans="1:11" ht="12.75">
      <c r="A8" s="140">
        <v>7200</v>
      </c>
      <c r="B8" s="141">
        <v>4341</v>
      </c>
      <c r="C8" s="186" t="s">
        <v>233</v>
      </c>
      <c r="D8" s="92" t="str">
        <f t="shared" si="2"/>
        <v>211</v>
      </c>
      <c r="E8" s="93">
        <v>2111</v>
      </c>
      <c r="F8" s="82" t="s">
        <v>127</v>
      </c>
      <c r="G8" s="104">
        <v>3700</v>
      </c>
      <c r="H8" s="104">
        <v>3700</v>
      </c>
      <c r="I8" s="104">
        <v>4771</v>
      </c>
      <c r="J8" s="105">
        <f t="shared" si="3"/>
        <v>128.94594594594594</v>
      </c>
      <c r="K8" s="106">
        <f t="shared" si="3"/>
        <v>128.94594594594594</v>
      </c>
    </row>
    <row r="9" spans="1:11" ht="12.75">
      <c r="A9" s="140">
        <v>7200</v>
      </c>
      <c r="B9" s="141">
        <v>4399</v>
      </c>
      <c r="C9" s="12" t="s">
        <v>257</v>
      </c>
      <c r="D9" s="92" t="str">
        <f>(MID(E9,1,3))</f>
        <v>211</v>
      </c>
      <c r="E9" s="93">
        <v>2111</v>
      </c>
      <c r="F9" s="82" t="s">
        <v>127</v>
      </c>
      <c r="G9" s="104">
        <v>60</v>
      </c>
      <c r="H9" s="104">
        <v>60</v>
      </c>
      <c r="I9" s="104"/>
      <c r="J9" s="105">
        <f t="shared" si="3"/>
        <v>0</v>
      </c>
      <c r="K9" s="106">
        <f t="shared" si="3"/>
        <v>0</v>
      </c>
    </row>
    <row r="10" spans="1:11" ht="12.75">
      <c r="A10" s="140">
        <v>7400</v>
      </c>
      <c r="B10" s="141">
        <v>3113</v>
      </c>
      <c r="C10" s="186" t="s">
        <v>23</v>
      </c>
      <c r="D10" s="92" t="str">
        <f>(MID(E10,1,3))</f>
        <v>211</v>
      </c>
      <c r="E10" s="93">
        <v>2111</v>
      </c>
      <c r="F10" s="82" t="s">
        <v>127</v>
      </c>
      <c r="G10" s="104">
        <v>60</v>
      </c>
      <c r="H10" s="104">
        <v>60</v>
      </c>
      <c r="I10" s="104">
        <v>26</v>
      </c>
      <c r="J10" s="105">
        <f t="shared" si="0"/>
        <v>43.333333333333336</v>
      </c>
      <c r="K10" s="106">
        <f t="shared" si="1"/>
        <v>43.333333333333336</v>
      </c>
    </row>
    <row r="11" spans="1:11" ht="12.75">
      <c r="A11" s="140">
        <v>8200</v>
      </c>
      <c r="B11" s="141">
        <v>1014</v>
      </c>
      <c r="C11" s="10" t="s">
        <v>175</v>
      </c>
      <c r="D11" s="92" t="str">
        <f t="shared" si="2"/>
        <v>211</v>
      </c>
      <c r="E11" s="93">
        <v>2111</v>
      </c>
      <c r="F11" s="82" t="s">
        <v>127</v>
      </c>
      <c r="G11" s="104">
        <v>320</v>
      </c>
      <c r="H11" s="104">
        <v>320</v>
      </c>
      <c r="I11" s="104">
        <v>329</v>
      </c>
      <c r="J11" s="105">
        <f t="shared" si="0"/>
        <v>102.8125</v>
      </c>
      <c r="K11" s="106">
        <f t="shared" si="1"/>
        <v>102.8125</v>
      </c>
    </row>
    <row r="12" spans="1:11" ht="12.75">
      <c r="A12" s="140">
        <v>8200</v>
      </c>
      <c r="B12" s="141">
        <v>5311</v>
      </c>
      <c r="C12" s="142" t="s">
        <v>90</v>
      </c>
      <c r="D12" s="92" t="str">
        <f t="shared" si="2"/>
        <v>211</v>
      </c>
      <c r="E12" s="141">
        <v>2111</v>
      </c>
      <c r="F12" s="82" t="s">
        <v>127</v>
      </c>
      <c r="G12" s="104">
        <v>2400</v>
      </c>
      <c r="H12" s="104">
        <v>3339</v>
      </c>
      <c r="I12" s="104">
        <v>3343</v>
      </c>
      <c r="J12" s="105">
        <f t="shared" si="0"/>
        <v>139.29166666666666</v>
      </c>
      <c r="K12" s="106">
        <f t="shared" si="1"/>
        <v>100.11979634621144</v>
      </c>
    </row>
    <row r="13" spans="1:11" ht="13.5" thickBot="1">
      <c r="A13" s="130"/>
      <c r="B13" s="131"/>
      <c r="C13" s="238"/>
      <c r="D13" s="116" t="s">
        <v>130</v>
      </c>
      <c r="E13" s="131"/>
      <c r="F13" s="239"/>
      <c r="G13" s="158">
        <f>SUBTOTAL(9,G3:G12)</f>
        <v>17030</v>
      </c>
      <c r="H13" s="158">
        <f>SUBTOTAL(9,H3:H12)</f>
        <v>17969</v>
      </c>
      <c r="I13" s="158">
        <f>SUBTOTAL(9,I3:I12)</f>
        <v>20230</v>
      </c>
      <c r="J13" s="159">
        <f aca="true" t="shared" si="4" ref="J13:J61">IF(G13&lt;=0,0,$I13/G13*100)</f>
        <v>118.79036993540811</v>
      </c>
      <c r="K13" s="240">
        <f aca="true" t="shared" si="5" ref="K13:K61">IF(H13&lt;=0,0,$I13/H13*100)</f>
        <v>112.58278145695364</v>
      </c>
    </row>
    <row r="14" spans="1:11" ht="12.75">
      <c r="A14" s="241"/>
      <c r="B14" s="242"/>
      <c r="C14" s="243"/>
      <c r="D14" s="101"/>
      <c r="E14" s="93"/>
      <c r="F14" s="244"/>
      <c r="G14" s="160"/>
      <c r="H14" s="160"/>
      <c r="I14" s="160"/>
      <c r="J14" s="161"/>
      <c r="K14" s="245"/>
    </row>
    <row r="15" spans="1:11" s="247" customFormat="1" ht="12.75">
      <c r="A15" s="123" t="s">
        <v>131</v>
      </c>
      <c r="B15" s="98"/>
      <c r="C15" s="153"/>
      <c r="D15" s="101"/>
      <c r="E15" s="93"/>
      <c r="F15" s="244"/>
      <c r="G15" s="160"/>
      <c r="H15" s="160"/>
      <c r="I15" s="160"/>
      <c r="J15" s="161">
        <f t="shared" si="4"/>
        <v>0</v>
      </c>
      <c r="K15" s="246">
        <f t="shared" si="5"/>
        <v>0</v>
      </c>
    </row>
    <row r="16" spans="1:11" ht="12.75">
      <c r="A16" s="97">
        <v>1900</v>
      </c>
      <c r="B16" s="98">
        <v>2143</v>
      </c>
      <c r="C16" s="12" t="s">
        <v>193</v>
      </c>
      <c r="D16" s="92" t="str">
        <f aca="true" t="shared" si="6" ref="D16:D21">(MID(E16,1,3))</f>
        <v>212</v>
      </c>
      <c r="E16" s="98">
        <v>2122</v>
      </c>
      <c r="F16" s="82" t="s">
        <v>132</v>
      </c>
      <c r="G16" s="121">
        <v>4123</v>
      </c>
      <c r="H16" s="121">
        <v>4445</v>
      </c>
      <c r="I16" s="121">
        <v>4445</v>
      </c>
      <c r="J16" s="105">
        <f aca="true" t="shared" si="7" ref="J16:K20">IF(G16&lt;=0,0,$I16/G16*100)</f>
        <v>107.80984719864178</v>
      </c>
      <c r="K16" s="106">
        <f t="shared" si="7"/>
        <v>100</v>
      </c>
    </row>
    <row r="17" spans="1:11" ht="12.75">
      <c r="A17" s="97">
        <v>4200</v>
      </c>
      <c r="B17" s="98">
        <v>3632</v>
      </c>
      <c r="C17" s="12" t="s">
        <v>1</v>
      </c>
      <c r="D17" s="92" t="str">
        <f t="shared" si="6"/>
        <v>212</v>
      </c>
      <c r="E17" s="98">
        <v>2122</v>
      </c>
      <c r="F17" s="82" t="s">
        <v>132</v>
      </c>
      <c r="G17" s="121">
        <v>3000</v>
      </c>
      <c r="H17" s="121">
        <v>3000</v>
      </c>
      <c r="I17" s="121">
        <v>3000</v>
      </c>
      <c r="J17" s="105">
        <f t="shared" si="7"/>
        <v>100</v>
      </c>
      <c r="K17" s="106">
        <f t="shared" si="7"/>
        <v>100</v>
      </c>
    </row>
    <row r="18" spans="1:11" ht="12.75">
      <c r="A18" s="97">
        <v>4200</v>
      </c>
      <c r="B18" s="98">
        <v>3745</v>
      </c>
      <c r="C18" s="115" t="s">
        <v>2</v>
      </c>
      <c r="D18" s="92" t="str">
        <f t="shared" si="6"/>
        <v>212</v>
      </c>
      <c r="E18" s="98">
        <v>2122</v>
      </c>
      <c r="F18" s="82" t="s">
        <v>132</v>
      </c>
      <c r="G18" s="121">
        <v>2775</v>
      </c>
      <c r="H18" s="121">
        <v>2775</v>
      </c>
      <c r="I18" s="121">
        <v>2775</v>
      </c>
      <c r="J18" s="105">
        <f t="shared" si="7"/>
        <v>100</v>
      </c>
      <c r="K18" s="106">
        <f t="shared" si="7"/>
        <v>100</v>
      </c>
    </row>
    <row r="19" spans="1:11" ht="12.75">
      <c r="A19" s="97">
        <v>7100</v>
      </c>
      <c r="B19" s="98">
        <v>3529</v>
      </c>
      <c r="C19" s="14" t="s">
        <v>87</v>
      </c>
      <c r="D19" s="92" t="str">
        <f t="shared" si="6"/>
        <v>212</v>
      </c>
      <c r="E19" s="98">
        <v>2122</v>
      </c>
      <c r="F19" s="82" t="s">
        <v>132</v>
      </c>
      <c r="G19" s="121">
        <v>2900</v>
      </c>
      <c r="H19" s="121">
        <v>2900</v>
      </c>
      <c r="I19" s="121">
        <v>2900</v>
      </c>
      <c r="J19" s="105">
        <f t="shared" si="7"/>
        <v>100</v>
      </c>
      <c r="K19" s="106">
        <f t="shared" si="7"/>
        <v>100</v>
      </c>
    </row>
    <row r="20" spans="1:11" ht="12.75">
      <c r="A20" s="97">
        <v>7200</v>
      </c>
      <c r="B20" s="98">
        <v>4357</v>
      </c>
      <c r="C20" s="12" t="s">
        <v>180</v>
      </c>
      <c r="D20" s="92" t="str">
        <f t="shared" si="6"/>
        <v>212</v>
      </c>
      <c r="E20" s="98">
        <v>2122</v>
      </c>
      <c r="F20" s="82" t="s">
        <v>132</v>
      </c>
      <c r="G20" s="121">
        <v>2720</v>
      </c>
      <c r="H20" s="121">
        <v>7320</v>
      </c>
      <c r="I20" s="121">
        <v>7320</v>
      </c>
      <c r="J20" s="105">
        <f t="shared" si="7"/>
        <v>269.11764705882354</v>
      </c>
      <c r="K20" s="106">
        <f t="shared" si="7"/>
        <v>100</v>
      </c>
    </row>
    <row r="21" spans="1:11" ht="12.75">
      <c r="A21" s="97">
        <v>7300</v>
      </c>
      <c r="B21" s="141">
        <v>3311</v>
      </c>
      <c r="C21" s="210" t="s">
        <v>24</v>
      </c>
      <c r="D21" s="92" t="str">
        <f t="shared" si="6"/>
        <v>212</v>
      </c>
      <c r="E21" s="98">
        <v>2122</v>
      </c>
      <c r="F21" s="82" t="s">
        <v>132</v>
      </c>
      <c r="G21" s="121">
        <v>87456</v>
      </c>
      <c r="H21" s="121">
        <v>85626</v>
      </c>
      <c r="I21" s="121">
        <v>85626</v>
      </c>
      <c r="J21" s="105">
        <f t="shared" si="4"/>
        <v>97.90751920965971</v>
      </c>
      <c r="K21" s="106">
        <f t="shared" si="5"/>
        <v>100</v>
      </c>
    </row>
    <row r="22" spans="1:11" ht="12.75">
      <c r="A22" s="97">
        <v>7300</v>
      </c>
      <c r="B22" s="141">
        <v>3312</v>
      </c>
      <c r="C22" s="210" t="s">
        <v>91</v>
      </c>
      <c r="D22" s="94">
        <v>212</v>
      </c>
      <c r="E22" s="98">
        <v>2122</v>
      </c>
      <c r="F22" s="82" t="s">
        <v>132</v>
      </c>
      <c r="G22" s="121">
        <v>3000</v>
      </c>
      <c r="H22" s="121">
        <v>2500</v>
      </c>
      <c r="I22" s="121">
        <v>2500</v>
      </c>
      <c r="J22" s="105">
        <f t="shared" si="4"/>
        <v>83.33333333333334</v>
      </c>
      <c r="K22" s="106">
        <f t="shared" si="5"/>
        <v>100</v>
      </c>
    </row>
    <row r="23" spans="1:11" ht="12.75">
      <c r="A23" s="97">
        <v>7300</v>
      </c>
      <c r="B23" s="141">
        <v>3314</v>
      </c>
      <c r="C23" s="210" t="s">
        <v>92</v>
      </c>
      <c r="D23" s="94">
        <v>212</v>
      </c>
      <c r="E23" s="98">
        <v>2122</v>
      </c>
      <c r="F23" s="82" t="s">
        <v>132</v>
      </c>
      <c r="G23" s="121">
        <v>1767</v>
      </c>
      <c r="H23" s="121">
        <v>2760</v>
      </c>
      <c r="I23" s="121">
        <v>2760</v>
      </c>
      <c r="J23" s="105">
        <f t="shared" si="4"/>
        <v>156.19694397283533</v>
      </c>
      <c r="K23" s="106">
        <f t="shared" si="5"/>
        <v>100</v>
      </c>
    </row>
    <row r="24" spans="1:11" ht="12.75">
      <c r="A24" s="97">
        <v>7300</v>
      </c>
      <c r="B24" s="141">
        <v>3315</v>
      </c>
      <c r="C24" s="210" t="s">
        <v>93</v>
      </c>
      <c r="D24" s="94">
        <v>212</v>
      </c>
      <c r="E24" s="98">
        <v>2122</v>
      </c>
      <c r="F24" s="82" t="s">
        <v>132</v>
      </c>
      <c r="G24" s="121">
        <v>5036</v>
      </c>
      <c r="H24" s="121">
        <v>5403</v>
      </c>
      <c r="I24" s="121">
        <v>5403</v>
      </c>
      <c r="J24" s="105">
        <f t="shared" si="4"/>
        <v>107.28752978554408</v>
      </c>
      <c r="K24" s="106">
        <f t="shared" si="5"/>
        <v>100</v>
      </c>
    </row>
    <row r="25" spans="1:11" ht="12.75">
      <c r="A25" s="97">
        <v>7300</v>
      </c>
      <c r="B25" s="141">
        <v>3317</v>
      </c>
      <c r="C25" s="210" t="s">
        <v>94</v>
      </c>
      <c r="D25" s="94">
        <v>212</v>
      </c>
      <c r="E25" s="98">
        <v>2122</v>
      </c>
      <c r="F25" s="82" t="s">
        <v>132</v>
      </c>
      <c r="G25" s="121">
        <v>1799</v>
      </c>
      <c r="H25" s="121">
        <v>1762</v>
      </c>
      <c r="I25" s="121">
        <v>1762</v>
      </c>
      <c r="J25" s="105">
        <f t="shared" si="4"/>
        <v>97.94330183435241</v>
      </c>
      <c r="K25" s="106">
        <f t="shared" si="5"/>
        <v>100</v>
      </c>
    </row>
    <row r="26" spans="1:11" ht="12.75">
      <c r="A26" s="97">
        <v>7300</v>
      </c>
      <c r="B26" s="141">
        <v>3319</v>
      </c>
      <c r="C26" s="12" t="s">
        <v>49</v>
      </c>
      <c r="D26" s="94">
        <v>212</v>
      </c>
      <c r="E26" s="98">
        <v>2122</v>
      </c>
      <c r="F26" s="82" t="s">
        <v>132</v>
      </c>
      <c r="G26" s="121"/>
      <c r="H26" s="121">
        <v>1100</v>
      </c>
      <c r="I26" s="121">
        <v>1100</v>
      </c>
      <c r="J26" s="105"/>
      <c r="K26" s="106">
        <f t="shared" si="5"/>
        <v>100</v>
      </c>
    </row>
    <row r="27" spans="1:11" ht="12.75" customHeight="1">
      <c r="A27" s="97">
        <v>7400</v>
      </c>
      <c r="B27" s="98">
        <v>3113</v>
      </c>
      <c r="C27" s="153" t="s">
        <v>23</v>
      </c>
      <c r="D27" s="118">
        <v>212</v>
      </c>
      <c r="E27" s="98">
        <v>2122</v>
      </c>
      <c r="F27" s="82" t="s">
        <v>132</v>
      </c>
      <c r="G27" s="121">
        <v>3639</v>
      </c>
      <c r="H27" s="121">
        <v>4846</v>
      </c>
      <c r="I27" s="121">
        <v>4846</v>
      </c>
      <c r="J27" s="105">
        <f t="shared" si="4"/>
        <v>133.16845287166802</v>
      </c>
      <c r="K27" s="106">
        <f t="shared" si="5"/>
        <v>100</v>
      </c>
    </row>
    <row r="28" spans="1:11" ht="12.75" customHeight="1">
      <c r="A28" s="97">
        <v>7400</v>
      </c>
      <c r="B28" s="98">
        <v>3419</v>
      </c>
      <c r="C28" s="153" t="s">
        <v>50</v>
      </c>
      <c r="D28" s="118">
        <v>212</v>
      </c>
      <c r="E28" s="98">
        <v>2122</v>
      </c>
      <c r="F28" s="82" t="s">
        <v>132</v>
      </c>
      <c r="G28" s="121"/>
      <c r="H28" s="121">
        <v>7467</v>
      </c>
      <c r="I28" s="121">
        <v>7467</v>
      </c>
      <c r="J28" s="105"/>
      <c r="K28" s="106">
        <f t="shared" si="5"/>
        <v>100</v>
      </c>
    </row>
    <row r="29" spans="1:11" ht="12.75">
      <c r="A29" s="97">
        <v>7300</v>
      </c>
      <c r="B29" s="141">
        <v>3311</v>
      </c>
      <c r="C29" s="210" t="s">
        <v>24</v>
      </c>
      <c r="D29" s="94">
        <v>212</v>
      </c>
      <c r="E29" s="98">
        <v>2123</v>
      </c>
      <c r="F29" s="82" t="s">
        <v>273</v>
      </c>
      <c r="G29" s="121"/>
      <c r="H29" s="121"/>
      <c r="I29" s="121">
        <v>202</v>
      </c>
      <c r="J29" s="105">
        <f>IF(G29&lt;=0,0,$I29/G29*100)</f>
        <v>0</v>
      </c>
      <c r="K29" s="106">
        <f>IF(H29&lt;=0,0,$I29/H29*100)</f>
        <v>0</v>
      </c>
    </row>
    <row r="30" spans="1:11" ht="12.75">
      <c r="A30" s="97">
        <v>7400</v>
      </c>
      <c r="B30" s="141">
        <v>3419</v>
      </c>
      <c r="C30" s="153" t="s">
        <v>50</v>
      </c>
      <c r="D30" s="94">
        <v>212</v>
      </c>
      <c r="E30" s="98">
        <v>2129</v>
      </c>
      <c r="F30" s="82" t="s">
        <v>290</v>
      </c>
      <c r="G30" s="121"/>
      <c r="H30" s="121"/>
      <c r="I30" s="121">
        <v>566</v>
      </c>
      <c r="J30" s="105">
        <f>IF(G30&lt;=0,0,$I30/G30*100)</f>
        <v>0</v>
      </c>
      <c r="K30" s="106">
        <f>IF(H30&lt;=0,0,$I30/H30*100)</f>
        <v>0</v>
      </c>
    </row>
    <row r="31" spans="1:11" ht="13.5" thickBot="1">
      <c r="A31" s="130"/>
      <c r="B31" s="131"/>
      <c r="C31" s="238"/>
      <c r="D31" s="116" t="s">
        <v>133</v>
      </c>
      <c r="E31" s="131"/>
      <c r="F31" s="239"/>
      <c r="G31" s="158">
        <f>SUBTOTAL(9,G16:G30)</f>
        <v>118215</v>
      </c>
      <c r="H31" s="158">
        <f>SUBTOTAL(9,H16:H30)</f>
        <v>131904</v>
      </c>
      <c r="I31" s="158">
        <f>SUBTOTAL(9,I16:I30)</f>
        <v>132672</v>
      </c>
      <c r="J31" s="159">
        <f t="shared" si="4"/>
        <v>112.22941251110265</v>
      </c>
      <c r="K31" s="240">
        <f t="shared" si="5"/>
        <v>100.58224163027656</v>
      </c>
    </row>
    <row r="32" spans="1:11" ht="12.75">
      <c r="A32" s="97"/>
      <c r="B32" s="98"/>
      <c r="C32" s="115"/>
      <c r="D32" s="103"/>
      <c r="E32" s="98"/>
      <c r="F32" s="99"/>
      <c r="G32" s="162"/>
      <c r="H32" s="162"/>
      <c r="I32" s="162"/>
      <c r="J32" s="163">
        <f t="shared" si="4"/>
        <v>0</v>
      </c>
      <c r="K32" s="246">
        <f t="shared" si="5"/>
        <v>0</v>
      </c>
    </row>
    <row r="33" spans="1:11" ht="12.75">
      <c r="A33" s="123" t="s">
        <v>134</v>
      </c>
      <c r="B33" s="98"/>
      <c r="C33" s="115"/>
      <c r="D33" s="103"/>
      <c r="E33" s="98"/>
      <c r="F33" s="99"/>
      <c r="G33" s="162"/>
      <c r="H33" s="162"/>
      <c r="I33" s="162"/>
      <c r="J33" s="119">
        <f t="shared" si="4"/>
        <v>0</v>
      </c>
      <c r="K33" s="120">
        <f t="shared" si="5"/>
        <v>0</v>
      </c>
    </row>
    <row r="34" spans="1:11" ht="12.75">
      <c r="A34" s="97">
        <v>4200</v>
      </c>
      <c r="B34" s="148">
        <v>3632</v>
      </c>
      <c r="C34" s="12" t="s">
        <v>1</v>
      </c>
      <c r="D34" s="92" t="str">
        <f aca="true" t="shared" si="8" ref="D34:D43">(MID(E34,1,3))</f>
        <v>213</v>
      </c>
      <c r="E34" s="148">
        <v>2131</v>
      </c>
      <c r="F34" s="186" t="s">
        <v>135</v>
      </c>
      <c r="G34" s="121">
        <v>9</v>
      </c>
      <c r="H34" s="121">
        <v>9</v>
      </c>
      <c r="I34" s="121">
        <v>6</v>
      </c>
      <c r="J34" s="105">
        <f t="shared" si="4"/>
        <v>66.66666666666666</v>
      </c>
      <c r="K34" s="106">
        <f t="shared" si="5"/>
        <v>66.66666666666666</v>
      </c>
    </row>
    <row r="35" spans="1:11" ht="12.75">
      <c r="A35" s="97">
        <v>4200</v>
      </c>
      <c r="B35" s="141">
        <v>3745</v>
      </c>
      <c r="C35" s="142" t="s">
        <v>2</v>
      </c>
      <c r="D35" s="92" t="str">
        <f t="shared" si="8"/>
        <v>213</v>
      </c>
      <c r="E35" s="141">
        <v>2131</v>
      </c>
      <c r="F35" s="186" t="s">
        <v>135</v>
      </c>
      <c r="G35" s="104">
        <v>196</v>
      </c>
      <c r="H35" s="104">
        <v>196</v>
      </c>
      <c r="I35" s="104">
        <v>270</v>
      </c>
      <c r="J35" s="105">
        <f t="shared" si="4"/>
        <v>137.75510204081633</v>
      </c>
      <c r="K35" s="106">
        <f t="shared" si="5"/>
        <v>137.75510204081633</v>
      </c>
    </row>
    <row r="36" spans="1:11" ht="12.75">
      <c r="A36" s="140">
        <v>5700</v>
      </c>
      <c r="B36" s="141">
        <v>2310</v>
      </c>
      <c r="C36" s="142" t="s">
        <v>5</v>
      </c>
      <c r="D36" s="92" t="str">
        <f>(MID(E36,1,3))</f>
        <v>213</v>
      </c>
      <c r="E36" s="141">
        <v>2131</v>
      </c>
      <c r="F36" s="186" t="s">
        <v>135</v>
      </c>
      <c r="G36" s="104">
        <v>117</v>
      </c>
      <c r="H36" s="104">
        <v>117</v>
      </c>
      <c r="I36" s="104"/>
      <c r="J36" s="105">
        <f t="shared" si="4"/>
        <v>0</v>
      </c>
      <c r="K36" s="106">
        <f t="shared" si="5"/>
        <v>0</v>
      </c>
    </row>
    <row r="37" spans="1:11" ht="12.75">
      <c r="A37" s="147">
        <v>6200</v>
      </c>
      <c r="B37" s="148">
        <v>3612</v>
      </c>
      <c r="C37" s="210" t="s">
        <v>12</v>
      </c>
      <c r="D37" s="92" t="str">
        <f t="shared" si="8"/>
        <v>213</v>
      </c>
      <c r="E37" s="141">
        <v>2131</v>
      </c>
      <c r="F37" s="186" t="s">
        <v>135</v>
      </c>
      <c r="G37" s="121">
        <v>123</v>
      </c>
      <c r="H37" s="121">
        <v>123</v>
      </c>
      <c r="I37" s="121">
        <v>128</v>
      </c>
      <c r="J37" s="105">
        <f t="shared" si="4"/>
        <v>104.06504065040652</v>
      </c>
      <c r="K37" s="106">
        <f t="shared" si="5"/>
        <v>104.06504065040652</v>
      </c>
    </row>
    <row r="38" spans="1:11" ht="12.75">
      <c r="A38" s="147">
        <v>6300</v>
      </c>
      <c r="B38" s="148">
        <v>3639</v>
      </c>
      <c r="C38" s="142" t="s">
        <v>128</v>
      </c>
      <c r="D38" s="92" t="str">
        <f>(MID(E38,1,3))</f>
        <v>213</v>
      </c>
      <c r="E38" s="148">
        <v>2131</v>
      </c>
      <c r="F38" s="186" t="s">
        <v>135</v>
      </c>
      <c r="G38" s="121">
        <v>1150</v>
      </c>
      <c r="H38" s="121">
        <v>1150</v>
      </c>
      <c r="I38" s="121">
        <v>2725</v>
      </c>
      <c r="J38" s="119">
        <f t="shared" si="4"/>
        <v>236.9565217391304</v>
      </c>
      <c r="K38" s="120">
        <f t="shared" si="5"/>
        <v>236.9565217391304</v>
      </c>
    </row>
    <row r="39" spans="1:11" ht="12.75">
      <c r="A39" s="140">
        <v>6600</v>
      </c>
      <c r="B39" s="141">
        <v>3639</v>
      </c>
      <c r="C39" s="142" t="s">
        <v>128</v>
      </c>
      <c r="D39" s="92" t="str">
        <f t="shared" si="8"/>
        <v>213</v>
      </c>
      <c r="E39" s="141">
        <v>2131</v>
      </c>
      <c r="F39" s="186" t="s">
        <v>135</v>
      </c>
      <c r="G39" s="104">
        <v>51500</v>
      </c>
      <c r="H39" s="104">
        <v>51500</v>
      </c>
      <c r="I39" s="104">
        <v>45120</v>
      </c>
      <c r="J39" s="119">
        <f t="shared" si="4"/>
        <v>87.6116504854369</v>
      </c>
      <c r="K39" s="120">
        <f t="shared" si="5"/>
        <v>87.6116504854369</v>
      </c>
    </row>
    <row r="40" spans="1:11" ht="12.75">
      <c r="A40" s="140">
        <v>7300</v>
      </c>
      <c r="B40" s="141">
        <v>3311</v>
      </c>
      <c r="C40" s="142" t="s">
        <v>24</v>
      </c>
      <c r="D40" s="92" t="str">
        <f>(MID(E40,1,3))</f>
        <v>213</v>
      </c>
      <c r="E40" s="141">
        <v>2131</v>
      </c>
      <c r="F40" s="186" t="s">
        <v>135</v>
      </c>
      <c r="G40" s="104"/>
      <c r="H40" s="104">
        <v>67</v>
      </c>
      <c r="I40" s="104">
        <v>67</v>
      </c>
      <c r="J40" s="119"/>
      <c r="K40" s="120">
        <f t="shared" si="5"/>
        <v>100</v>
      </c>
    </row>
    <row r="41" spans="1:11" ht="12.75">
      <c r="A41" s="97">
        <v>1900</v>
      </c>
      <c r="B41" s="98">
        <v>2143</v>
      </c>
      <c r="C41" s="12" t="s">
        <v>193</v>
      </c>
      <c r="D41" s="92" t="str">
        <f t="shared" si="8"/>
        <v>213</v>
      </c>
      <c r="E41" s="98">
        <v>2132</v>
      </c>
      <c r="F41" s="99" t="s">
        <v>221</v>
      </c>
      <c r="G41" s="100">
        <v>580</v>
      </c>
      <c r="H41" s="100">
        <v>580</v>
      </c>
      <c r="I41" s="100">
        <v>665</v>
      </c>
      <c r="J41" s="105">
        <f aca="true" t="shared" si="9" ref="J41:K43">IF(G41&lt;=0,0,$I41/G41*100)</f>
        <v>114.65517241379311</v>
      </c>
      <c r="K41" s="106">
        <f t="shared" si="9"/>
        <v>114.65517241379311</v>
      </c>
    </row>
    <row r="42" spans="1:11" ht="12.75">
      <c r="A42" s="97">
        <v>4200</v>
      </c>
      <c r="B42" s="98">
        <v>3745</v>
      </c>
      <c r="C42" s="115" t="s">
        <v>2</v>
      </c>
      <c r="D42" s="92" t="str">
        <f>(MID(E42,1,3))</f>
        <v>213</v>
      </c>
      <c r="E42" s="98">
        <v>2132</v>
      </c>
      <c r="F42" s="99" t="s">
        <v>221</v>
      </c>
      <c r="G42" s="100">
        <v>137</v>
      </c>
      <c r="H42" s="100">
        <v>137</v>
      </c>
      <c r="I42" s="100">
        <v>141</v>
      </c>
      <c r="J42" s="105">
        <f t="shared" si="9"/>
        <v>102.91970802919708</v>
      </c>
      <c r="K42" s="106">
        <f t="shared" si="9"/>
        <v>102.91970802919708</v>
      </c>
    </row>
    <row r="43" spans="1:11" ht="12.75">
      <c r="A43" s="140">
        <v>4300</v>
      </c>
      <c r="B43" s="141">
        <v>1031</v>
      </c>
      <c r="C43" s="142" t="s">
        <v>136</v>
      </c>
      <c r="D43" s="92" t="str">
        <f t="shared" si="8"/>
        <v>213</v>
      </c>
      <c r="E43" s="141">
        <v>2132</v>
      </c>
      <c r="F43" s="99" t="s">
        <v>221</v>
      </c>
      <c r="G43" s="104">
        <v>2217</v>
      </c>
      <c r="H43" s="104">
        <v>2217</v>
      </c>
      <c r="I43" s="104">
        <v>8240</v>
      </c>
      <c r="J43" s="105">
        <f t="shared" si="9"/>
        <v>371.67343256653135</v>
      </c>
      <c r="K43" s="106">
        <f t="shared" si="9"/>
        <v>371.67343256653135</v>
      </c>
    </row>
    <row r="44" spans="1:11" ht="12.75">
      <c r="A44" s="140">
        <v>5400</v>
      </c>
      <c r="B44" s="248">
        <v>2219</v>
      </c>
      <c r="C44" s="142" t="s">
        <v>54</v>
      </c>
      <c r="D44" s="92" t="str">
        <f aca="true" t="shared" si="10" ref="D44:D58">(MID(E44,1,3))</f>
        <v>213</v>
      </c>
      <c r="E44" s="141">
        <v>2132</v>
      </c>
      <c r="F44" s="99" t="s">
        <v>221</v>
      </c>
      <c r="G44" s="104">
        <v>7000</v>
      </c>
      <c r="H44" s="104">
        <v>7000</v>
      </c>
      <c r="I44" s="104">
        <v>7717</v>
      </c>
      <c r="J44" s="119">
        <f t="shared" si="4"/>
        <v>110.24285714285715</v>
      </c>
      <c r="K44" s="120">
        <f t="shared" si="5"/>
        <v>110.24285714285715</v>
      </c>
    </row>
    <row r="45" spans="1:11" ht="12.75">
      <c r="A45" s="140">
        <v>5400</v>
      </c>
      <c r="B45" s="248">
        <v>2271</v>
      </c>
      <c r="C45" s="142" t="s">
        <v>20</v>
      </c>
      <c r="D45" s="92" t="str">
        <f>(MID(E45,1,3))</f>
        <v>213</v>
      </c>
      <c r="E45" s="141">
        <v>2132</v>
      </c>
      <c r="F45" s="99" t="s">
        <v>221</v>
      </c>
      <c r="G45" s="104">
        <v>201</v>
      </c>
      <c r="H45" s="104">
        <v>201</v>
      </c>
      <c r="I45" s="104">
        <v>90</v>
      </c>
      <c r="J45" s="105">
        <f t="shared" si="4"/>
        <v>44.776119402985074</v>
      </c>
      <c r="K45" s="106">
        <f t="shared" si="5"/>
        <v>44.776119402985074</v>
      </c>
    </row>
    <row r="46" spans="1:11" ht="12.75">
      <c r="A46" s="152" t="s">
        <v>176</v>
      </c>
      <c r="B46" s="148">
        <v>3612</v>
      </c>
      <c r="C46" s="210" t="s">
        <v>12</v>
      </c>
      <c r="D46" s="92" t="str">
        <f t="shared" si="10"/>
        <v>213</v>
      </c>
      <c r="E46" s="148">
        <v>2132</v>
      </c>
      <c r="F46" s="99" t="s">
        <v>221</v>
      </c>
      <c r="G46" s="121">
        <v>4800</v>
      </c>
      <c r="H46" s="121">
        <v>4800</v>
      </c>
      <c r="I46" s="121">
        <v>4801</v>
      </c>
      <c r="J46" s="143">
        <f t="shared" si="4"/>
        <v>100.02083333333334</v>
      </c>
      <c r="K46" s="120">
        <f t="shared" si="5"/>
        <v>100.02083333333334</v>
      </c>
    </row>
    <row r="47" spans="1:11" ht="12.75">
      <c r="A47" s="152" t="s">
        <v>213</v>
      </c>
      <c r="B47" s="148">
        <v>3612</v>
      </c>
      <c r="C47" s="210" t="s">
        <v>12</v>
      </c>
      <c r="D47" s="92" t="str">
        <f>(MID(E47,1,3))</f>
        <v>213</v>
      </c>
      <c r="E47" s="141">
        <v>2132</v>
      </c>
      <c r="F47" s="99" t="s">
        <v>221</v>
      </c>
      <c r="G47" s="121">
        <v>38500</v>
      </c>
      <c r="H47" s="121">
        <v>38500</v>
      </c>
      <c r="I47" s="121">
        <v>37714</v>
      </c>
      <c r="J47" s="143">
        <f>IF(G47&lt;=0,0,$I47/G47*100)</f>
        <v>97.95844155844155</v>
      </c>
      <c r="K47" s="120">
        <f>IF(H47&lt;=0,0,$I47/H47*100)</f>
        <v>97.95844155844155</v>
      </c>
    </row>
    <row r="48" spans="1:11" ht="12.75">
      <c r="A48" s="140">
        <v>6600</v>
      </c>
      <c r="B48" s="141">
        <v>3639</v>
      </c>
      <c r="C48" s="142" t="s">
        <v>128</v>
      </c>
      <c r="D48" s="92" t="str">
        <f t="shared" si="10"/>
        <v>213</v>
      </c>
      <c r="E48" s="141">
        <v>2132</v>
      </c>
      <c r="F48" s="99" t="s">
        <v>221</v>
      </c>
      <c r="G48" s="104">
        <v>45760</v>
      </c>
      <c r="H48" s="104">
        <v>45760</v>
      </c>
      <c r="I48" s="104">
        <v>41482</v>
      </c>
      <c r="J48" s="143">
        <f>IF(G48&lt;=0,0,$I48/G48*100)</f>
        <v>90.65122377622377</v>
      </c>
      <c r="K48" s="120">
        <f>IF(H48&lt;=0,0,$I48/H48*100)</f>
        <v>90.65122377622377</v>
      </c>
    </row>
    <row r="49" spans="1:11" ht="12.75">
      <c r="A49" s="97">
        <v>6600</v>
      </c>
      <c r="B49" s="98">
        <v>6171</v>
      </c>
      <c r="C49" s="115" t="s">
        <v>9</v>
      </c>
      <c r="D49" s="92" t="str">
        <f t="shared" si="10"/>
        <v>213</v>
      </c>
      <c r="E49" s="98">
        <v>2132</v>
      </c>
      <c r="F49" s="99" t="s">
        <v>221</v>
      </c>
      <c r="G49" s="100">
        <v>8370</v>
      </c>
      <c r="H49" s="100">
        <v>8370</v>
      </c>
      <c r="I49" s="100">
        <v>8801</v>
      </c>
      <c r="J49" s="119">
        <f t="shared" si="4"/>
        <v>105.14934289127838</v>
      </c>
      <c r="K49" s="120">
        <f t="shared" si="5"/>
        <v>105.14934289127838</v>
      </c>
    </row>
    <row r="50" spans="1:11" ht="12.75">
      <c r="A50" s="147">
        <v>7100</v>
      </c>
      <c r="B50" s="148">
        <v>3511</v>
      </c>
      <c r="C50" s="10" t="s">
        <v>13</v>
      </c>
      <c r="D50" s="92" t="str">
        <f t="shared" si="10"/>
        <v>213</v>
      </c>
      <c r="E50" s="148">
        <v>2132</v>
      </c>
      <c r="F50" s="99" t="s">
        <v>221</v>
      </c>
      <c r="G50" s="121">
        <v>3284</v>
      </c>
      <c r="H50" s="121">
        <v>5294</v>
      </c>
      <c r="I50" s="121">
        <v>5281</v>
      </c>
      <c r="J50" s="119">
        <f t="shared" si="4"/>
        <v>160.80998781973204</v>
      </c>
      <c r="K50" s="120">
        <f t="shared" si="5"/>
        <v>99.75443898753305</v>
      </c>
    </row>
    <row r="51" spans="1:11" ht="12.75">
      <c r="A51" s="140">
        <v>7200</v>
      </c>
      <c r="B51" s="141">
        <v>3639</v>
      </c>
      <c r="C51" s="142" t="s">
        <v>128</v>
      </c>
      <c r="D51" s="92" t="str">
        <f t="shared" si="10"/>
        <v>213</v>
      </c>
      <c r="E51" s="141">
        <v>2132</v>
      </c>
      <c r="F51" s="99" t="s">
        <v>221</v>
      </c>
      <c r="G51" s="104">
        <v>80</v>
      </c>
      <c r="H51" s="104">
        <v>80</v>
      </c>
      <c r="I51" s="104">
        <v>91</v>
      </c>
      <c r="J51" s="143">
        <f t="shared" si="4"/>
        <v>113.75</v>
      </c>
      <c r="K51" s="120">
        <f t="shared" si="5"/>
        <v>113.75</v>
      </c>
    </row>
    <row r="52" spans="1:11" ht="12.75">
      <c r="A52" s="140">
        <v>7200</v>
      </c>
      <c r="B52" s="141">
        <v>4341</v>
      </c>
      <c r="C52" s="186" t="s">
        <v>233</v>
      </c>
      <c r="D52" s="92" t="str">
        <f>(MID(E52,1,3))</f>
        <v>213</v>
      </c>
      <c r="E52" s="141">
        <v>2132</v>
      </c>
      <c r="F52" s="99" t="s">
        <v>221</v>
      </c>
      <c r="G52" s="104"/>
      <c r="H52" s="104"/>
      <c r="I52" s="104">
        <v>1</v>
      </c>
      <c r="J52" s="143"/>
      <c r="K52" s="120"/>
    </row>
    <row r="53" spans="1:11" ht="12.75">
      <c r="A53" s="140">
        <v>7200</v>
      </c>
      <c r="B53" s="141">
        <v>4357</v>
      </c>
      <c r="C53" s="142" t="s">
        <v>180</v>
      </c>
      <c r="D53" s="92" t="str">
        <f>(MID(E53,1,3))</f>
        <v>213</v>
      </c>
      <c r="E53" s="141">
        <v>2132</v>
      </c>
      <c r="F53" s="99" t="s">
        <v>221</v>
      </c>
      <c r="G53" s="104"/>
      <c r="H53" s="104"/>
      <c r="I53" s="104">
        <v>22</v>
      </c>
      <c r="J53" s="143"/>
      <c r="K53" s="120"/>
    </row>
    <row r="54" spans="1:11" ht="12.75">
      <c r="A54" s="140">
        <v>7300</v>
      </c>
      <c r="B54" s="141">
        <v>3311</v>
      </c>
      <c r="C54" s="210" t="s">
        <v>24</v>
      </c>
      <c r="D54" s="92" t="str">
        <f t="shared" si="10"/>
        <v>213</v>
      </c>
      <c r="E54" s="141">
        <v>2132</v>
      </c>
      <c r="F54" s="99" t="s">
        <v>221</v>
      </c>
      <c r="G54" s="104">
        <v>3587</v>
      </c>
      <c r="H54" s="104">
        <v>3057</v>
      </c>
      <c r="I54" s="104">
        <v>3268</v>
      </c>
      <c r="J54" s="143">
        <f t="shared" si="4"/>
        <v>91.10677446333983</v>
      </c>
      <c r="K54" s="120">
        <f t="shared" si="5"/>
        <v>106.90219169120053</v>
      </c>
    </row>
    <row r="55" spans="1:11" ht="12.75">
      <c r="A55" s="140">
        <v>7300</v>
      </c>
      <c r="B55" s="141">
        <v>3312</v>
      </c>
      <c r="C55" s="210" t="s">
        <v>91</v>
      </c>
      <c r="D55" s="92" t="str">
        <f t="shared" si="10"/>
        <v>213</v>
      </c>
      <c r="E55" s="141">
        <v>2132</v>
      </c>
      <c r="F55" s="99" t="s">
        <v>221</v>
      </c>
      <c r="G55" s="104">
        <v>600</v>
      </c>
      <c r="H55" s="104">
        <v>231</v>
      </c>
      <c r="I55" s="104">
        <v>231</v>
      </c>
      <c r="J55" s="105">
        <f t="shared" si="4"/>
        <v>38.5</v>
      </c>
      <c r="K55" s="120">
        <f t="shared" si="5"/>
        <v>100</v>
      </c>
    </row>
    <row r="56" spans="1:11" ht="12.75">
      <c r="A56" s="140">
        <v>7300</v>
      </c>
      <c r="B56" s="141">
        <v>3314</v>
      </c>
      <c r="C56" s="210" t="s">
        <v>92</v>
      </c>
      <c r="D56" s="92" t="str">
        <f t="shared" si="10"/>
        <v>213</v>
      </c>
      <c r="E56" s="141">
        <v>2132</v>
      </c>
      <c r="F56" s="99" t="s">
        <v>221</v>
      </c>
      <c r="G56" s="104">
        <v>1482</v>
      </c>
      <c r="H56" s="104">
        <v>983</v>
      </c>
      <c r="I56" s="104">
        <v>1042</v>
      </c>
      <c r="J56" s="119">
        <f t="shared" si="4"/>
        <v>70.31039136302294</v>
      </c>
      <c r="K56" s="120">
        <f t="shared" si="5"/>
        <v>106.00203458799594</v>
      </c>
    </row>
    <row r="57" spans="1:11" ht="12.75">
      <c r="A57" s="140">
        <v>7300</v>
      </c>
      <c r="B57" s="141">
        <v>3315</v>
      </c>
      <c r="C57" s="210" t="s">
        <v>93</v>
      </c>
      <c r="D57" s="92" t="str">
        <f t="shared" si="10"/>
        <v>213</v>
      </c>
      <c r="E57" s="141">
        <v>2132</v>
      </c>
      <c r="F57" s="99" t="s">
        <v>221</v>
      </c>
      <c r="G57" s="104">
        <v>1041</v>
      </c>
      <c r="H57" s="104">
        <v>32</v>
      </c>
      <c r="I57" s="104">
        <v>74</v>
      </c>
      <c r="J57" s="105">
        <f t="shared" si="4"/>
        <v>7.108549471661864</v>
      </c>
      <c r="K57" s="120">
        <f t="shared" si="5"/>
        <v>231.25</v>
      </c>
    </row>
    <row r="58" spans="1:11" ht="12.75">
      <c r="A58" s="140">
        <v>7300</v>
      </c>
      <c r="B58" s="141">
        <v>3317</v>
      </c>
      <c r="C58" s="12" t="s">
        <v>94</v>
      </c>
      <c r="D58" s="92" t="str">
        <f t="shared" si="10"/>
        <v>213</v>
      </c>
      <c r="E58" s="141">
        <v>2132</v>
      </c>
      <c r="F58" s="99" t="s">
        <v>221</v>
      </c>
      <c r="G58" s="104">
        <v>1579</v>
      </c>
      <c r="H58" s="104">
        <v>1629</v>
      </c>
      <c r="I58" s="104">
        <v>1618</v>
      </c>
      <c r="J58" s="105">
        <f t="shared" si="4"/>
        <v>102.46991766941103</v>
      </c>
      <c r="K58" s="120">
        <f t="shared" si="5"/>
        <v>99.32473910374463</v>
      </c>
    </row>
    <row r="59" spans="1:11" ht="12.75">
      <c r="A59" s="140">
        <v>7400</v>
      </c>
      <c r="B59" s="141">
        <v>3113</v>
      </c>
      <c r="C59" s="153" t="s">
        <v>23</v>
      </c>
      <c r="D59" s="94">
        <v>213</v>
      </c>
      <c r="E59" s="141">
        <v>2132</v>
      </c>
      <c r="F59" s="99" t="s">
        <v>221</v>
      </c>
      <c r="G59" s="104">
        <v>670</v>
      </c>
      <c r="H59" s="104">
        <v>678</v>
      </c>
      <c r="I59" s="104">
        <v>792</v>
      </c>
      <c r="J59" s="105">
        <f t="shared" si="4"/>
        <v>118.2089552238806</v>
      </c>
      <c r="K59" s="120">
        <f t="shared" si="5"/>
        <v>116.8141592920354</v>
      </c>
    </row>
    <row r="60" spans="1:11" ht="12.75">
      <c r="A60" s="140">
        <v>7400</v>
      </c>
      <c r="B60" s="141">
        <v>3419</v>
      </c>
      <c r="C60" s="186" t="s">
        <v>50</v>
      </c>
      <c r="D60" s="92" t="str">
        <f>(MID(E60,1,3))</f>
        <v>213</v>
      </c>
      <c r="E60" s="141">
        <v>2132</v>
      </c>
      <c r="F60" s="99" t="s">
        <v>221</v>
      </c>
      <c r="G60" s="104">
        <v>1232</v>
      </c>
      <c r="H60" s="104">
        <v>1148</v>
      </c>
      <c r="I60" s="104">
        <v>1148</v>
      </c>
      <c r="J60" s="105">
        <f t="shared" si="4"/>
        <v>93.18181818181817</v>
      </c>
      <c r="K60" s="120">
        <f t="shared" si="5"/>
        <v>100</v>
      </c>
    </row>
    <row r="61" spans="1:11" ht="12.75">
      <c r="A61" s="97">
        <v>8200</v>
      </c>
      <c r="B61" s="98">
        <v>5311</v>
      </c>
      <c r="C61" s="12" t="s">
        <v>90</v>
      </c>
      <c r="D61" s="94">
        <v>213</v>
      </c>
      <c r="E61" s="98">
        <v>2132</v>
      </c>
      <c r="F61" s="99" t="s">
        <v>221</v>
      </c>
      <c r="G61" s="100">
        <v>400</v>
      </c>
      <c r="H61" s="100">
        <v>400</v>
      </c>
      <c r="I61" s="100">
        <v>437</v>
      </c>
      <c r="J61" s="105">
        <f t="shared" si="4"/>
        <v>109.25</v>
      </c>
      <c r="K61" s="106">
        <f t="shared" si="5"/>
        <v>109.25</v>
      </c>
    </row>
    <row r="62" spans="1:11" ht="13.5" thickBot="1">
      <c r="A62" s="130"/>
      <c r="B62" s="131"/>
      <c r="C62" s="238"/>
      <c r="D62" s="116" t="s">
        <v>138</v>
      </c>
      <c r="E62" s="131"/>
      <c r="F62" s="239"/>
      <c r="G62" s="158">
        <f>SUBTOTAL(9,G34:G61)</f>
        <v>174615</v>
      </c>
      <c r="H62" s="158">
        <f>SUBTOTAL(9,H34:H61)</f>
        <v>174259</v>
      </c>
      <c r="I62" s="158">
        <f>SUBTOTAL(9,I34:I61)</f>
        <v>171972</v>
      </c>
      <c r="J62" s="159">
        <f>IF(G62&lt;=0,0,$I62/G62*100)</f>
        <v>98.48638433124302</v>
      </c>
      <c r="K62" s="240">
        <f aca="true" t="shared" si="11" ref="K62:K95">IF(H62&lt;=0,0,$I62/H62*100)</f>
        <v>98.68758572010627</v>
      </c>
    </row>
    <row r="63" spans="1:11" ht="12.75">
      <c r="A63" s="97"/>
      <c r="B63" s="98"/>
      <c r="C63" s="115"/>
      <c r="D63" s="103"/>
      <c r="E63" s="98"/>
      <c r="F63" s="99"/>
      <c r="G63" s="162"/>
      <c r="H63" s="162"/>
      <c r="I63" s="162"/>
      <c r="J63" s="163">
        <f>IF(G63&lt;=0,0,$I63/G63*100)</f>
        <v>0</v>
      </c>
      <c r="K63" s="246">
        <f t="shared" si="11"/>
        <v>0</v>
      </c>
    </row>
    <row r="64" spans="1:11" ht="12.75">
      <c r="A64" s="123" t="s">
        <v>240</v>
      </c>
      <c r="B64" s="98"/>
      <c r="C64" s="115"/>
      <c r="D64" s="103"/>
      <c r="E64" s="98"/>
      <c r="F64" s="99"/>
      <c r="G64" s="162"/>
      <c r="H64" s="162"/>
      <c r="I64" s="162"/>
      <c r="J64" s="163">
        <f>IF(G64&lt;=0,0,$I64/G64*100)</f>
        <v>0</v>
      </c>
      <c r="K64" s="246">
        <f t="shared" si="11"/>
        <v>0</v>
      </c>
    </row>
    <row r="65" spans="1:11" ht="12.75">
      <c r="A65" s="97">
        <v>1700</v>
      </c>
      <c r="B65" s="98">
        <v>6310</v>
      </c>
      <c r="C65" s="115" t="s">
        <v>141</v>
      </c>
      <c r="D65" s="115" t="str">
        <f>(MID(E65,1,3))</f>
        <v>214</v>
      </c>
      <c r="E65" s="98">
        <v>2141</v>
      </c>
      <c r="F65" s="99" t="s">
        <v>139</v>
      </c>
      <c r="G65" s="100">
        <v>20200</v>
      </c>
      <c r="H65" s="100">
        <v>20200</v>
      </c>
      <c r="I65" s="100">
        <v>21482</v>
      </c>
      <c r="J65" s="119">
        <f>IF(G65&lt;=0,0,$I65/G65*100)</f>
        <v>106.34653465346535</v>
      </c>
      <c r="K65" s="120">
        <f t="shared" si="11"/>
        <v>106.34653465346535</v>
      </c>
    </row>
    <row r="66" spans="1:11" ht="12.75">
      <c r="A66" s="152" t="s">
        <v>176</v>
      </c>
      <c r="B66" s="98">
        <v>3612</v>
      </c>
      <c r="C66" s="115" t="s">
        <v>12</v>
      </c>
      <c r="D66" s="92" t="str">
        <f>(MID(E66,1,3))</f>
        <v>214</v>
      </c>
      <c r="E66" s="98">
        <v>2141</v>
      </c>
      <c r="F66" s="99" t="s">
        <v>139</v>
      </c>
      <c r="G66" s="100">
        <v>109</v>
      </c>
      <c r="H66" s="100">
        <v>109</v>
      </c>
      <c r="I66" s="100">
        <v>109</v>
      </c>
      <c r="J66" s="119">
        <f aca="true" t="shared" si="12" ref="J66:J95">IF(G66&lt;=0,0,$I66/G66*100)</f>
        <v>100</v>
      </c>
      <c r="K66" s="120">
        <f t="shared" si="11"/>
        <v>100</v>
      </c>
    </row>
    <row r="67" spans="1:11" ht="12.75">
      <c r="A67" s="152" t="s">
        <v>176</v>
      </c>
      <c r="B67" s="98">
        <v>3619</v>
      </c>
      <c r="C67" s="115" t="s">
        <v>140</v>
      </c>
      <c r="D67" s="115" t="str">
        <f>(MID(E67,1,3))</f>
        <v>214</v>
      </c>
      <c r="E67" s="98">
        <v>2141</v>
      </c>
      <c r="F67" s="99" t="s">
        <v>139</v>
      </c>
      <c r="G67" s="100">
        <v>2041</v>
      </c>
      <c r="H67" s="100">
        <v>2041</v>
      </c>
      <c r="I67" s="100">
        <v>2091</v>
      </c>
      <c r="J67" s="119">
        <f t="shared" si="12"/>
        <v>102.44977951984322</v>
      </c>
      <c r="K67" s="120">
        <f t="shared" si="11"/>
        <v>102.44977951984322</v>
      </c>
    </row>
    <row r="68" spans="1:11" ht="12.75">
      <c r="A68" s="149" t="s">
        <v>232</v>
      </c>
      <c r="B68" s="98">
        <v>6310</v>
      </c>
      <c r="C68" s="115" t="s">
        <v>141</v>
      </c>
      <c r="D68" s="115" t="str">
        <f>(MID(E68,1,3))</f>
        <v>214</v>
      </c>
      <c r="E68" s="109">
        <v>2142</v>
      </c>
      <c r="F68" s="110" t="s">
        <v>260</v>
      </c>
      <c r="G68" s="122">
        <v>20000</v>
      </c>
      <c r="H68" s="122">
        <v>20000</v>
      </c>
      <c r="I68" s="122">
        <v>30512</v>
      </c>
      <c r="J68" s="105">
        <f>IF(G68&lt;=0,0,$I68/G68*100)</f>
        <v>152.56</v>
      </c>
      <c r="K68" s="120">
        <f>IF(H68&lt;=0,0,$I68/H68*100)</f>
        <v>152.56</v>
      </c>
    </row>
    <row r="69" spans="1:11" ht="12.75">
      <c r="A69" s="149" t="s">
        <v>232</v>
      </c>
      <c r="B69" s="98">
        <v>6310</v>
      </c>
      <c r="C69" s="115" t="s">
        <v>141</v>
      </c>
      <c r="D69" s="115" t="str">
        <f>(MID(E69,1,3))</f>
        <v>214</v>
      </c>
      <c r="E69" s="109">
        <v>2143</v>
      </c>
      <c r="F69" s="110" t="s">
        <v>292</v>
      </c>
      <c r="G69" s="122"/>
      <c r="H69" s="122"/>
      <c r="I69" s="122">
        <v>6</v>
      </c>
      <c r="J69" s="105">
        <f t="shared" si="12"/>
        <v>0</v>
      </c>
      <c r="K69" s="120">
        <f t="shared" si="11"/>
        <v>0</v>
      </c>
    </row>
    <row r="70" spans="1:11" ht="13.5" thickBot="1">
      <c r="A70" s="130"/>
      <c r="B70" s="131"/>
      <c r="C70" s="238"/>
      <c r="D70" s="116" t="s">
        <v>241</v>
      </c>
      <c r="E70" s="131"/>
      <c r="F70" s="239"/>
      <c r="G70" s="158">
        <f>SUBTOTAL(9,G65:G69)</f>
        <v>42350</v>
      </c>
      <c r="H70" s="158">
        <f>SUBTOTAL(9,H65:H69)</f>
        <v>42350</v>
      </c>
      <c r="I70" s="158">
        <f>SUBTOTAL(9,I65:I69)</f>
        <v>54200</v>
      </c>
      <c r="J70" s="159">
        <f t="shared" si="12"/>
        <v>127.98110979929163</v>
      </c>
      <c r="K70" s="240">
        <f t="shared" si="11"/>
        <v>127.98110979929163</v>
      </c>
    </row>
    <row r="71" spans="1:11" ht="12.75">
      <c r="A71" s="249"/>
      <c r="B71" s="250"/>
      <c r="C71" s="251"/>
      <c r="D71" s="103"/>
      <c r="E71" s="250"/>
      <c r="F71" s="252"/>
      <c r="G71" s="160"/>
      <c r="H71" s="160"/>
      <c r="I71" s="160"/>
      <c r="J71" s="161">
        <f t="shared" si="12"/>
        <v>0</v>
      </c>
      <c r="K71" s="253">
        <f t="shared" si="11"/>
        <v>0</v>
      </c>
    </row>
    <row r="72" spans="1:11" ht="12.75">
      <c r="A72" s="254" t="s">
        <v>142</v>
      </c>
      <c r="B72" s="141"/>
      <c r="C72" s="142"/>
      <c r="D72" s="103"/>
      <c r="E72" s="141"/>
      <c r="F72" s="186"/>
      <c r="G72" s="162"/>
      <c r="H72" s="162"/>
      <c r="I72" s="162"/>
      <c r="J72" s="163">
        <f t="shared" si="12"/>
        <v>0</v>
      </c>
      <c r="K72" s="246">
        <f t="shared" si="11"/>
        <v>0</v>
      </c>
    </row>
    <row r="73" spans="1:11" ht="12.75">
      <c r="A73" s="97">
        <v>1900</v>
      </c>
      <c r="B73" s="255">
        <v>2143</v>
      </c>
      <c r="C73" s="12" t="s">
        <v>193</v>
      </c>
      <c r="D73" s="92" t="str">
        <f aca="true" t="shared" si="13" ref="D73:D86">(MID(E73,1,3))</f>
        <v>221</v>
      </c>
      <c r="E73" s="98">
        <v>2212</v>
      </c>
      <c r="F73" s="145" t="s">
        <v>229</v>
      </c>
      <c r="G73" s="100"/>
      <c r="H73" s="100"/>
      <c r="I73" s="237">
        <v>8</v>
      </c>
      <c r="J73" s="105">
        <f t="shared" si="12"/>
        <v>0</v>
      </c>
      <c r="K73" s="106">
        <f t="shared" si="11"/>
        <v>0</v>
      </c>
    </row>
    <row r="74" spans="1:11" ht="12.75">
      <c r="A74" s="97">
        <v>3200</v>
      </c>
      <c r="B74" s="255">
        <v>6171</v>
      </c>
      <c r="C74" s="146" t="s">
        <v>9</v>
      </c>
      <c r="D74" s="92" t="str">
        <f>(MID(E74,1,3))</f>
        <v>221</v>
      </c>
      <c r="E74" s="98">
        <v>2212</v>
      </c>
      <c r="F74" s="145" t="s">
        <v>229</v>
      </c>
      <c r="G74" s="100">
        <v>20</v>
      </c>
      <c r="H74" s="100">
        <v>20</v>
      </c>
      <c r="I74" s="237">
        <v>40</v>
      </c>
      <c r="J74" s="105">
        <f t="shared" si="12"/>
        <v>200</v>
      </c>
      <c r="K74" s="106">
        <f t="shared" si="11"/>
        <v>200</v>
      </c>
    </row>
    <row r="75" spans="1:11" ht="12.75">
      <c r="A75" s="97">
        <v>3800</v>
      </c>
      <c r="B75" s="98">
        <v>6171</v>
      </c>
      <c r="C75" s="115" t="s">
        <v>9</v>
      </c>
      <c r="D75" s="92" t="str">
        <f t="shared" si="13"/>
        <v>221</v>
      </c>
      <c r="E75" s="98">
        <v>2212</v>
      </c>
      <c r="F75" s="145" t="s">
        <v>229</v>
      </c>
      <c r="G75" s="100">
        <v>900</v>
      </c>
      <c r="H75" s="100">
        <v>900</v>
      </c>
      <c r="I75" s="237">
        <v>1151</v>
      </c>
      <c r="J75" s="105">
        <f t="shared" si="12"/>
        <v>127.8888888888889</v>
      </c>
      <c r="K75" s="106">
        <f t="shared" si="11"/>
        <v>127.8888888888889</v>
      </c>
    </row>
    <row r="76" spans="1:11" ht="12.75">
      <c r="A76" s="97">
        <v>4200</v>
      </c>
      <c r="B76" s="98">
        <v>3745</v>
      </c>
      <c r="C76" s="115" t="s">
        <v>2</v>
      </c>
      <c r="D76" s="92" t="str">
        <f>(MID(E76,1,3))</f>
        <v>221</v>
      </c>
      <c r="E76" s="98">
        <v>2212</v>
      </c>
      <c r="F76" s="145" t="s">
        <v>229</v>
      </c>
      <c r="G76" s="100"/>
      <c r="H76" s="100"/>
      <c r="I76" s="100">
        <v>12</v>
      </c>
      <c r="J76" s="105">
        <f t="shared" si="12"/>
        <v>0</v>
      </c>
      <c r="K76" s="106">
        <f t="shared" si="11"/>
        <v>0</v>
      </c>
    </row>
    <row r="77" spans="1:11" ht="12.75">
      <c r="A77" s="97">
        <v>4200</v>
      </c>
      <c r="B77" s="98">
        <v>3749</v>
      </c>
      <c r="C77" s="115" t="s">
        <v>154</v>
      </c>
      <c r="D77" s="92" t="str">
        <f t="shared" si="13"/>
        <v>221</v>
      </c>
      <c r="E77" s="98">
        <v>2212</v>
      </c>
      <c r="F77" s="145" t="s">
        <v>229</v>
      </c>
      <c r="G77" s="100">
        <v>380</v>
      </c>
      <c r="H77" s="100">
        <v>380</v>
      </c>
      <c r="I77" s="100">
        <v>883</v>
      </c>
      <c r="J77" s="105">
        <f t="shared" si="12"/>
        <v>232.36842105263156</v>
      </c>
      <c r="K77" s="106">
        <f t="shared" si="11"/>
        <v>232.36842105263156</v>
      </c>
    </row>
    <row r="78" spans="1:11" ht="12.75">
      <c r="A78" s="140">
        <v>4300</v>
      </c>
      <c r="B78" s="141">
        <v>2399</v>
      </c>
      <c r="C78" s="142" t="s">
        <v>143</v>
      </c>
      <c r="D78" s="92" t="str">
        <f t="shared" si="13"/>
        <v>221</v>
      </c>
      <c r="E78" s="98">
        <v>2212</v>
      </c>
      <c r="F78" s="145" t="s">
        <v>229</v>
      </c>
      <c r="G78" s="104">
        <v>100</v>
      </c>
      <c r="H78" s="104">
        <v>100</v>
      </c>
      <c r="I78" s="104">
        <v>72</v>
      </c>
      <c r="J78" s="105">
        <f t="shared" si="12"/>
        <v>72</v>
      </c>
      <c r="K78" s="106">
        <f t="shared" si="11"/>
        <v>72</v>
      </c>
    </row>
    <row r="79" spans="1:11" ht="12.75">
      <c r="A79" s="140">
        <v>5400</v>
      </c>
      <c r="B79" s="141">
        <v>2219</v>
      </c>
      <c r="C79" s="142" t="s">
        <v>54</v>
      </c>
      <c r="D79" s="92" t="str">
        <f t="shared" si="13"/>
        <v>221</v>
      </c>
      <c r="E79" s="98">
        <v>2212</v>
      </c>
      <c r="F79" s="145" t="s">
        <v>229</v>
      </c>
      <c r="G79" s="104">
        <v>200</v>
      </c>
      <c r="H79" s="104">
        <v>200</v>
      </c>
      <c r="I79" s="104">
        <v>199</v>
      </c>
      <c r="J79" s="105">
        <f t="shared" si="12"/>
        <v>99.5</v>
      </c>
      <c r="K79" s="106">
        <f t="shared" si="11"/>
        <v>99.5</v>
      </c>
    </row>
    <row r="80" spans="1:11" ht="12.75">
      <c r="A80" s="140">
        <v>5600</v>
      </c>
      <c r="B80" s="141">
        <v>3113</v>
      </c>
      <c r="C80" s="142" t="s">
        <v>23</v>
      </c>
      <c r="D80" s="92" t="str">
        <f>(MID(E80,1,3))</f>
        <v>221</v>
      </c>
      <c r="E80" s="98">
        <v>2212</v>
      </c>
      <c r="F80" s="145" t="s">
        <v>229</v>
      </c>
      <c r="G80" s="104"/>
      <c r="H80" s="104"/>
      <c r="I80" s="104">
        <v>175</v>
      </c>
      <c r="J80" s="105"/>
      <c r="K80" s="106"/>
    </row>
    <row r="81" spans="1:11" ht="12.75">
      <c r="A81" s="140">
        <v>5600</v>
      </c>
      <c r="B81" s="141">
        <v>3412</v>
      </c>
      <c r="C81" s="10" t="s">
        <v>218</v>
      </c>
      <c r="D81" s="92" t="str">
        <f>(MID(E81,1,3))</f>
        <v>221</v>
      </c>
      <c r="E81" s="98">
        <v>2212</v>
      </c>
      <c r="F81" s="145" t="s">
        <v>229</v>
      </c>
      <c r="G81" s="104"/>
      <c r="H81" s="104"/>
      <c r="I81" s="104">
        <v>1</v>
      </c>
      <c r="J81" s="105"/>
      <c r="K81" s="106"/>
    </row>
    <row r="82" spans="1:11" ht="12.75">
      <c r="A82" s="140">
        <v>5600</v>
      </c>
      <c r="B82" s="141">
        <v>3421</v>
      </c>
      <c r="C82" s="146" t="s">
        <v>96</v>
      </c>
      <c r="D82" s="92" t="str">
        <f>(MID(E82,1,3))</f>
        <v>221</v>
      </c>
      <c r="E82" s="98">
        <v>2212</v>
      </c>
      <c r="F82" s="145" t="s">
        <v>229</v>
      </c>
      <c r="G82" s="104"/>
      <c r="H82" s="104"/>
      <c r="I82" s="104">
        <v>3</v>
      </c>
      <c r="J82" s="105"/>
      <c r="K82" s="106"/>
    </row>
    <row r="83" spans="1:11" ht="12.75">
      <c r="A83" s="140">
        <v>5800</v>
      </c>
      <c r="B83" s="248">
        <v>2219</v>
      </c>
      <c r="C83" s="142" t="s">
        <v>54</v>
      </c>
      <c r="D83" s="92" t="str">
        <f t="shared" si="13"/>
        <v>221</v>
      </c>
      <c r="E83" s="98">
        <v>2212</v>
      </c>
      <c r="F83" s="145" t="s">
        <v>229</v>
      </c>
      <c r="G83" s="104">
        <v>15000</v>
      </c>
      <c r="H83" s="104">
        <v>15000</v>
      </c>
      <c r="I83" s="104">
        <v>16250</v>
      </c>
      <c r="J83" s="105">
        <f t="shared" si="12"/>
        <v>108.33333333333333</v>
      </c>
      <c r="K83" s="106">
        <f t="shared" si="11"/>
        <v>108.33333333333333</v>
      </c>
    </row>
    <row r="84" spans="1:11" ht="12.75">
      <c r="A84" s="140">
        <v>6200</v>
      </c>
      <c r="B84" s="248">
        <v>3612</v>
      </c>
      <c r="C84" s="142" t="s">
        <v>12</v>
      </c>
      <c r="D84" s="92" t="str">
        <f>(MID(E84,1,3))</f>
        <v>221</v>
      </c>
      <c r="E84" s="98">
        <v>2212</v>
      </c>
      <c r="F84" s="145" t="s">
        <v>229</v>
      </c>
      <c r="G84" s="104"/>
      <c r="H84" s="104"/>
      <c r="I84" s="104">
        <v>369</v>
      </c>
      <c r="J84" s="105">
        <f t="shared" si="12"/>
        <v>0</v>
      </c>
      <c r="K84" s="106">
        <f t="shared" si="11"/>
        <v>0</v>
      </c>
    </row>
    <row r="85" spans="1:11" ht="12.75">
      <c r="A85" s="140">
        <v>6300</v>
      </c>
      <c r="B85" s="248">
        <v>3639</v>
      </c>
      <c r="C85" s="142" t="s">
        <v>128</v>
      </c>
      <c r="D85" s="92" t="str">
        <f>(MID(E85,1,3))</f>
        <v>221</v>
      </c>
      <c r="E85" s="98">
        <v>2212</v>
      </c>
      <c r="F85" s="145" t="s">
        <v>229</v>
      </c>
      <c r="G85" s="104"/>
      <c r="H85" s="104"/>
      <c r="I85" s="104">
        <v>520</v>
      </c>
      <c r="J85" s="105">
        <f t="shared" si="12"/>
        <v>0</v>
      </c>
      <c r="K85" s="106">
        <f t="shared" si="11"/>
        <v>0</v>
      </c>
    </row>
    <row r="86" spans="1:11" ht="12.75">
      <c r="A86" s="140">
        <v>6500</v>
      </c>
      <c r="B86" s="98">
        <v>6171</v>
      </c>
      <c r="C86" s="115" t="s">
        <v>9</v>
      </c>
      <c r="D86" s="92" t="str">
        <f t="shared" si="13"/>
        <v>221</v>
      </c>
      <c r="E86" s="98">
        <v>2212</v>
      </c>
      <c r="F86" s="145" t="s">
        <v>229</v>
      </c>
      <c r="G86" s="104">
        <v>1750</v>
      </c>
      <c r="H86" s="104">
        <v>1750</v>
      </c>
      <c r="I86" s="104">
        <v>1378</v>
      </c>
      <c r="J86" s="105">
        <f t="shared" si="12"/>
        <v>78.74285714285715</v>
      </c>
      <c r="K86" s="106">
        <f t="shared" si="11"/>
        <v>78.74285714285715</v>
      </c>
    </row>
    <row r="87" spans="1:11" ht="12.75">
      <c r="A87" s="140">
        <v>7100</v>
      </c>
      <c r="B87" s="98">
        <v>3511</v>
      </c>
      <c r="C87" s="10" t="s">
        <v>13</v>
      </c>
      <c r="D87" s="92" t="str">
        <f>(MID(E87,1,3))</f>
        <v>221</v>
      </c>
      <c r="E87" s="98">
        <v>2212</v>
      </c>
      <c r="F87" s="145" t="s">
        <v>229</v>
      </c>
      <c r="G87" s="104"/>
      <c r="H87" s="104"/>
      <c r="I87" s="104">
        <v>9</v>
      </c>
      <c r="J87" s="105">
        <f t="shared" si="12"/>
        <v>0</v>
      </c>
      <c r="K87" s="106">
        <f t="shared" si="11"/>
        <v>0</v>
      </c>
    </row>
    <row r="88" spans="1:11" ht="12.75">
      <c r="A88" s="140">
        <v>7200</v>
      </c>
      <c r="B88" s="98">
        <v>3639</v>
      </c>
      <c r="C88" s="10" t="s">
        <v>128</v>
      </c>
      <c r="D88" s="92" t="str">
        <f>(MID(E88,1,3))</f>
        <v>221</v>
      </c>
      <c r="E88" s="98">
        <v>2212</v>
      </c>
      <c r="F88" s="145" t="s">
        <v>229</v>
      </c>
      <c r="G88" s="104"/>
      <c r="H88" s="104"/>
      <c r="I88" s="104">
        <v>2</v>
      </c>
      <c r="J88" s="105">
        <f t="shared" si="12"/>
        <v>0</v>
      </c>
      <c r="K88" s="106">
        <f t="shared" si="11"/>
        <v>0</v>
      </c>
    </row>
    <row r="89" spans="1:11" ht="12.75">
      <c r="A89" s="140">
        <v>7200</v>
      </c>
      <c r="B89" s="98">
        <v>6171</v>
      </c>
      <c r="C89" s="115" t="s">
        <v>9</v>
      </c>
      <c r="D89" s="92" t="str">
        <f aca="true" t="shared" si="14" ref="D89:D96">(MID(E89,1,3))</f>
        <v>221</v>
      </c>
      <c r="E89" s="98">
        <v>2212</v>
      </c>
      <c r="F89" s="145" t="s">
        <v>229</v>
      </c>
      <c r="G89" s="104"/>
      <c r="H89" s="104"/>
      <c r="I89" s="104">
        <v>49</v>
      </c>
      <c r="J89" s="105">
        <f t="shared" si="12"/>
        <v>0</v>
      </c>
      <c r="K89" s="106">
        <f t="shared" si="11"/>
        <v>0</v>
      </c>
    </row>
    <row r="90" spans="1:11" ht="12.75">
      <c r="A90" s="140">
        <v>7300</v>
      </c>
      <c r="B90" s="98">
        <v>3311</v>
      </c>
      <c r="C90" s="210" t="s">
        <v>24</v>
      </c>
      <c r="D90" s="92" t="str">
        <f>(MID(E90,1,3))</f>
        <v>221</v>
      </c>
      <c r="E90" s="98">
        <v>2212</v>
      </c>
      <c r="F90" s="145" t="s">
        <v>229</v>
      </c>
      <c r="G90" s="104"/>
      <c r="H90" s="104">
        <v>35</v>
      </c>
      <c r="I90" s="104">
        <v>34</v>
      </c>
      <c r="J90" s="105">
        <f t="shared" si="12"/>
        <v>0</v>
      </c>
      <c r="K90" s="106">
        <f t="shared" si="11"/>
        <v>97.14285714285714</v>
      </c>
    </row>
    <row r="91" spans="1:11" ht="12.75">
      <c r="A91" s="140">
        <v>7300</v>
      </c>
      <c r="B91" s="98">
        <v>3314</v>
      </c>
      <c r="C91" s="210" t="s">
        <v>92</v>
      </c>
      <c r="D91" s="92" t="str">
        <f>(MID(E91,1,3))</f>
        <v>221</v>
      </c>
      <c r="E91" s="98">
        <v>2212</v>
      </c>
      <c r="F91" s="145" t="s">
        <v>229</v>
      </c>
      <c r="G91" s="104"/>
      <c r="H91" s="104">
        <v>3</v>
      </c>
      <c r="I91" s="104">
        <v>2</v>
      </c>
      <c r="J91" s="105">
        <f t="shared" si="12"/>
        <v>0</v>
      </c>
      <c r="K91" s="106">
        <f t="shared" si="11"/>
        <v>66.66666666666666</v>
      </c>
    </row>
    <row r="92" spans="1:11" ht="12.75">
      <c r="A92" s="140">
        <v>7300</v>
      </c>
      <c r="B92" s="98">
        <v>3315</v>
      </c>
      <c r="C92" s="210" t="s">
        <v>93</v>
      </c>
      <c r="D92" s="92" t="str">
        <f t="shared" si="14"/>
        <v>221</v>
      </c>
      <c r="E92" s="98">
        <v>2212</v>
      </c>
      <c r="F92" s="145" t="s">
        <v>229</v>
      </c>
      <c r="G92" s="104"/>
      <c r="H92" s="104">
        <v>10</v>
      </c>
      <c r="I92" s="104">
        <v>9</v>
      </c>
      <c r="J92" s="105">
        <f t="shared" si="12"/>
        <v>0</v>
      </c>
      <c r="K92" s="106">
        <f t="shared" si="11"/>
        <v>90</v>
      </c>
    </row>
    <row r="93" spans="1:11" ht="12.75">
      <c r="A93" s="140">
        <v>7300</v>
      </c>
      <c r="B93" s="141">
        <v>3319</v>
      </c>
      <c r="C93" s="12" t="s">
        <v>49</v>
      </c>
      <c r="D93" s="92" t="str">
        <f t="shared" si="14"/>
        <v>221</v>
      </c>
      <c r="E93" s="98">
        <v>2212</v>
      </c>
      <c r="F93" s="145" t="s">
        <v>229</v>
      </c>
      <c r="G93" s="104">
        <v>50</v>
      </c>
      <c r="H93" s="104">
        <v>74</v>
      </c>
      <c r="I93" s="104">
        <v>74</v>
      </c>
      <c r="J93" s="105">
        <f t="shared" si="12"/>
        <v>148</v>
      </c>
      <c r="K93" s="106">
        <f t="shared" si="11"/>
        <v>100</v>
      </c>
    </row>
    <row r="94" spans="1:11" ht="12.75">
      <c r="A94" s="140">
        <v>7400</v>
      </c>
      <c r="B94" s="141">
        <v>3419</v>
      </c>
      <c r="C94" s="186" t="s">
        <v>50</v>
      </c>
      <c r="D94" s="92" t="str">
        <f t="shared" si="14"/>
        <v>221</v>
      </c>
      <c r="E94" s="98">
        <v>2212</v>
      </c>
      <c r="F94" s="145" t="s">
        <v>229</v>
      </c>
      <c r="G94" s="104"/>
      <c r="H94" s="104"/>
      <c r="I94" s="104">
        <v>5</v>
      </c>
      <c r="J94" s="105">
        <f t="shared" si="12"/>
        <v>0</v>
      </c>
      <c r="K94" s="106">
        <f t="shared" si="11"/>
        <v>0</v>
      </c>
    </row>
    <row r="95" spans="1:11" ht="12.75">
      <c r="A95" s="140">
        <v>7500</v>
      </c>
      <c r="B95" s="141">
        <v>3322</v>
      </c>
      <c r="C95" s="142" t="s">
        <v>28</v>
      </c>
      <c r="D95" s="92" t="str">
        <f t="shared" si="14"/>
        <v>221</v>
      </c>
      <c r="E95" s="98">
        <v>2212</v>
      </c>
      <c r="F95" s="145" t="s">
        <v>229</v>
      </c>
      <c r="G95" s="104">
        <v>200</v>
      </c>
      <c r="H95" s="104">
        <v>200</v>
      </c>
      <c r="I95" s="104">
        <v>239</v>
      </c>
      <c r="J95" s="105">
        <f t="shared" si="12"/>
        <v>119.5</v>
      </c>
      <c r="K95" s="106">
        <f t="shared" si="11"/>
        <v>119.5</v>
      </c>
    </row>
    <row r="96" spans="1:11" ht="12.75">
      <c r="A96" s="140">
        <v>8200</v>
      </c>
      <c r="B96" s="141">
        <v>5311</v>
      </c>
      <c r="C96" s="142" t="s">
        <v>90</v>
      </c>
      <c r="D96" s="92" t="str">
        <f t="shared" si="14"/>
        <v>221</v>
      </c>
      <c r="E96" s="98">
        <v>2212</v>
      </c>
      <c r="F96" s="145" t="s">
        <v>229</v>
      </c>
      <c r="G96" s="104">
        <v>24700</v>
      </c>
      <c r="H96" s="104">
        <v>24700</v>
      </c>
      <c r="I96" s="104">
        <v>28509</v>
      </c>
      <c r="J96" s="105">
        <f aca="true" t="shared" si="15" ref="J96:J115">IF(G96&lt;=0,0,$I96/G96*100)</f>
        <v>115.42105263157896</v>
      </c>
      <c r="K96" s="106">
        <f aca="true" t="shared" si="16" ref="K96:K115">IF(H96&lt;=0,0,$I96/H96*100)</f>
        <v>115.42105263157896</v>
      </c>
    </row>
    <row r="97" spans="1:11" ht="13.5" thickBot="1">
      <c r="A97" s="130"/>
      <c r="B97" s="131"/>
      <c r="C97" s="238"/>
      <c r="D97" s="116" t="s">
        <v>144</v>
      </c>
      <c r="E97" s="131"/>
      <c r="F97" s="239"/>
      <c r="G97" s="158">
        <f>SUBTOTAL(9,G73:G96)</f>
        <v>43300</v>
      </c>
      <c r="H97" s="158">
        <f>SUBTOTAL(9,H73:H96)</f>
        <v>43372</v>
      </c>
      <c r="I97" s="158">
        <f>SUBTOTAL(9,I73:I96)</f>
        <v>49993</v>
      </c>
      <c r="J97" s="159">
        <f t="shared" si="15"/>
        <v>115.45727482678984</v>
      </c>
      <c r="K97" s="240">
        <f t="shared" si="16"/>
        <v>115.26560914875957</v>
      </c>
    </row>
    <row r="98" spans="1:11" ht="12.75">
      <c r="A98" s="140"/>
      <c r="B98" s="141"/>
      <c r="C98" s="142"/>
      <c r="D98" s="103"/>
      <c r="E98" s="141"/>
      <c r="F98" s="186"/>
      <c r="G98" s="162"/>
      <c r="H98" s="162"/>
      <c r="I98" s="162"/>
      <c r="J98" s="164">
        <f t="shared" si="15"/>
        <v>0</v>
      </c>
      <c r="K98" s="256">
        <f t="shared" si="16"/>
        <v>0</v>
      </c>
    </row>
    <row r="99" spans="1:11" ht="12.75">
      <c r="A99" s="254" t="s">
        <v>303</v>
      </c>
      <c r="B99" s="141"/>
      <c r="C99" s="142"/>
      <c r="D99" s="103"/>
      <c r="E99" s="141"/>
      <c r="F99" s="186"/>
      <c r="G99" s="162"/>
      <c r="H99" s="162"/>
      <c r="I99" s="162"/>
      <c r="J99" s="105">
        <f t="shared" si="15"/>
        <v>0</v>
      </c>
      <c r="K99" s="106">
        <f t="shared" si="16"/>
        <v>0</v>
      </c>
    </row>
    <row r="100" spans="1:11" ht="12.75">
      <c r="A100" s="257">
        <v>1700</v>
      </c>
      <c r="B100" s="141">
        <v>6402</v>
      </c>
      <c r="C100" s="115" t="s">
        <v>98</v>
      </c>
      <c r="D100" s="92" t="str">
        <f aca="true" t="shared" si="17" ref="D100:D108">(MID(E100,1,3))</f>
        <v>222</v>
      </c>
      <c r="E100" s="141">
        <v>2222</v>
      </c>
      <c r="F100" s="124" t="s">
        <v>289</v>
      </c>
      <c r="G100" s="177"/>
      <c r="H100" s="177">
        <v>3132</v>
      </c>
      <c r="I100" s="177">
        <v>3132</v>
      </c>
      <c r="J100" s="105">
        <f>IF(G100&lt;=0,0,$I100/G100*100)</f>
        <v>0</v>
      </c>
      <c r="K100" s="106">
        <f>IF(H100&lt;=0,0,$I100/H100*100)</f>
        <v>100</v>
      </c>
    </row>
    <row r="101" spans="1:11" ht="12.75">
      <c r="A101" s="257">
        <v>1700</v>
      </c>
      <c r="B101" s="141">
        <v>6402</v>
      </c>
      <c r="C101" s="115" t="s">
        <v>98</v>
      </c>
      <c r="D101" s="92" t="str">
        <f t="shared" si="17"/>
        <v>222</v>
      </c>
      <c r="E101" s="141">
        <v>2226</v>
      </c>
      <c r="F101" s="124" t="s">
        <v>236</v>
      </c>
      <c r="G101" s="177"/>
      <c r="H101" s="177">
        <v>7624</v>
      </c>
      <c r="I101" s="177">
        <v>7625</v>
      </c>
      <c r="J101" s="105">
        <f>IF(G101&lt;=0,0,$I101/G101*100)</f>
        <v>0</v>
      </c>
      <c r="K101" s="106">
        <f>IF(H101&lt;=0,0,$I101/H101*100)</f>
        <v>100.01311647429172</v>
      </c>
    </row>
    <row r="102" spans="1:11" ht="12.75">
      <c r="A102" s="97">
        <v>1700</v>
      </c>
      <c r="B102" s="141">
        <v>6402</v>
      </c>
      <c r="C102" s="115" t="s">
        <v>98</v>
      </c>
      <c r="D102" s="92" t="str">
        <f t="shared" si="17"/>
        <v>222</v>
      </c>
      <c r="E102" s="141">
        <v>2229</v>
      </c>
      <c r="F102" s="99" t="s">
        <v>145</v>
      </c>
      <c r="G102" s="162"/>
      <c r="H102" s="177">
        <v>1516</v>
      </c>
      <c r="I102" s="100">
        <v>1516</v>
      </c>
      <c r="J102" s="105">
        <f t="shared" si="15"/>
        <v>0</v>
      </c>
      <c r="K102" s="106">
        <f aca="true" t="shared" si="18" ref="K102:K107">IF(H102&lt;=0,0,$I102/H102*100)</f>
        <v>100</v>
      </c>
    </row>
    <row r="103" spans="1:11" ht="12.75">
      <c r="A103" s="97">
        <v>1700</v>
      </c>
      <c r="B103" s="141">
        <v>6409</v>
      </c>
      <c r="C103" s="115" t="s">
        <v>310</v>
      </c>
      <c r="D103" s="92" t="str">
        <f>(MID(E103,1,3))</f>
        <v>222</v>
      </c>
      <c r="E103" s="141">
        <v>2229</v>
      </c>
      <c r="F103" s="99" t="s">
        <v>145</v>
      </c>
      <c r="G103" s="162"/>
      <c r="H103" s="177"/>
      <c r="I103" s="100">
        <v>1</v>
      </c>
      <c r="J103" s="105">
        <f t="shared" si="15"/>
        <v>0</v>
      </c>
      <c r="K103" s="106">
        <f t="shared" si="18"/>
        <v>0</v>
      </c>
    </row>
    <row r="104" spans="1:11" ht="12.75">
      <c r="A104" s="97">
        <v>1900</v>
      </c>
      <c r="B104" s="141">
        <v>3809</v>
      </c>
      <c r="C104" s="10" t="s">
        <v>267</v>
      </c>
      <c r="D104" s="92" t="str">
        <f t="shared" si="17"/>
        <v>222</v>
      </c>
      <c r="E104" s="141">
        <v>2229</v>
      </c>
      <c r="F104" s="99" t="s">
        <v>145</v>
      </c>
      <c r="G104" s="162"/>
      <c r="H104" s="177"/>
      <c r="I104" s="100">
        <v>60</v>
      </c>
      <c r="J104" s="105">
        <f t="shared" si="15"/>
        <v>0</v>
      </c>
      <c r="K104" s="106">
        <f t="shared" si="18"/>
        <v>0</v>
      </c>
    </row>
    <row r="105" spans="1:11" ht="12.75">
      <c r="A105" s="97">
        <v>4100</v>
      </c>
      <c r="B105" s="141">
        <v>3636</v>
      </c>
      <c r="C105" s="115" t="s">
        <v>171</v>
      </c>
      <c r="D105" s="92" t="str">
        <f t="shared" si="17"/>
        <v>222</v>
      </c>
      <c r="E105" s="141">
        <v>2229</v>
      </c>
      <c r="F105" s="99" t="s">
        <v>145</v>
      </c>
      <c r="G105" s="162"/>
      <c r="H105" s="177">
        <v>163</v>
      </c>
      <c r="I105" s="100">
        <v>163</v>
      </c>
      <c r="J105" s="105">
        <f aca="true" t="shared" si="19" ref="J105:K108">IF(G105&lt;=0,0,$I105/G105*100)</f>
        <v>0</v>
      </c>
      <c r="K105" s="106">
        <f t="shared" si="18"/>
        <v>100</v>
      </c>
    </row>
    <row r="106" spans="1:11" ht="12.75">
      <c r="A106" s="97">
        <v>7200</v>
      </c>
      <c r="B106" s="141">
        <v>6171</v>
      </c>
      <c r="C106" s="115" t="s">
        <v>9</v>
      </c>
      <c r="D106" s="92" t="str">
        <f t="shared" si="17"/>
        <v>222</v>
      </c>
      <c r="E106" s="141">
        <v>2229</v>
      </c>
      <c r="F106" s="99" t="s">
        <v>145</v>
      </c>
      <c r="G106" s="162"/>
      <c r="H106" s="177"/>
      <c r="I106" s="100">
        <v>582</v>
      </c>
      <c r="J106" s="105">
        <f t="shared" si="19"/>
        <v>0</v>
      </c>
      <c r="K106" s="106">
        <f t="shared" si="18"/>
        <v>0</v>
      </c>
    </row>
    <row r="107" spans="1:11" ht="12.75">
      <c r="A107" s="97">
        <v>7300</v>
      </c>
      <c r="B107" s="141">
        <v>3314</v>
      </c>
      <c r="C107" s="115" t="s">
        <v>92</v>
      </c>
      <c r="D107" s="92" t="str">
        <f>(MID(E107,1,3))</f>
        <v>222</v>
      </c>
      <c r="E107" s="141">
        <v>2229</v>
      </c>
      <c r="F107" s="99" t="s">
        <v>145</v>
      </c>
      <c r="G107" s="162"/>
      <c r="H107" s="177">
        <v>626</v>
      </c>
      <c r="I107" s="100">
        <v>626</v>
      </c>
      <c r="J107" s="105">
        <f>IF(G107&lt;=0,0,$I107/G107*100)</f>
        <v>0</v>
      </c>
      <c r="K107" s="106">
        <f t="shared" si="18"/>
        <v>100</v>
      </c>
    </row>
    <row r="108" spans="1:11" ht="12.75">
      <c r="A108" s="97">
        <v>7400</v>
      </c>
      <c r="B108" s="141">
        <v>3113</v>
      </c>
      <c r="C108" s="115" t="s">
        <v>23</v>
      </c>
      <c r="D108" s="92" t="str">
        <f t="shared" si="17"/>
        <v>222</v>
      </c>
      <c r="E108" s="141">
        <v>2229</v>
      </c>
      <c r="F108" s="99" t="s">
        <v>145</v>
      </c>
      <c r="G108" s="162"/>
      <c r="H108" s="177">
        <v>79</v>
      </c>
      <c r="I108" s="100">
        <v>79</v>
      </c>
      <c r="J108" s="105">
        <f t="shared" si="19"/>
        <v>0</v>
      </c>
      <c r="K108" s="106">
        <f t="shared" si="19"/>
        <v>100</v>
      </c>
    </row>
    <row r="109" spans="1:11" ht="13.5" thickBot="1">
      <c r="A109" s="130"/>
      <c r="B109" s="131"/>
      <c r="C109" s="238"/>
      <c r="D109" s="116" t="s">
        <v>146</v>
      </c>
      <c r="E109" s="131"/>
      <c r="F109" s="239"/>
      <c r="G109" s="158">
        <f>SUBTOTAL(9,G100:G108)</f>
        <v>0</v>
      </c>
      <c r="H109" s="158">
        <f>SUBTOTAL(9,H100:H108)</f>
        <v>13140</v>
      </c>
      <c r="I109" s="158">
        <f>SUBTOTAL(9,I100:I108)</f>
        <v>13784</v>
      </c>
      <c r="J109" s="159">
        <f t="shared" si="15"/>
        <v>0</v>
      </c>
      <c r="K109" s="240">
        <f t="shared" si="16"/>
        <v>104.90106544901066</v>
      </c>
    </row>
    <row r="110" spans="1:11" ht="12.75">
      <c r="A110" s="97"/>
      <c r="B110" s="98"/>
      <c r="C110" s="115"/>
      <c r="D110" s="103"/>
      <c r="E110" s="98"/>
      <c r="F110" s="99"/>
      <c r="G110" s="162"/>
      <c r="H110" s="162"/>
      <c r="I110" s="162"/>
      <c r="J110" s="163">
        <f t="shared" si="15"/>
        <v>0</v>
      </c>
      <c r="K110" s="253">
        <f t="shared" si="16"/>
        <v>0</v>
      </c>
    </row>
    <row r="111" spans="1:11" ht="12.75">
      <c r="A111" s="123" t="s">
        <v>238</v>
      </c>
      <c r="B111" s="98"/>
      <c r="C111" s="115"/>
      <c r="D111" s="137"/>
      <c r="E111" s="98"/>
      <c r="F111" s="99"/>
      <c r="G111" s="162"/>
      <c r="H111" s="162"/>
      <c r="I111" s="162"/>
      <c r="J111" s="163">
        <f t="shared" si="15"/>
        <v>0</v>
      </c>
      <c r="K111" s="246">
        <f t="shared" si="16"/>
        <v>0</v>
      </c>
    </row>
    <row r="112" spans="1:11" ht="12.75">
      <c r="A112" s="140">
        <v>3200</v>
      </c>
      <c r="B112" s="141">
        <v>6171</v>
      </c>
      <c r="C112" s="142" t="s">
        <v>9</v>
      </c>
      <c r="D112" s="115" t="str">
        <f>(MID(E112,1,3))</f>
        <v>231</v>
      </c>
      <c r="E112" s="141">
        <v>2310</v>
      </c>
      <c r="F112" s="186" t="s">
        <v>147</v>
      </c>
      <c r="G112" s="104"/>
      <c r="H112" s="104"/>
      <c r="I112" s="104">
        <v>6</v>
      </c>
      <c r="J112" s="143">
        <f t="shared" si="15"/>
        <v>0</v>
      </c>
      <c r="K112" s="144">
        <f t="shared" si="16"/>
        <v>0</v>
      </c>
    </row>
    <row r="113" spans="1:11" ht="12.75">
      <c r="A113" s="140">
        <v>5400</v>
      </c>
      <c r="B113" s="141">
        <v>2219</v>
      </c>
      <c r="C113" s="142" t="s">
        <v>54</v>
      </c>
      <c r="D113" s="115" t="str">
        <f>(MID(E113,1,3))</f>
        <v>231</v>
      </c>
      <c r="E113" s="141">
        <v>2310</v>
      </c>
      <c r="F113" s="186" t="s">
        <v>147</v>
      </c>
      <c r="G113" s="104">
        <v>600</v>
      </c>
      <c r="H113" s="104">
        <v>600</v>
      </c>
      <c r="I113" s="104">
        <v>1136</v>
      </c>
      <c r="J113" s="143">
        <f>IF(G113&lt;=0,0,$I113/G113*100)</f>
        <v>189.33333333333334</v>
      </c>
      <c r="K113" s="144">
        <f>IF(H113&lt;=0,0,$I113/H113*100)</f>
        <v>189.33333333333334</v>
      </c>
    </row>
    <row r="114" spans="1:11" ht="12.75">
      <c r="A114" s="140">
        <v>8200</v>
      </c>
      <c r="B114" s="141">
        <v>5311</v>
      </c>
      <c r="C114" s="142" t="s">
        <v>90</v>
      </c>
      <c r="D114" s="115" t="str">
        <f>(MID(E114,1,3))</f>
        <v>231</v>
      </c>
      <c r="E114" s="141">
        <v>2310</v>
      </c>
      <c r="F114" s="186" t="s">
        <v>147</v>
      </c>
      <c r="G114" s="104">
        <v>20</v>
      </c>
      <c r="H114" s="104">
        <v>20</v>
      </c>
      <c r="I114" s="104">
        <v>1</v>
      </c>
      <c r="J114" s="143">
        <f t="shared" si="15"/>
        <v>5</v>
      </c>
      <c r="K114" s="144">
        <f t="shared" si="16"/>
        <v>5</v>
      </c>
    </row>
    <row r="115" spans="1:11" ht="13.5" thickBot="1">
      <c r="A115" s="130"/>
      <c r="B115" s="131"/>
      <c r="C115" s="238"/>
      <c r="D115" s="116" t="s">
        <v>242</v>
      </c>
      <c r="E115" s="131"/>
      <c r="F115" s="239"/>
      <c r="G115" s="158">
        <f>SUBTOTAL(9,G112:G114)</f>
        <v>620</v>
      </c>
      <c r="H115" s="158">
        <f>SUBTOTAL(9,H112:H114)</f>
        <v>620</v>
      </c>
      <c r="I115" s="158">
        <f>SUBTOTAL(9,I112:I114)</f>
        <v>1143</v>
      </c>
      <c r="J115" s="166">
        <f t="shared" si="15"/>
        <v>184.3548387096774</v>
      </c>
      <c r="K115" s="213">
        <f t="shared" si="16"/>
        <v>184.3548387096774</v>
      </c>
    </row>
    <row r="116" spans="1:11" ht="12.75">
      <c r="A116" s="140"/>
      <c r="B116" s="141"/>
      <c r="C116" s="142"/>
      <c r="D116" s="103"/>
      <c r="E116" s="141"/>
      <c r="F116" s="186"/>
      <c r="G116" s="162"/>
      <c r="H116" s="162"/>
      <c r="I116" s="162"/>
      <c r="J116" s="167">
        <f aca="true" t="shared" si="20" ref="J116:K119">IF(G116&lt;=0,0,$I116/G116*100)</f>
        <v>0</v>
      </c>
      <c r="K116" s="258">
        <f t="shared" si="20"/>
        <v>0</v>
      </c>
    </row>
    <row r="117" spans="1:11" ht="12.75">
      <c r="A117" s="254" t="s">
        <v>148</v>
      </c>
      <c r="B117" s="141"/>
      <c r="C117" s="142"/>
      <c r="D117" s="103"/>
      <c r="E117" s="141"/>
      <c r="F117" s="186"/>
      <c r="G117" s="162"/>
      <c r="H117" s="162"/>
      <c r="I117" s="162"/>
      <c r="J117" s="143">
        <f t="shared" si="20"/>
        <v>0</v>
      </c>
      <c r="K117" s="144">
        <f t="shared" si="20"/>
        <v>0</v>
      </c>
    </row>
    <row r="118" spans="1:11" ht="12.75">
      <c r="A118" s="140">
        <v>1700</v>
      </c>
      <c r="B118" s="141">
        <v>5269</v>
      </c>
      <c r="C118" s="10" t="s">
        <v>294</v>
      </c>
      <c r="D118" s="92" t="str">
        <f>(MID(E118,1,3))</f>
        <v>232</v>
      </c>
      <c r="E118" s="141">
        <v>2321</v>
      </c>
      <c r="F118" s="186" t="s">
        <v>149</v>
      </c>
      <c r="G118" s="121"/>
      <c r="H118" s="121">
        <v>232</v>
      </c>
      <c r="I118" s="121">
        <v>231</v>
      </c>
      <c r="J118" s="105">
        <f>IF(G118&lt;=0,0,$I118/G118*100)</f>
        <v>0</v>
      </c>
      <c r="K118" s="106">
        <f>IF(H118&lt;=0,0,$I118/H118*100)</f>
        <v>99.56896551724138</v>
      </c>
    </row>
    <row r="119" spans="1:11" ht="12.75">
      <c r="A119" s="140">
        <v>7100</v>
      </c>
      <c r="B119" s="141">
        <v>3599</v>
      </c>
      <c r="C119" s="14" t="s">
        <v>88</v>
      </c>
      <c r="D119" s="92" t="str">
        <f aca="true" t="shared" si="21" ref="D119:D136">(MID(E119,1,3))</f>
        <v>232</v>
      </c>
      <c r="E119" s="141">
        <v>2321</v>
      </c>
      <c r="F119" s="186" t="s">
        <v>149</v>
      </c>
      <c r="G119" s="121"/>
      <c r="H119" s="121">
        <v>409</v>
      </c>
      <c r="I119" s="121">
        <v>409</v>
      </c>
      <c r="J119" s="105">
        <f t="shared" si="20"/>
        <v>0</v>
      </c>
      <c r="K119" s="106">
        <f t="shared" si="20"/>
        <v>100</v>
      </c>
    </row>
    <row r="120" spans="1:11" ht="12.75">
      <c r="A120" s="140">
        <v>8200</v>
      </c>
      <c r="B120" s="141">
        <v>1014</v>
      </c>
      <c r="C120" s="10" t="s">
        <v>175</v>
      </c>
      <c r="D120" s="92" t="str">
        <f>(MID(E120,1,3))</f>
        <v>232</v>
      </c>
      <c r="E120" s="141">
        <v>2321</v>
      </c>
      <c r="F120" s="186" t="s">
        <v>149</v>
      </c>
      <c r="G120" s="121">
        <v>100</v>
      </c>
      <c r="H120" s="121">
        <v>98</v>
      </c>
      <c r="I120" s="121">
        <v>193</v>
      </c>
      <c r="J120" s="105">
        <f>IF(G120&lt;=0,0,$I120/G120*100)</f>
        <v>193</v>
      </c>
      <c r="K120" s="106">
        <f>IF(H120&lt;=0,0,$I120/H120*100)</f>
        <v>196.9387755102041</v>
      </c>
    </row>
    <row r="121" spans="1:11" ht="12.75">
      <c r="A121" s="140">
        <v>3200</v>
      </c>
      <c r="B121" s="141">
        <v>6171</v>
      </c>
      <c r="C121" s="115" t="s">
        <v>9</v>
      </c>
      <c r="D121" s="92" t="str">
        <f t="shared" si="21"/>
        <v>232</v>
      </c>
      <c r="E121" s="141">
        <v>2322</v>
      </c>
      <c r="F121" s="186" t="s">
        <v>212</v>
      </c>
      <c r="G121" s="121">
        <v>100</v>
      </c>
      <c r="H121" s="121">
        <v>100</v>
      </c>
      <c r="I121" s="121">
        <v>29</v>
      </c>
      <c r="J121" s="105">
        <f aca="true" t="shared" si="22" ref="J121:J178">IF(G121&lt;=0,0,$I121/G121*100)</f>
        <v>28.999999999999996</v>
      </c>
      <c r="K121" s="106">
        <f aca="true" t="shared" si="23" ref="K121:K178">IF(H121&lt;=0,0,$I121/H121*100)</f>
        <v>28.999999999999996</v>
      </c>
    </row>
    <row r="122" spans="1:11" ht="12.75">
      <c r="A122" s="140">
        <v>5400</v>
      </c>
      <c r="B122" s="141">
        <v>2212</v>
      </c>
      <c r="C122" s="115" t="s">
        <v>19</v>
      </c>
      <c r="D122" s="92" t="str">
        <f>(MID(E122,1,3))</f>
        <v>232</v>
      </c>
      <c r="E122" s="141">
        <v>2322</v>
      </c>
      <c r="F122" s="186" t="s">
        <v>212</v>
      </c>
      <c r="G122" s="121"/>
      <c r="H122" s="121">
        <v>3443</v>
      </c>
      <c r="I122" s="121">
        <v>3444</v>
      </c>
      <c r="J122" s="105">
        <f t="shared" si="22"/>
        <v>0</v>
      </c>
      <c r="K122" s="106">
        <f t="shared" si="23"/>
        <v>100.02904443799012</v>
      </c>
    </row>
    <row r="123" spans="1:11" ht="12.75">
      <c r="A123" s="140">
        <v>8200</v>
      </c>
      <c r="B123" s="141">
        <v>5311</v>
      </c>
      <c r="C123" s="10" t="s">
        <v>90</v>
      </c>
      <c r="D123" s="92" t="str">
        <f t="shared" si="21"/>
        <v>232</v>
      </c>
      <c r="E123" s="141">
        <v>2322</v>
      </c>
      <c r="F123" s="186" t="s">
        <v>212</v>
      </c>
      <c r="G123" s="121">
        <v>100</v>
      </c>
      <c r="H123" s="121">
        <v>123</v>
      </c>
      <c r="I123" s="121">
        <v>951</v>
      </c>
      <c r="J123" s="105">
        <f t="shared" si="22"/>
        <v>951</v>
      </c>
      <c r="K123" s="106">
        <f t="shared" si="23"/>
        <v>773.170731707317</v>
      </c>
    </row>
    <row r="124" spans="1:11" ht="12.75">
      <c r="A124" s="97">
        <v>1700</v>
      </c>
      <c r="B124" s="98">
        <v>6171</v>
      </c>
      <c r="C124" s="115" t="s">
        <v>9</v>
      </c>
      <c r="D124" s="92" t="str">
        <f t="shared" si="21"/>
        <v>232</v>
      </c>
      <c r="E124" s="98">
        <v>2324</v>
      </c>
      <c r="F124" s="145" t="s">
        <v>150</v>
      </c>
      <c r="G124" s="100">
        <v>300</v>
      </c>
      <c r="H124" s="100">
        <v>300</v>
      </c>
      <c r="I124" s="100">
        <v>363</v>
      </c>
      <c r="J124" s="105">
        <f t="shared" si="22"/>
        <v>121</v>
      </c>
      <c r="K124" s="106">
        <f t="shared" si="23"/>
        <v>121</v>
      </c>
    </row>
    <row r="125" spans="1:11" ht="12.75">
      <c r="A125" s="97">
        <v>1900</v>
      </c>
      <c r="B125" s="98">
        <v>3349</v>
      </c>
      <c r="C125" s="10" t="s">
        <v>58</v>
      </c>
      <c r="D125" s="92" t="str">
        <f>(MID(E125,1,3))</f>
        <v>232</v>
      </c>
      <c r="E125" s="98">
        <v>2324</v>
      </c>
      <c r="F125" s="145" t="s">
        <v>150</v>
      </c>
      <c r="G125" s="100"/>
      <c r="H125" s="100"/>
      <c r="I125" s="100">
        <v>12</v>
      </c>
      <c r="J125" s="105">
        <f t="shared" si="22"/>
        <v>0</v>
      </c>
      <c r="K125" s="106">
        <f t="shared" si="23"/>
        <v>0</v>
      </c>
    </row>
    <row r="126" spans="1:11" ht="12.75">
      <c r="A126" s="140">
        <v>1900</v>
      </c>
      <c r="B126" s="141">
        <v>3636</v>
      </c>
      <c r="C126" s="12" t="s">
        <v>171</v>
      </c>
      <c r="D126" s="92" t="str">
        <f t="shared" si="21"/>
        <v>232</v>
      </c>
      <c r="E126" s="98">
        <v>2324</v>
      </c>
      <c r="F126" s="145" t="s">
        <v>150</v>
      </c>
      <c r="G126" s="121">
        <v>700</v>
      </c>
      <c r="H126" s="121">
        <v>700</v>
      </c>
      <c r="I126" s="121"/>
      <c r="J126" s="105">
        <f t="shared" si="22"/>
        <v>0</v>
      </c>
      <c r="K126" s="106">
        <f t="shared" si="23"/>
        <v>0</v>
      </c>
    </row>
    <row r="127" spans="1:11" ht="12.75">
      <c r="A127" s="140">
        <v>3200</v>
      </c>
      <c r="B127" s="141">
        <v>3636</v>
      </c>
      <c r="C127" s="12" t="s">
        <v>171</v>
      </c>
      <c r="D127" s="92" t="str">
        <f>(MID(E127,1,3))</f>
        <v>232</v>
      </c>
      <c r="E127" s="98">
        <v>2324</v>
      </c>
      <c r="F127" s="145" t="s">
        <v>150</v>
      </c>
      <c r="G127" s="121"/>
      <c r="H127" s="121">
        <v>395</v>
      </c>
      <c r="I127" s="121">
        <v>395</v>
      </c>
      <c r="J127" s="105">
        <f t="shared" si="22"/>
        <v>0</v>
      </c>
      <c r="K127" s="106">
        <f t="shared" si="23"/>
        <v>100</v>
      </c>
    </row>
    <row r="128" spans="1:11" ht="12.75">
      <c r="A128" s="97">
        <v>3200</v>
      </c>
      <c r="B128" s="98">
        <v>6171</v>
      </c>
      <c r="C128" s="115" t="s">
        <v>9</v>
      </c>
      <c r="D128" s="92" t="str">
        <f t="shared" si="21"/>
        <v>232</v>
      </c>
      <c r="E128" s="98">
        <v>2324</v>
      </c>
      <c r="F128" s="145" t="s">
        <v>150</v>
      </c>
      <c r="G128" s="100">
        <v>600</v>
      </c>
      <c r="H128" s="100">
        <v>600</v>
      </c>
      <c r="I128" s="100">
        <v>246</v>
      </c>
      <c r="J128" s="105">
        <f t="shared" si="22"/>
        <v>41</v>
      </c>
      <c r="K128" s="106">
        <f t="shared" si="23"/>
        <v>41</v>
      </c>
    </row>
    <row r="129" spans="1:11" ht="12.75">
      <c r="A129" s="97">
        <v>3600</v>
      </c>
      <c r="B129" s="98">
        <v>5212</v>
      </c>
      <c r="C129" s="146" t="s">
        <v>248</v>
      </c>
      <c r="D129" s="92" t="str">
        <f t="shared" si="21"/>
        <v>232</v>
      </c>
      <c r="E129" s="98">
        <v>2324</v>
      </c>
      <c r="F129" s="145" t="s">
        <v>150</v>
      </c>
      <c r="G129" s="100">
        <v>23</v>
      </c>
      <c r="H129" s="100">
        <v>23</v>
      </c>
      <c r="I129" s="100"/>
      <c r="J129" s="105">
        <f t="shared" si="22"/>
        <v>0</v>
      </c>
      <c r="K129" s="106">
        <f t="shared" si="23"/>
        <v>0</v>
      </c>
    </row>
    <row r="130" spans="1:11" ht="12.75">
      <c r="A130" s="97">
        <v>3800</v>
      </c>
      <c r="B130" s="98">
        <v>6171</v>
      </c>
      <c r="C130" s="115" t="s">
        <v>9</v>
      </c>
      <c r="D130" s="92" t="str">
        <f t="shared" si="21"/>
        <v>232</v>
      </c>
      <c r="E130" s="98">
        <v>2324</v>
      </c>
      <c r="F130" s="145" t="s">
        <v>150</v>
      </c>
      <c r="G130" s="100">
        <v>10</v>
      </c>
      <c r="H130" s="100">
        <v>10</v>
      </c>
      <c r="I130" s="100"/>
      <c r="J130" s="105">
        <f t="shared" si="22"/>
        <v>0</v>
      </c>
      <c r="K130" s="106">
        <f t="shared" si="23"/>
        <v>0</v>
      </c>
    </row>
    <row r="131" spans="1:11" ht="12.75">
      <c r="A131" s="97">
        <v>4100</v>
      </c>
      <c r="B131" s="98">
        <v>3299</v>
      </c>
      <c r="C131" s="115" t="s">
        <v>259</v>
      </c>
      <c r="D131" s="92" t="str">
        <f>(MID(E131,1,3))</f>
        <v>232</v>
      </c>
      <c r="E131" s="98">
        <v>2324</v>
      </c>
      <c r="F131" s="145" t="s">
        <v>150</v>
      </c>
      <c r="G131" s="100"/>
      <c r="H131" s="100">
        <v>105</v>
      </c>
      <c r="I131" s="100">
        <v>530</v>
      </c>
      <c r="J131" s="105"/>
      <c r="K131" s="106">
        <f t="shared" si="23"/>
        <v>504.76190476190476</v>
      </c>
    </row>
    <row r="132" spans="1:11" ht="12.75">
      <c r="A132" s="97">
        <v>4200</v>
      </c>
      <c r="B132" s="98">
        <v>3632</v>
      </c>
      <c r="C132" s="115" t="s">
        <v>1</v>
      </c>
      <c r="D132" s="92" t="str">
        <f>(MID(E132,1,3))</f>
        <v>232</v>
      </c>
      <c r="E132" s="98">
        <v>2324</v>
      </c>
      <c r="F132" s="145" t="s">
        <v>150</v>
      </c>
      <c r="G132" s="100"/>
      <c r="H132" s="100"/>
      <c r="I132" s="100">
        <v>14</v>
      </c>
      <c r="J132" s="105"/>
      <c r="K132" s="106"/>
    </row>
    <row r="133" spans="1:11" ht="12.75">
      <c r="A133" s="97">
        <v>4200</v>
      </c>
      <c r="B133" s="98">
        <v>3725</v>
      </c>
      <c r="C133" s="115" t="s">
        <v>129</v>
      </c>
      <c r="D133" s="92" t="str">
        <f t="shared" si="21"/>
        <v>232</v>
      </c>
      <c r="E133" s="98">
        <v>2324</v>
      </c>
      <c r="F133" s="145" t="s">
        <v>150</v>
      </c>
      <c r="G133" s="100">
        <v>17000</v>
      </c>
      <c r="H133" s="100">
        <v>17000</v>
      </c>
      <c r="I133" s="100">
        <v>21333</v>
      </c>
      <c r="J133" s="105">
        <f t="shared" si="22"/>
        <v>125.48823529411766</v>
      </c>
      <c r="K133" s="106">
        <f t="shared" si="23"/>
        <v>125.48823529411766</v>
      </c>
    </row>
    <row r="134" spans="1:11" ht="12.75">
      <c r="A134" s="97">
        <v>4200</v>
      </c>
      <c r="B134" s="98">
        <v>3749</v>
      </c>
      <c r="C134" s="115" t="s">
        <v>154</v>
      </c>
      <c r="D134" s="92" t="str">
        <f t="shared" si="21"/>
        <v>232</v>
      </c>
      <c r="E134" s="98">
        <v>2324</v>
      </c>
      <c r="F134" s="145" t="s">
        <v>150</v>
      </c>
      <c r="G134" s="100">
        <v>5</v>
      </c>
      <c r="H134" s="100">
        <v>5</v>
      </c>
      <c r="I134" s="100">
        <v>12</v>
      </c>
      <c r="J134" s="105">
        <f t="shared" si="22"/>
        <v>240</v>
      </c>
      <c r="K134" s="106">
        <f t="shared" si="23"/>
        <v>240</v>
      </c>
    </row>
    <row r="135" spans="1:11" ht="12.75">
      <c r="A135" s="97">
        <v>4200</v>
      </c>
      <c r="B135" s="98">
        <v>6171</v>
      </c>
      <c r="C135" s="115" t="s">
        <v>9</v>
      </c>
      <c r="D135" s="92" t="str">
        <f t="shared" si="21"/>
        <v>232</v>
      </c>
      <c r="E135" s="98">
        <v>2324</v>
      </c>
      <c r="F135" s="145" t="s">
        <v>150</v>
      </c>
      <c r="G135" s="100">
        <v>1</v>
      </c>
      <c r="H135" s="100">
        <v>1</v>
      </c>
      <c r="I135" s="100">
        <v>6</v>
      </c>
      <c r="J135" s="105">
        <f t="shared" si="22"/>
        <v>600</v>
      </c>
      <c r="K135" s="106">
        <f t="shared" si="23"/>
        <v>600</v>
      </c>
    </row>
    <row r="136" spans="1:11" ht="12.75">
      <c r="A136" s="97">
        <v>4300</v>
      </c>
      <c r="B136" s="98">
        <v>2321</v>
      </c>
      <c r="C136" s="47" t="s">
        <v>53</v>
      </c>
      <c r="D136" s="92" t="str">
        <f t="shared" si="21"/>
        <v>232</v>
      </c>
      <c r="E136" s="98">
        <v>2324</v>
      </c>
      <c r="F136" s="145" t="s">
        <v>150</v>
      </c>
      <c r="G136" s="100">
        <v>240</v>
      </c>
      <c r="H136" s="100">
        <v>240</v>
      </c>
      <c r="I136" s="100">
        <v>195</v>
      </c>
      <c r="J136" s="105">
        <f t="shared" si="22"/>
        <v>81.25</v>
      </c>
      <c r="K136" s="106">
        <f t="shared" si="23"/>
        <v>81.25</v>
      </c>
    </row>
    <row r="137" spans="1:11" ht="12.75">
      <c r="A137" s="97">
        <v>4300</v>
      </c>
      <c r="B137" s="98">
        <v>2399</v>
      </c>
      <c r="C137" s="309" t="s">
        <v>311</v>
      </c>
      <c r="D137" s="92" t="str">
        <f>(MID(E137,1,3))</f>
        <v>232</v>
      </c>
      <c r="E137" s="98">
        <v>2324</v>
      </c>
      <c r="F137" s="145" t="s">
        <v>150</v>
      </c>
      <c r="G137" s="100"/>
      <c r="H137" s="100"/>
      <c r="I137" s="100">
        <v>3</v>
      </c>
      <c r="J137" s="105"/>
      <c r="K137" s="106"/>
    </row>
    <row r="138" spans="1:11" ht="12.75">
      <c r="A138" s="97">
        <v>5300</v>
      </c>
      <c r="B138" s="98">
        <v>6171</v>
      </c>
      <c r="C138" s="115" t="s">
        <v>9</v>
      </c>
      <c r="D138" s="94">
        <v>232</v>
      </c>
      <c r="E138" s="98">
        <v>2324</v>
      </c>
      <c r="F138" s="145" t="s">
        <v>150</v>
      </c>
      <c r="G138" s="100">
        <v>5</v>
      </c>
      <c r="H138" s="100">
        <v>5</v>
      </c>
      <c r="I138" s="100">
        <v>3</v>
      </c>
      <c r="J138" s="105">
        <f t="shared" si="22"/>
        <v>60</v>
      </c>
      <c r="K138" s="106">
        <f t="shared" si="23"/>
        <v>60</v>
      </c>
    </row>
    <row r="139" spans="1:11" ht="12.75">
      <c r="A139" s="97">
        <v>5400</v>
      </c>
      <c r="B139" s="98">
        <v>2219</v>
      </c>
      <c r="C139" s="142" t="s">
        <v>54</v>
      </c>
      <c r="D139" s="94">
        <v>232</v>
      </c>
      <c r="E139" s="98">
        <v>2324</v>
      </c>
      <c r="F139" s="145" t="s">
        <v>150</v>
      </c>
      <c r="G139" s="100">
        <v>20</v>
      </c>
      <c r="H139" s="100">
        <v>20</v>
      </c>
      <c r="I139" s="100">
        <v>75</v>
      </c>
      <c r="J139" s="105">
        <f t="shared" si="22"/>
        <v>375</v>
      </c>
      <c r="K139" s="106">
        <f t="shared" si="23"/>
        <v>375</v>
      </c>
    </row>
    <row r="140" spans="1:11" ht="12.75">
      <c r="A140" s="97">
        <v>5400</v>
      </c>
      <c r="B140" s="98">
        <v>2271</v>
      </c>
      <c r="C140" s="142" t="s">
        <v>20</v>
      </c>
      <c r="D140" s="94">
        <v>232</v>
      </c>
      <c r="E140" s="98">
        <v>2324</v>
      </c>
      <c r="F140" s="145" t="s">
        <v>150</v>
      </c>
      <c r="G140" s="100"/>
      <c r="H140" s="100">
        <v>83</v>
      </c>
      <c r="I140" s="100">
        <v>86</v>
      </c>
      <c r="J140" s="105">
        <f t="shared" si="22"/>
        <v>0</v>
      </c>
      <c r="K140" s="106">
        <f t="shared" si="23"/>
        <v>103.6144578313253</v>
      </c>
    </row>
    <row r="141" spans="1:11" ht="12.75">
      <c r="A141" s="97">
        <v>5600</v>
      </c>
      <c r="B141" s="98">
        <v>2219</v>
      </c>
      <c r="C141" s="142" t="s">
        <v>54</v>
      </c>
      <c r="D141" s="94">
        <v>232</v>
      </c>
      <c r="E141" s="98">
        <v>2324</v>
      </c>
      <c r="F141" s="145" t="s">
        <v>150</v>
      </c>
      <c r="G141" s="100"/>
      <c r="H141" s="100"/>
      <c r="I141" s="100">
        <v>2</v>
      </c>
      <c r="J141" s="105">
        <f t="shared" si="22"/>
        <v>0</v>
      </c>
      <c r="K141" s="106"/>
    </row>
    <row r="142" spans="1:11" ht="12.75">
      <c r="A142" s="97">
        <v>5600</v>
      </c>
      <c r="B142" s="98">
        <v>2321</v>
      </c>
      <c r="C142" s="47" t="s">
        <v>53</v>
      </c>
      <c r="D142" s="94">
        <v>232</v>
      </c>
      <c r="E142" s="98">
        <v>2324</v>
      </c>
      <c r="F142" s="145" t="s">
        <v>150</v>
      </c>
      <c r="G142" s="100"/>
      <c r="H142" s="100"/>
      <c r="I142" s="100">
        <v>707</v>
      </c>
      <c r="J142" s="105">
        <f t="shared" si="22"/>
        <v>0</v>
      </c>
      <c r="K142" s="106">
        <f t="shared" si="23"/>
        <v>0</v>
      </c>
    </row>
    <row r="143" spans="1:11" ht="12.75">
      <c r="A143" s="97">
        <v>5600</v>
      </c>
      <c r="B143" s="98">
        <v>2329</v>
      </c>
      <c r="C143" s="142" t="s">
        <v>217</v>
      </c>
      <c r="D143" s="94">
        <v>232</v>
      </c>
      <c r="E143" s="98">
        <v>2324</v>
      </c>
      <c r="F143" s="145" t="s">
        <v>150</v>
      </c>
      <c r="G143" s="100"/>
      <c r="H143" s="100"/>
      <c r="I143" s="100">
        <v>1</v>
      </c>
      <c r="J143" s="105">
        <f t="shared" si="22"/>
        <v>0</v>
      </c>
      <c r="K143" s="106">
        <f t="shared" si="23"/>
        <v>0</v>
      </c>
    </row>
    <row r="144" spans="1:11" ht="12.75">
      <c r="A144" s="97">
        <v>5600</v>
      </c>
      <c r="B144" s="98">
        <v>3113</v>
      </c>
      <c r="C144" s="186" t="s">
        <v>23</v>
      </c>
      <c r="D144" s="94">
        <v>232</v>
      </c>
      <c r="E144" s="98">
        <v>2324</v>
      </c>
      <c r="F144" s="145" t="s">
        <v>150</v>
      </c>
      <c r="G144" s="100"/>
      <c r="H144" s="100">
        <v>360</v>
      </c>
      <c r="I144" s="100">
        <v>360</v>
      </c>
      <c r="J144" s="105">
        <f t="shared" si="22"/>
        <v>0</v>
      </c>
      <c r="K144" s="106">
        <f t="shared" si="23"/>
        <v>100</v>
      </c>
    </row>
    <row r="145" spans="1:11" ht="12.75">
      <c r="A145" s="97">
        <v>5600</v>
      </c>
      <c r="B145" s="98">
        <v>3326</v>
      </c>
      <c r="C145" s="15" t="s">
        <v>174</v>
      </c>
      <c r="D145" s="94">
        <v>232</v>
      </c>
      <c r="E145" s="98">
        <v>2324</v>
      </c>
      <c r="F145" s="145" t="s">
        <v>150</v>
      </c>
      <c r="G145" s="100"/>
      <c r="H145" s="100"/>
      <c r="I145" s="100">
        <v>1</v>
      </c>
      <c r="J145" s="105">
        <f t="shared" si="22"/>
        <v>0</v>
      </c>
      <c r="K145" s="106">
        <f t="shared" si="23"/>
        <v>0</v>
      </c>
    </row>
    <row r="146" spans="1:11" ht="12.75">
      <c r="A146" s="97">
        <v>5600</v>
      </c>
      <c r="B146" s="98">
        <v>3412</v>
      </c>
      <c r="C146" s="10" t="s">
        <v>218</v>
      </c>
      <c r="D146" s="94">
        <v>232</v>
      </c>
      <c r="E146" s="98">
        <v>2324</v>
      </c>
      <c r="F146" s="145" t="s">
        <v>150</v>
      </c>
      <c r="G146" s="100"/>
      <c r="H146" s="100"/>
      <c r="I146" s="100">
        <v>16</v>
      </c>
      <c r="J146" s="105">
        <f t="shared" si="22"/>
        <v>0</v>
      </c>
      <c r="K146" s="106">
        <f t="shared" si="23"/>
        <v>0</v>
      </c>
    </row>
    <row r="147" spans="1:11" ht="12.75">
      <c r="A147" s="97">
        <v>5600</v>
      </c>
      <c r="B147" s="98">
        <v>3419</v>
      </c>
      <c r="C147" s="186" t="s">
        <v>50</v>
      </c>
      <c r="D147" s="94">
        <v>232</v>
      </c>
      <c r="E147" s="98">
        <v>2324</v>
      </c>
      <c r="F147" s="145" t="s">
        <v>150</v>
      </c>
      <c r="G147" s="100"/>
      <c r="H147" s="100"/>
      <c r="I147" s="100">
        <v>96</v>
      </c>
      <c r="J147" s="105">
        <f t="shared" si="22"/>
        <v>0</v>
      </c>
      <c r="K147" s="106">
        <f t="shared" si="23"/>
        <v>0</v>
      </c>
    </row>
    <row r="148" spans="1:11" ht="12.75">
      <c r="A148" s="97">
        <v>5800</v>
      </c>
      <c r="B148" s="98">
        <v>2219</v>
      </c>
      <c r="C148" s="142" t="s">
        <v>54</v>
      </c>
      <c r="D148" s="92" t="str">
        <f>(MID(E148,1,3))</f>
        <v>232</v>
      </c>
      <c r="E148" s="141">
        <v>2324</v>
      </c>
      <c r="F148" s="145" t="s">
        <v>150</v>
      </c>
      <c r="G148" s="100"/>
      <c r="H148" s="100"/>
      <c r="I148" s="100">
        <v>1334</v>
      </c>
      <c r="J148" s="105">
        <f t="shared" si="22"/>
        <v>0</v>
      </c>
      <c r="K148" s="106">
        <f t="shared" si="23"/>
        <v>0</v>
      </c>
    </row>
    <row r="149" spans="1:11" ht="12.75">
      <c r="A149" s="140">
        <v>6300</v>
      </c>
      <c r="B149" s="141">
        <v>3639</v>
      </c>
      <c r="C149" s="142" t="s">
        <v>128</v>
      </c>
      <c r="D149" s="92" t="str">
        <f aca="true" t="shared" si="24" ref="D149:D167">(MID(E149,1,3))</f>
        <v>232</v>
      </c>
      <c r="E149" s="141">
        <v>2324</v>
      </c>
      <c r="F149" s="145" t="s">
        <v>150</v>
      </c>
      <c r="G149" s="121">
        <v>10</v>
      </c>
      <c r="H149" s="121">
        <v>10</v>
      </c>
      <c r="I149" s="121">
        <v>10303</v>
      </c>
      <c r="J149" s="105">
        <f t="shared" si="22"/>
        <v>103030</v>
      </c>
      <c r="K149" s="106">
        <f t="shared" si="23"/>
        <v>103030</v>
      </c>
    </row>
    <row r="150" spans="1:11" ht="12.75">
      <c r="A150" s="140">
        <v>6500</v>
      </c>
      <c r="B150" s="141">
        <v>6171</v>
      </c>
      <c r="C150" s="142" t="s">
        <v>9</v>
      </c>
      <c r="D150" s="92" t="str">
        <f t="shared" si="24"/>
        <v>232</v>
      </c>
      <c r="E150" s="141">
        <v>2324</v>
      </c>
      <c r="F150" s="145" t="s">
        <v>150</v>
      </c>
      <c r="G150" s="121">
        <v>150</v>
      </c>
      <c r="H150" s="121">
        <v>150</v>
      </c>
      <c r="I150" s="121">
        <v>170</v>
      </c>
      <c r="J150" s="105">
        <f t="shared" si="22"/>
        <v>113.33333333333333</v>
      </c>
      <c r="K150" s="106">
        <f t="shared" si="23"/>
        <v>113.33333333333333</v>
      </c>
    </row>
    <row r="151" spans="1:11" ht="12.75">
      <c r="A151" s="140">
        <v>6600</v>
      </c>
      <c r="B151" s="141">
        <v>3612</v>
      </c>
      <c r="C151" s="142" t="s">
        <v>12</v>
      </c>
      <c r="D151" s="92" t="str">
        <f>(MID(E151,1,3))</f>
        <v>232</v>
      </c>
      <c r="E151" s="141">
        <v>2324</v>
      </c>
      <c r="F151" s="145" t="s">
        <v>150</v>
      </c>
      <c r="G151" s="121"/>
      <c r="H151" s="121"/>
      <c r="I151" s="121">
        <v>4</v>
      </c>
      <c r="J151" s="105"/>
      <c r="K151" s="106"/>
    </row>
    <row r="152" spans="1:11" ht="12.75">
      <c r="A152" s="140">
        <v>6600</v>
      </c>
      <c r="B152" s="141">
        <v>3639</v>
      </c>
      <c r="C152" s="142" t="s">
        <v>128</v>
      </c>
      <c r="D152" s="92" t="str">
        <f t="shared" si="24"/>
        <v>232</v>
      </c>
      <c r="E152" s="141">
        <v>2324</v>
      </c>
      <c r="F152" s="145" t="s">
        <v>150</v>
      </c>
      <c r="G152" s="104">
        <v>400</v>
      </c>
      <c r="H152" s="104">
        <v>400</v>
      </c>
      <c r="I152" s="104">
        <v>253</v>
      </c>
      <c r="J152" s="105">
        <f t="shared" si="22"/>
        <v>63.24999999999999</v>
      </c>
      <c r="K152" s="106">
        <f t="shared" si="23"/>
        <v>63.24999999999999</v>
      </c>
    </row>
    <row r="153" spans="1:11" ht="12.75">
      <c r="A153" s="140">
        <v>6600</v>
      </c>
      <c r="B153" s="141">
        <v>6171</v>
      </c>
      <c r="C153" s="142" t="s">
        <v>9</v>
      </c>
      <c r="D153" s="92" t="str">
        <f aca="true" t="shared" si="25" ref="D153:D158">(MID(E153,1,3))</f>
        <v>232</v>
      </c>
      <c r="E153" s="141">
        <v>2324</v>
      </c>
      <c r="F153" s="145" t="s">
        <v>150</v>
      </c>
      <c r="G153" s="104"/>
      <c r="H153" s="104"/>
      <c r="I153" s="104">
        <v>6</v>
      </c>
      <c r="J153" s="105"/>
      <c r="K153" s="106"/>
    </row>
    <row r="154" spans="1:11" ht="12.75">
      <c r="A154" s="140">
        <v>7100</v>
      </c>
      <c r="B154" s="141">
        <v>3532</v>
      </c>
      <c r="C154" s="142" t="s">
        <v>291</v>
      </c>
      <c r="D154" s="92" t="str">
        <f t="shared" si="25"/>
        <v>232</v>
      </c>
      <c r="E154" s="141">
        <v>2324</v>
      </c>
      <c r="F154" s="145" t="s">
        <v>150</v>
      </c>
      <c r="G154" s="104"/>
      <c r="H154" s="104"/>
      <c r="I154" s="104">
        <v>17</v>
      </c>
      <c r="J154" s="105"/>
      <c r="K154" s="106"/>
    </row>
    <row r="155" spans="1:11" ht="12.75">
      <c r="A155" s="140">
        <v>7200</v>
      </c>
      <c r="B155" s="141">
        <v>4341</v>
      </c>
      <c r="C155" s="186" t="s">
        <v>233</v>
      </c>
      <c r="D155" s="92" t="str">
        <f t="shared" si="25"/>
        <v>232</v>
      </c>
      <c r="E155" s="141">
        <v>2324</v>
      </c>
      <c r="F155" s="145" t="s">
        <v>150</v>
      </c>
      <c r="G155" s="104"/>
      <c r="H155" s="104"/>
      <c r="I155" s="104">
        <v>1</v>
      </c>
      <c r="J155" s="105"/>
      <c r="K155" s="106"/>
    </row>
    <row r="156" spans="1:11" ht="12.75">
      <c r="A156" s="140">
        <v>7300</v>
      </c>
      <c r="B156" s="141">
        <v>3319</v>
      </c>
      <c r="C156" s="12" t="s">
        <v>49</v>
      </c>
      <c r="D156" s="92" t="str">
        <f t="shared" si="25"/>
        <v>232</v>
      </c>
      <c r="E156" s="141">
        <v>2324</v>
      </c>
      <c r="F156" s="145" t="s">
        <v>150</v>
      </c>
      <c r="G156" s="104"/>
      <c r="H156" s="104">
        <v>338</v>
      </c>
      <c r="I156" s="104">
        <v>339</v>
      </c>
      <c r="J156" s="105"/>
      <c r="K156" s="106">
        <f aca="true" t="shared" si="26" ref="K156:K171">IF(H156&lt;=0,0,$I156/H156*100)</f>
        <v>100.29585798816566</v>
      </c>
    </row>
    <row r="157" spans="1:11" ht="12.75">
      <c r="A157" s="140">
        <v>7400</v>
      </c>
      <c r="B157" s="141">
        <v>3419</v>
      </c>
      <c r="C157" s="186" t="s">
        <v>50</v>
      </c>
      <c r="D157" s="92" t="str">
        <f t="shared" si="25"/>
        <v>232</v>
      </c>
      <c r="E157" s="141">
        <v>2324</v>
      </c>
      <c r="F157" s="145" t="s">
        <v>150</v>
      </c>
      <c r="G157" s="104"/>
      <c r="H157" s="104"/>
      <c r="I157" s="104">
        <v>12</v>
      </c>
      <c r="J157" s="105"/>
      <c r="K157" s="106"/>
    </row>
    <row r="158" spans="1:11" ht="12.75">
      <c r="A158" s="140">
        <v>7500</v>
      </c>
      <c r="B158" s="141">
        <v>3322</v>
      </c>
      <c r="C158" s="142" t="s">
        <v>28</v>
      </c>
      <c r="D158" s="92" t="str">
        <f t="shared" si="25"/>
        <v>232</v>
      </c>
      <c r="E158" s="141">
        <v>2324</v>
      </c>
      <c r="F158" s="145" t="s">
        <v>150</v>
      </c>
      <c r="G158" s="104">
        <v>5</v>
      </c>
      <c r="H158" s="104">
        <v>5</v>
      </c>
      <c r="I158" s="104">
        <v>6</v>
      </c>
      <c r="J158" s="105">
        <f aca="true" t="shared" si="27" ref="J158:J171">IF(G158&lt;=0,0,$I158/G158*100)</f>
        <v>120</v>
      </c>
      <c r="K158" s="106">
        <f t="shared" si="26"/>
        <v>120</v>
      </c>
    </row>
    <row r="159" spans="1:11" ht="12.75">
      <c r="A159" s="140">
        <v>8200</v>
      </c>
      <c r="B159" s="141">
        <v>5311</v>
      </c>
      <c r="C159" s="142" t="s">
        <v>90</v>
      </c>
      <c r="D159" s="92" t="str">
        <f t="shared" si="24"/>
        <v>232</v>
      </c>
      <c r="E159" s="141">
        <v>2324</v>
      </c>
      <c r="F159" s="145" t="s">
        <v>150</v>
      </c>
      <c r="G159" s="104">
        <v>50</v>
      </c>
      <c r="H159" s="104">
        <v>50</v>
      </c>
      <c r="I159" s="104">
        <v>110</v>
      </c>
      <c r="J159" s="105">
        <f t="shared" si="27"/>
        <v>220.00000000000003</v>
      </c>
      <c r="K159" s="106">
        <f t="shared" si="26"/>
        <v>220.00000000000003</v>
      </c>
    </row>
    <row r="160" spans="1:11" ht="12.75">
      <c r="A160" s="140">
        <v>1700</v>
      </c>
      <c r="B160" s="148">
        <v>6399</v>
      </c>
      <c r="C160" s="142" t="s">
        <v>83</v>
      </c>
      <c r="D160" s="92" t="str">
        <f>(MID(E160,1,3))</f>
        <v>232</v>
      </c>
      <c r="E160" s="148">
        <v>2328</v>
      </c>
      <c r="F160" s="99" t="s">
        <v>151</v>
      </c>
      <c r="G160" s="104"/>
      <c r="H160" s="104"/>
      <c r="I160" s="104">
        <v>51</v>
      </c>
      <c r="J160" s="105"/>
      <c r="K160" s="106"/>
    </row>
    <row r="161" spans="1:11" ht="12.75">
      <c r="A161" s="140">
        <v>6600</v>
      </c>
      <c r="B161" s="141">
        <v>3639</v>
      </c>
      <c r="C161" s="115" t="s">
        <v>128</v>
      </c>
      <c r="D161" s="92" t="str">
        <f t="shared" si="24"/>
        <v>232</v>
      </c>
      <c r="E161" s="148">
        <v>2328</v>
      </c>
      <c r="F161" s="99" t="s">
        <v>151</v>
      </c>
      <c r="G161" s="104"/>
      <c r="H161" s="104"/>
      <c r="I161" s="104">
        <v>25</v>
      </c>
      <c r="J161" s="105">
        <f t="shared" si="27"/>
        <v>0</v>
      </c>
      <c r="K161" s="106">
        <f t="shared" si="26"/>
        <v>0</v>
      </c>
    </row>
    <row r="162" spans="1:11" ht="12.75">
      <c r="A162" s="97">
        <v>6600</v>
      </c>
      <c r="B162" s="148">
        <v>6399</v>
      </c>
      <c r="C162" s="142" t="s">
        <v>83</v>
      </c>
      <c r="D162" s="92" t="str">
        <f t="shared" si="24"/>
        <v>232</v>
      </c>
      <c r="E162" s="148">
        <v>2328</v>
      </c>
      <c r="F162" s="99" t="s">
        <v>151</v>
      </c>
      <c r="G162" s="121"/>
      <c r="H162" s="121"/>
      <c r="I162" s="121">
        <v>52</v>
      </c>
      <c r="J162" s="105">
        <f t="shared" si="27"/>
        <v>0</v>
      </c>
      <c r="K162" s="106">
        <f t="shared" si="26"/>
        <v>0</v>
      </c>
    </row>
    <row r="163" spans="1:11" ht="12.75">
      <c r="A163" s="97">
        <v>1700</v>
      </c>
      <c r="B163" s="148">
        <v>2329</v>
      </c>
      <c r="C163" s="142" t="s">
        <v>217</v>
      </c>
      <c r="D163" s="92" t="str">
        <f t="shared" si="24"/>
        <v>232</v>
      </c>
      <c r="E163" s="148">
        <v>2329</v>
      </c>
      <c r="F163" s="145" t="s">
        <v>153</v>
      </c>
      <c r="G163" s="121"/>
      <c r="H163" s="121"/>
      <c r="I163" s="121">
        <v>1699</v>
      </c>
      <c r="J163" s="105">
        <f t="shared" si="27"/>
        <v>0</v>
      </c>
      <c r="K163" s="106">
        <f t="shared" si="26"/>
        <v>0</v>
      </c>
    </row>
    <row r="164" spans="1:11" ht="12.75">
      <c r="A164" s="97">
        <v>1700</v>
      </c>
      <c r="B164" s="98">
        <v>6171</v>
      </c>
      <c r="C164" s="115" t="s">
        <v>9</v>
      </c>
      <c r="D164" s="92" t="str">
        <f t="shared" si="24"/>
        <v>232</v>
      </c>
      <c r="E164" s="98">
        <v>2329</v>
      </c>
      <c r="F164" s="145" t="s">
        <v>153</v>
      </c>
      <c r="G164" s="100">
        <v>100</v>
      </c>
      <c r="H164" s="100">
        <v>100</v>
      </c>
      <c r="I164" s="100">
        <v>68</v>
      </c>
      <c r="J164" s="105">
        <f t="shared" si="27"/>
        <v>68</v>
      </c>
      <c r="K164" s="106">
        <f t="shared" si="26"/>
        <v>68</v>
      </c>
    </row>
    <row r="165" spans="1:11" ht="12.75">
      <c r="A165" s="147">
        <v>3200</v>
      </c>
      <c r="B165" s="148">
        <v>6171</v>
      </c>
      <c r="C165" s="142" t="s">
        <v>9</v>
      </c>
      <c r="D165" s="92" t="str">
        <f>(MID(E165,1,3))</f>
        <v>232</v>
      </c>
      <c r="E165" s="98">
        <v>2329</v>
      </c>
      <c r="F165" s="145" t="s">
        <v>153</v>
      </c>
      <c r="G165" s="121">
        <v>50</v>
      </c>
      <c r="H165" s="121">
        <v>50</v>
      </c>
      <c r="I165" s="121">
        <v>297</v>
      </c>
      <c r="J165" s="105">
        <f t="shared" si="27"/>
        <v>594</v>
      </c>
      <c r="K165" s="106">
        <f t="shared" si="26"/>
        <v>594</v>
      </c>
    </row>
    <row r="166" spans="1:11" ht="12.75">
      <c r="A166" s="147">
        <v>4200</v>
      </c>
      <c r="B166" s="148">
        <v>3632</v>
      </c>
      <c r="C166" s="142" t="s">
        <v>1</v>
      </c>
      <c r="D166" s="92" t="str">
        <f>(MID(E166,1,3))</f>
        <v>232</v>
      </c>
      <c r="E166" s="98">
        <v>2329</v>
      </c>
      <c r="F166" s="145" t="s">
        <v>153</v>
      </c>
      <c r="G166" s="121"/>
      <c r="H166" s="121"/>
      <c r="I166" s="121">
        <v>10</v>
      </c>
      <c r="J166" s="105">
        <f t="shared" si="27"/>
        <v>0</v>
      </c>
      <c r="K166" s="106">
        <f t="shared" si="26"/>
        <v>0</v>
      </c>
    </row>
    <row r="167" spans="1:11" ht="12.75">
      <c r="A167" s="97">
        <v>4200</v>
      </c>
      <c r="B167" s="98">
        <v>6171</v>
      </c>
      <c r="C167" s="115" t="s">
        <v>9</v>
      </c>
      <c r="D167" s="92" t="str">
        <f t="shared" si="24"/>
        <v>232</v>
      </c>
      <c r="E167" s="98">
        <v>2329</v>
      </c>
      <c r="F167" s="145" t="s">
        <v>153</v>
      </c>
      <c r="G167" s="100">
        <v>2</v>
      </c>
      <c r="H167" s="100">
        <v>2</v>
      </c>
      <c r="I167" s="100">
        <v>67</v>
      </c>
      <c r="J167" s="105">
        <f t="shared" si="27"/>
        <v>3350</v>
      </c>
      <c r="K167" s="106">
        <f t="shared" si="26"/>
        <v>3350</v>
      </c>
    </row>
    <row r="168" spans="1:11" ht="12.75">
      <c r="A168" s="147">
        <v>4300</v>
      </c>
      <c r="B168" s="148">
        <v>1032</v>
      </c>
      <c r="C168" s="142" t="s">
        <v>152</v>
      </c>
      <c r="D168" s="92" t="str">
        <f aca="true" t="shared" si="28" ref="D168:D178">(MID(E168,1,3))</f>
        <v>232</v>
      </c>
      <c r="E168" s="98">
        <v>2329</v>
      </c>
      <c r="F168" s="145" t="s">
        <v>153</v>
      </c>
      <c r="G168" s="121">
        <v>195</v>
      </c>
      <c r="H168" s="121">
        <v>195</v>
      </c>
      <c r="I168" s="121">
        <v>191</v>
      </c>
      <c r="J168" s="105">
        <f t="shared" si="27"/>
        <v>97.94871794871794</v>
      </c>
      <c r="K168" s="106">
        <f t="shared" si="26"/>
        <v>97.94871794871794</v>
      </c>
    </row>
    <row r="169" spans="1:11" ht="12.75">
      <c r="A169" s="147">
        <v>5600</v>
      </c>
      <c r="B169" s="148">
        <v>2321</v>
      </c>
      <c r="C169" s="47" t="s">
        <v>53</v>
      </c>
      <c r="D169" s="92" t="str">
        <f>(MID(E169,1,3))</f>
        <v>232</v>
      </c>
      <c r="E169" s="98">
        <v>2329</v>
      </c>
      <c r="F169" s="145" t="s">
        <v>153</v>
      </c>
      <c r="G169" s="121"/>
      <c r="H169" s="121"/>
      <c r="I169" s="121">
        <v>24</v>
      </c>
      <c r="J169" s="105"/>
      <c r="K169" s="106"/>
    </row>
    <row r="170" spans="1:11" ht="12.75">
      <c r="A170" s="147">
        <v>5600</v>
      </c>
      <c r="B170" s="148">
        <v>3741</v>
      </c>
      <c r="C170" s="10" t="s">
        <v>6</v>
      </c>
      <c r="D170" s="92" t="str">
        <f>(MID(E170,1,3))</f>
        <v>232</v>
      </c>
      <c r="E170" s="98">
        <v>2329</v>
      </c>
      <c r="F170" s="145" t="s">
        <v>153</v>
      </c>
      <c r="G170" s="121"/>
      <c r="H170" s="121"/>
      <c r="I170" s="121">
        <v>19</v>
      </c>
      <c r="J170" s="105"/>
      <c r="K170" s="106"/>
    </row>
    <row r="171" spans="1:11" ht="12.75">
      <c r="A171" s="140">
        <v>6300</v>
      </c>
      <c r="B171" s="141">
        <v>3639</v>
      </c>
      <c r="C171" s="142" t="s">
        <v>128</v>
      </c>
      <c r="D171" s="92" t="str">
        <f t="shared" si="28"/>
        <v>232</v>
      </c>
      <c r="E171" s="98">
        <v>2329</v>
      </c>
      <c r="F171" s="145" t="s">
        <v>153</v>
      </c>
      <c r="G171" s="104">
        <v>1</v>
      </c>
      <c r="H171" s="104">
        <v>1</v>
      </c>
      <c r="I171" s="104">
        <v>2600</v>
      </c>
      <c r="J171" s="105">
        <f t="shared" si="27"/>
        <v>260000</v>
      </c>
      <c r="K171" s="106">
        <f t="shared" si="26"/>
        <v>260000</v>
      </c>
    </row>
    <row r="172" spans="1:11" ht="12.75">
      <c r="A172" s="140">
        <v>6600</v>
      </c>
      <c r="B172" s="141">
        <v>3639</v>
      </c>
      <c r="C172" s="142" t="s">
        <v>128</v>
      </c>
      <c r="D172" s="92" t="str">
        <f>(MID(E172,1,3))</f>
        <v>232</v>
      </c>
      <c r="E172" s="98">
        <v>2329</v>
      </c>
      <c r="F172" s="145" t="s">
        <v>153</v>
      </c>
      <c r="G172" s="104"/>
      <c r="H172" s="104"/>
      <c r="I172" s="104">
        <v>2</v>
      </c>
      <c r="J172" s="105"/>
      <c r="K172" s="106"/>
    </row>
    <row r="173" spans="1:11" ht="12.75">
      <c r="A173" s="140">
        <v>7100</v>
      </c>
      <c r="B173" s="141">
        <v>3511</v>
      </c>
      <c r="C173" s="10" t="s">
        <v>13</v>
      </c>
      <c r="D173" s="92" t="str">
        <f>(MID(E173,1,3))</f>
        <v>232</v>
      </c>
      <c r="E173" s="148">
        <v>2329</v>
      </c>
      <c r="F173" s="145" t="s">
        <v>153</v>
      </c>
      <c r="G173" s="104"/>
      <c r="H173" s="104"/>
      <c r="I173" s="104">
        <v>1</v>
      </c>
      <c r="J173" s="105"/>
      <c r="K173" s="106"/>
    </row>
    <row r="174" spans="1:11" ht="12.75">
      <c r="A174" s="147">
        <v>7100</v>
      </c>
      <c r="B174" s="148">
        <v>6171</v>
      </c>
      <c r="C174" s="115" t="s">
        <v>9</v>
      </c>
      <c r="D174" s="92" t="str">
        <f t="shared" si="28"/>
        <v>232</v>
      </c>
      <c r="E174" s="148">
        <v>2329</v>
      </c>
      <c r="F174" s="145" t="s">
        <v>153</v>
      </c>
      <c r="G174" s="121">
        <v>25</v>
      </c>
      <c r="H174" s="121">
        <v>25</v>
      </c>
      <c r="I174" s="121">
        <v>62</v>
      </c>
      <c r="J174" s="105">
        <f t="shared" si="22"/>
        <v>248</v>
      </c>
      <c r="K174" s="106">
        <f t="shared" si="23"/>
        <v>248</v>
      </c>
    </row>
    <row r="175" spans="1:11" ht="12.75">
      <c r="A175" s="147">
        <v>7400</v>
      </c>
      <c r="B175" s="148">
        <v>3419</v>
      </c>
      <c r="C175" s="186" t="s">
        <v>50</v>
      </c>
      <c r="D175" s="92" t="str">
        <f>(MID(E175,1,3))</f>
        <v>232</v>
      </c>
      <c r="E175" s="148">
        <v>2329</v>
      </c>
      <c r="F175" s="145" t="s">
        <v>153</v>
      </c>
      <c r="G175" s="121"/>
      <c r="H175" s="121"/>
      <c r="I175" s="121">
        <v>24</v>
      </c>
      <c r="J175" s="105">
        <f t="shared" si="22"/>
        <v>0</v>
      </c>
      <c r="K175" s="106">
        <f t="shared" si="23"/>
        <v>0</v>
      </c>
    </row>
    <row r="176" spans="1:11" ht="12.75">
      <c r="A176" s="147">
        <v>8200</v>
      </c>
      <c r="B176" s="148">
        <v>1014</v>
      </c>
      <c r="C176" s="10" t="s">
        <v>175</v>
      </c>
      <c r="D176" s="92" t="str">
        <f t="shared" si="28"/>
        <v>232</v>
      </c>
      <c r="E176" s="148">
        <v>2329</v>
      </c>
      <c r="F176" s="145" t="s">
        <v>153</v>
      </c>
      <c r="G176" s="121">
        <v>200</v>
      </c>
      <c r="H176" s="121">
        <v>200</v>
      </c>
      <c r="I176" s="121">
        <v>193</v>
      </c>
      <c r="J176" s="105">
        <f t="shared" si="22"/>
        <v>96.5</v>
      </c>
      <c r="K176" s="106">
        <f t="shared" si="23"/>
        <v>96.5</v>
      </c>
    </row>
    <row r="177" spans="1:11" ht="12.75">
      <c r="A177" s="140">
        <v>8200</v>
      </c>
      <c r="B177" s="141">
        <v>5311</v>
      </c>
      <c r="C177" s="142" t="s">
        <v>90</v>
      </c>
      <c r="D177" s="92" t="str">
        <f t="shared" si="28"/>
        <v>232</v>
      </c>
      <c r="E177" s="148">
        <v>2329</v>
      </c>
      <c r="F177" s="145" t="s">
        <v>153</v>
      </c>
      <c r="G177" s="104">
        <v>300</v>
      </c>
      <c r="H177" s="104">
        <v>300</v>
      </c>
      <c r="I177" s="104">
        <v>345</v>
      </c>
      <c r="J177" s="105">
        <f t="shared" si="22"/>
        <v>114.99999999999999</v>
      </c>
      <c r="K177" s="106">
        <f t="shared" si="23"/>
        <v>114.99999999999999</v>
      </c>
    </row>
    <row r="178" spans="1:11" ht="12.75">
      <c r="A178" s="97">
        <v>4200</v>
      </c>
      <c r="B178" s="98">
        <v>3749</v>
      </c>
      <c r="C178" s="115" t="s">
        <v>154</v>
      </c>
      <c r="D178" s="92" t="str">
        <f t="shared" si="28"/>
        <v>234</v>
      </c>
      <c r="E178" s="98">
        <v>2343</v>
      </c>
      <c r="F178" s="124" t="s">
        <v>155</v>
      </c>
      <c r="G178" s="100">
        <v>170</v>
      </c>
      <c r="H178" s="100">
        <v>170</v>
      </c>
      <c r="I178" s="100">
        <v>165</v>
      </c>
      <c r="J178" s="105">
        <f t="shared" si="22"/>
        <v>97.05882352941177</v>
      </c>
      <c r="K178" s="106">
        <f t="shared" si="23"/>
        <v>97.05882352941177</v>
      </c>
    </row>
    <row r="179" spans="1:11" ht="13.5" thickBot="1">
      <c r="A179" s="130"/>
      <c r="B179" s="131"/>
      <c r="C179" s="238"/>
      <c r="D179" s="116" t="s">
        <v>156</v>
      </c>
      <c r="E179" s="131"/>
      <c r="F179" s="239"/>
      <c r="G179" s="158">
        <f>SUBTOTAL(9,G118:G178)</f>
        <v>20862</v>
      </c>
      <c r="H179" s="158">
        <f>SUBTOTAL(9,H118:H178)</f>
        <v>26248</v>
      </c>
      <c r="I179" s="158">
        <f>SUBTOTAL(9,I118:I178)</f>
        <v>48163</v>
      </c>
      <c r="J179" s="159">
        <f aca="true" t="shared" si="29" ref="J179:J203">IF(G179&lt;=0,0,$I179/G179*100)</f>
        <v>230.86473013133926</v>
      </c>
      <c r="K179" s="240">
        <f aca="true" t="shared" si="30" ref="K179:K203">IF(H179&lt;=0,0,$I179/H179*100)</f>
        <v>183.49207558671137</v>
      </c>
    </row>
    <row r="180" spans="1:11" ht="9.75" customHeight="1">
      <c r="A180" s="97"/>
      <c r="B180" s="98"/>
      <c r="C180" s="115"/>
      <c r="D180" s="92"/>
      <c r="E180" s="98"/>
      <c r="F180" s="99"/>
      <c r="G180" s="100"/>
      <c r="H180" s="100"/>
      <c r="I180" s="100"/>
      <c r="J180" s="105">
        <f t="shared" si="29"/>
        <v>0</v>
      </c>
      <c r="K180" s="106">
        <f t="shared" si="30"/>
        <v>0</v>
      </c>
    </row>
    <row r="181" spans="1:11" ht="12.75">
      <c r="A181" s="123" t="s">
        <v>191</v>
      </c>
      <c r="B181" s="98"/>
      <c r="C181" s="115"/>
      <c r="D181" s="103"/>
      <c r="E181" s="98"/>
      <c r="F181" s="99"/>
      <c r="G181" s="162"/>
      <c r="H181" s="162"/>
      <c r="I181" s="162"/>
      <c r="J181" s="163">
        <f t="shared" si="29"/>
        <v>0</v>
      </c>
      <c r="K181" s="246">
        <f t="shared" si="30"/>
        <v>0</v>
      </c>
    </row>
    <row r="182" spans="1:11" ht="12.75">
      <c r="A182" s="97">
        <v>1700</v>
      </c>
      <c r="B182" s="98"/>
      <c r="C182" s="115"/>
      <c r="D182" s="92" t="str">
        <f>(MID(E182,1,3))</f>
        <v>241</v>
      </c>
      <c r="E182" s="98">
        <v>2412</v>
      </c>
      <c r="F182" s="124" t="s">
        <v>235</v>
      </c>
      <c r="G182" s="100">
        <v>1220</v>
      </c>
      <c r="H182" s="100">
        <v>1220</v>
      </c>
      <c r="I182" s="100">
        <v>1220</v>
      </c>
      <c r="J182" s="119">
        <f t="shared" si="29"/>
        <v>100</v>
      </c>
      <c r="K182" s="120">
        <f t="shared" si="30"/>
        <v>100</v>
      </c>
    </row>
    <row r="183" spans="1:11" ht="12.75">
      <c r="A183" s="107">
        <v>6200</v>
      </c>
      <c r="B183" s="109"/>
      <c r="C183" s="125"/>
      <c r="D183" s="92" t="str">
        <f>(MID(E183,1,3))</f>
        <v>241</v>
      </c>
      <c r="E183" s="98">
        <v>2412</v>
      </c>
      <c r="F183" s="124" t="s">
        <v>235</v>
      </c>
      <c r="G183" s="122">
        <v>8605</v>
      </c>
      <c r="H183" s="122">
        <v>8605</v>
      </c>
      <c r="I183" s="122">
        <v>9271</v>
      </c>
      <c r="J183" s="119">
        <f>IF(G183&lt;=0,0,$I183/G183*100)</f>
        <v>107.73968622893666</v>
      </c>
      <c r="K183" s="120">
        <f>IF(H183&lt;=0,0,$I183/H183*100)</f>
        <v>107.73968622893666</v>
      </c>
    </row>
    <row r="184" spans="1:11" ht="13.5" thickBot="1">
      <c r="A184" s="130"/>
      <c r="B184" s="131"/>
      <c r="C184" s="238"/>
      <c r="D184" s="116" t="s">
        <v>169</v>
      </c>
      <c r="E184" s="131"/>
      <c r="F184" s="239"/>
      <c r="G184" s="158">
        <f>SUBTOTAL(9,G182:G183)</f>
        <v>9825</v>
      </c>
      <c r="H184" s="158">
        <f>SUBTOTAL(9,H182:H183)</f>
        <v>9825</v>
      </c>
      <c r="I184" s="158">
        <f>SUBTOTAL(9,I182:I183)</f>
        <v>10491</v>
      </c>
      <c r="J184" s="159">
        <f t="shared" si="29"/>
        <v>106.77862595419847</v>
      </c>
      <c r="K184" s="240">
        <f t="shared" si="30"/>
        <v>106.77862595419847</v>
      </c>
    </row>
    <row r="185" spans="1:11" ht="8.25" customHeight="1">
      <c r="A185" s="97"/>
      <c r="B185" s="98"/>
      <c r="C185" s="115"/>
      <c r="D185" s="92"/>
      <c r="E185" s="98"/>
      <c r="F185" s="99"/>
      <c r="G185" s="100"/>
      <c r="H185" s="100"/>
      <c r="I185" s="100"/>
      <c r="J185" s="105"/>
      <c r="K185" s="106"/>
    </row>
    <row r="186" spans="1:11" ht="12.75">
      <c r="A186" s="234" t="s">
        <v>261</v>
      </c>
      <c r="B186" s="93"/>
      <c r="C186" s="92"/>
      <c r="D186" s="103"/>
      <c r="E186" s="93"/>
      <c r="F186" s="94"/>
      <c r="G186" s="160"/>
      <c r="H186" s="160"/>
      <c r="I186" s="160"/>
      <c r="J186" s="161">
        <f aca="true" t="shared" si="31" ref="J186:K189">IF(G186&lt;=0,0,$I186/G186*100)</f>
        <v>0</v>
      </c>
      <c r="K186" s="253">
        <f t="shared" si="31"/>
        <v>0</v>
      </c>
    </row>
    <row r="187" spans="1:11" ht="12.75">
      <c r="A187" s="152" t="s">
        <v>262</v>
      </c>
      <c r="B187" s="98"/>
      <c r="C187" s="115"/>
      <c r="D187" s="99">
        <v>242</v>
      </c>
      <c r="E187" s="98">
        <v>2420</v>
      </c>
      <c r="F187" s="99" t="s">
        <v>263</v>
      </c>
      <c r="G187" s="100">
        <v>8000</v>
      </c>
      <c r="H187" s="100">
        <v>3783</v>
      </c>
      <c r="I187" s="100">
        <v>3783</v>
      </c>
      <c r="J187" s="119">
        <f t="shared" si="31"/>
        <v>47.2875</v>
      </c>
      <c r="K187" s="120">
        <f t="shared" si="31"/>
        <v>100</v>
      </c>
    </row>
    <row r="188" spans="1:11" ht="13.5" thickBot="1">
      <c r="A188" s="130"/>
      <c r="B188" s="131"/>
      <c r="C188" s="238"/>
      <c r="D188" s="116" t="s">
        <v>264</v>
      </c>
      <c r="E188" s="131"/>
      <c r="F188" s="239"/>
      <c r="G188" s="158">
        <f>SUBTOTAL(9,G187:G187)</f>
        <v>8000</v>
      </c>
      <c r="H188" s="158">
        <f>SUBTOTAL(9,H187:H187)</f>
        <v>3783</v>
      </c>
      <c r="I188" s="158">
        <f>SUBTOTAL(9,I187:I187)</f>
        <v>3783</v>
      </c>
      <c r="J188" s="159">
        <f t="shared" si="31"/>
        <v>47.2875</v>
      </c>
      <c r="K188" s="240">
        <f t="shared" si="31"/>
        <v>100</v>
      </c>
    </row>
    <row r="189" spans="1:11" ht="10.5" customHeight="1">
      <c r="A189" s="97"/>
      <c r="B189" s="98"/>
      <c r="C189" s="115"/>
      <c r="D189" s="92"/>
      <c r="E189" s="98"/>
      <c r="F189" s="99"/>
      <c r="G189" s="100"/>
      <c r="H189" s="100"/>
      <c r="I189" s="100"/>
      <c r="J189" s="105">
        <f t="shared" si="31"/>
        <v>0</v>
      </c>
      <c r="K189" s="106">
        <f t="shared" si="31"/>
        <v>0</v>
      </c>
    </row>
    <row r="190" spans="1:11" ht="12.75">
      <c r="A190" s="234" t="s">
        <v>192</v>
      </c>
      <c r="B190" s="93"/>
      <c r="C190" s="92"/>
      <c r="D190" s="103"/>
      <c r="E190" s="93"/>
      <c r="F190" s="94"/>
      <c r="G190" s="160"/>
      <c r="H190" s="160"/>
      <c r="I190" s="160"/>
      <c r="J190" s="161">
        <f t="shared" si="29"/>
        <v>0</v>
      </c>
      <c r="K190" s="253">
        <f t="shared" si="30"/>
        <v>0</v>
      </c>
    </row>
    <row r="191" spans="1:11" ht="12.75">
      <c r="A191" s="152" t="s">
        <v>176</v>
      </c>
      <c r="B191" s="98"/>
      <c r="C191" s="115"/>
      <c r="D191" s="115" t="str">
        <f>(MID(E191,1,3))</f>
        <v>244</v>
      </c>
      <c r="E191" s="98">
        <v>2441</v>
      </c>
      <c r="F191" s="99" t="s">
        <v>157</v>
      </c>
      <c r="G191" s="100">
        <v>13541</v>
      </c>
      <c r="H191" s="100">
        <v>13541</v>
      </c>
      <c r="I191" s="100">
        <v>13541</v>
      </c>
      <c r="J191" s="119">
        <f t="shared" si="29"/>
        <v>100</v>
      </c>
      <c r="K191" s="120">
        <f t="shared" si="30"/>
        <v>100</v>
      </c>
    </row>
    <row r="192" spans="1:11" ht="13.5" thickBot="1">
      <c r="A192" s="130"/>
      <c r="B192" s="131"/>
      <c r="C192" s="238"/>
      <c r="D192" s="116" t="s">
        <v>158</v>
      </c>
      <c r="E192" s="131"/>
      <c r="F192" s="239"/>
      <c r="G192" s="158">
        <f>SUBTOTAL(9,G191:G191)</f>
        <v>13541</v>
      </c>
      <c r="H192" s="158">
        <f>SUBTOTAL(9,H191:H191)</f>
        <v>13541</v>
      </c>
      <c r="I192" s="158">
        <f>SUBTOTAL(9,I191:I191)</f>
        <v>13541</v>
      </c>
      <c r="J192" s="159">
        <f t="shared" si="29"/>
        <v>100</v>
      </c>
      <c r="K192" s="240">
        <f t="shared" si="30"/>
        <v>100</v>
      </c>
    </row>
    <row r="193" spans="1:11" ht="11.25" customHeight="1">
      <c r="A193" s="107"/>
      <c r="B193" s="109"/>
      <c r="C193" s="259"/>
      <c r="D193" s="117"/>
      <c r="E193" s="109"/>
      <c r="F193" s="260"/>
      <c r="G193" s="168"/>
      <c r="H193" s="168"/>
      <c r="I193" s="168"/>
      <c r="J193" s="164"/>
      <c r="K193" s="256"/>
    </row>
    <row r="194" spans="1:11" ht="12.75">
      <c r="A194" s="123" t="s">
        <v>223</v>
      </c>
      <c r="B194" s="98"/>
      <c r="C194" s="115"/>
      <c r="D194" s="137"/>
      <c r="E194" s="98"/>
      <c r="F194" s="99"/>
      <c r="G194" s="162"/>
      <c r="H194" s="162"/>
      <c r="I194" s="162"/>
      <c r="J194" s="163">
        <f aca="true" t="shared" si="32" ref="J194:K197">IF(G194&lt;=0,0,$I194/G194*100)</f>
        <v>0</v>
      </c>
      <c r="K194" s="246">
        <f t="shared" si="32"/>
        <v>0</v>
      </c>
    </row>
    <row r="195" spans="1:11" ht="12.75">
      <c r="A195" s="107">
        <v>7100</v>
      </c>
      <c r="B195" s="109"/>
      <c r="C195" s="125"/>
      <c r="D195" s="92" t="str">
        <f>(MID(E195,1,3))</f>
        <v>245</v>
      </c>
      <c r="E195" s="98">
        <v>2451</v>
      </c>
      <c r="F195" s="99" t="s">
        <v>222</v>
      </c>
      <c r="G195" s="122"/>
      <c r="H195" s="122">
        <v>20000</v>
      </c>
      <c r="I195" s="122">
        <v>20000</v>
      </c>
      <c r="J195" s="119">
        <f>IF(G195&lt;=0,0,$I195/G195*100)</f>
        <v>0</v>
      </c>
      <c r="K195" s="120">
        <f>IF(H195&lt;=0,0,$I195/H195*100)</f>
        <v>100</v>
      </c>
    </row>
    <row r="196" spans="1:11" ht="12.75">
      <c r="A196" s="107">
        <v>7300</v>
      </c>
      <c r="B196" s="109"/>
      <c r="C196" s="125"/>
      <c r="D196" s="92" t="str">
        <f>(MID(E196,1,3))</f>
        <v>245</v>
      </c>
      <c r="E196" s="98">
        <v>2451</v>
      </c>
      <c r="F196" s="99" t="s">
        <v>222</v>
      </c>
      <c r="G196" s="122">
        <v>20000</v>
      </c>
      <c r="H196" s="122">
        <v>20000</v>
      </c>
      <c r="I196" s="122">
        <v>20000</v>
      </c>
      <c r="J196" s="119">
        <f t="shared" si="32"/>
        <v>100</v>
      </c>
      <c r="K196" s="120">
        <f t="shared" si="32"/>
        <v>100</v>
      </c>
    </row>
    <row r="197" spans="1:11" ht="13.5" thickBot="1">
      <c r="A197" s="130"/>
      <c r="B197" s="131"/>
      <c r="C197" s="238"/>
      <c r="D197" s="116" t="s">
        <v>226</v>
      </c>
      <c r="E197" s="131"/>
      <c r="F197" s="239"/>
      <c r="G197" s="158">
        <f>SUBTOTAL(9,G195:G196)</f>
        <v>20000</v>
      </c>
      <c r="H197" s="158">
        <f>SUBTOTAL(9,H195:H196)</f>
        <v>40000</v>
      </c>
      <c r="I197" s="158">
        <f>SUBTOTAL(9,I195:I196)</f>
        <v>40000</v>
      </c>
      <c r="J197" s="159">
        <f t="shared" si="32"/>
        <v>200</v>
      </c>
      <c r="K197" s="240">
        <f t="shared" si="32"/>
        <v>100</v>
      </c>
    </row>
    <row r="198" spans="1:11" ht="10.5" customHeight="1">
      <c r="A198" s="107"/>
      <c r="B198" s="109"/>
      <c r="C198" s="259"/>
      <c r="D198" s="117"/>
      <c r="E198" s="109"/>
      <c r="F198" s="260"/>
      <c r="G198" s="168"/>
      <c r="H198" s="168"/>
      <c r="I198" s="168"/>
      <c r="J198" s="164">
        <f t="shared" si="29"/>
        <v>0</v>
      </c>
      <c r="K198" s="256">
        <f t="shared" si="30"/>
        <v>0</v>
      </c>
    </row>
    <row r="199" spans="1:11" ht="12.75">
      <c r="A199" s="123" t="s">
        <v>159</v>
      </c>
      <c r="B199" s="126"/>
      <c r="C199" s="127"/>
      <c r="D199" s="137"/>
      <c r="E199" s="98"/>
      <c r="F199" s="99"/>
      <c r="G199" s="162"/>
      <c r="H199" s="162"/>
      <c r="I199" s="162"/>
      <c r="J199" s="163">
        <f t="shared" si="29"/>
        <v>0</v>
      </c>
      <c r="K199" s="246">
        <f t="shared" si="30"/>
        <v>0</v>
      </c>
    </row>
    <row r="200" spans="1:11" ht="12.75">
      <c r="A200" s="149" t="s">
        <v>176</v>
      </c>
      <c r="B200" s="98"/>
      <c r="C200" s="115"/>
      <c r="D200" s="92" t="str">
        <f>(MID(E200,1,3))</f>
        <v>246</v>
      </c>
      <c r="E200" s="98">
        <v>2460</v>
      </c>
      <c r="F200" s="99" t="s">
        <v>159</v>
      </c>
      <c r="G200" s="100">
        <v>13470</v>
      </c>
      <c r="H200" s="100">
        <v>13470</v>
      </c>
      <c r="I200" s="100">
        <v>16740</v>
      </c>
      <c r="J200" s="119">
        <f t="shared" si="29"/>
        <v>124.2761692650334</v>
      </c>
      <c r="K200" s="120">
        <f t="shared" si="30"/>
        <v>124.2761692650334</v>
      </c>
    </row>
    <row r="201" spans="1:11" ht="12.75">
      <c r="A201" s="140">
        <v>7200</v>
      </c>
      <c r="B201" s="141"/>
      <c r="C201" s="261"/>
      <c r="D201" s="92" t="str">
        <f>(MID(E201,1,3))</f>
        <v>246</v>
      </c>
      <c r="E201" s="141">
        <v>2460</v>
      </c>
      <c r="F201" s="99" t="s">
        <v>159</v>
      </c>
      <c r="G201" s="104">
        <v>500</v>
      </c>
      <c r="H201" s="104">
        <v>500</v>
      </c>
      <c r="I201" s="104">
        <v>388</v>
      </c>
      <c r="J201" s="105">
        <f t="shared" si="29"/>
        <v>77.60000000000001</v>
      </c>
      <c r="K201" s="106">
        <f t="shared" si="30"/>
        <v>77.60000000000001</v>
      </c>
    </row>
    <row r="202" spans="1:11" ht="13.5" thickBot="1">
      <c r="A202" s="130"/>
      <c r="B202" s="131"/>
      <c r="C202" s="238"/>
      <c r="D202" s="116" t="s">
        <v>160</v>
      </c>
      <c r="E202" s="131"/>
      <c r="F202" s="239"/>
      <c r="G202" s="158">
        <f>SUBTOTAL(9,G200:G201)</f>
        <v>13970</v>
      </c>
      <c r="H202" s="158">
        <f>SUBTOTAL(9,H200:H201)</f>
        <v>13970</v>
      </c>
      <c r="I202" s="158">
        <f>SUBTOTAL(9,I200:I201)</f>
        <v>17128</v>
      </c>
      <c r="J202" s="159">
        <f t="shared" si="29"/>
        <v>122.60558339298497</v>
      </c>
      <c r="K202" s="240">
        <f t="shared" si="30"/>
        <v>122.60558339298497</v>
      </c>
    </row>
    <row r="203" spans="1:11" ht="15" thickBot="1">
      <c r="A203" s="214"/>
      <c r="B203" s="215"/>
      <c r="C203" s="216"/>
      <c r="D203" s="136" t="s">
        <v>161</v>
      </c>
      <c r="E203" s="215"/>
      <c r="F203" s="217"/>
      <c r="G203" s="262">
        <f>SUBTOTAL(9,G3:G202)</f>
        <v>482328</v>
      </c>
      <c r="H203" s="262">
        <f>SUBTOTAL(9,H3:H202)</f>
        <v>530981</v>
      </c>
      <c r="I203" s="262">
        <f>SUBTOTAL(9,I3:I202)</f>
        <v>577100</v>
      </c>
      <c r="J203" s="169">
        <f t="shared" si="29"/>
        <v>119.64886964886965</v>
      </c>
      <c r="K203" s="263">
        <f t="shared" si="30"/>
        <v>108.68562151941406</v>
      </c>
    </row>
  </sheetData>
  <sheetProtection/>
  <printOptions horizontalCentered="1"/>
  <pageMargins left="0.5905511811023623" right="0.5905511811023623" top="0.7874015748031497" bottom="0.5905511811023623" header="0.4724409448818898" footer="0.5118110236220472"/>
  <pageSetup fitToHeight="4" horizontalDpi="600" verticalDpi="600" orientation="landscape" paperSize="9" scale="81" r:id="rId1"/>
  <headerFooter alignWithMargins="0">
    <oddHeader>&amp;C&amp;"Times New Roman,Tučné"&amp;14Plnění rozpočtu nedaňových příjmů města k 31.12.2013 (v tis. Kč)</oddHeader>
  </headerFooter>
  <rowBreaks count="1" manualBreakCount="1">
    <brk id="9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Zeros="0" zoomScaleSheetLayoutView="7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625" style="193" customWidth="1"/>
    <col min="2" max="2" width="5.625" style="195" customWidth="1"/>
    <col min="3" max="3" width="31.375" style="194" customWidth="1"/>
    <col min="4" max="4" width="7.25390625" style="194" bestFit="1" customWidth="1"/>
    <col min="5" max="5" width="5.625" style="195" customWidth="1"/>
    <col min="6" max="6" width="37.75390625" style="196" customWidth="1"/>
    <col min="7" max="7" width="13.375" style="170" customWidth="1"/>
    <col min="8" max="8" width="13.625" style="170" customWidth="1"/>
    <col min="9" max="9" width="15.25390625" style="170" customWidth="1"/>
    <col min="10" max="11" width="8.125" style="171" bestFit="1" customWidth="1"/>
    <col min="12" max="16384" width="9.125" style="139" customWidth="1"/>
  </cols>
  <sheetData>
    <row r="1" spans="1:11" ht="13.5" thickBot="1">
      <c r="A1" s="197"/>
      <c r="B1" s="198"/>
      <c r="C1" s="199"/>
      <c r="D1" s="199"/>
      <c r="E1" s="198"/>
      <c r="F1" s="200"/>
      <c r="G1" s="201"/>
      <c r="H1" s="201"/>
      <c r="I1" s="201"/>
      <c r="J1" s="202"/>
      <c r="K1" s="202"/>
    </row>
    <row r="2" spans="1:11" s="181" customFormat="1" ht="13.5" thickBot="1">
      <c r="A2" s="271" t="s">
        <v>251</v>
      </c>
      <c r="B2" s="179" t="s">
        <v>0</v>
      </c>
      <c r="C2" s="178" t="s">
        <v>125</v>
      </c>
      <c r="D2" s="178" t="s">
        <v>102</v>
      </c>
      <c r="E2" s="179" t="s">
        <v>103</v>
      </c>
      <c r="F2" s="178" t="s">
        <v>104</v>
      </c>
      <c r="G2" s="154" t="s">
        <v>265</v>
      </c>
      <c r="H2" s="203" t="s">
        <v>306</v>
      </c>
      <c r="I2" s="203" t="s">
        <v>307</v>
      </c>
      <c r="J2" s="155" t="s">
        <v>105</v>
      </c>
      <c r="K2" s="180" t="s">
        <v>106</v>
      </c>
    </row>
    <row r="3" spans="1:11" s="181" customFormat="1" ht="12.75">
      <c r="A3" s="204" t="s">
        <v>173</v>
      </c>
      <c r="B3" s="205"/>
      <c r="C3" s="206"/>
      <c r="D3" s="206"/>
      <c r="E3" s="205"/>
      <c r="F3" s="206"/>
      <c r="G3" s="207"/>
      <c r="H3" s="207"/>
      <c r="I3" s="207"/>
      <c r="J3" s="208"/>
      <c r="K3" s="209"/>
    </row>
    <row r="4" spans="1:11" ht="12.75">
      <c r="A4" s="152" t="s">
        <v>299</v>
      </c>
      <c r="B4" s="148">
        <v>2219</v>
      </c>
      <c r="C4" s="12" t="s">
        <v>270</v>
      </c>
      <c r="D4" s="115" t="str">
        <f aca="true" t="shared" si="0" ref="D4:D13">(MID(E4,1,3))</f>
        <v>311</v>
      </c>
      <c r="E4" s="141">
        <v>3111</v>
      </c>
      <c r="F4" s="186" t="s">
        <v>162</v>
      </c>
      <c r="G4" s="121"/>
      <c r="H4" s="121"/>
      <c r="I4" s="121">
        <v>176</v>
      </c>
      <c r="J4" s="119">
        <f>IF(G4&lt;=0,0,$I4/G4*100)</f>
        <v>0</v>
      </c>
      <c r="K4" s="144">
        <f>IF(H4&lt;=0,0,$I4/H4*100)</f>
        <v>0</v>
      </c>
    </row>
    <row r="5" spans="1:11" ht="12.75">
      <c r="A5" s="152" t="s">
        <v>300</v>
      </c>
      <c r="B5" s="148">
        <v>2212</v>
      </c>
      <c r="C5" s="210" t="s">
        <v>19</v>
      </c>
      <c r="D5" s="115" t="str">
        <f t="shared" si="0"/>
        <v>311</v>
      </c>
      <c r="E5" s="141">
        <v>3111</v>
      </c>
      <c r="F5" s="186" t="s">
        <v>162</v>
      </c>
      <c r="G5" s="121"/>
      <c r="H5" s="121"/>
      <c r="I5" s="121">
        <v>2000</v>
      </c>
      <c r="J5" s="119"/>
      <c r="K5" s="144"/>
    </row>
    <row r="6" spans="1:11" ht="12.75">
      <c r="A6" s="152" t="s">
        <v>300</v>
      </c>
      <c r="B6" s="148">
        <v>2329</v>
      </c>
      <c r="C6" s="47" t="s">
        <v>21</v>
      </c>
      <c r="D6" s="115" t="str">
        <f t="shared" si="0"/>
        <v>311</v>
      </c>
      <c r="E6" s="141">
        <v>3111</v>
      </c>
      <c r="F6" s="186" t="s">
        <v>162</v>
      </c>
      <c r="G6" s="121"/>
      <c r="H6" s="121"/>
      <c r="I6" s="121">
        <v>1361</v>
      </c>
      <c r="J6" s="119"/>
      <c r="K6" s="144"/>
    </row>
    <row r="7" spans="1:11" ht="12.75">
      <c r="A7" s="152" t="s">
        <v>176</v>
      </c>
      <c r="B7" s="148">
        <v>3612</v>
      </c>
      <c r="C7" s="210" t="s">
        <v>12</v>
      </c>
      <c r="D7" s="115" t="str">
        <f t="shared" si="0"/>
        <v>311</v>
      </c>
      <c r="E7" s="141">
        <v>3111</v>
      </c>
      <c r="F7" s="186" t="s">
        <v>162</v>
      </c>
      <c r="G7" s="121"/>
      <c r="H7" s="121"/>
      <c r="I7" s="121">
        <v>9968</v>
      </c>
      <c r="J7" s="119">
        <f>IF(G7&lt;=0,0,$I7/G7*100)</f>
        <v>0</v>
      </c>
      <c r="K7" s="144">
        <f>IF(H7&lt;=0,0,$I7/H7*100)</f>
        <v>0</v>
      </c>
    </row>
    <row r="8" spans="1:11" ht="12.75">
      <c r="A8" s="140">
        <v>6300</v>
      </c>
      <c r="B8" s="141">
        <v>3639</v>
      </c>
      <c r="C8" s="142" t="s">
        <v>128</v>
      </c>
      <c r="D8" s="115" t="str">
        <f t="shared" si="0"/>
        <v>311</v>
      </c>
      <c r="E8" s="141">
        <v>3111</v>
      </c>
      <c r="F8" s="186" t="s">
        <v>162</v>
      </c>
      <c r="G8" s="104">
        <v>184000</v>
      </c>
      <c r="H8" s="104">
        <v>184000</v>
      </c>
      <c r="I8" s="104">
        <v>148170</v>
      </c>
      <c r="J8" s="119">
        <f aca="true" t="shared" si="1" ref="J8:K10">IF(G8&lt;=0,0,$I8/G8*100)</f>
        <v>80.52717391304348</v>
      </c>
      <c r="K8" s="144">
        <f t="shared" si="1"/>
        <v>80.52717391304348</v>
      </c>
    </row>
    <row r="9" spans="1:11" ht="12.75">
      <c r="A9" s="140">
        <v>4300</v>
      </c>
      <c r="B9" s="141">
        <v>3639</v>
      </c>
      <c r="C9" s="142" t="s">
        <v>128</v>
      </c>
      <c r="D9" s="115" t="str">
        <f t="shared" si="0"/>
        <v>311</v>
      </c>
      <c r="E9" s="148">
        <v>3112</v>
      </c>
      <c r="F9" s="12" t="s">
        <v>163</v>
      </c>
      <c r="G9" s="104"/>
      <c r="H9" s="104">
        <v>1460</v>
      </c>
      <c r="I9" s="104">
        <v>2129</v>
      </c>
      <c r="J9" s="119">
        <f>IF(G9&lt;=0,0,$I9/G9*100)</f>
        <v>0</v>
      </c>
      <c r="K9" s="144">
        <f>IF(H9&lt;=0,0,$I9/H9*100)</f>
        <v>145.82191780821918</v>
      </c>
    </row>
    <row r="10" spans="1:11" ht="12.75">
      <c r="A10" s="152" t="s">
        <v>176</v>
      </c>
      <c r="B10" s="148">
        <v>3612</v>
      </c>
      <c r="C10" s="210" t="s">
        <v>12</v>
      </c>
      <c r="D10" s="115" t="str">
        <f t="shared" si="0"/>
        <v>311</v>
      </c>
      <c r="E10" s="148">
        <v>3112</v>
      </c>
      <c r="F10" s="12" t="s">
        <v>163</v>
      </c>
      <c r="G10" s="121">
        <v>600000</v>
      </c>
      <c r="H10" s="121">
        <v>600000</v>
      </c>
      <c r="I10" s="121">
        <v>645113</v>
      </c>
      <c r="J10" s="119">
        <f t="shared" si="1"/>
        <v>107.51883333333335</v>
      </c>
      <c r="K10" s="144">
        <f t="shared" si="1"/>
        <v>107.51883333333335</v>
      </c>
    </row>
    <row r="11" spans="1:11" ht="12.75">
      <c r="A11" s="140">
        <v>6300</v>
      </c>
      <c r="B11" s="141">
        <v>3639</v>
      </c>
      <c r="C11" s="142" t="s">
        <v>128</v>
      </c>
      <c r="D11" s="115" t="str">
        <f t="shared" si="0"/>
        <v>311</v>
      </c>
      <c r="E11" s="141">
        <v>3112</v>
      </c>
      <c r="F11" s="12" t="s">
        <v>163</v>
      </c>
      <c r="G11" s="128">
        <v>23500</v>
      </c>
      <c r="H11" s="128">
        <v>29135</v>
      </c>
      <c r="I11" s="128">
        <v>101002</v>
      </c>
      <c r="J11" s="119">
        <f aca="true" t="shared" si="2" ref="J11:K14">IF(G11&lt;=0,0,$I11/G11*100)</f>
        <v>429.79574468085104</v>
      </c>
      <c r="K11" s="144">
        <f t="shared" si="2"/>
        <v>346.6689548652823</v>
      </c>
    </row>
    <row r="12" spans="1:11" ht="12.75">
      <c r="A12" s="140">
        <v>6300</v>
      </c>
      <c r="B12" s="141">
        <v>3639</v>
      </c>
      <c r="C12" s="142" t="s">
        <v>128</v>
      </c>
      <c r="D12" s="115" t="str">
        <f>(MID(E12,1,3))</f>
        <v>311</v>
      </c>
      <c r="E12" s="212">
        <v>3113</v>
      </c>
      <c r="F12" s="186" t="s">
        <v>164</v>
      </c>
      <c r="G12" s="128"/>
      <c r="H12" s="128"/>
      <c r="I12" s="128">
        <v>4</v>
      </c>
      <c r="J12" s="229"/>
      <c r="K12" s="144"/>
    </row>
    <row r="13" spans="1:11" ht="12.75">
      <c r="A13" s="211">
        <v>8200</v>
      </c>
      <c r="B13" s="212">
        <v>5311</v>
      </c>
      <c r="C13" s="142" t="s">
        <v>90</v>
      </c>
      <c r="D13" s="172" t="str">
        <f t="shared" si="0"/>
        <v>311</v>
      </c>
      <c r="E13" s="212">
        <v>3113</v>
      </c>
      <c r="F13" s="186" t="s">
        <v>164</v>
      </c>
      <c r="G13" s="128">
        <v>80</v>
      </c>
      <c r="H13" s="128">
        <v>257</v>
      </c>
      <c r="I13" s="128">
        <v>258</v>
      </c>
      <c r="J13" s="165">
        <f t="shared" si="2"/>
        <v>322.5</v>
      </c>
      <c r="K13" s="144">
        <f t="shared" si="2"/>
        <v>100.38910505836576</v>
      </c>
    </row>
    <row r="14" spans="1:11" ht="13.5" thickBot="1">
      <c r="A14" s="273"/>
      <c r="B14" s="274"/>
      <c r="C14" s="275"/>
      <c r="D14" s="116" t="s">
        <v>165</v>
      </c>
      <c r="E14" s="274"/>
      <c r="F14" s="276"/>
      <c r="G14" s="277">
        <f>SUBTOTAL(9,G4:G13)</f>
        <v>807580</v>
      </c>
      <c r="H14" s="277">
        <f>SUBTOTAL(9,H4:H13)</f>
        <v>814852</v>
      </c>
      <c r="I14" s="277">
        <f>SUBTOTAL(9,I4:I13)</f>
        <v>910181</v>
      </c>
      <c r="J14" s="166">
        <f t="shared" si="2"/>
        <v>112.70474751727384</v>
      </c>
      <c r="K14" s="213">
        <f t="shared" si="2"/>
        <v>111.698934284999</v>
      </c>
    </row>
    <row r="15" spans="1:11" ht="14.25">
      <c r="A15" s="278"/>
      <c r="B15" s="279"/>
      <c r="C15" s="280"/>
      <c r="D15" s="281"/>
      <c r="E15" s="279"/>
      <c r="F15" s="282"/>
      <c r="G15" s="283"/>
      <c r="H15" s="283"/>
      <c r="I15" s="283"/>
      <c r="J15" s="284"/>
      <c r="K15" s="285"/>
    </row>
    <row r="16" spans="1:11" s="181" customFormat="1" ht="12.75">
      <c r="A16" s="123" t="s">
        <v>278</v>
      </c>
      <c r="B16" s="286"/>
      <c r="C16" s="287"/>
      <c r="D16" s="115"/>
      <c r="E16" s="286"/>
      <c r="F16" s="287"/>
      <c r="G16" s="288"/>
      <c r="H16" s="288"/>
      <c r="I16" s="288"/>
      <c r="J16" s="289"/>
      <c r="K16" s="290"/>
    </row>
    <row r="17" spans="1:11" ht="12.75">
      <c r="A17" s="140">
        <v>6300</v>
      </c>
      <c r="B17" s="141">
        <v>3639</v>
      </c>
      <c r="C17" s="293" t="s">
        <v>128</v>
      </c>
      <c r="D17" s="172" t="str">
        <f>(MID(E17,1,3))</f>
        <v>312</v>
      </c>
      <c r="E17" s="212">
        <v>3121</v>
      </c>
      <c r="F17" s="294" t="s">
        <v>272</v>
      </c>
      <c r="G17" s="128"/>
      <c r="H17" s="104"/>
      <c r="I17" s="104">
        <v>750</v>
      </c>
      <c r="J17" s="119">
        <f aca="true" t="shared" si="3" ref="J17:K19">IF(G17&lt;=0,0,$I17/G17*100)</f>
        <v>0</v>
      </c>
      <c r="K17" s="144">
        <f t="shared" si="3"/>
        <v>0</v>
      </c>
    </row>
    <row r="18" spans="1:11" ht="12.75">
      <c r="A18" s="140">
        <v>7300</v>
      </c>
      <c r="B18" s="141">
        <v>3319</v>
      </c>
      <c r="C18" s="142" t="s">
        <v>49</v>
      </c>
      <c r="D18" s="115" t="str">
        <f>(MID(E18,1,3))</f>
        <v>312</v>
      </c>
      <c r="E18" s="141">
        <v>3122</v>
      </c>
      <c r="F18" s="186" t="s">
        <v>304</v>
      </c>
      <c r="G18" s="104"/>
      <c r="H18" s="104">
        <v>1399</v>
      </c>
      <c r="I18" s="104">
        <v>1399</v>
      </c>
      <c r="J18" s="119">
        <f t="shared" si="3"/>
        <v>0</v>
      </c>
      <c r="K18" s="144">
        <f t="shared" si="3"/>
        <v>100</v>
      </c>
    </row>
    <row r="19" spans="1:11" ht="13.5" thickBot="1">
      <c r="A19" s="273"/>
      <c r="B19" s="274"/>
      <c r="C19" s="275"/>
      <c r="D19" s="116" t="s">
        <v>277</v>
      </c>
      <c r="E19" s="274"/>
      <c r="F19" s="276"/>
      <c r="G19" s="277">
        <f>SUBTOTAL(9,G17:G18)</f>
        <v>0</v>
      </c>
      <c r="H19" s="277">
        <f>SUBTOTAL(9,H17:H18)</f>
        <v>1399</v>
      </c>
      <c r="I19" s="277">
        <f>SUBTOTAL(9,I17:I18)</f>
        <v>2149</v>
      </c>
      <c r="J19" s="166">
        <f t="shared" si="3"/>
        <v>0</v>
      </c>
      <c r="K19" s="213">
        <f t="shared" si="3"/>
        <v>153.6097212294496</v>
      </c>
    </row>
    <row r="20" spans="1:11" ht="14.25">
      <c r="A20" s="278"/>
      <c r="B20" s="279"/>
      <c r="C20" s="280"/>
      <c r="D20" s="281"/>
      <c r="E20" s="279"/>
      <c r="F20" s="282"/>
      <c r="G20" s="283"/>
      <c r="H20" s="283"/>
      <c r="I20" s="283"/>
      <c r="J20" s="284"/>
      <c r="K20" s="285"/>
    </row>
    <row r="21" spans="1:11" ht="12.75">
      <c r="A21" s="301" t="s">
        <v>296</v>
      </c>
      <c r="B21" s="141"/>
      <c r="C21" s="142"/>
      <c r="D21" s="302"/>
      <c r="E21" s="141"/>
      <c r="F21" s="186"/>
      <c r="G21" s="303"/>
      <c r="H21" s="303"/>
      <c r="I21" s="303"/>
      <c r="J21" s="304"/>
      <c r="K21" s="305"/>
    </row>
    <row r="22" spans="1:11" ht="12.75">
      <c r="A22" s="140">
        <v>1700</v>
      </c>
      <c r="B22" s="141">
        <v>6171</v>
      </c>
      <c r="C22" s="115" t="s">
        <v>9</v>
      </c>
      <c r="D22" s="115" t="str">
        <f>(MID(E22,1,3))</f>
        <v>320</v>
      </c>
      <c r="E22" s="141">
        <v>3201</v>
      </c>
      <c r="F22" s="12" t="s">
        <v>297</v>
      </c>
      <c r="G22" s="104"/>
      <c r="H22" s="104"/>
      <c r="I22" s="104">
        <v>94</v>
      </c>
      <c r="J22" s="119">
        <f aca="true" t="shared" si="4" ref="J22:K24">IF(G22&lt;=0,0,$I22/G22*100)</f>
        <v>0</v>
      </c>
      <c r="K22" s="144">
        <f t="shared" si="4"/>
        <v>0</v>
      </c>
    </row>
    <row r="23" spans="1:11" ht="13.5" thickBot="1">
      <c r="A23" s="211"/>
      <c r="B23" s="212"/>
      <c r="C23" s="293"/>
      <c r="D23" s="310" t="s">
        <v>298</v>
      </c>
      <c r="E23" s="212"/>
      <c r="F23" s="294"/>
      <c r="G23" s="311">
        <f>SUBTOTAL(9,G22:G22)</f>
        <v>0</v>
      </c>
      <c r="H23" s="311">
        <f>SUBTOTAL(9,H22:H22)</f>
        <v>0</v>
      </c>
      <c r="I23" s="311">
        <f>SUBTOTAL(9,I22:I22)</f>
        <v>94</v>
      </c>
      <c r="J23" s="312">
        <f t="shared" si="4"/>
        <v>0</v>
      </c>
      <c r="K23" s="313">
        <f t="shared" si="4"/>
        <v>0</v>
      </c>
    </row>
    <row r="24" spans="1:11" ht="13.5" thickBot="1">
      <c r="A24" s="214"/>
      <c r="B24" s="215"/>
      <c r="C24" s="216"/>
      <c r="D24" s="314" t="s">
        <v>166</v>
      </c>
      <c r="E24" s="215"/>
      <c r="F24" s="217"/>
      <c r="G24" s="315">
        <f>SUBTOTAL(9,G4:G23)</f>
        <v>807580</v>
      </c>
      <c r="H24" s="315">
        <f>SUBTOTAL(9,H4:H23)</f>
        <v>816251</v>
      </c>
      <c r="I24" s="315">
        <f>SUBTOTAL(9,I4:I23)</f>
        <v>912424</v>
      </c>
      <c r="J24" s="316">
        <f t="shared" si="4"/>
        <v>112.98249089873448</v>
      </c>
      <c r="K24" s="317">
        <f t="shared" si="4"/>
        <v>111.78228265570272</v>
      </c>
    </row>
  </sheetData>
  <sheetProtection/>
  <printOptions horizontalCentered="1"/>
  <pageMargins left="0.5905511811023623" right="0.5905511811023623" top="1.1811023622047245" bottom="0.7086614173228347" header="0.8267716535433072" footer="0.5118110236220472"/>
  <pageSetup fitToHeight="1" fitToWidth="1" horizontalDpi="600" verticalDpi="600" orientation="landscape" paperSize="9" scale="90" r:id="rId1"/>
  <headerFooter alignWithMargins="0">
    <oddHeader>&amp;C&amp;"Times New Roman,Tučné"&amp;14Plnění rozpočtu kapitálových příjmů města k 31.12.2013 (v tis. Kč)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SheetLayoutView="75" zoomScalePageLayoutView="0" workbookViewId="0" topLeftCell="A1">
      <pane xSplit="4" ySplit="2" topLeftCell="E3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D38" sqref="D38"/>
    </sheetView>
  </sheetViews>
  <sheetFormatPr defaultColWidth="9.00390625" defaultRowHeight="12.75"/>
  <cols>
    <col min="1" max="1" width="5.375" style="193" customWidth="1"/>
    <col min="2" max="2" width="7.25390625" style="194" bestFit="1" customWidth="1"/>
    <col min="3" max="3" width="4.75390625" style="195" customWidth="1"/>
    <col min="4" max="4" width="44.625" style="196" customWidth="1"/>
    <col min="5" max="5" width="15.125" style="170" customWidth="1"/>
    <col min="6" max="6" width="15.00390625" style="170" customWidth="1"/>
    <col min="7" max="7" width="15.875" style="170" customWidth="1"/>
    <col min="8" max="8" width="8.125" style="171" customWidth="1"/>
    <col min="9" max="9" width="8.125" style="171" bestFit="1" customWidth="1"/>
    <col min="10" max="16384" width="9.125" style="139" customWidth="1"/>
  </cols>
  <sheetData>
    <row r="1" spans="1:9" ht="13.5" thickBot="1">
      <c r="A1" s="197"/>
      <c r="B1" s="199"/>
      <c r="C1" s="198"/>
      <c r="D1" s="200"/>
      <c r="E1" s="201"/>
      <c r="F1" s="201"/>
      <c r="G1" s="201"/>
      <c r="H1" s="202"/>
      <c r="I1" s="202"/>
    </row>
    <row r="2" spans="1:9" s="181" customFormat="1" ht="13.5" thickBot="1">
      <c r="A2" s="271" t="s">
        <v>251</v>
      </c>
      <c r="B2" s="178" t="s">
        <v>102</v>
      </c>
      <c r="C2" s="179" t="s">
        <v>103</v>
      </c>
      <c r="D2" s="178" t="s">
        <v>104</v>
      </c>
      <c r="E2" s="154" t="s">
        <v>265</v>
      </c>
      <c r="F2" s="154" t="s">
        <v>306</v>
      </c>
      <c r="G2" s="154" t="s">
        <v>307</v>
      </c>
      <c r="H2" s="155" t="s">
        <v>105</v>
      </c>
      <c r="I2" s="180" t="s">
        <v>106</v>
      </c>
    </row>
    <row r="3" spans="1:9" s="181" customFormat="1" ht="12.75">
      <c r="A3" s="97">
        <v>1700</v>
      </c>
      <c r="B3" s="125" t="str">
        <f aca="true" t="shared" si="0" ref="B3:B13">(MID(C3,1,2))</f>
        <v>41</v>
      </c>
      <c r="C3" s="98">
        <v>4111</v>
      </c>
      <c r="D3" s="99" t="s">
        <v>186</v>
      </c>
      <c r="E3" s="100"/>
      <c r="F3" s="100">
        <v>218</v>
      </c>
      <c r="G3" s="100">
        <v>218</v>
      </c>
      <c r="H3" s="119">
        <f>IF(E3&lt;=0,0,$G3/E3*100)</f>
        <v>0</v>
      </c>
      <c r="I3" s="120">
        <f>IF(F3&lt;=0,0,$G3/F3*100)</f>
        <v>100</v>
      </c>
    </row>
    <row r="4" spans="1:9" ht="12.75">
      <c r="A4" s="97">
        <v>1700</v>
      </c>
      <c r="B4" s="125" t="str">
        <f t="shared" si="0"/>
        <v>41</v>
      </c>
      <c r="C4" s="98">
        <v>4112</v>
      </c>
      <c r="D4" s="99" t="s">
        <v>187</v>
      </c>
      <c r="E4" s="100">
        <v>131899</v>
      </c>
      <c r="F4" s="100">
        <v>131899</v>
      </c>
      <c r="G4" s="100">
        <v>131899</v>
      </c>
      <c r="H4" s="119">
        <f>IF(E4&lt;=0,0,$G4/E4*100)</f>
        <v>100</v>
      </c>
      <c r="I4" s="120">
        <f>IF(F4&lt;=0,0,$G4/F4*100)</f>
        <v>100</v>
      </c>
    </row>
    <row r="5" spans="1:9" ht="12.75">
      <c r="A5" s="97">
        <v>1700</v>
      </c>
      <c r="B5" s="125" t="str">
        <f t="shared" si="0"/>
        <v>41</v>
      </c>
      <c r="C5" s="98">
        <v>4113</v>
      </c>
      <c r="D5" s="99" t="s">
        <v>288</v>
      </c>
      <c r="E5" s="100"/>
      <c r="F5" s="100">
        <v>368</v>
      </c>
      <c r="G5" s="100">
        <v>661</v>
      </c>
      <c r="H5" s="119"/>
      <c r="I5" s="120">
        <f aca="true" t="shared" si="1" ref="I5:I21">IF(F5&lt;=0,0,$G5/F5*100)</f>
        <v>179.6195652173913</v>
      </c>
    </row>
    <row r="6" spans="1:9" ht="12.75">
      <c r="A6" s="97">
        <v>1700</v>
      </c>
      <c r="B6" s="125" t="str">
        <f t="shared" si="0"/>
        <v>41</v>
      </c>
      <c r="C6" s="98">
        <v>4116</v>
      </c>
      <c r="D6" s="99" t="s">
        <v>188</v>
      </c>
      <c r="E6" s="100"/>
      <c r="F6" s="100">
        <v>46618</v>
      </c>
      <c r="G6" s="100">
        <v>46618</v>
      </c>
      <c r="H6" s="119">
        <f aca="true" t="shared" si="2" ref="H6:H21">IF(E6&lt;=0,0,$G6/E6*100)</f>
        <v>0</v>
      </c>
      <c r="I6" s="120">
        <f t="shared" si="1"/>
        <v>100</v>
      </c>
    </row>
    <row r="7" spans="1:9" ht="12.75">
      <c r="A7" s="97">
        <v>7400</v>
      </c>
      <c r="B7" s="125" t="str">
        <f t="shared" si="0"/>
        <v>41</v>
      </c>
      <c r="C7" s="98">
        <v>4116</v>
      </c>
      <c r="D7" s="99" t="s">
        <v>188</v>
      </c>
      <c r="E7" s="100"/>
      <c r="F7" s="100">
        <v>16358</v>
      </c>
      <c r="G7" s="100">
        <v>16358</v>
      </c>
      <c r="H7" s="119">
        <f t="shared" si="2"/>
        <v>0</v>
      </c>
      <c r="I7" s="120">
        <f t="shared" si="1"/>
        <v>100</v>
      </c>
    </row>
    <row r="8" spans="1:9" ht="12.75">
      <c r="A8" s="97">
        <v>1700</v>
      </c>
      <c r="B8" s="125" t="str">
        <f t="shared" si="0"/>
        <v>41</v>
      </c>
      <c r="C8" s="98">
        <v>4119</v>
      </c>
      <c r="D8" s="99" t="s">
        <v>287</v>
      </c>
      <c r="E8" s="100"/>
      <c r="F8" s="100">
        <v>63</v>
      </c>
      <c r="G8" s="100">
        <v>63</v>
      </c>
      <c r="H8" s="119">
        <f t="shared" si="2"/>
        <v>0</v>
      </c>
      <c r="I8" s="120">
        <f t="shared" si="1"/>
        <v>100</v>
      </c>
    </row>
    <row r="9" spans="1:9" ht="12.75">
      <c r="A9" s="97">
        <v>1700</v>
      </c>
      <c r="B9" s="125" t="str">
        <f>(MID(C9,1,2))</f>
        <v>41</v>
      </c>
      <c r="C9" s="98">
        <v>4121</v>
      </c>
      <c r="D9" s="99" t="s">
        <v>301</v>
      </c>
      <c r="E9" s="100"/>
      <c r="F9" s="100">
        <v>1396</v>
      </c>
      <c r="G9" s="100">
        <v>1396</v>
      </c>
      <c r="H9" s="119">
        <f>IF(E9&lt;=0,0,$G9/E9*100)</f>
        <v>0</v>
      </c>
      <c r="I9" s="120">
        <f>IF(F9&lt;=0,0,$G9/F9*100)</f>
        <v>100</v>
      </c>
    </row>
    <row r="10" spans="1:9" ht="12.75">
      <c r="A10" s="97">
        <v>8200</v>
      </c>
      <c r="B10" s="125" t="str">
        <f t="shared" si="0"/>
        <v>41</v>
      </c>
      <c r="C10" s="98">
        <v>4121</v>
      </c>
      <c r="D10" s="99" t="s">
        <v>189</v>
      </c>
      <c r="E10" s="100">
        <v>30</v>
      </c>
      <c r="F10" s="100">
        <v>30</v>
      </c>
      <c r="G10" s="100">
        <v>21</v>
      </c>
      <c r="H10" s="119">
        <f t="shared" si="2"/>
        <v>70</v>
      </c>
      <c r="I10" s="120">
        <f t="shared" si="1"/>
        <v>70</v>
      </c>
    </row>
    <row r="11" spans="1:9" ht="12.75">
      <c r="A11" s="97">
        <v>1700</v>
      </c>
      <c r="B11" s="125" t="str">
        <f t="shared" si="0"/>
        <v>41</v>
      </c>
      <c r="C11" s="98">
        <v>4122</v>
      </c>
      <c r="D11" s="99" t="s">
        <v>190</v>
      </c>
      <c r="E11" s="104"/>
      <c r="F11" s="104">
        <v>13494</v>
      </c>
      <c r="G11" s="104">
        <v>13494</v>
      </c>
      <c r="H11" s="119">
        <f t="shared" si="2"/>
        <v>0</v>
      </c>
      <c r="I11" s="120">
        <f t="shared" si="1"/>
        <v>100</v>
      </c>
    </row>
    <row r="12" spans="1:9" ht="12.75">
      <c r="A12" s="97">
        <v>7400</v>
      </c>
      <c r="B12" s="125" t="str">
        <f t="shared" si="0"/>
        <v>41</v>
      </c>
      <c r="C12" s="98">
        <v>4122</v>
      </c>
      <c r="D12" s="99" t="s">
        <v>190</v>
      </c>
      <c r="E12" s="104"/>
      <c r="F12" s="104">
        <v>26587</v>
      </c>
      <c r="G12" s="104">
        <v>26587</v>
      </c>
      <c r="H12" s="119">
        <f t="shared" si="2"/>
        <v>0</v>
      </c>
      <c r="I12" s="120">
        <f t="shared" si="1"/>
        <v>100</v>
      </c>
    </row>
    <row r="13" spans="1:9" ht="12.75">
      <c r="A13" s="97">
        <v>1700</v>
      </c>
      <c r="B13" s="125" t="str">
        <f t="shared" si="0"/>
        <v>41</v>
      </c>
      <c r="C13" s="98">
        <v>4123</v>
      </c>
      <c r="D13" s="99" t="s">
        <v>286</v>
      </c>
      <c r="E13" s="104"/>
      <c r="F13" s="104">
        <v>8223</v>
      </c>
      <c r="G13" s="104">
        <v>8223</v>
      </c>
      <c r="H13" s="119">
        <f t="shared" si="2"/>
        <v>0</v>
      </c>
      <c r="I13" s="120">
        <f t="shared" si="1"/>
        <v>100</v>
      </c>
    </row>
    <row r="14" spans="1:9" ht="12.75">
      <c r="A14" s="97">
        <v>1700</v>
      </c>
      <c r="B14" s="125" t="str">
        <f aca="true" t="shared" si="3" ref="B14:B21">(MID(C14,1,2))</f>
        <v>41</v>
      </c>
      <c r="C14" s="98">
        <v>4131</v>
      </c>
      <c r="D14" s="99" t="s">
        <v>167</v>
      </c>
      <c r="E14" s="100">
        <v>420607</v>
      </c>
      <c r="F14" s="100">
        <v>420755</v>
      </c>
      <c r="G14" s="100">
        <v>420755</v>
      </c>
      <c r="H14" s="119">
        <f t="shared" si="2"/>
        <v>100.0351872412965</v>
      </c>
      <c r="I14" s="120">
        <f t="shared" si="1"/>
        <v>100</v>
      </c>
    </row>
    <row r="15" spans="1:9" ht="12.75">
      <c r="A15" s="107">
        <v>6200</v>
      </c>
      <c r="B15" s="125" t="str">
        <f t="shared" si="3"/>
        <v>41</v>
      </c>
      <c r="C15" s="98">
        <v>4131</v>
      </c>
      <c r="D15" s="99" t="s">
        <v>167</v>
      </c>
      <c r="E15" s="122">
        <v>276</v>
      </c>
      <c r="F15" s="122">
        <v>276</v>
      </c>
      <c r="G15" s="122">
        <v>276</v>
      </c>
      <c r="H15" s="119">
        <f t="shared" si="2"/>
        <v>100</v>
      </c>
      <c r="I15" s="120">
        <f t="shared" si="1"/>
        <v>100</v>
      </c>
    </row>
    <row r="16" spans="1:9" ht="12.75">
      <c r="A16" s="107">
        <v>3200</v>
      </c>
      <c r="B16" s="125" t="str">
        <f t="shared" si="3"/>
        <v>41</v>
      </c>
      <c r="C16" s="109">
        <v>4132</v>
      </c>
      <c r="D16" s="99" t="s">
        <v>177</v>
      </c>
      <c r="E16" s="122"/>
      <c r="F16" s="122"/>
      <c r="G16" s="122">
        <v>5425</v>
      </c>
      <c r="H16" s="119">
        <f t="shared" si="2"/>
        <v>0</v>
      </c>
      <c r="I16" s="120">
        <f t="shared" si="1"/>
        <v>0</v>
      </c>
    </row>
    <row r="17" spans="1:9" ht="12.75">
      <c r="A17" s="107">
        <v>8200</v>
      </c>
      <c r="B17" s="125" t="str">
        <f t="shared" si="3"/>
        <v>41</v>
      </c>
      <c r="C17" s="109">
        <v>4132</v>
      </c>
      <c r="D17" s="99" t="s">
        <v>177</v>
      </c>
      <c r="E17" s="122"/>
      <c r="F17" s="122">
        <v>245</v>
      </c>
      <c r="G17" s="122">
        <v>565</v>
      </c>
      <c r="H17" s="119">
        <f t="shared" si="2"/>
        <v>0</v>
      </c>
      <c r="I17" s="120">
        <f t="shared" si="1"/>
        <v>230.6122448979592</v>
      </c>
    </row>
    <row r="18" spans="1:9" ht="12.75">
      <c r="A18" s="107">
        <v>1700</v>
      </c>
      <c r="B18" s="125" t="str">
        <f>(MID(C18,1,2))</f>
        <v>41</v>
      </c>
      <c r="C18" s="109">
        <v>4151</v>
      </c>
      <c r="D18" s="99" t="s">
        <v>258</v>
      </c>
      <c r="E18" s="122"/>
      <c r="F18" s="122">
        <v>1422</v>
      </c>
      <c r="G18" s="122">
        <v>1422</v>
      </c>
      <c r="H18" s="119">
        <f aca="true" t="shared" si="4" ref="H18:I20">IF(E18&lt;=0,0,$G18/E18*100)</f>
        <v>0</v>
      </c>
      <c r="I18" s="120">
        <f t="shared" si="4"/>
        <v>100</v>
      </c>
    </row>
    <row r="19" spans="1:9" ht="12.75">
      <c r="A19" s="107">
        <v>3200</v>
      </c>
      <c r="B19" s="125" t="str">
        <f>(MID(C19,1,2))</f>
        <v>41</v>
      </c>
      <c r="C19" s="109">
        <v>4151</v>
      </c>
      <c r="D19" s="99" t="s">
        <v>258</v>
      </c>
      <c r="E19" s="122"/>
      <c r="F19" s="122">
        <v>178</v>
      </c>
      <c r="G19" s="122">
        <v>178</v>
      </c>
      <c r="H19" s="119">
        <f t="shared" si="4"/>
        <v>0</v>
      </c>
      <c r="I19" s="120">
        <f t="shared" si="4"/>
        <v>100</v>
      </c>
    </row>
    <row r="20" spans="1:9" ht="12.75">
      <c r="A20" s="107">
        <v>1700</v>
      </c>
      <c r="B20" s="125" t="str">
        <f>(MID(C20,1,2))</f>
        <v>41</v>
      </c>
      <c r="C20" s="109">
        <v>4152</v>
      </c>
      <c r="D20" s="99" t="s">
        <v>237</v>
      </c>
      <c r="E20" s="122"/>
      <c r="F20" s="122">
        <v>14337</v>
      </c>
      <c r="G20" s="122">
        <v>14335</v>
      </c>
      <c r="H20" s="119">
        <f t="shared" si="4"/>
        <v>0</v>
      </c>
      <c r="I20" s="120">
        <f t="shared" si="4"/>
        <v>99.98605008021204</v>
      </c>
    </row>
    <row r="21" spans="1:9" ht="12.75">
      <c r="A21" s="107">
        <v>3200</v>
      </c>
      <c r="B21" s="125" t="str">
        <f t="shared" si="3"/>
        <v>41</v>
      </c>
      <c r="C21" s="109">
        <v>4152</v>
      </c>
      <c r="D21" s="99" t="s">
        <v>237</v>
      </c>
      <c r="E21" s="122"/>
      <c r="F21" s="122">
        <v>486</v>
      </c>
      <c r="G21" s="122">
        <v>926</v>
      </c>
      <c r="H21" s="119">
        <f t="shared" si="2"/>
        <v>0</v>
      </c>
      <c r="I21" s="120">
        <f t="shared" si="1"/>
        <v>190.53497942386832</v>
      </c>
    </row>
    <row r="22" spans="1:9" ht="13.5" thickBot="1">
      <c r="A22" s="130"/>
      <c r="B22" s="116" t="s">
        <v>183</v>
      </c>
      <c r="C22" s="131"/>
      <c r="D22" s="132"/>
      <c r="E22" s="133">
        <f>SUBTOTAL(9,E3:E21)</f>
        <v>552812</v>
      </c>
      <c r="F22" s="133">
        <f>SUBTOTAL(9,F3:F21)</f>
        <v>682953</v>
      </c>
      <c r="G22" s="133">
        <f>SUBTOTAL(9,G3:G21)</f>
        <v>689420</v>
      </c>
      <c r="H22" s="218">
        <f>IF(E22&lt;=0,0,$G22/E22*100)</f>
        <v>124.7114751488752</v>
      </c>
      <c r="I22" s="219">
        <f>IF(F22&lt;=0,0,$G22/F22*100)</f>
        <v>100.94691728420551</v>
      </c>
    </row>
    <row r="23" spans="1:9" ht="12.75">
      <c r="A23" s="220"/>
      <c r="B23" s="221"/>
      <c r="C23" s="222"/>
      <c r="D23" s="223"/>
      <c r="F23" s="224"/>
      <c r="H23" s="225">
        <f>IF(E23&lt;=0,0,$G23/E23*100)</f>
        <v>0</v>
      </c>
      <c r="I23" s="189">
        <f>IF(F23&lt;=0,0,$G23/F23*100)</f>
        <v>0</v>
      </c>
    </row>
    <row r="24" spans="1:9" ht="12.75">
      <c r="A24" s="147">
        <v>1700</v>
      </c>
      <c r="B24" s="210" t="str">
        <f>(MID(C24,1,2))</f>
        <v>42</v>
      </c>
      <c r="C24" s="226">
        <v>4213</v>
      </c>
      <c r="D24" s="99" t="s">
        <v>279</v>
      </c>
      <c r="E24" s="227"/>
      <c r="F24" s="228">
        <v>31435</v>
      </c>
      <c r="G24" s="228">
        <v>31435</v>
      </c>
      <c r="H24" s="229"/>
      <c r="I24" s="120">
        <f aca="true" t="shared" si="5" ref="I24:I30">IF(F24&lt;=0,0,$G24/F24*100)</f>
        <v>100</v>
      </c>
    </row>
    <row r="25" spans="1:9" ht="12.75">
      <c r="A25" s="147">
        <v>1700</v>
      </c>
      <c r="B25" s="210" t="str">
        <f>(MID(C25,1,2))</f>
        <v>42</v>
      </c>
      <c r="C25" s="226">
        <v>4216</v>
      </c>
      <c r="D25" s="99" t="s">
        <v>280</v>
      </c>
      <c r="E25" s="227"/>
      <c r="F25" s="228">
        <v>577789</v>
      </c>
      <c r="G25" s="228">
        <v>577789</v>
      </c>
      <c r="H25" s="229"/>
      <c r="I25" s="120">
        <f t="shared" si="5"/>
        <v>100</v>
      </c>
    </row>
    <row r="26" spans="1:9" ht="12.75">
      <c r="A26" s="147">
        <v>1700</v>
      </c>
      <c r="B26" s="210" t="str">
        <f>(MID(C26,1,2))</f>
        <v>42</v>
      </c>
      <c r="C26" s="226">
        <v>4221</v>
      </c>
      <c r="D26" s="99" t="s">
        <v>252</v>
      </c>
      <c r="E26" s="227"/>
      <c r="F26" s="228">
        <v>17308</v>
      </c>
      <c r="G26" s="228">
        <v>17308</v>
      </c>
      <c r="H26" s="229"/>
      <c r="I26" s="120">
        <f t="shared" si="5"/>
        <v>100</v>
      </c>
    </row>
    <row r="27" spans="1:9" ht="12.75">
      <c r="A27" s="147">
        <v>7400</v>
      </c>
      <c r="B27" s="210" t="str">
        <f>(MID(C27,1,2))</f>
        <v>42</v>
      </c>
      <c r="C27" s="226">
        <v>4222</v>
      </c>
      <c r="D27" s="99" t="s">
        <v>244</v>
      </c>
      <c r="E27" s="227"/>
      <c r="F27" s="228">
        <v>691</v>
      </c>
      <c r="G27" s="228">
        <v>691</v>
      </c>
      <c r="H27" s="229"/>
      <c r="I27" s="120">
        <f t="shared" si="5"/>
        <v>100</v>
      </c>
    </row>
    <row r="28" spans="1:9" ht="12.75">
      <c r="A28" s="147">
        <v>1700</v>
      </c>
      <c r="B28" s="210" t="str">
        <f>(MID(C28,1,2))</f>
        <v>42</v>
      </c>
      <c r="C28" s="226">
        <v>4223</v>
      </c>
      <c r="D28" s="99" t="s">
        <v>253</v>
      </c>
      <c r="E28" s="227"/>
      <c r="F28" s="228">
        <v>252392</v>
      </c>
      <c r="G28" s="228">
        <v>252392</v>
      </c>
      <c r="H28" s="229"/>
      <c r="I28" s="120">
        <f t="shared" si="5"/>
        <v>100</v>
      </c>
    </row>
    <row r="29" spans="1:9" ht="13.5" thickBot="1">
      <c r="A29" s="230"/>
      <c r="B29" s="231" t="s">
        <v>184</v>
      </c>
      <c r="C29" s="232"/>
      <c r="D29" s="233"/>
      <c r="E29" s="158">
        <f>SUBTOTAL(9,E26:E27)</f>
        <v>0</v>
      </c>
      <c r="F29" s="158">
        <f>SUBTOTAL(9,F24:F28)</f>
        <v>879615</v>
      </c>
      <c r="G29" s="158">
        <f>SUBTOTAL(9,G24:G28)</f>
        <v>879615</v>
      </c>
      <c r="H29" s="218">
        <f>IF(E29&lt;=0,0,$G29/E29*100)</f>
        <v>0</v>
      </c>
      <c r="I29" s="219">
        <f t="shared" si="5"/>
        <v>100</v>
      </c>
    </row>
    <row r="30" spans="1:9" ht="15" thickBot="1">
      <c r="A30" s="130"/>
      <c r="B30" s="135" t="s">
        <v>185</v>
      </c>
      <c r="C30" s="131"/>
      <c r="D30" s="132"/>
      <c r="E30" s="133">
        <f>SUBTOTAL(9,E3:E29)</f>
        <v>552812</v>
      </c>
      <c r="F30" s="133">
        <f>SUBTOTAL(9,F3:F29)</f>
        <v>1562568</v>
      </c>
      <c r="G30" s="133">
        <f>SUBTOTAL(9,G3:G29)</f>
        <v>1569035</v>
      </c>
      <c r="H30" s="218">
        <f>IF(E30&lt;=0,0,$G30/E30*100)</f>
        <v>283.82795597780074</v>
      </c>
      <c r="I30" s="219">
        <f t="shared" si="5"/>
        <v>100.41386998837811</v>
      </c>
    </row>
  </sheetData>
  <sheetProtection/>
  <printOptions horizontalCentered="1"/>
  <pageMargins left="0.5905511811023623" right="0.3937007874015748" top="0.9448818897637796" bottom="0.5511811023622047" header="0.6299212598425197" footer="0.5118110236220472"/>
  <pageSetup horizontalDpi="600" verticalDpi="600" orientation="landscape" paperSize="9" scale="108" r:id="rId1"/>
  <headerFooter alignWithMargins="0">
    <oddHeader>&amp;C&amp;"Times New Roman,Tučné"&amp;13Transfery přijaté městem k 31.12.2013 (v tis. Kč)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9"/>
  <sheetViews>
    <sheetView showZeros="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2" width="7.75390625" style="0" customWidth="1"/>
    <col min="3" max="3" width="39.25390625" style="0" customWidth="1"/>
    <col min="4" max="4" width="13.375" style="0" customWidth="1"/>
    <col min="5" max="5" width="14.375" style="0" customWidth="1"/>
    <col min="6" max="6" width="13.875" style="0" customWidth="1"/>
    <col min="7" max="7" width="8.875" style="0" customWidth="1"/>
    <col min="8" max="8" width="8.875" style="292" customWidth="1"/>
  </cols>
  <sheetData>
    <row r="1" spans="1:8" ht="13.5" thickBot="1">
      <c r="A1" s="55" t="s">
        <v>251</v>
      </c>
      <c r="B1" s="2" t="s">
        <v>0</v>
      </c>
      <c r="C1" s="2" t="s">
        <v>3</v>
      </c>
      <c r="D1" s="45" t="s">
        <v>265</v>
      </c>
      <c r="E1" s="45" t="s">
        <v>306</v>
      </c>
      <c r="F1" s="45" t="s">
        <v>308</v>
      </c>
      <c r="G1" s="38" t="s">
        <v>51</v>
      </c>
      <c r="H1" s="180" t="s">
        <v>52</v>
      </c>
    </row>
    <row r="2" spans="1:8" ht="12.75">
      <c r="A2" s="28" t="s">
        <v>44</v>
      </c>
      <c r="B2" s="17"/>
      <c r="C2" s="10"/>
      <c r="D2" s="40"/>
      <c r="E2" s="40"/>
      <c r="F2" s="41"/>
      <c r="G2" s="50">
        <f aca="true" t="shared" si="0" ref="G2:G33">IF(D2&lt;=0,0,$F2/D2*100)</f>
        <v>0</v>
      </c>
      <c r="H2" s="51">
        <f aca="true" t="shared" si="1" ref="H2:H33">IF(E2&lt;=0,0,$F2/E2*100)</f>
        <v>0</v>
      </c>
    </row>
    <row r="3" spans="1:8" s="80" customFormat="1" ht="12.75">
      <c r="A3" s="56">
        <v>1700</v>
      </c>
      <c r="B3" s="17">
        <v>3511</v>
      </c>
      <c r="C3" s="10" t="s">
        <v>13</v>
      </c>
      <c r="D3" s="9">
        <v>1200</v>
      </c>
      <c r="E3" s="9">
        <v>1200</v>
      </c>
      <c r="F3" s="23">
        <v>315</v>
      </c>
      <c r="G3" s="48">
        <f t="shared" si="0"/>
        <v>26.25</v>
      </c>
      <c r="H3" s="49">
        <f t="shared" si="1"/>
        <v>26.25</v>
      </c>
    </row>
    <row r="4" spans="1:8" ht="12.75">
      <c r="A4" s="56">
        <v>1700</v>
      </c>
      <c r="B4" s="81">
        <v>6171</v>
      </c>
      <c r="C4" s="11" t="s">
        <v>9</v>
      </c>
      <c r="D4" s="9">
        <v>7705</v>
      </c>
      <c r="E4" s="9">
        <v>7705</v>
      </c>
      <c r="F4" s="24">
        <v>5942</v>
      </c>
      <c r="G4" s="48">
        <f t="shared" si="0"/>
        <v>77.11875405580791</v>
      </c>
      <c r="H4" s="49">
        <f t="shared" si="1"/>
        <v>77.11875405580791</v>
      </c>
    </row>
    <row r="5" spans="1:8" ht="12.75">
      <c r="A5" s="56">
        <v>1700</v>
      </c>
      <c r="B5" s="17">
        <v>6310</v>
      </c>
      <c r="C5" s="82" t="s">
        <v>141</v>
      </c>
      <c r="D5" s="9">
        <v>225300</v>
      </c>
      <c r="E5" s="9">
        <v>225300</v>
      </c>
      <c r="F5" s="24">
        <v>84492</v>
      </c>
      <c r="G5" s="48">
        <f t="shared" si="0"/>
        <v>37.50199733688415</v>
      </c>
      <c r="H5" s="49">
        <f t="shared" si="1"/>
        <v>37.50199733688415</v>
      </c>
    </row>
    <row r="6" spans="1:8" ht="12.75">
      <c r="A6" s="56">
        <v>1700</v>
      </c>
      <c r="B6" s="17">
        <v>6399</v>
      </c>
      <c r="C6" s="11" t="s">
        <v>63</v>
      </c>
      <c r="D6" s="9">
        <v>350000</v>
      </c>
      <c r="E6" s="9">
        <v>294186</v>
      </c>
      <c r="F6" s="24">
        <v>294170</v>
      </c>
      <c r="G6" s="48">
        <f t="shared" si="0"/>
        <v>84.04857142857142</v>
      </c>
      <c r="H6" s="49">
        <f t="shared" si="1"/>
        <v>99.99456126396225</v>
      </c>
    </row>
    <row r="7" spans="1:8" ht="12.75">
      <c r="A7" s="56">
        <v>1700</v>
      </c>
      <c r="B7" s="17">
        <v>6402</v>
      </c>
      <c r="C7" s="11" t="s">
        <v>64</v>
      </c>
      <c r="D7" s="9"/>
      <c r="E7" s="9">
        <v>211132</v>
      </c>
      <c r="F7" s="24">
        <v>211133</v>
      </c>
      <c r="G7" s="48">
        <f t="shared" si="0"/>
        <v>0</v>
      </c>
      <c r="H7" s="49">
        <f t="shared" si="1"/>
        <v>100.00047363734537</v>
      </c>
    </row>
    <row r="8" spans="1:8" ht="12.75">
      <c r="A8" s="56">
        <v>1700</v>
      </c>
      <c r="B8" s="17">
        <v>6409</v>
      </c>
      <c r="C8" s="11" t="s">
        <v>39</v>
      </c>
      <c r="D8" s="9">
        <v>982069</v>
      </c>
      <c r="E8" s="9">
        <v>1008911</v>
      </c>
      <c r="F8" s="24">
        <v>1002400</v>
      </c>
      <c r="G8" s="48">
        <f t="shared" si="0"/>
        <v>102.0702211351748</v>
      </c>
      <c r="H8" s="49">
        <f t="shared" si="1"/>
        <v>99.35465070754506</v>
      </c>
    </row>
    <row r="9" spans="1:8" ht="12.75">
      <c r="A9" s="28" t="s">
        <v>203</v>
      </c>
      <c r="B9" s="17"/>
      <c r="C9" s="11"/>
      <c r="D9" s="40">
        <f>SUBTOTAL(9,D3:D8)</f>
        <v>1566274</v>
      </c>
      <c r="E9" s="40">
        <f>SUBTOTAL(9,E3:E8)</f>
        <v>1748434</v>
      </c>
      <c r="F9" s="41">
        <f>SUBTOTAL(9,F3:F8)</f>
        <v>1598452</v>
      </c>
      <c r="G9" s="50">
        <f t="shared" si="0"/>
        <v>102.05442981240832</v>
      </c>
      <c r="H9" s="51">
        <f t="shared" si="1"/>
        <v>91.42192384728277</v>
      </c>
    </row>
    <row r="10" spans="1:8" ht="12.75">
      <c r="A10" s="28"/>
      <c r="B10" s="17"/>
      <c r="C10" s="11"/>
      <c r="D10" s="40"/>
      <c r="E10" s="40"/>
      <c r="F10" s="41"/>
      <c r="G10" s="50">
        <f t="shared" si="0"/>
        <v>0</v>
      </c>
      <c r="H10" s="51">
        <f t="shared" si="1"/>
        <v>0</v>
      </c>
    </row>
    <row r="11" spans="1:8" ht="12.75">
      <c r="A11" s="33" t="s">
        <v>172</v>
      </c>
      <c r="B11" s="20"/>
      <c r="C11" s="12"/>
      <c r="D11" s="40"/>
      <c r="E11" s="40"/>
      <c r="F11" s="41"/>
      <c r="G11" s="96">
        <f t="shared" si="0"/>
        <v>0</v>
      </c>
      <c r="H11" s="51">
        <f t="shared" si="1"/>
        <v>0</v>
      </c>
    </row>
    <row r="12" spans="1:8" ht="12.75">
      <c r="A12" s="56">
        <v>1900</v>
      </c>
      <c r="B12" s="17">
        <v>2143</v>
      </c>
      <c r="C12" s="10" t="s">
        <v>193</v>
      </c>
      <c r="D12" s="9">
        <v>44161</v>
      </c>
      <c r="E12" s="9">
        <v>48013</v>
      </c>
      <c r="F12" s="23">
        <v>47501</v>
      </c>
      <c r="G12" s="48">
        <f t="shared" si="0"/>
        <v>107.56323452820362</v>
      </c>
      <c r="H12" s="49">
        <f t="shared" si="1"/>
        <v>98.93362214400267</v>
      </c>
    </row>
    <row r="13" spans="1:8" ht="12.75">
      <c r="A13" s="56">
        <v>1900</v>
      </c>
      <c r="B13" s="17">
        <v>3349</v>
      </c>
      <c r="C13" s="10" t="s">
        <v>58</v>
      </c>
      <c r="D13" s="9">
        <v>16201</v>
      </c>
      <c r="E13" s="9">
        <v>16201</v>
      </c>
      <c r="F13" s="23">
        <v>13385</v>
      </c>
      <c r="G13" s="48">
        <f t="shared" si="0"/>
        <v>82.61835689154991</v>
      </c>
      <c r="H13" s="49">
        <f t="shared" si="1"/>
        <v>82.61835689154991</v>
      </c>
    </row>
    <row r="14" spans="1:8" ht="12.75">
      <c r="A14" s="56">
        <v>1900</v>
      </c>
      <c r="B14" s="17">
        <v>3636</v>
      </c>
      <c r="C14" s="10" t="s">
        <v>171</v>
      </c>
      <c r="D14" s="9">
        <v>7617</v>
      </c>
      <c r="E14" s="9">
        <v>7768</v>
      </c>
      <c r="F14" s="23">
        <v>1926</v>
      </c>
      <c r="G14" s="48">
        <f t="shared" si="0"/>
        <v>25.28554549035053</v>
      </c>
      <c r="H14" s="49">
        <f t="shared" si="1"/>
        <v>24.79402677651905</v>
      </c>
    </row>
    <row r="15" spans="1:8" ht="12.75">
      <c r="A15" s="28" t="s">
        <v>170</v>
      </c>
      <c r="B15" s="17"/>
      <c r="C15" s="10"/>
      <c r="D15" s="40">
        <f>SUBTOTAL(9,D12:D14)</f>
        <v>67979</v>
      </c>
      <c r="E15" s="40">
        <f>SUBTOTAL(9,E12:E14)</f>
        <v>71982</v>
      </c>
      <c r="F15" s="40">
        <f>SUBTOTAL(9,F12:F14)</f>
        <v>62812</v>
      </c>
      <c r="G15" s="50">
        <f t="shared" si="0"/>
        <v>92.3991232586534</v>
      </c>
      <c r="H15" s="51">
        <f t="shared" si="1"/>
        <v>87.26070406490511</v>
      </c>
    </row>
    <row r="16" spans="1:8" ht="12.75">
      <c r="A16" s="28"/>
      <c r="B16" s="17"/>
      <c r="C16" s="10"/>
      <c r="D16" s="40"/>
      <c r="E16" s="40"/>
      <c r="F16" s="41"/>
      <c r="G16" s="50">
        <f t="shared" si="0"/>
        <v>0</v>
      </c>
      <c r="H16" s="51">
        <f t="shared" si="1"/>
        <v>0</v>
      </c>
    </row>
    <row r="17" spans="1:8" ht="12.75">
      <c r="A17" s="745" t="s">
        <v>37</v>
      </c>
      <c r="B17" s="746"/>
      <c r="C17" s="747"/>
      <c r="D17" s="43"/>
      <c r="E17" s="43"/>
      <c r="F17" s="44"/>
      <c r="G17" s="129">
        <f t="shared" si="0"/>
        <v>0</v>
      </c>
      <c r="H17" s="209">
        <f t="shared" si="1"/>
        <v>0</v>
      </c>
    </row>
    <row r="18" spans="1:8" ht="12.75">
      <c r="A18" s="56">
        <v>3200</v>
      </c>
      <c r="B18" s="19">
        <v>2143</v>
      </c>
      <c r="C18" s="10" t="s">
        <v>193</v>
      </c>
      <c r="D18" s="9">
        <v>200</v>
      </c>
      <c r="E18" s="9">
        <v>200</v>
      </c>
      <c r="F18" s="23">
        <v>82</v>
      </c>
      <c r="G18" s="48">
        <f t="shared" si="0"/>
        <v>41</v>
      </c>
      <c r="H18" s="49">
        <f t="shared" si="1"/>
        <v>41</v>
      </c>
    </row>
    <row r="19" spans="1:8" ht="12.75">
      <c r="A19" s="56">
        <v>3200</v>
      </c>
      <c r="B19" s="19">
        <v>2219</v>
      </c>
      <c r="C19" s="150" t="s">
        <v>54</v>
      </c>
      <c r="D19" s="9">
        <v>1004</v>
      </c>
      <c r="E19" s="9">
        <v>3322</v>
      </c>
      <c r="F19" s="23">
        <v>1434</v>
      </c>
      <c r="G19" s="48">
        <f t="shared" si="0"/>
        <v>142.82868525896416</v>
      </c>
      <c r="H19" s="49">
        <f t="shared" si="1"/>
        <v>43.166767007826614</v>
      </c>
    </row>
    <row r="20" spans="1:8" ht="12.75">
      <c r="A20" s="56">
        <v>3200</v>
      </c>
      <c r="B20" s="19">
        <v>2271</v>
      </c>
      <c r="C20" s="150" t="s">
        <v>20</v>
      </c>
      <c r="D20" s="9">
        <v>1253</v>
      </c>
      <c r="E20" s="9">
        <v>1253</v>
      </c>
      <c r="F20" s="23">
        <v>703</v>
      </c>
      <c r="G20" s="48">
        <f t="shared" si="0"/>
        <v>56.10534716679968</v>
      </c>
      <c r="H20" s="49">
        <f t="shared" si="1"/>
        <v>56.10534716679968</v>
      </c>
    </row>
    <row r="21" spans="1:8" ht="12.75">
      <c r="A21" s="56">
        <v>3200</v>
      </c>
      <c r="B21" s="19">
        <v>3299</v>
      </c>
      <c r="C21" s="10" t="s">
        <v>259</v>
      </c>
      <c r="D21" s="9">
        <v>644</v>
      </c>
      <c r="E21" s="9">
        <v>870</v>
      </c>
      <c r="F21" s="23">
        <v>859</v>
      </c>
      <c r="G21" s="48">
        <f t="shared" si="0"/>
        <v>133.38509316770185</v>
      </c>
      <c r="H21" s="49">
        <f t="shared" si="1"/>
        <v>98.73563218390805</v>
      </c>
    </row>
    <row r="22" spans="1:8" ht="12.75">
      <c r="A22" s="56">
        <v>3200</v>
      </c>
      <c r="B22" s="19">
        <v>3349</v>
      </c>
      <c r="C22" s="8" t="s">
        <v>58</v>
      </c>
      <c r="D22" s="9">
        <v>3168</v>
      </c>
      <c r="E22" s="9">
        <v>3168</v>
      </c>
      <c r="F22" s="23">
        <v>3142</v>
      </c>
      <c r="G22" s="48">
        <f t="shared" si="0"/>
        <v>99.17929292929293</v>
      </c>
      <c r="H22" s="49">
        <f t="shared" si="1"/>
        <v>99.17929292929293</v>
      </c>
    </row>
    <row r="23" spans="1:8" ht="12.75">
      <c r="A23" s="56">
        <v>3200</v>
      </c>
      <c r="B23" s="17">
        <v>3429</v>
      </c>
      <c r="C23" s="8" t="s">
        <v>59</v>
      </c>
      <c r="D23" s="9">
        <v>64</v>
      </c>
      <c r="E23" s="9">
        <v>64</v>
      </c>
      <c r="F23" s="23">
        <v>45</v>
      </c>
      <c r="G23" s="48">
        <f t="shared" si="0"/>
        <v>70.3125</v>
      </c>
      <c r="H23" s="49">
        <f t="shared" si="1"/>
        <v>70.3125</v>
      </c>
    </row>
    <row r="24" spans="1:8" ht="12.75">
      <c r="A24" s="56">
        <v>3200</v>
      </c>
      <c r="B24" s="17">
        <v>3727</v>
      </c>
      <c r="C24" s="10" t="s">
        <v>224</v>
      </c>
      <c r="D24" s="9">
        <v>506</v>
      </c>
      <c r="E24" s="9">
        <v>506</v>
      </c>
      <c r="F24" s="23">
        <v>74</v>
      </c>
      <c r="G24" s="48">
        <f t="shared" si="0"/>
        <v>14.624505928853754</v>
      </c>
      <c r="H24" s="49">
        <f t="shared" si="1"/>
        <v>14.624505928853754</v>
      </c>
    </row>
    <row r="25" spans="1:8" ht="12.75">
      <c r="A25" s="56">
        <v>3200</v>
      </c>
      <c r="B25" s="17">
        <v>5269</v>
      </c>
      <c r="C25" s="10" t="s">
        <v>293</v>
      </c>
      <c r="D25" s="9"/>
      <c r="E25" s="9">
        <v>1232</v>
      </c>
      <c r="F25" s="23">
        <v>1231</v>
      </c>
      <c r="G25" s="48"/>
      <c r="H25" s="49">
        <f t="shared" si="1"/>
        <v>99.91883116883116</v>
      </c>
    </row>
    <row r="26" spans="1:8" ht="12.75">
      <c r="A26" s="56">
        <v>3200</v>
      </c>
      <c r="B26" s="17">
        <v>5319</v>
      </c>
      <c r="C26" s="15" t="s">
        <v>210</v>
      </c>
      <c r="D26" s="9"/>
      <c r="E26" s="9">
        <v>180</v>
      </c>
      <c r="F26" s="23">
        <v>180</v>
      </c>
      <c r="G26" s="48"/>
      <c r="H26" s="49">
        <f t="shared" si="1"/>
        <v>100</v>
      </c>
    </row>
    <row r="27" spans="1:8" ht="12.75">
      <c r="A27" s="56">
        <v>3200</v>
      </c>
      <c r="B27" s="17">
        <v>5511</v>
      </c>
      <c r="C27" s="10" t="s">
        <v>243</v>
      </c>
      <c r="D27" s="9">
        <v>3000</v>
      </c>
      <c r="E27" s="9">
        <v>3000</v>
      </c>
      <c r="F27" s="23">
        <v>3000</v>
      </c>
      <c r="G27" s="48">
        <f t="shared" si="0"/>
        <v>100</v>
      </c>
      <c r="H27" s="49">
        <f t="shared" si="1"/>
        <v>100</v>
      </c>
    </row>
    <row r="28" spans="1:8" ht="12.75">
      <c r="A28" s="56">
        <v>3200</v>
      </c>
      <c r="B28" s="17">
        <v>6112</v>
      </c>
      <c r="C28" s="15" t="s">
        <v>60</v>
      </c>
      <c r="D28" s="9">
        <v>18782</v>
      </c>
      <c r="E28" s="9">
        <v>18782</v>
      </c>
      <c r="F28" s="23">
        <v>17942</v>
      </c>
      <c r="G28" s="48">
        <f t="shared" si="0"/>
        <v>95.52763283995314</v>
      </c>
      <c r="H28" s="49">
        <f t="shared" si="1"/>
        <v>95.52763283995314</v>
      </c>
    </row>
    <row r="29" spans="1:8" ht="12.75">
      <c r="A29" s="56">
        <v>3200</v>
      </c>
      <c r="B29" s="17">
        <v>6114</v>
      </c>
      <c r="C29" s="15" t="s">
        <v>309</v>
      </c>
      <c r="D29" s="9"/>
      <c r="E29" s="9">
        <v>47</v>
      </c>
      <c r="F29" s="23">
        <v>11</v>
      </c>
      <c r="G29" s="48"/>
      <c r="H29" s="49">
        <f t="shared" si="1"/>
        <v>23.404255319148938</v>
      </c>
    </row>
    <row r="30" spans="1:8" ht="12.75">
      <c r="A30" s="56">
        <v>3200</v>
      </c>
      <c r="B30" s="17">
        <v>6118</v>
      </c>
      <c r="C30" s="15" t="s">
        <v>275</v>
      </c>
      <c r="D30" s="9"/>
      <c r="E30" s="9">
        <v>171</v>
      </c>
      <c r="F30" s="23">
        <v>171</v>
      </c>
      <c r="G30" s="48">
        <f t="shared" si="0"/>
        <v>0</v>
      </c>
      <c r="H30" s="49">
        <f t="shared" si="1"/>
        <v>100</v>
      </c>
    </row>
    <row r="31" spans="1:8" ht="12.75">
      <c r="A31" s="56">
        <v>3200</v>
      </c>
      <c r="B31" s="19">
        <v>6171</v>
      </c>
      <c r="C31" s="8" t="s">
        <v>26</v>
      </c>
      <c r="D31" s="9">
        <v>569850</v>
      </c>
      <c r="E31" s="9">
        <v>586216</v>
      </c>
      <c r="F31" s="23">
        <v>561032</v>
      </c>
      <c r="G31" s="48">
        <f t="shared" si="0"/>
        <v>98.45257523909801</v>
      </c>
      <c r="H31" s="49">
        <f t="shared" si="1"/>
        <v>95.70397259713144</v>
      </c>
    </row>
    <row r="32" spans="1:8" ht="12.75">
      <c r="A32" s="56">
        <v>3200</v>
      </c>
      <c r="B32" s="19">
        <v>6223</v>
      </c>
      <c r="C32" s="8" t="s">
        <v>266</v>
      </c>
      <c r="D32" s="9">
        <v>8410</v>
      </c>
      <c r="E32" s="9">
        <v>8870</v>
      </c>
      <c r="F32" s="23">
        <v>7755</v>
      </c>
      <c r="G32" s="48">
        <f>IF(D32&lt;=0,0,$F32/D32*100)</f>
        <v>92.2116527942925</v>
      </c>
      <c r="H32" s="49">
        <f>IF(E32&lt;=0,0,$F32/E32*100)</f>
        <v>87.42953776775649</v>
      </c>
    </row>
    <row r="33" spans="1:8" ht="12.75">
      <c r="A33" s="56">
        <v>3200</v>
      </c>
      <c r="B33" s="19">
        <v>6399</v>
      </c>
      <c r="C33" s="8" t="s">
        <v>83</v>
      </c>
      <c r="D33" s="9"/>
      <c r="E33" s="9"/>
      <c r="F33" s="23">
        <v>4017</v>
      </c>
      <c r="G33" s="48">
        <f t="shared" si="0"/>
        <v>0</v>
      </c>
      <c r="H33" s="49">
        <f t="shared" si="1"/>
        <v>0</v>
      </c>
    </row>
    <row r="34" spans="1:8" ht="12.75">
      <c r="A34" s="32" t="s">
        <v>34</v>
      </c>
      <c r="B34" s="19"/>
      <c r="C34" s="8"/>
      <c r="D34" s="40">
        <f>SUBTOTAL(9,D18:D33)</f>
        <v>606881</v>
      </c>
      <c r="E34" s="40">
        <f>SUBTOTAL(9,E18:E33)</f>
        <v>627881</v>
      </c>
      <c r="F34" s="40">
        <f>SUBTOTAL(9,F18:F33)</f>
        <v>601678</v>
      </c>
      <c r="G34" s="50">
        <f aca="true" t="shared" si="2" ref="G34:G62">IF(D34&lt;=0,0,$F34/D34*100)</f>
        <v>99.14266553080424</v>
      </c>
      <c r="H34" s="51">
        <f aca="true" t="shared" si="3" ref="H34:H62">IF(E34&lt;=0,0,$F34/E34*100)</f>
        <v>95.8267569810203</v>
      </c>
    </row>
    <row r="35" spans="1:8" ht="12.75">
      <c r="A35" s="32"/>
      <c r="B35" s="19"/>
      <c r="C35" s="8"/>
      <c r="D35" s="40"/>
      <c r="E35" s="40"/>
      <c r="F35" s="41"/>
      <c r="G35" s="50">
        <f t="shared" si="2"/>
        <v>0</v>
      </c>
      <c r="H35" s="51">
        <f t="shared" si="3"/>
        <v>0</v>
      </c>
    </row>
    <row r="36" spans="1:8" ht="12.75">
      <c r="A36" s="33" t="s">
        <v>61</v>
      </c>
      <c r="B36" s="20"/>
      <c r="C36" s="12"/>
      <c r="D36" s="40"/>
      <c r="E36" s="40"/>
      <c r="F36" s="41"/>
      <c r="G36" s="50">
        <f t="shared" si="2"/>
        <v>0</v>
      </c>
      <c r="H36" s="51">
        <f t="shared" si="3"/>
        <v>0</v>
      </c>
    </row>
    <row r="37" spans="1:8" ht="12.75">
      <c r="A37" s="56">
        <v>3600</v>
      </c>
      <c r="B37" s="17">
        <v>5212</v>
      </c>
      <c r="C37" s="146" t="s">
        <v>248</v>
      </c>
      <c r="D37" s="9">
        <v>500</v>
      </c>
      <c r="E37" s="9">
        <v>500</v>
      </c>
      <c r="F37" s="23">
        <v>4</v>
      </c>
      <c r="G37" s="48">
        <f t="shared" si="2"/>
        <v>0.8</v>
      </c>
      <c r="H37" s="49">
        <f t="shared" si="3"/>
        <v>0.8</v>
      </c>
    </row>
    <row r="38" spans="1:8" ht="12.75">
      <c r="A38" s="56">
        <v>3600</v>
      </c>
      <c r="B38" s="17">
        <v>5269</v>
      </c>
      <c r="C38" s="10" t="s">
        <v>293</v>
      </c>
      <c r="D38" s="9">
        <v>200</v>
      </c>
      <c r="E38" s="9">
        <v>200</v>
      </c>
      <c r="F38" s="23">
        <v>1</v>
      </c>
      <c r="G38" s="48">
        <f t="shared" si="2"/>
        <v>0.5</v>
      </c>
      <c r="H38" s="49">
        <f t="shared" si="3"/>
        <v>0.5</v>
      </c>
    </row>
    <row r="39" spans="1:8" ht="12.75">
      <c r="A39" s="56">
        <v>3600</v>
      </c>
      <c r="B39" s="17">
        <v>5273</v>
      </c>
      <c r="C39" s="10" t="s">
        <v>249</v>
      </c>
      <c r="D39" s="9">
        <v>300</v>
      </c>
      <c r="E39" s="9">
        <v>300</v>
      </c>
      <c r="F39" s="23"/>
      <c r="G39" s="48">
        <f t="shared" si="2"/>
        <v>0</v>
      </c>
      <c r="H39" s="49">
        <f t="shared" si="3"/>
        <v>0</v>
      </c>
    </row>
    <row r="40" spans="1:8" ht="12.75">
      <c r="A40" s="28" t="s">
        <v>62</v>
      </c>
      <c r="B40" s="17"/>
      <c r="C40" s="10"/>
      <c r="D40" s="40">
        <f>SUBTOTAL(9,D37:D39)</f>
        <v>1000</v>
      </c>
      <c r="E40" s="40">
        <f>SUBTOTAL(9,E37:E39)</f>
        <v>1000</v>
      </c>
      <c r="F40" s="41">
        <f>SUBTOTAL(9,F37:F39)</f>
        <v>5</v>
      </c>
      <c r="G40" s="50">
        <f t="shared" si="2"/>
        <v>0.5</v>
      </c>
      <c r="H40" s="51">
        <f t="shared" si="3"/>
        <v>0.5</v>
      </c>
    </row>
    <row r="41" spans="1:8" ht="12.75">
      <c r="A41" s="28"/>
      <c r="B41" s="17"/>
      <c r="C41" s="10"/>
      <c r="D41" s="40"/>
      <c r="E41" s="40"/>
      <c r="F41" s="41"/>
      <c r="G41" s="50">
        <f t="shared" si="2"/>
        <v>0</v>
      </c>
      <c r="H41" s="51">
        <f t="shared" si="3"/>
        <v>0</v>
      </c>
    </row>
    <row r="42" spans="1:8" ht="12.75">
      <c r="A42" s="34" t="s">
        <v>56</v>
      </c>
      <c r="B42" s="5"/>
      <c r="C42" s="15"/>
      <c r="D42" s="40"/>
      <c r="E42" s="40"/>
      <c r="F42" s="41"/>
      <c r="G42" s="50">
        <f t="shared" si="2"/>
        <v>0</v>
      </c>
      <c r="H42" s="51">
        <f t="shared" si="3"/>
        <v>0</v>
      </c>
    </row>
    <row r="43" spans="1:8" ht="12.75">
      <c r="A43" s="56">
        <v>3900</v>
      </c>
      <c r="B43" s="17">
        <v>6211</v>
      </c>
      <c r="C43" s="10" t="s">
        <v>57</v>
      </c>
      <c r="D43" s="9">
        <v>1872</v>
      </c>
      <c r="E43" s="9">
        <v>1872</v>
      </c>
      <c r="F43" s="23">
        <v>1762</v>
      </c>
      <c r="G43" s="48">
        <f t="shared" si="2"/>
        <v>94.12393162393163</v>
      </c>
      <c r="H43" s="49">
        <f t="shared" si="3"/>
        <v>94.12393162393163</v>
      </c>
    </row>
    <row r="44" spans="1:8" ht="12.75">
      <c r="A44" s="86" t="s">
        <v>214</v>
      </c>
      <c r="B44" s="87"/>
      <c r="C44" s="88"/>
      <c r="D44" s="73">
        <f>SUBTOTAL(9,D43:D43)</f>
        <v>1872</v>
      </c>
      <c r="E44" s="73">
        <f>SUBTOTAL(9,E43:E43)</f>
        <v>1872</v>
      </c>
      <c r="F44" s="74">
        <f>SUBTOTAL(9,F43:F43)</f>
        <v>1762</v>
      </c>
      <c r="G44" s="75">
        <f t="shared" si="2"/>
        <v>94.12393162393163</v>
      </c>
      <c r="H44" s="76">
        <f t="shared" si="3"/>
        <v>94.12393162393163</v>
      </c>
    </row>
    <row r="45" spans="1:8" ht="12.75">
      <c r="A45" s="28"/>
      <c r="B45" s="17"/>
      <c r="C45" s="10"/>
      <c r="D45" s="40"/>
      <c r="E45" s="40"/>
      <c r="F45" s="41"/>
      <c r="G45" s="50">
        <f t="shared" si="2"/>
        <v>0</v>
      </c>
      <c r="H45" s="51">
        <f t="shared" si="3"/>
        <v>0</v>
      </c>
    </row>
    <row r="46" spans="1:8" ht="12.75">
      <c r="A46" s="34" t="s">
        <v>85</v>
      </c>
      <c r="B46" s="5"/>
      <c r="C46" s="15"/>
      <c r="D46" s="40"/>
      <c r="E46" s="40"/>
      <c r="F46" s="41"/>
      <c r="G46" s="50">
        <f t="shared" si="2"/>
        <v>0</v>
      </c>
      <c r="H46" s="51">
        <f t="shared" si="3"/>
        <v>0</v>
      </c>
    </row>
    <row r="47" spans="1:8" ht="12.75">
      <c r="A47" s="56">
        <v>4100</v>
      </c>
      <c r="B47" s="17">
        <v>2219</v>
      </c>
      <c r="C47" s="146" t="s">
        <v>54</v>
      </c>
      <c r="D47" s="9">
        <v>290</v>
      </c>
      <c r="E47" s="9">
        <v>370</v>
      </c>
      <c r="F47" s="25">
        <v>146</v>
      </c>
      <c r="G47" s="48">
        <f t="shared" si="2"/>
        <v>50.3448275862069</v>
      </c>
      <c r="H47" s="49">
        <f t="shared" si="3"/>
        <v>39.45945945945946</v>
      </c>
    </row>
    <row r="48" spans="1:8" ht="12.75">
      <c r="A48" s="56">
        <v>4100</v>
      </c>
      <c r="B48" s="17">
        <v>2229</v>
      </c>
      <c r="C48" s="10" t="s">
        <v>228</v>
      </c>
      <c r="D48" s="9">
        <v>380</v>
      </c>
      <c r="E48" s="9">
        <v>830</v>
      </c>
      <c r="F48" s="25">
        <v>294</v>
      </c>
      <c r="G48" s="48">
        <f t="shared" si="2"/>
        <v>77.36842105263158</v>
      </c>
      <c r="H48" s="49">
        <f t="shared" si="3"/>
        <v>35.42168674698795</v>
      </c>
    </row>
    <row r="49" spans="1:8" ht="12.75">
      <c r="A49" s="56">
        <v>4100</v>
      </c>
      <c r="B49" s="17">
        <v>3111</v>
      </c>
      <c r="C49" s="10" t="s">
        <v>97</v>
      </c>
      <c r="D49" s="9"/>
      <c r="E49" s="9">
        <v>16</v>
      </c>
      <c r="F49" s="25"/>
      <c r="G49" s="48"/>
      <c r="H49" s="49"/>
    </row>
    <row r="50" spans="1:8" ht="12.75">
      <c r="A50" s="56">
        <v>4100</v>
      </c>
      <c r="B50" s="17">
        <v>3113</v>
      </c>
      <c r="C50" s="10" t="s">
        <v>23</v>
      </c>
      <c r="D50" s="9">
        <v>10</v>
      </c>
      <c r="E50" s="9">
        <v>22</v>
      </c>
      <c r="F50" s="25"/>
      <c r="G50" s="48">
        <f t="shared" si="2"/>
        <v>0</v>
      </c>
      <c r="H50" s="49">
        <f t="shared" si="3"/>
        <v>0</v>
      </c>
    </row>
    <row r="51" spans="1:8" ht="12.75">
      <c r="A51" s="56">
        <v>4100</v>
      </c>
      <c r="B51" s="17">
        <v>3299</v>
      </c>
      <c r="C51" s="10" t="s">
        <v>259</v>
      </c>
      <c r="D51" s="9"/>
      <c r="E51" s="9">
        <v>1</v>
      </c>
      <c r="F51" s="25">
        <v>1</v>
      </c>
      <c r="G51" s="48"/>
      <c r="H51" s="49">
        <f t="shared" si="3"/>
        <v>100</v>
      </c>
    </row>
    <row r="52" spans="1:8" ht="12.75">
      <c r="A52" s="56">
        <v>4100</v>
      </c>
      <c r="B52" s="17">
        <v>3319</v>
      </c>
      <c r="C52" s="146" t="s">
        <v>49</v>
      </c>
      <c r="D52" s="9">
        <v>200</v>
      </c>
      <c r="E52" s="9">
        <v>366</v>
      </c>
      <c r="F52" s="25">
        <v>171</v>
      </c>
      <c r="G52" s="48">
        <f t="shared" si="2"/>
        <v>85.5</v>
      </c>
      <c r="H52" s="49">
        <f t="shared" si="3"/>
        <v>46.72131147540984</v>
      </c>
    </row>
    <row r="53" spans="1:8" ht="12.75">
      <c r="A53" s="56">
        <v>4100</v>
      </c>
      <c r="B53" s="17">
        <v>3322</v>
      </c>
      <c r="C53" s="10" t="s">
        <v>28</v>
      </c>
      <c r="D53" s="9">
        <v>130</v>
      </c>
      <c r="E53" s="9">
        <v>130</v>
      </c>
      <c r="F53" s="25">
        <v>121</v>
      </c>
      <c r="G53" s="48">
        <f t="shared" si="2"/>
        <v>93.07692307692308</v>
      </c>
      <c r="H53" s="49">
        <f t="shared" si="3"/>
        <v>93.07692307692308</v>
      </c>
    </row>
    <row r="54" spans="1:8" ht="12.75">
      <c r="A54" s="56">
        <v>4100</v>
      </c>
      <c r="B54" s="17">
        <v>3412</v>
      </c>
      <c r="C54" s="10" t="s">
        <v>218</v>
      </c>
      <c r="D54" s="9">
        <v>120</v>
      </c>
      <c r="E54" s="9">
        <v>120</v>
      </c>
      <c r="F54" s="25"/>
      <c r="G54" s="48">
        <f t="shared" si="2"/>
        <v>0</v>
      </c>
      <c r="H54" s="49">
        <f t="shared" si="3"/>
        <v>0</v>
      </c>
    </row>
    <row r="55" spans="1:8" ht="12.75">
      <c r="A55" s="56">
        <v>4100</v>
      </c>
      <c r="B55" s="17">
        <v>3421</v>
      </c>
      <c r="C55" s="146" t="s">
        <v>96</v>
      </c>
      <c r="D55" s="9">
        <v>200</v>
      </c>
      <c r="E55" s="9">
        <v>204</v>
      </c>
      <c r="F55" s="25"/>
      <c r="G55" s="48">
        <f t="shared" si="2"/>
        <v>0</v>
      </c>
      <c r="H55" s="49">
        <f t="shared" si="3"/>
        <v>0</v>
      </c>
    </row>
    <row r="56" spans="1:8" ht="12.75">
      <c r="A56" s="56">
        <v>4100</v>
      </c>
      <c r="B56" s="17">
        <v>3635</v>
      </c>
      <c r="C56" s="10" t="s">
        <v>74</v>
      </c>
      <c r="D56" s="9">
        <v>8454</v>
      </c>
      <c r="E56" s="9">
        <v>8454</v>
      </c>
      <c r="F56" s="25">
        <v>5935</v>
      </c>
      <c r="G56" s="48">
        <f t="shared" si="2"/>
        <v>70.20345398627869</v>
      </c>
      <c r="H56" s="49">
        <f t="shared" si="3"/>
        <v>70.20345398627869</v>
      </c>
    </row>
    <row r="57" spans="1:8" ht="12.75">
      <c r="A57" s="56">
        <v>4100</v>
      </c>
      <c r="B57" s="17">
        <v>3636</v>
      </c>
      <c r="C57" s="10" t="s">
        <v>171</v>
      </c>
      <c r="D57" s="9">
        <v>5730</v>
      </c>
      <c r="E57" s="9">
        <v>5730</v>
      </c>
      <c r="F57" s="25">
        <v>3526</v>
      </c>
      <c r="G57" s="48">
        <f t="shared" si="2"/>
        <v>61.53577661431064</v>
      </c>
      <c r="H57" s="49">
        <f t="shared" si="3"/>
        <v>61.53577661431064</v>
      </c>
    </row>
    <row r="58" spans="1:8" ht="12.75">
      <c r="A58" s="56">
        <v>4100</v>
      </c>
      <c r="B58" s="17">
        <v>3639</v>
      </c>
      <c r="C58" s="146" t="s">
        <v>42</v>
      </c>
      <c r="D58" s="9">
        <v>38296</v>
      </c>
      <c r="E58" s="9">
        <v>24600</v>
      </c>
      <c r="F58" s="25">
        <v>1343</v>
      </c>
      <c r="G58" s="48">
        <f t="shared" si="2"/>
        <v>3.5068936703572176</v>
      </c>
      <c r="H58" s="49">
        <f t="shared" si="3"/>
        <v>5.4593495934959355</v>
      </c>
    </row>
    <row r="59" spans="1:8" ht="12.75">
      <c r="A59" s="56">
        <v>4100</v>
      </c>
      <c r="B59" s="17">
        <v>3745</v>
      </c>
      <c r="C59" s="10" t="s">
        <v>2</v>
      </c>
      <c r="D59" s="9">
        <v>2559</v>
      </c>
      <c r="E59" s="9">
        <v>8778</v>
      </c>
      <c r="F59" s="26">
        <v>1848</v>
      </c>
      <c r="G59" s="48">
        <f t="shared" si="2"/>
        <v>72.21570926143025</v>
      </c>
      <c r="H59" s="49">
        <f t="shared" si="3"/>
        <v>21.052631578947366</v>
      </c>
    </row>
    <row r="60" spans="1:8" ht="12.75">
      <c r="A60" s="56">
        <v>4100</v>
      </c>
      <c r="B60" s="17">
        <v>3792</v>
      </c>
      <c r="C60" s="10" t="s">
        <v>8</v>
      </c>
      <c r="D60" s="9"/>
      <c r="E60" s="9">
        <v>120</v>
      </c>
      <c r="F60" s="26">
        <v>120</v>
      </c>
      <c r="G60" s="48">
        <f t="shared" si="2"/>
        <v>0</v>
      </c>
      <c r="H60" s="49">
        <f t="shared" si="3"/>
        <v>100</v>
      </c>
    </row>
    <row r="61" spans="1:8" ht="12.75">
      <c r="A61" s="56">
        <v>4100</v>
      </c>
      <c r="B61" s="17">
        <v>3809</v>
      </c>
      <c r="C61" s="10" t="s">
        <v>267</v>
      </c>
      <c r="D61" s="9">
        <v>9500</v>
      </c>
      <c r="E61" s="9">
        <v>9500</v>
      </c>
      <c r="F61" s="26">
        <v>9500</v>
      </c>
      <c r="G61" s="48">
        <f t="shared" si="2"/>
        <v>100</v>
      </c>
      <c r="H61" s="49">
        <f t="shared" si="3"/>
        <v>100</v>
      </c>
    </row>
    <row r="62" spans="1:8" ht="12.75">
      <c r="A62" s="56">
        <v>4100</v>
      </c>
      <c r="B62" s="17">
        <v>6171</v>
      </c>
      <c r="C62" s="146" t="s">
        <v>9</v>
      </c>
      <c r="D62" s="9">
        <v>1500</v>
      </c>
      <c r="E62" s="9">
        <v>5371</v>
      </c>
      <c r="F62" s="26">
        <v>4770</v>
      </c>
      <c r="G62" s="48">
        <f t="shared" si="2"/>
        <v>318</v>
      </c>
      <c r="H62" s="49">
        <f t="shared" si="3"/>
        <v>88.81027741575126</v>
      </c>
    </row>
    <row r="63" spans="1:8" ht="12.75">
      <c r="A63" s="34" t="s">
        <v>205</v>
      </c>
      <c r="B63" s="5"/>
      <c r="C63" s="15"/>
      <c r="D63" s="40">
        <f>SUBTOTAL(9,D47:D62)</f>
        <v>67369</v>
      </c>
      <c r="E63" s="40">
        <f>SUBTOTAL(9,E47:E62)</f>
        <v>64612</v>
      </c>
      <c r="F63" s="40">
        <f>SUBTOTAL(9,F47:F62)</f>
        <v>27775</v>
      </c>
      <c r="G63" s="50">
        <f aca="true" t="shared" si="4" ref="G63:H79">IF(D63&lt;=0,0,$F63/D63*100)</f>
        <v>41.22816132048865</v>
      </c>
      <c r="H63" s="51">
        <f t="shared" si="4"/>
        <v>42.987370767040176</v>
      </c>
    </row>
    <row r="64" spans="1:8" ht="12.75">
      <c r="A64" s="28"/>
      <c r="B64" s="17"/>
      <c r="C64" s="10"/>
      <c r="D64" s="40"/>
      <c r="E64" s="40"/>
      <c r="F64" s="41"/>
      <c r="G64" s="50">
        <f t="shared" si="4"/>
        <v>0</v>
      </c>
      <c r="H64" s="51">
        <f t="shared" si="4"/>
        <v>0</v>
      </c>
    </row>
    <row r="65" spans="1:8" ht="12.75">
      <c r="A65" s="28" t="s">
        <v>4</v>
      </c>
      <c r="B65" s="17"/>
      <c r="C65" s="11"/>
      <c r="D65" s="40"/>
      <c r="E65" s="40"/>
      <c r="F65" s="41"/>
      <c r="G65" s="50">
        <f t="shared" si="4"/>
        <v>0</v>
      </c>
      <c r="H65" s="51">
        <f t="shared" si="4"/>
        <v>0</v>
      </c>
    </row>
    <row r="66" spans="1:8" ht="12.75">
      <c r="A66" s="56">
        <v>4200</v>
      </c>
      <c r="B66" s="17">
        <v>1014</v>
      </c>
      <c r="C66" s="10" t="s">
        <v>65</v>
      </c>
      <c r="D66" s="9">
        <v>150</v>
      </c>
      <c r="E66" s="9">
        <v>150</v>
      </c>
      <c r="F66" s="23"/>
      <c r="G66" s="48">
        <f t="shared" si="4"/>
        <v>0</v>
      </c>
      <c r="H66" s="49">
        <f t="shared" si="4"/>
        <v>0</v>
      </c>
    </row>
    <row r="67" spans="1:8" ht="12.75">
      <c r="A67" s="56">
        <v>4200</v>
      </c>
      <c r="B67" s="17">
        <v>3632</v>
      </c>
      <c r="C67" s="10" t="s">
        <v>1</v>
      </c>
      <c r="D67" s="9">
        <v>24752</v>
      </c>
      <c r="E67" s="9">
        <v>26658</v>
      </c>
      <c r="F67" s="23">
        <v>25688</v>
      </c>
      <c r="G67" s="48">
        <f t="shared" si="4"/>
        <v>103.78151260504202</v>
      </c>
      <c r="H67" s="49">
        <f t="shared" si="4"/>
        <v>96.36131742816416</v>
      </c>
    </row>
    <row r="68" spans="1:8" ht="12.75">
      <c r="A68" s="56">
        <v>4200</v>
      </c>
      <c r="B68" s="17">
        <v>3716</v>
      </c>
      <c r="C68" s="10" t="s">
        <v>66</v>
      </c>
      <c r="D68" s="9">
        <v>2825</v>
      </c>
      <c r="E68" s="9">
        <v>2825</v>
      </c>
      <c r="F68" s="23">
        <v>2443</v>
      </c>
      <c r="G68" s="48">
        <f t="shared" si="4"/>
        <v>86.4778761061947</v>
      </c>
      <c r="H68" s="49">
        <f t="shared" si="4"/>
        <v>86.4778761061947</v>
      </c>
    </row>
    <row r="69" spans="1:8" ht="12.75">
      <c r="A69" s="56">
        <v>4200</v>
      </c>
      <c r="B69" s="17">
        <v>3722</v>
      </c>
      <c r="C69" s="10" t="s">
        <v>67</v>
      </c>
      <c r="D69" s="9">
        <v>193226</v>
      </c>
      <c r="E69" s="9">
        <v>188226</v>
      </c>
      <c r="F69" s="23">
        <v>183523</v>
      </c>
      <c r="G69" s="48">
        <f t="shared" si="4"/>
        <v>94.97841905333651</v>
      </c>
      <c r="H69" s="49">
        <f t="shared" si="4"/>
        <v>97.50140788201418</v>
      </c>
    </row>
    <row r="70" spans="1:8" ht="12.75">
      <c r="A70" s="56">
        <v>4200</v>
      </c>
      <c r="B70" s="17">
        <v>3725</v>
      </c>
      <c r="C70" s="10" t="s">
        <v>68</v>
      </c>
      <c r="D70" s="9">
        <v>137124</v>
      </c>
      <c r="E70" s="9">
        <v>132588</v>
      </c>
      <c r="F70" s="23">
        <v>118077</v>
      </c>
      <c r="G70" s="48">
        <f t="shared" si="4"/>
        <v>86.10965257722937</v>
      </c>
      <c r="H70" s="49">
        <f t="shared" si="4"/>
        <v>89.05557063987692</v>
      </c>
    </row>
    <row r="71" spans="1:8" ht="12.75">
      <c r="A71" s="56">
        <v>4200</v>
      </c>
      <c r="B71" s="17">
        <v>3727</v>
      </c>
      <c r="C71" s="10" t="s">
        <v>224</v>
      </c>
      <c r="D71" s="9">
        <v>270</v>
      </c>
      <c r="E71" s="9">
        <v>1461</v>
      </c>
      <c r="F71" s="23">
        <v>1239</v>
      </c>
      <c r="G71" s="48">
        <f t="shared" si="4"/>
        <v>458.88888888888886</v>
      </c>
      <c r="H71" s="49">
        <f t="shared" si="4"/>
        <v>84.80492813141683</v>
      </c>
    </row>
    <row r="72" spans="1:8" ht="12.75">
      <c r="A72" s="56">
        <v>4200</v>
      </c>
      <c r="B72" s="17">
        <v>3729</v>
      </c>
      <c r="C72" s="10" t="s">
        <v>69</v>
      </c>
      <c r="D72" s="9">
        <v>2000</v>
      </c>
      <c r="E72" s="9">
        <v>2000</v>
      </c>
      <c r="F72" s="23">
        <v>755</v>
      </c>
      <c r="G72" s="48">
        <f t="shared" si="4"/>
        <v>37.75</v>
      </c>
      <c r="H72" s="49">
        <f t="shared" si="4"/>
        <v>37.75</v>
      </c>
    </row>
    <row r="73" spans="1:8" ht="12.75">
      <c r="A73" s="56">
        <v>4200</v>
      </c>
      <c r="B73" s="17">
        <v>3733</v>
      </c>
      <c r="C73" s="10" t="s">
        <v>70</v>
      </c>
      <c r="D73" s="9">
        <v>642</v>
      </c>
      <c r="E73" s="9">
        <v>642</v>
      </c>
      <c r="F73" s="23">
        <v>397</v>
      </c>
      <c r="G73" s="48">
        <f t="shared" si="4"/>
        <v>61.838006230529594</v>
      </c>
      <c r="H73" s="49">
        <f t="shared" si="4"/>
        <v>61.838006230529594</v>
      </c>
    </row>
    <row r="74" spans="1:8" ht="12.75">
      <c r="A74" s="56">
        <v>4200</v>
      </c>
      <c r="B74" s="17">
        <v>3739</v>
      </c>
      <c r="C74" s="10" t="s">
        <v>71</v>
      </c>
      <c r="D74" s="9">
        <v>910</v>
      </c>
      <c r="E74" s="9">
        <v>910</v>
      </c>
      <c r="F74" s="23">
        <v>263</v>
      </c>
      <c r="G74" s="48">
        <f t="shared" si="4"/>
        <v>28.901098901098898</v>
      </c>
      <c r="H74" s="49">
        <f t="shared" si="4"/>
        <v>28.901098901098898</v>
      </c>
    </row>
    <row r="75" spans="1:8" ht="12.75">
      <c r="A75" s="56">
        <v>4200</v>
      </c>
      <c r="B75" s="17">
        <v>3741</v>
      </c>
      <c r="C75" s="10" t="s">
        <v>6</v>
      </c>
      <c r="D75" s="9">
        <v>34169</v>
      </c>
      <c r="E75" s="9">
        <v>36290</v>
      </c>
      <c r="F75" s="23">
        <v>36275</v>
      </c>
      <c r="G75" s="48">
        <f t="shared" si="4"/>
        <v>106.16348151833532</v>
      </c>
      <c r="H75" s="49">
        <f t="shared" si="4"/>
        <v>99.958666299256</v>
      </c>
    </row>
    <row r="76" spans="1:8" ht="12.75">
      <c r="A76" s="56">
        <v>4200</v>
      </c>
      <c r="B76" s="17">
        <v>3742</v>
      </c>
      <c r="C76" s="10" t="s">
        <v>7</v>
      </c>
      <c r="D76" s="9">
        <v>730</v>
      </c>
      <c r="E76" s="9">
        <v>730</v>
      </c>
      <c r="F76" s="23">
        <v>648</v>
      </c>
      <c r="G76" s="48">
        <f t="shared" si="4"/>
        <v>88.76712328767124</v>
      </c>
      <c r="H76" s="49">
        <f t="shared" si="4"/>
        <v>88.76712328767124</v>
      </c>
    </row>
    <row r="77" spans="1:8" ht="12.75">
      <c r="A77" s="56">
        <v>4200</v>
      </c>
      <c r="B77" s="17">
        <v>3745</v>
      </c>
      <c r="C77" s="10" t="s">
        <v>2</v>
      </c>
      <c r="D77" s="9">
        <v>28249</v>
      </c>
      <c r="E77" s="9">
        <v>31519</v>
      </c>
      <c r="F77" s="23">
        <v>31515</v>
      </c>
      <c r="G77" s="48">
        <f t="shared" si="4"/>
        <v>111.56147120252045</v>
      </c>
      <c r="H77" s="49">
        <f t="shared" si="4"/>
        <v>99.98730924204449</v>
      </c>
    </row>
    <row r="78" spans="1:8" ht="12.75">
      <c r="A78" s="56">
        <v>4200</v>
      </c>
      <c r="B78" s="17">
        <v>3792</v>
      </c>
      <c r="C78" s="10" t="s">
        <v>8</v>
      </c>
      <c r="D78" s="9">
        <v>2018</v>
      </c>
      <c r="E78" s="9">
        <v>1986</v>
      </c>
      <c r="F78" s="23">
        <v>1903</v>
      </c>
      <c r="G78" s="48">
        <f>IF(D78&lt;=0,0,$F78/D78*100)</f>
        <v>94.30128840436075</v>
      </c>
      <c r="H78" s="49">
        <f>IF(E78&lt;=0,0,$F78/E78*100)</f>
        <v>95.82074521651562</v>
      </c>
    </row>
    <row r="79" spans="1:8" ht="12.75">
      <c r="A79" s="56">
        <v>4200</v>
      </c>
      <c r="B79" s="17">
        <v>5319</v>
      </c>
      <c r="C79" s="15" t="s">
        <v>210</v>
      </c>
      <c r="D79" s="9"/>
      <c r="E79" s="9">
        <v>20</v>
      </c>
      <c r="F79" s="23">
        <v>20</v>
      </c>
      <c r="G79" s="48">
        <f t="shared" si="4"/>
        <v>0</v>
      </c>
      <c r="H79" s="49">
        <f t="shared" si="4"/>
        <v>100</v>
      </c>
    </row>
    <row r="80" spans="1:8" ht="12.75">
      <c r="A80" s="28" t="s">
        <v>204</v>
      </c>
      <c r="B80" s="17"/>
      <c r="C80" s="10"/>
      <c r="D80" s="40">
        <f>SUBTOTAL(9,D66:D79)</f>
        <v>427065</v>
      </c>
      <c r="E80" s="40">
        <f>SUBTOTAL(9,E66:E79)</f>
        <v>426005</v>
      </c>
      <c r="F80" s="40">
        <f>SUBTOTAL(9,F66:F79)</f>
        <v>402746</v>
      </c>
      <c r="G80" s="50">
        <f aca="true" t="shared" si="5" ref="G80:H86">IF(D80&lt;=0,0,$F80/D80*100)</f>
        <v>94.30555067729736</v>
      </c>
      <c r="H80" s="51">
        <f t="shared" si="5"/>
        <v>94.54020492717221</v>
      </c>
    </row>
    <row r="81" spans="1:8" ht="12.75">
      <c r="A81" s="28"/>
      <c r="B81" s="17"/>
      <c r="C81" s="10"/>
      <c r="D81" s="40"/>
      <c r="E81" s="40"/>
      <c r="F81" s="41"/>
      <c r="G81" s="50">
        <f t="shared" si="5"/>
        <v>0</v>
      </c>
      <c r="H81" s="51">
        <f t="shared" si="5"/>
        <v>0</v>
      </c>
    </row>
    <row r="82" spans="1:8" ht="12.75">
      <c r="A82" s="28" t="s">
        <v>45</v>
      </c>
      <c r="B82" s="17"/>
      <c r="C82" s="10"/>
      <c r="D82" s="40"/>
      <c r="E82" s="40"/>
      <c r="F82" s="41"/>
      <c r="G82" s="50">
        <f t="shared" si="5"/>
        <v>0</v>
      </c>
      <c r="H82" s="51">
        <f t="shared" si="5"/>
        <v>0</v>
      </c>
    </row>
    <row r="83" spans="1:8" ht="12.75">
      <c r="A83" s="57">
        <v>4300</v>
      </c>
      <c r="B83" s="5">
        <v>1014</v>
      </c>
      <c r="C83" s="10" t="s">
        <v>268</v>
      </c>
      <c r="D83" s="6">
        <v>50</v>
      </c>
      <c r="E83" s="6">
        <v>50</v>
      </c>
      <c r="F83" s="25">
        <v>0</v>
      </c>
      <c r="G83" s="48">
        <f t="shared" si="5"/>
        <v>0</v>
      </c>
      <c r="H83" s="49">
        <f t="shared" si="5"/>
        <v>0</v>
      </c>
    </row>
    <row r="84" spans="1:8" ht="12.75">
      <c r="A84" s="57">
        <v>4300</v>
      </c>
      <c r="B84" s="5">
        <v>1037</v>
      </c>
      <c r="C84" s="15" t="s">
        <v>72</v>
      </c>
      <c r="D84" s="6">
        <v>70</v>
      </c>
      <c r="E84" s="6">
        <v>88</v>
      </c>
      <c r="F84" s="25">
        <v>67</v>
      </c>
      <c r="G84" s="48">
        <f t="shared" si="5"/>
        <v>95.71428571428572</v>
      </c>
      <c r="H84" s="49">
        <f t="shared" si="5"/>
        <v>76.13636363636364</v>
      </c>
    </row>
    <row r="85" spans="1:8" ht="12.75">
      <c r="A85" s="57">
        <v>4300</v>
      </c>
      <c r="B85" s="5">
        <v>1039</v>
      </c>
      <c r="C85" s="15" t="s">
        <v>282</v>
      </c>
      <c r="D85" s="6"/>
      <c r="E85" s="6">
        <v>342</v>
      </c>
      <c r="F85" s="25">
        <v>342</v>
      </c>
      <c r="G85" s="48"/>
      <c r="H85" s="49">
        <f>IF(E85&lt;=0,0,$F85/E85*100)</f>
        <v>100</v>
      </c>
    </row>
    <row r="86" spans="1:8" ht="12.75">
      <c r="A86" s="57">
        <v>4300</v>
      </c>
      <c r="B86" s="5">
        <v>2310</v>
      </c>
      <c r="C86" s="15" t="s">
        <v>73</v>
      </c>
      <c r="D86" s="6">
        <v>100</v>
      </c>
      <c r="E86" s="6">
        <v>100</v>
      </c>
      <c r="F86" s="25"/>
      <c r="G86" s="48">
        <f t="shared" si="5"/>
        <v>0</v>
      </c>
      <c r="H86" s="49">
        <f t="shared" si="5"/>
        <v>0</v>
      </c>
    </row>
    <row r="87" spans="1:8" ht="12.75">
      <c r="A87" s="57">
        <v>4300</v>
      </c>
      <c r="B87" s="5">
        <v>2321</v>
      </c>
      <c r="C87" s="15" t="s">
        <v>269</v>
      </c>
      <c r="D87" s="6">
        <v>288</v>
      </c>
      <c r="E87" s="6">
        <v>288</v>
      </c>
      <c r="F87" s="25">
        <v>236</v>
      </c>
      <c r="G87" s="48">
        <f>IF(D87&lt;=0,0,$F87/D87*100)</f>
        <v>81.94444444444444</v>
      </c>
      <c r="H87" s="49">
        <f>IF(E87&lt;=0,0,$F87/E87*100)</f>
        <v>81.94444444444444</v>
      </c>
    </row>
    <row r="88" spans="1:8" ht="12.75">
      <c r="A88" s="57">
        <v>4300</v>
      </c>
      <c r="B88" s="5">
        <v>2331</v>
      </c>
      <c r="C88" s="291" t="s">
        <v>276</v>
      </c>
      <c r="D88" s="6"/>
      <c r="E88" s="6">
        <v>5680</v>
      </c>
      <c r="F88" s="25">
        <v>1954</v>
      </c>
      <c r="G88" s="48">
        <f aca="true" t="shared" si="6" ref="G88:G93">IF(D88&lt;=0,0,$F88/D88*100)</f>
        <v>0</v>
      </c>
      <c r="H88" s="49">
        <f aca="true" t="shared" si="7" ref="H88:H93">IF(E88&lt;=0,0,$F88/E88*100)</f>
        <v>34.401408450704224</v>
      </c>
    </row>
    <row r="89" spans="1:8" ht="12.75">
      <c r="A89" s="57">
        <v>4300</v>
      </c>
      <c r="B89" s="5">
        <v>2333</v>
      </c>
      <c r="C89" s="47" t="s">
        <v>22</v>
      </c>
      <c r="D89" s="6">
        <v>3600</v>
      </c>
      <c r="E89" s="6">
        <v>3600</v>
      </c>
      <c r="F89" s="25">
        <v>3599</v>
      </c>
      <c r="G89" s="48">
        <f t="shared" si="6"/>
        <v>99.97222222222221</v>
      </c>
      <c r="H89" s="49">
        <f t="shared" si="7"/>
        <v>99.97222222222221</v>
      </c>
    </row>
    <row r="90" spans="1:8" ht="12.75">
      <c r="A90" s="57">
        <v>4300</v>
      </c>
      <c r="B90" s="5">
        <v>3639</v>
      </c>
      <c r="C90" s="47" t="s">
        <v>42</v>
      </c>
      <c r="D90" s="6"/>
      <c r="E90" s="6">
        <v>1400</v>
      </c>
      <c r="F90" s="25">
        <v>768</v>
      </c>
      <c r="G90" s="48">
        <f t="shared" si="6"/>
        <v>0</v>
      </c>
      <c r="H90" s="49">
        <f t="shared" si="7"/>
        <v>54.85714285714286</v>
      </c>
    </row>
    <row r="91" spans="1:8" ht="12.75">
      <c r="A91" s="57">
        <v>4300</v>
      </c>
      <c r="B91" s="5">
        <v>3739</v>
      </c>
      <c r="C91" s="15" t="s">
        <v>71</v>
      </c>
      <c r="D91" s="6">
        <v>250</v>
      </c>
      <c r="E91" s="6">
        <v>250</v>
      </c>
      <c r="F91" s="25"/>
      <c r="G91" s="48">
        <f t="shared" si="6"/>
        <v>0</v>
      </c>
      <c r="H91" s="49">
        <f t="shared" si="7"/>
        <v>0</v>
      </c>
    </row>
    <row r="92" spans="1:8" ht="12.75">
      <c r="A92" s="57">
        <v>4300</v>
      </c>
      <c r="B92" s="5">
        <v>3744</v>
      </c>
      <c r="C92" s="15" t="s">
        <v>75</v>
      </c>
      <c r="D92" s="6">
        <v>396</v>
      </c>
      <c r="E92" s="6">
        <v>396</v>
      </c>
      <c r="F92" s="25"/>
      <c r="G92" s="48">
        <f t="shared" si="6"/>
        <v>0</v>
      </c>
      <c r="H92" s="49">
        <f t="shared" si="7"/>
        <v>0</v>
      </c>
    </row>
    <row r="93" spans="1:8" ht="12.75">
      <c r="A93" s="57">
        <v>4300</v>
      </c>
      <c r="B93" s="5">
        <v>3745</v>
      </c>
      <c r="C93" s="15" t="s">
        <v>2</v>
      </c>
      <c r="D93" s="6">
        <v>10958</v>
      </c>
      <c r="E93" s="6">
        <v>10958</v>
      </c>
      <c r="F93" s="25">
        <v>10956</v>
      </c>
      <c r="G93" s="48">
        <f t="shared" si="6"/>
        <v>99.98174849425078</v>
      </c>
      <c r="H93" s="49">
        <f t="shared" si="7"/>
        <v>99.98174849425078</v>
      </c>
    </row>
    <row r="94" spans="1:8" ht="12.75">
      <c r="A94" s="34" t="s">
        <v>206</v>
      </c>
      <c r="B94" s="5"/>
      <c r="C94" s="15"/>
      <c r="D94" s="40">
        <f>SUBTOTAL(9,D83:D93)</f>
        <v>15712</v>
      </c>
      <c r="E94" s="40">
        <f>SUBTOTAL(9,E83:E93)</f>
        <v>23152</v>
      </c>
      <c r="F94" s="40">
        <f>SUBTOTAL(9,F83:F93)</f>
        <v>17922</v>
      </c>
      <c r="G94" s="50">
        <f aca="true" t="shared" si="8" ref="G94:G150">IF(D94&lt;=0,0,$F94/D94*100)</f>
        <v>114.06568228105907</v>
      </c>
      <c r="H94" s="51">
        <f aca="true" t="shared" si="9" ref="H94:H150">IF(E94&lt;=0,0,$F94/E94*100)</f>
        <v>77.4101589495508</v>
      </c>
    </row>
    <row r="95" spans="1:8" ht="12.75">
      <c r="A95" s="34"/>
      <c r="B95" s="5"/>
      <c r="C95" s="15"/>
      <c r="D95" s="40"/>
      <c r="E95" s="40"/>
      <c r="F95" s="41"/>
      <c r="G95" s="50">
        <f t="shared" si="8"/>
        <v>0</v>
      </c>
      <c r="H95" s="51">
        <f t="shared" si="9"/>
        <v>0</v>
      </c>
    </row>
    <row r="96" spans="1:8" ht="12.75">
      <c r="A96" s="32" t="s">
        <v>38</v>
      </c>
      <c r="B96" s="19"/>
      <c r="C96" s="8"/>
      <c r="D96" s="40"/>
      <c r="E96" s="40"/>
      <c r="F96" s="41"/>
      <c r="G96" s="50">
        <f t="shared" si="8"/>
        <v>0</v>
      </c>
      <c r="H96" s="51">
        <f t="shared" si="9"/>
        <v>0</v>
      </c>
    </row>
    <row r="97" spans="1:8" ht="12.75">
      <c r="A97" s="56">
        <v>5300</v>
      </c>
      <c r="B97" s="17">
        <v>6171</v>
      </c>
      <c r="C97" s="10" t="s">
        <v>9</v>
      </c>
      <c r="D97" s="9">
        <v>199755</v>
      </c>
      <c r="E97" s="9">
        <v>199755</v>
      </c>
      <c r="F97" s="23">
        <v>183961</v>
      </c>
      <c r="G97" s="48">
        <f>IF(D97&lt;=0,0,$F97/D97*100)</f>
        <v>92.09331431002978</v>
      </c>
      <c r="H97" s="49">
        <f>IF(E97&lt;=0,0,$F97/E97*100)</f>
        <v>92.09331431002978</v>
      </c>
    </row>
    <row r="98" spans="1:8" ht="12.75">
      <c r="A98" s="28" t="s">
        <v>43</v>
      </c>
      <c r="B98" s="17"/>
      <c r="C98" s="10"/>
      <c r="D98" s="40">
        <f>SUBTOTAL(9,D97:D97)</f>
        <v>199755</v>
      </c>
      <c r="E98" s="40">
        <f>SUBTOTAL(9,E97:E97)</f>
        <v>199755</v>
      </c>
      <c r="F98" s="41">
        <f>SUBTOTAL(9,F97:F97)</f>
        <v>183961</v>
      </c>
      <c r="G98" s="50">
        <f t="shared" si="8"/>
        <v>92.09331431002978</v>
      </c>
      <c r="H98" s="51">
        <f t="shared" si="9"/>
        <v>92.09331431002978</v>
      </c>
    </row>
    <row r="99" spans="1:8" ht="12.75">
      <c r="A99" s="33"/>
      <c r="B99" s="20"/>
      <c r="C99" s="12"/>
      <c r="D99" s="40"/>
      <c r="E99" s="40"/>
      <c r="F99" s="41"/>
      <c r="G99" s="50">
        <f t="shared" si="8"/>
        <v>0</v>
      </c>
      <c r="H99" s="51">
        <f t="shared" si="9"/>
        <v>0</v>
      </c>
    </row>
    <row r="100" spans="1:8" ht="12.75">
      <c r="A100" s="33" t="s">
        <v>17</v>
      </c>
      <c r="B100" s="20"/>
      <c r="C100" s="12"/>
      <c r="D100" s="40"/>
      <c r="E100" s="40"/>
      <c r="F100" s="41"/>
      <c r="G100" s="50">
        <f t="shared" si="8"/>
        <v>0</v>
      </c>
      <c r="H100" s="51">
        <f t="shared" si="9"/>
        <v>0</v>
      </c>
    </row>
    <row r="101" spans="1:8" ht="12.75">
      <c r="A101" s="58">
        <v>5400</v>
      </c>
      <c r="B101" s="20">
        <v>2143</v>
      </c>
      <c r="C101" s="12" t="s">
        <v>193</v>
      </c>
      <c r="D101" s="13">
        <v>1516</v>
      </c>
      <c r="E101" s="13">
        <v>1653</v>
      </c>
      <c r="F101" s="26">
        <v>1653</v>
      </c>
      <c r="G101" s="48">
        <f t="shared" si="8"/>
        <v>109.03693931398418</v>
      </c>
      <c r="H101" s="49">
        <f t="shared" si="9"/>
        <v>100</v>
      </c>
    </row>
    <row r="102" spans="1:8" ht="12.75">
      <c r="A102" s="58">
        <v>5400</v>
      </c>
      <c r="B102" s="20">
        <v>2212</v>
      </c>
      <c r="C102" s="12" t="s">
        <v>19</v>
      </c>
      <c r="D102" s="13">
        <v>549792</v>
      </c>
      <c r="E102" s="13">
        <v>561337</v>
      </c>
      <c r="F102" s="26">
        <v>560165</v>
      </c>
      <c r="G102" s="48">
        <f t="shared" si="8"/>
        <v>101.88671352074967</v>
      </c>
      <c r="H102" s="49">
        <f t="shared" si="9"/>
        <v>99.79121276523728</v>
      </c>
    </row>
    <row r="103" spans="1:8" ht="12.75">
      <c r="A103" s="58">
        <v>5400</v>
      </c>
      <c r="B103" s="20">
        <v>2219</v>
      </c>
      <c r="C103" s="12" t="s">
        <v>270</v>
      </c>
      <c r="D103" s="13">
        <v>1500</v>
      </c>
      <c r="E103" s="13">
        <v>3400</v>
      </c>
      <c r="F103" s="26">
        <v>2572</v>
      </c>
      <c r="G103" s="48">
        <f t="shared" si="8"/>
        <v>171.46666666666667</v>
      </c>
      <c r="H103" s="49">
        <f t="shared" si="9"/>
        <v>75.6470588235294</v>
      </c>
    </row>
    <row r="104" spans="1:8" ht="12.75">
      <c r="A104" s="58">
        <v>5400</v>
      </c>
      <c r="B104" s="20">
        <v>2229</v>
      </c>
      <c r="C104" s="12" t="s">
        <v>228</v>
      </c>
      <c r="D104" s="13">
        <v>1741000</v>
      </c>
      <c r="E104" s="13">
        <v>1744296</v>
      </c>
      <c r="F104" s="26">
        <v>1744296</v>
      </c>
      <c r="G104" s="48">
        <f t="shared" si="8"/>
        <v>100.18931648477887</v>
      </c>
      <c r="H104" s="49">
        <f t="shared" si="9"/>
        <v>100</v>
      </c>
    </row>
    <row r="105" spans="1:8" ht="12.75">
      <c r="A105" s="58">
        <v>5400</v>
      </c>
      <c r="B105" s="20">
        <v>2271</v>
      </c>
      <c r="C105" s="12" t="s">
        <v>20</v>
      </c>
      <c r="D105" s="13">
        <v>4250</v>
      </c>
      <c r="E105" s="13">
        <v>5153</v>
      </c>
      <c r="F105" s="26">
        <v>4743</v>
      </c>
      <c r="G105" s="48">
        <f t="shared" si="8"/>
        <v>111.60000000000001</v>
      </c>
      <c r="H105" s="49">
        <f t="shared" si="9"/>
        <v>92.04346982340384</v>
      </c>
    </row>
    <row r="106" spans="1:8" ht="12.75">
      <c r="A106" s="58">
        <v>5400</v>
      </c>
      <c r="B106" s="20">
        <v>2299</v>
      </c>
      <c r="C106" s="12" t="s">
        <v>76</v>
      </c>
      <c r="D106" s="13">
        <v>6040</v>
      </c>
      <c r="E106" s="13">
        <v>5710</v>
      </c>
      <c r="F106" s="26">
        <v>5604</v>
      </c>
      <c r="G106" s="48">
        <f t="shared" si="8"/>
        <v>92.78145695364238</v>
      </c>
      <c r="H106" s="49">
        <f t="shared" si="9"/>
        <v>98.14360770577933</v>
      </c>
    </row>
    <row r="107" spans="1:8" ht="12.75">
      <c r="A107" s="58">
        <v>5400</v>
      </c>
      <c r="B107" s="20">
        <v>3636</v>
      </c>
      <c r="C107" s="12" t="s">
        <v>171</v>
      </c>
      <c r="D107" s="13">
        <v>3200</v>
      </c>
      <c r="E107" s="13">
        <v>3200</v>
      </c>
      <c r="F107" s="26">
        <v>3176</v>
      </c>
      <c r="G107" s="48">
        <f t="shared" si="8"/>
        <v>99.25</v>
      </c>
      <c r="H107" s="49">
        <f t="shared" si="9"/>
        <v>99.25</v>
      </c>
    </row>
    <row r="108" spans="1:8" ht="12.75">
      <c r="A108" s="33" t="s">
        <v>15</v>
      </c>
      <c r="B108" s="20"/>
      <c r="C108" s="12"/>
      <c r="D108" s="40">
        <f>SUBTOTAL(9,D101:D107)</f>
        <v>2307298</v>
      </c>
      <c r="E108" s="40">
        <f>SUBTOTAL(9,E101:E107)</f>
        <v>2324749</v>
      </c>
      <c r="F108" s="41">
        <f>SUBTOTAL(9,F101:F107)</f>
        <v>2322209</v>
      </c>
      <c r="G108" s="50">
        <f t="shared" si="8"/>
        <v>100.64625375655854</v>
      </c>
      <c r="H108" s="51">
        <f t="shared" si="9"/>
        <v>99.89074089288779</v>
      </c>
    </row>
    <row r="109" spans="1:8" ht="12.75">
      <c r="A109" s="33"/>
      <c r="B109" s="20"/>
      <c r="C109" s="12"/>
      <c r="D109" s="40"/>
      <c r="E109" s="40"/>
      <c r="F109" s="41"/>
      <c r="G109" s="50">
        <f t="shared" si="8"/>
        <v>0</v>
      </c>
      <c r="H109" s="51">
        <f t="shared" si="9"/>
        <v>0</v>
      </c>
    </row>
    <row r="110" spans="1:8" ht="12.75">
      <c r="A110" s="33" t="s">
        <v>18</v>
      </c>
      <c r="B110" s="20"/>
      <c r="C110" s="12"/>
      <c r="D110" s="40"/>
      <c r="E110" s="40"/>
      <c r="F110" s="41"/>
      <c r="G110" s="50">
        <f t="shared" si="8"/>
        <v>0</v>
      </c>
      <c r="H110" s="51">
        <f t="shared" si="9"/>
        <v>0</v>
      </c>
    </row>
    <row r="111" spans="1:8" ht="12.75">
      <c r="A111" s="58">
        <v>5600</v>
      </c>
      <c r="B111" s="20">
        <v>3636</v>
      </c>
      <c r="C111" s="12" t="s">
        <v>171</v>
      </c>
      <c r="D111" s="13">
        <v>180</v>
      </c>
      <c r="E111" s="13">
        <v>180</v>
      </c>
      <c r="F111" s="26">
        <v>166</v>
      </c>
      <c r="G111" s="48">
        <f t="shared" si="8"/>
        <v>92.22222222222223</v>
      </c>
      <c r="H111" s="49">
        <f t="shared" si="9"/>
        <v>92.22222222222223</v>
      </c>
    </row>
    <row r="112" spans="1:8" ht="12.75">
      <c r="A112" s="58">
        <v>5600</v>
      </c>
      <c r="B112" s="20">
        <v>3639</v>
      </c>
      <c r="C112" s="12" t="s">
        <v>42</v>
      </c>
      <c r="D112" s="13">
        <v>2200</v>
      </c>
      <c r="E112" s="13">
        <v>2200</v>
      </c>
      <c r="F112" s="26">
        <v>1902</v>
      </c>
      <c r="G112" s="48">
        <f t="shared" si="8"/>
        <v>86.45454545454545</v>
      </c>
      <c r="H112" s="49">
        <f t="shared" si="9"/>
        <v>86.45454545454545</v>
      </c>
    </row>
    <row r="113" spans="1:8" ht="12.75">
      <c r="A113" s="58">
        <v>5600</v>
      </c>
      <c r="B113" s="20">
        <v>3745</v>
      </c>
      <c r="C113" s="12" t="s">
        <v>2</v>
      </c>
      <c r="D113" s="13">
        <v>600</v>
      </c>
      <c r="E113" s="13">
        <v>600</v>
      </c>
      <c r="F113" s="26">
        <v>187</v>
      </c>
      <c r="G113" s="48">
        <f t="shared" si="8"/>
        <v>31.166666666666664</v>
      </c>
      <c r="H113" s="49">
        <f t="shared" si="9"/>
        <v>31.166666666666664</v>
      </c>
    </row>
    <row r="114" spans="1:8" ht="12.75">
      <c r="A114" s="33" t="s">
        <v>16</v>
      </c>
      <c r="B114" s="20"/>
      <c r="C114" s="12"/>
      <c r="D114" s="40">
        <f>SUBTOTAL(9,D111:D113)</f>
        <v>2980</v>
      </c>
      <c r="E114" s="40">
        <f>SUBTOTAL(9,E111:E113)</f>
        <v>2980</v>
      </c>
      <c r="F114" s="40">
        <f>SUBTOTAL(9,F111:F113)</f>
        <v>2255</v>
      </c>
      <c r="G114" s="50">
        <f t="shared" si="8"/>
        <v>75.67114093959731</v>
      </c>
      <c r="H114" s="51">
        <f t="shared" si="9"/>
        <v>75.67114093959731</v>
      </c>
    </row>
    <row r="115" spans="1:8" ht="12.75">
      <c r="A115" s="33"/>
      <c r="B115" s="20"/>
      <c r="C115" s="12"/>
      <c r="D115" s="40"/>
      <c r="E115" s="40"/>
      <c r="F115" s="41"/>
      <c r="G115" s="50">
        <f t="shared" si="8"/>
        <v>0</v>
      </c>
      <c r="H115" s="51">
        <f t="shared" si="9"/>
        <v>0</v>
      </c>
    </row>
    <row r="116" spans="1:8" ht="12.75">
      <c r="A116" s="33" t="s">
        <v>46</v>
      </c>
      <c r="B116" s="20"/>
      <c r="C116" s="12"/>
      <c r="D116" s="40"/>
      <c r="E116" s="40"/>
      <c r="F116" s="41"/>
      <c r="G116" s="50">
        <f t="shared" si="8"/>
        <v>0</v>
      </c>
      <c r="H116" s="51">
        <f t="shared" si="9"/>
        <v>0</v>
      </c>
    </row>
    <row r="117" spans="1:8" ht="12.75">
      <c r="A117" s="57">
        <v>5700</v>
      </c>
      <c r="B117" s="5">
        <v>2310</v>
      </c>
      <c r="C117" s="15" t="s">
        <v>73</v>
      </c>
      <c r="D117" s="13">
        <v>592</v>
      </c>
      <c r="E117" s="13">
        <v>592</v>
      </c>
      <c r="F117" s="25">
        <v>91</v>
      </c>
      <c r="G117" s="48">
        <f t="shared" si="8"/>
        <v>15.371621621621623</v>
      </c>
      <c r="H117" s="49">
        <f t="shared" si="9"/>
        <v>15.371621621621623</v>
      </c>
    </row>
    <row r="118" spans="1:8" ht="12.75">
      <c r="A118" s="57">
        <v>5700</v>
      </c>
      <c r="B118" s="5">
        <v>2321</v>
      </c>
      <c r="C118" s="15" t="s">
        <v>77</v>
      </c>
      <c r="D118" s="13">
        <v>920</v>
      </c>
      <c r="E118" s="13">
        <v>1320</v>
      </c>
      <c r="F118" s="25">
        <v>964</v>
      </c>
      <c r="G118" s="48">
        <f t="shared" si="8"/>
        <v>104.78260869565217</v>
      </c>
      <c r="H118" s="49">
        <f t="shared" si="9"/>
        <v>73.03030303030303</v>
      </c>
    </row>
    <row r="119" spans="1:8" ht="12.75">
      <c r="A119" s="57">
        <v>5700</v>
      </c>
      <c r="B119" s="5">
        <v>3319</v>
      </c>
      <c r="C119" s="15" t="s">
        <v>49</v>
      </c>
      <c r="D119" s="13"/>
      <c r="E119" s="13">
        <v>1500</v>
      </c>
      <c r="F119" s="25">
        <v>1500</v>
      </c>
      <c r="G119" s="48"/>
      <c r="H119" s="49">
        <f t="shared" si="9"/>
        <v>100</v>
      </c>
    </row>
    <row r="120" spans="1:8" ht="12.75">
      <c r="A120" s="57">
        <v>5700</v>
      </c>
      <c r="B120" s="5">
        <v>3631</v>
      </c>
      <c r="C120" s="15" t="s">
        <v>10</v>
      </c>
      <c r="D120" s="13">
        <v>138942</v>
      </c>
      <c r="E120" s="13">
        <v>139442</v>
      </c>
      <c r="F120" s="25">
        <v>138337</v>
      </c>
      <c r="G120" s="48">
        <f t="shared" si="8"/>
        <v>99.56456650976666</v>
      </c>
      <c r="H120" s="49">
        <f t="shared" si="9"/>
        <v>99.20755582966395</v>
      </c>
    </row>
    <row r="121" spans="1:8" ht="12.75">
      <c r="A121" s="57">
        <v>5700</v>
      </c>
      <c r="B121" s="5">
        <v>3633</v>
      </c>
      <c r="C121" s="15" t="s">
        <v>47</v>
      </c>
      <c r="D121" s="13">
        <v>18791</v>
      </c>
      <c r="E121" s="13">
        <v>18816</v>
      </c>
      <c r="F121" s="25">
        <v>18587</v>
      </c>
      <c r="G121" s="48">
        <f t="shared" si="8"/>
        <v>98.91437390240009</v>
      </c>
      <c r="H121" s="49">
        <f t="shared" si="9"/>
        <v>98.78295068027211</v>
      </c>
    </row>
    <row r="122" spans="1:8" ht="12.75">
      <c r="A122" s="57">
        <v>5700</v>
      </c>
      <c r="B122" s="5">
        <v>3699</v>
      </c>
      <c r="C122" s="15" t="s">
        <v>78</v>
      </c>
      <c r="D122" s="13">
        <v>4160</v>
      </c>
      <c r="E122" s="13">
        <v>3635</v>
      </c>
      <c r="F122" s="25">
        <v>2167</v>
      </c>
      <c r="G122" s="48">
        <f t="shared" si="8"/>
        <v>52.09134615384615</v>
      </c>
      <c r="H122" s="49">
        <f t="shared" si="9"/>
        <v>59.61485557083906</v>
      </c>
    </row>
    <row r="123" spans="1:8" ht="12.75">
      <c r="A123" s="34" t="s">
        <v>11</v>
      </c>
      <c r="B123" s="5"/>
      <c r="C123" s="15"/>
      <c r="D123" s="40">
        <f>SUBTOTAL(9,D117:D122)</f>
        <v>163405</v>
      </c>
      <c r="E123" s="40">
        <f>SUBTOTAL(9,E117:E122)</f>
        <v>165305</v>
      </c>
      <c r="F123" s="41">
        <f>SUBTOTAL(9,F117:F122)</f>
        <v>161646</v>
      </c>
      <c r="G123" s="50">
        <f t="shared" si="8"/>
        <v>98.9235335516049</v>
      </c>
      <c r="H123" s="51">
        <f t="shared" si="9"/>
        <v>97.78651583436677</v>
      </c>
    </row>
    <row r="124" spans="1:8" ht="12.75">
      <c r="A124" s="34"/>
      <c r="B124" s="5"/>
      <c r="C124" s="15"/>
      <c r="D124" s="40"/>
      <c r="E124" s="40"/>
      <c r="F124" s="41"/>
      <c r="G124" s="50">
        <f t="shared" si="8"/>
        <v>0</v>
      </c>
      <c r="H124" s="51">
        <f t="shared" si="9"/>
        <v>0</v>
      </c>
    </row>
    <row r="125" spans="1:8" ht="12.75">
      <c r="A125" s="34" t="s">
        <v>230</v>
      </c>
      <c r="B125" s="5"/>
      <c r="C125" s="15"/>
      <c r="D125" s="40"/>
      <c r="E125" s="40"/>
      <c r="F125" s="41"/>
      <c r="G125" s="50">
        <f t="shared" si="8"/>
        <v>0</v>
      </c>
      <c r="H125" s="51">
        <f t="shared" si="9"/>
        <v>0</v>
      </c>
    </row>
    <row r="126" spans="1:8" ht="12.75">
      <c r="A126" s="57">
        <v>6200</v>
      </c>
      <c r="B126" s="5">
        <v>3612</v>
      </c>
      <c r="C126" s="14" t="s">
        <v>12</v>
      </c>
      <c r="D126" s="6">
        <v>375100</v>
      </c>
      <c r="E126" s="6">
        <v>486100</v>
      </c>
      <c r="F126" s="25">
        <v>242635</v>
      </c>
      <c r="G126" s="48">
        <f>IF(D126&lt;=0,0,$F126/D126*100)</f>
        <v>64.68541722207412</v>
      </c>
      <c r="H126" s="49">
        <f>IF(E126&lt;=0,0,$F126/E126*100)</f>
        <v>49.914626620037026</v>
      </c>
    </row>
    <row r="127" spans="1:8" ht="12.75">
      <c r="A127" s="57">
        <v>6200</v>
      </c>
      <c r="B127" s="5">
        <v>3619</v>
      </c>
      <c r="C127" s="14" t="s">
        <v>81</v>
      </c>
      <c r="D127" s="6">
        <v>47193</v>
      </c>
      <c r="E127" s="6">
        <v>35091</v>
      </c>
      <c r="F127" s="25">
        <v>9317</v>
      </c>
      <c r="G127" s="52">
        <f t="shared" si="8"/>
        <v>19.742334668277074</v>
      </c>
      <c r="H127" s="54">
        <f t="shared" si="9"/>
        <v>26.550967484540195</v>
      </c>
    </row>
    <row r="128" spans="1:8" ht="12.75">
      <c r="A128" s="34" t="s">
        <v>80</v>
      </c>
      <c r="B128" s="5"/>
      <c r="C128" s="15"/>
      <c r="D128" s="40">
        <f>SUBTOTAL(9,D126:D127)</f>
        <v>422293</v>
      </c>
      <c r="E128" s="40">
        <f>SUBTOTAL(9,E126:E127)</f>
        <v>521191</v>
      </c>
      <c r="F128" s="41">
        <f>SUBTOTAL(9,F126:F127)</f>
        <v>251952</v>
      </c>
      <c r="G128" s="50">
        <f t="shared" si="8"/>
        <v>59.662840729067256</v>
      </c>
      <c r="H128" s="51">
        <f t="shared" si="9"/>
        <v>48.34158686546775</v>
      </c>
    </row>
    <row r="129" spans="1:8" ht="12.75">
      <c r="A129" s="34"/>
      <c r="B129" s="5"/>
      <c r="C129" s="15"/>
      <c r="D129" s="40"/>
      <c r="E129" s="40"/>
      <c r="F129" s="41"/>
      <c r="G129" s="50">
        <f t="shared" si="8"/>
        <v>0</v>
      </c>
      <c r="H129" s="51">
        <f t="shared" si="9"/>
        <v>0</v>
      </c>
    </row>
    <row r="130" spans="1:8" ht="12.75">
      <c r="A130" s="34" t="s">
        <v>215</v>
      </c>
      <c r="B130" s="5"/>
      <c r="C130" s="15"/>
      <c r="D130" s="40"/>
      <c r="E130" s="40"/>
      <c r="F130" s="41"/>
      <c r="G130" s="50">
        <f t="shared" si="8"/>
        <v>0</v>
      </c>
      <c r="H130" s="51">
        <f t="shared" si="9"/>
        <v>0</v>
      </c>
    </row>
    <row r="131" spans="1:8" ht="12.75">
      <c r="A131" s="57">
        <v>6300</v>
      </c>
      <c r="B131" s="5" t="s">
        <v>79</v>
      </c>
      <c r="C131" s="12" t="s">
        <v>42</v>
      </c>
      <c r="D131" s="6">
        <v>25341</v>
      </c>
      <c r="E131" s="6">
        <v>29023</v>
      </c>
      <c r="F131" s="25">
        <v>24367</v>
      </c>
      <c r="G131" s="48">
        <f>IF(D131&lt;=0,0,$F131/D131*100)</f>
        <v>96.15642634465885</v>
      </c>
      <c r="H131" s="49">
        <f>IF(E131&lt;=0,0,$F131/E131*100)</f>
        <v>83.95755090790064</v>
      </c>
    </row>
    <row r="132" spans="1:8" ht="12.75">
      <c r="A132" s="34" t="s">
        <v>216</v>
      </c>
      <c r="B132" s="5"/>
      <c r="C132" s="15"/>
      <c r="D132" s="40">
        <f>SUBTOTAL(9,D129:D131)</f>
        <v>25341</v>
      </c>
      <c r="E132" s="40">
        <f>SUBTOTAL(9,E129:E131)</f>
        <v>29023</v>
      </c>
      <c r="F132" s="41">
        <f>SUBTOTAL(9,F129:F131)</f>
        <v>24367</v>
      </c>
      <c r="G132" s="50">
        <f t="shared" si="8"/>
        <v>96.15642634465885</v>
      </c>
      <c r="H132" s="51">
        <f t="shared" si="9"/>
        <v>83.95755090790064</v>
      </c>
    </row>
    <row r="133" spans="1:8" ht="12.75">
      <c r="A133" s="34"/>
      <c r="B133" s="5"/>
      <c r="C133" s="15"/>
      <c r="D133" s="40"/>
      <c r="E133" s="40"/>
      <c r="F133" s="41"/>
      <c r="G133" s="50">
        <f t="shared" si="8"/>
        <v>0</v>
      </c>
      <c r="H133" s="51">
        <f t="shared" si="9"/>
        <v>0</v>
      </c>
    </row>
    <row r="134" spans="1:8" ht="12.75">
      <c r="A134" s="35" t="s">
        <v>234</v>
      </c>
      <c r="B134" s="16"/>
      <c r="C134" s="14"/>
      <c r="D134" s="40"/>
      <c r="E134" s="40"/>
      <c r="F134" s="41"/>
      <c r="G134" s="50">
        <f t="shared" si="8"/>
        <v>0</v>
      </c>
      <c r="H134" s="51">
        <f t="shared" si="9"/>
        <v>0</v>
      </c>
    </row>
    <row r="135" spans="1:8" s="80" customFormat="1" ht="12.75">
      <c r="A135" s="59">
        <v>6600</v>
      </c>
      <c r="B135" s="16">
        <v>2333</v>
      </c>
      <c r="C135" s="14" t="s">
        <v>22</v>
      </c>
      <c r="D135" s="9">
        <v>500</v>
      </c>
      <c r="E135" s="9">
        <v>500</v>
      </c>
      <c r="F135" s="23">
        <v>269</v>
      </c>
      <c r="G135" s="48">
        <f t="shared" si="8"/>
        <v>53.800000000000004</v>
      </c>
      <c r="H135" s="49">
        <f t="shared" si="9"/>
        <v>53.800000000000004</v>
      </c>
    </row>
    <row r="136" spans="1:8" s="80" customFormat="1" ht="12.75">
      <c r="A136" s="59">
        <v>6600</v>
      </c>
      <c r="B136" s="16">
        <v>3322</v>
      </c>
      <c r="C136" s="14" t="s">
        <v>28</v>
      </c>
      <c r="D136" s="9">
        <v>500</v>
      </c>
      <c r="E136" s="9">
        <v>600</v>
      </c>
      <c r="F136" s="23">
        <v>524</v>
      </c>
      <c r="G136" s="48">
        <f t="shared" si="8"/>
        <v>104.80000000000001</v>
      </c>
      <c r="H136" s="49">
        <f t="shared" si="9"/>
        <v>87.33333333333333</v>
      </c>
    </row>
    <row r="137" spans="1:8" s="80" customFormat="1" ht="12.75">
      <c r="A137" s="59">
        <v>6600</v>
      </c>
      <c r="B137" s="5">
        <v>3612</v>
      </c>
      <c r="C137" s="14" t="s">
        <v>12</v>
      </c>
      <c r="D137" s="9">
        <v>20110</v>
      </c>
      <c r="E137" s="9">
        <v>43505</v>
      </c>
      <c r="F137" s="23">
        <v>20503</v>
      </c>
      <c r="G137" s="48">
        <f t="shared" si="8"/>
        <v>101.95425161611138</v>
      </c>
      <c r="H137" s="49">
        <f t="shared" si="9"/>
        <v>47.127916331456156</v>
      </c>
    </row>
    <row r="138" spans="1:8" ht="12.75">
      <c r="A138" s="59">
        <v>6600</v>
      </c>
      <c r="B138" s="5">
        <v>3639</v>
      </c>
      <c r="C138" s="12" t="s">
        <v>42</v>
      </c>
      <c r="D138" s="6">
        <v>52079</v>
      </c>
      <c r="E138" s="6">
        <v>50735</v>
      </c>
      <c r="F138" s="25">
        <v>41915</v>
      </c>
      <c r="G138" s="48">
        <f t="shared" si="8"/>
        <v>80.48349622688607</v>
      </c>
      <c r="H138" s="49">
        <f t="shared" si="9"/>
        <v>82.61555139450084</v>
      </c>
    </row>
    <row r="139" spans="1:8" ht="12.75">
      <c r="A139" s="59">
        <v>6600</v>
      </c>
      <c r="B139" s="5">
        <v>4341</v>
      </c>
      <c r="C139" s="90" t="s">
        <v>82</v>
      </c>
      <c r="D139" s="6">
        <v>3273</v>
      </c>
      <c r="E139" s="6">
        <v>3273</v>
      </c>
      <c r="F139" s="25">
        <v>2788</v>
      </c>
      <c r="G139" s="48">
        <f t="shared" si="8"/>
        <v>85.18179040635503</v>
      </c>
      <c r="H139" s="49">
        <f t="shared" si="9"/>
        <v>85.18179040635503</v>
      </c>
    </row>
    <row r="140" spans="1:8" ht="12.75">
      <c r="A140" s="59">
        <v>6600</v>
      </c>
      <c r="B140" s="5">
        <v>6171</v>
      </c>
      <c r="C140" s="15" t="s">
        <v>9</v>
      </c>
      <c r="D140" s="6">
        <v>72086</v>
      </c>
      <c r="E140" s="6">
        <v>66638</v>
      </c>
      <c r="F140" s="25">
        <v>58398</v>
      </c>
      <c r="G140" s="48">
        <f t="shared" si="8"/>
        <v>81.01156951419138</v>
      </c>
      <c r="H140" s="49">
        <f t="shared" si="9"/>
        <v>87.63468291365287</v>
      </c>
    </row>
    <row r="141" spans="1:8" ht="12.75">
      <c r="A141" s="59">
        <v>6600</v>
      </c>
      <c r="B141" s="5">
        <v>6211</v>
      </c>
      <c r="C141" s="15" t="s">
        <v>57</v>
      </c>
      <c r="D141" s="6">
        <v>4590</v>
      </c>
      <c r="E141" s="6">
        <v>4590</v>
      </c>
      <c r="F141" s="25">
        <v>2755</v>
      </c>
      <c r="G141" s="48">
        <f t="shared" si="8"/>
        <v>60.02178649237473</v>
      </c>
      <c r="H141" s="49">
        <f t="shared" si="9"/>
        <v>60.02178649237473</v>
      </c>
    </row>
    <row r="142" spans="1:8" ht="12.75">
      <c r="A142" s="34" t="s">
        <v>84</v>
      </c>
      <c r="B142" s="5"/>
      <c r="C142" s="15"/>
      <c r="D142" s="40">
        <f>SUBTOTAL(9,D135:D141)</f>
        <v>153138</v>
      </c>
      <c r="E142" s="40">
        <f>SUBTOTAL(9,E135:E141)</f>
        <v>169841</v>
      </c>
      <c r="F142" s="40">
        <f>SUBTOTAL(9,F135:F141)</f>
        <v>127152</v>
      </c>
      <c r="G142" s="50">
        <f t="shared" si="8"/>
        <v>83.03099165458606</v>
      </c>
      <c r="H142" s="51">
        <f t="shared" si="9"/>
        <v>74.86531520657557</v>
      </c>
    </row>
    <row r="143" spans="1:8" ht="12.75">
      <c r="A143" s="34"/>
      <c r="B143" s="5"/>
      <c r="C143" s="15"/>
      <c r="D143" s="40"/>
      <c r="E143" s="40"/>
      <c r="F143" s="41"/>
      <c r="G143" s="50">
        <f t="shared" si="8"/>
        <v>0</v>
      </c>
      <c r="H143" s="51">
        <f t="shared" si="9"/>
        <v>0</v>
      </c>
    </row>
    <row r="144" spans="1:8" ht="12.75">
      <c r="A144" s="33" t="s">
        <v>199</v>
      </c>
      <c r="B144" s="5"/>
      <c r="C144" s="15"/>
      <c r="D144" s="40"/>
      <c r="E144" s="40"/>
      <c r="F144" s="41"/>
      <c r="G144" s="50">
        <f t="shared" si="8"/>
        <v>0</v>
      </c>
      <c r="H144" s="51">
        <f t="shared" si="9"/>
        <v>0</v>
      </c>
    </row>
    <row r="145" spans="1:8" ht="12.75">
      <c r="A145" s="59">
        <v>7100</v>
      </c>
      <c r="B145" s="16">
        <v>3511</v>
      </c>
      <c r="C145" s="14" t="s">
        <v>13</v>
      </c>
      <c r="D145" s="7">
        <v>8116</v>
      </c>
      <c r="E145" s="7">
        <v>11361</v>
      </c>
      <c r="F145" s="27">
        <v>11361</v>
      </c>
      <c r="G145" s="48">
        <f t="shared" si="8"/>
        <v>139.9827501232134</v>
      </c>
      <c r="H145" s="49">
        <f t="shared" si="9"/>
        <v>100</v>
      </c>
    </row>
    <row r="146" spans="1:8" ht="12.75">
      <c r="A146" s="59">
        <v>7100</v>
      </c>
      <c r="B146" s="16">
        <v>3522</v>
      </c>
      <c r="C146" s="14" t="s">
        <v>219</v>
      </c>
      <c r="D146" s="7">
        <v>53512</v>
      </c>
      <c r="E146" s="7">
        <v>58008</v>
      </c>
      <c r="F146" s="27">
        <v>58008</v>
      </c>
      <c r="G146" s="48">
        <f t="shared" si="8"/>
        <v>108.40185378980416</v>
      </c>
      <c r="H146" s="49">
        <f t="shared" si="9"/>
        <v>100</v>
      </c>
    </row>
    <row r="147" spans="1:8" ht="12.75">
      <c r="A147" s="59">
        <v>7100</v>
      </c>
      <c r="B147" s="16">
        <v>3523</v>
      </c>
      <c r="C147" s="14" t="s">
        <v>86</v>
      </c>
      <c r="D147" s="7">
        <v>10881</v>
      </c>
      <c r="E147" s="7">
        <v>10881</v>
      </c>
      <c r="F147" s="27">
        <v>10881</v>
      </c>
      <c r="G147" s="48">
        <f t="shared" si="8"/>
        <v>100</v>
      </c>
      <c r="H147" s="49">
        <f t="shared" si="9"/>
        <v>100</v>
      </c>
    </row>
    <row r="148" spans="1:8" ht="12.75">
      <c r="A148" s="59">
        <v>7100</v>
      </c>
      <c r="B148" s="16">
        <v>3529</v>
      </c>
      <c r="C148" s="14" t="s">
        <v>48</v>
      </c>
      <c r="D148" s="7">
        <v>40044</v>
      </c>
      <c r="E148" s="7">
        <v>40044</v>
      </c>
      <c r="F148" s="27">
        <v>40044</v>
      </c>
      <c r="G148" s="48">
        <f t="shared" si="8"/>
        <v>100</v>
      </c>
      <c r="H148" s="49">
        <f t="shared" si="9"/>
        <v>100</v>
      </c>
    </row>
    <row r="149" spans="1:8" ht="12.75">
      <c r="A149" s="59">
        <v>7100</v>
      </c>
      <c r="B149" s="16">
        <v>3599</v>
      </c>
      <c r="C149" s="14" t="s">
        <v>88</v>
      </c>
      <c r="D149" s="7">
        <v>7445</v>
      </c>
      <c r="E149" s="7">
        <v>7969</v>
      </c>
      <c r="F149" s="83">
        <v>7915</v>
      </c>
      <c r="G149" s="48">
        <f t="shared" si="8"/>
        <v>106.3129617192747</v>
      </c>
      <c r="H149" s="49">
        <f t="shared" si="9"/>
        <v>99.3223742000251</v>
      </c>
    </row>
    <row r="150" spans="1:8" ht="12.75">
      <c r="A150" s="59">
        <v>7100</v>
      </c>
      <c r="B150" s="16">
        <v>3900</v>
      </c>
      <c r="C150" s="14" t="s">
        <v>295</v>
      </c>
      <c r="D150" s="7">
        <v>8381</v>
      </c>
      <c r="E150" s="7">
        <v>8381</v>
      </c>
      <c r="F150" s="27">
        <v>8381</v>
      </c>
      <c r="G150" s="48">
        <f t="shared" si="8"/>
        <v>100</v>
      </c>
      <c r="H150" s="49">
        <f t="shared" si="9"/>
        <v>100</v>
      </c>
    </row>
    <row r="151" spans="1:8" ht="12.75">
      <c r="A151" s="35" t="s">
        <v>14</v>
      </c>
      <c r="B151" s="16"/>
      <c r="C151" s="14"/>
      <c r="D151" s="40">
        <f>SUBTOTAL(9,D145:D150)</f>
        <v>128379</v>
      </c>
      <c r="E151" s="40">
        <f>SUBTOTAL(9,E145:E150)</f>
        <v>136644</v>
      </c>
      <c r="F151" s="41">
        <f>SUBTOTAL(9,F145:F150)</f>
        <v>136590</v>
      </c>
      <c r="G151" s="50">
        <f aca="true" t="shared" si="10" ref="G151:G205">IF(D151&lt;=0,0,$F151/D151*100)</f>
        <v>106.39590587245577</v>
      </c>
      <c r="H151" s="51">
        <f aca="true" t="shared" si="11" ref="H151:H205">IF(E151&lt;=0,0,$F151/E151*100)</f>
        <v>99.96048125054887</v>
      </c>
    </row>
    <row r="152" spans="1:8" ht="12.75">
      <c r="A152" s="35"/>
      <c r="B152" s="16"/>
      <c r="C152" s="14"/>
      <c r="D152" s="40"/>
      <c r="E152" s="40"/>
      <c r="F152" s="41"/>
      <c r="G152" s="50">
        <f t="shared" si="10"/>
        <v>0</v>
      </c>
      <c r="H152" s="51">
        <f t="shared" si="11"/>
        <v>0</v>
      </c>
    </row>
    <row r="153" spans="1:8" ht="12.75">
      <c r="A153" s="35" t="s">
        <v>40</v>
      </c>
      <c r="B153" s="16"/>
      <c r="C153" s="14"/>
      <c r="D153" s="40"/>
      <c r="E153" s="40"/>
      <c r="F153" s="41"/>
      <c r="G153" s="50">
        <f t="shared" si="10"/>
        <v>0</v>
      </c>
      <c r="H153" s="51">
        <f t="shared" si="11"/>
        <v>0</v>
      </c>
    </row>
    <row r="154" spans="1:8" ht="12.75">
      <c r="A154" s="58">
        <v>7200</v>
      </c>
      <c r="B154" s="16">
        <v>3541</v>
      </c>
      <c r="C154" s="14" t="s">
        <v>227</v>
      </c>
      <c r="D154" s="173">
        <v>5855</v>
      </c>
      <c r="E154" s="173">
        <v>5855</v>
      </c>
      <c r="F154" s="174">
        <v>5855</v>
      </c>
      <c r="G154" s="48">
        <f t="shared" si="10"/>
        <v>100</v>
      </c>
      <c r="H154" s="49">
        <f t="shared" si="11"/>
        <v>100</v>
      </c>
    </row>
    <row r="155" spans="1:8" ht="12.75">
      <c r="A155" s="58">
        <v>7200</v>
      </c>
      <c r="B155" s="16">
        <v>3691</v>
      </c>
      <c r="C155" s="14" t="s">
        <v>283</v>
      </c>
      <c r="D155" s="173"/>
      <c r="E155" s="173">
        <v>153</v>
      </c>
      <c r="F155" s="174">
        <v>129</v>
      </c>
      <c r="G155" s="48"/>
      <c r="H155" s="49">
        <f t="shared" si="11"/>
        <v>84.31372549019608</v>
      </c>
    </row>
    <row r="156" spans="1:8" ht="12.75">
      <c r="A156" s="58">
        <v>7200</v>
      </c>
      <c r="B156" s="20">
        <v>4312</v>
      </c>
      <c r="C156" s="84" t="s">
        <v>271</v>
      </c>
      <c r="D156" s="175">
        <v>0</v>
      </c>
      <c r="E156" s="175">
        <v>1500</v>
      </c>
      <c r="F156" s="176">
        <v>1500</v>
      </c>
      <c r="G156" s="48">
        <f t="shared" si="10"/>
        <v>0</v>
      </c>
      <c r="H156" s="49">
        <f t="shared" si="11"/>
        <v>100</v>
      </c>
    </row>
    <row r="157" spans="1:8" ht="12.75">
      <c r="A157" s="58">
        <v>7200</v>
      </c>
      <c r="B157" s="20">
        <v>4324</v>
      </c>
      <c r="C157" s="84" t="s">
        <v>284</v>
      </c>
      <c r="D157" s="175"/>
      <c r="E157" s="175">
        <v>274</v>
      </c>
      <c r="F157" s="176">
        <v>236</v>
      </c>
      <c r="G157" s="48"/>
      <c r="H157" s="49">
        <f t="shared" si="11"/>
        <v>86.13138686131386</v>
      </c>
    </row>
    <row r="158" spans="1:8" ht="12.75">
      <c r="A158" s="58">
        <v>7200</v>
      </c>
      <c r="B158" s="20">
        <v>4341</v>
      </c>
      <c r="C158" s="12" t="s">
        <v>233</v>
      </c>
      <c r="D158" s="175">
        <v>4119</v>
      </c>
      <c r="E158" s="175">
        <v>3639</v>
      </c>
      <c r="F158" s="176">
        <v>2478</v>
      </c>
      <c r="G158" s="48">
        <f t="shared" si="10"/>
        <v>60.160233066278224</v>
      </c>
      <c r="H158" s="49">
        <f t="shared" si="11"/>
        <v>68.09563066776587</v>
      </c>
    </row>
    <row r="159" spans="1:8" ht="12.75">
      <c r="A159" s="58">
        <v>7200</v>
      </c>
      <c r="B159" s="20">
        <v>4342</v>
      </c>
      <c r="C159" s="12" t="s">
        <v>89</v>
      </c>
      <c r="D159" s="175">
        <v>950</v>
      </c>
      <c r="E159" s="175">
        <v>1070</v>
      </c>
      <c r="F159" s="176">
        <v>1070</v>
      </c>
      <c r="G159" s="48">
        <f t="shared" si="10"/>
        <v>112.63157894736841</v>
      </c>
      <c r="H159" s="49">
        <f t="shared" si="11"/>
        <v>100</v>
      </c>
    </row>
    <row r="160" spans="1:8" ht="12.75">
      <c r="A160" s="58">
        <v>7200</v>
      </c>
      <c r="B160" s="20">
        <v>4344</v>
      </c>
      <c r="C160" s="12" t="s">
        <v>225</v>
      </c>
      <c r="D160" s="175"/>
      <c r="E160" s="175">
        <v>100</v>
      </c>
      <c r="F160" s="176">
        <v>100</v>
      </c>
      <c r="G160" s="48">
        <f t="shared" si="10"/>
        <v>0</v>
      </c>
      <c r="H160" s="49">
        <f t="shared" si="11"/>
        <v>100</v>
      </c>
    </row>
    <row r="161" spans="1:8" ht="12.75">
      <c r="A161" s="58">
        <v>7200</v>
      </c>
      <c r="B161" s="20">
        <v>4351</v>
      </c>
      <c r="C161" s="12" t="s">
        <v>179</v>
      </c>
      <c r="D161" s="175">
        <v>0</v>
      </c>
      <c r="E161" s="175">
        <v>9375</v>
      </c>
      <c r="F161" s="176">
        <v>9375</v>
      </c>
      <c r="G161" s="48">
        <f t="shared" si="10"/>
        <v>0</v>
      </c>
      <c r="H161" s="49">
        <f t="shared" si="11"/>
        <v>100</v>
      </c>
    </row>
    <row r="162" spans="1:8" ht="12.75">
      <c r="A162" s="58">
        <v>7200</v>
      </c>
      <c r="B162" s="20">
        <v>4353</v>
      </c>
      <c r="C162" s="12" t="s">
        <v>207</v>
      </c>
      <c r="D162" s="175">
        <v>0</v>
      </c>
      <c r="E162" s="175">
        <v>100</v>
      </c>
      <c r="F162" s="176">
        <v>100</v>
      </c>
      <c r="G162" s="48">
        <f t="shared" si="10"/>
        <v>0</v>
      </c>
      <c r="H162" s="49">
        <f t="shared" si="11"/>
        <v>100</v>
      </c>
    </row>
    <row r="163" spans="1:8" ht="12.75">
      <c r="A163" s="58">
        <v>7200</v>
      </c>
      <c r="B163" s="20">
        <v>4354</v>
      </c>
      <c r="C163" s="12" t="s">
        <v>200</v>
      </c>
      <c r="D163" s="175">
        <v>0</v>
      </c>
      <c r="E163" s="175">
        <v>2835</v>
      </c>
      <c r="F163" s="176">
        <v>2835</v>
      </c>
      <c r="G163" s="48">
        <f t="shared" si="10"/>
        <v>0</v>
      </c>
      <c r="H163" s="49">
        <f t="shared" si="11"/>
        <v>100</v>
      </c>
    </row>
    <row r="164" spans="1:8" ht="12.75">
      <c r="A164" s="58">
        <v>7200</v>
      </c>
      <c r="B164" s="20">
        <v>4356</v>
      </c>
      <c r="C164" s="12" t="s">
        <v>201</v>
      </c>
      <c r="D164" s="175">
        <v>0</v>
      </c>
      <c r="E164" s="175">
        <v>4445</v>
      </c>
      <c r="F164" s="176">
        <v>4445</v>
      </c>
      <c r="G164" s="48">
        <f t="shared" si="10"/>
        <v>0</v>
      </c>
      <c r="H164" s="49">
        <f t="shared" si="11"/>
        <v>100</v>
      </c>
    </row>
    <row r="165" spans="1:8" ht="12.75">
      <c r="A165" s="58">
        <v>7200</v>
      </c>
      <c r="B165" s="20">
        <v>4357</v>
      </c>
      <c r="C165" s="90" t="s">
        <v>305</v>
      </c>
      <c r="D165" s="175">
        <v>221126</v>
      </c>
      <c r="E165" s="175">
        <v>245676</v>
      </c>
      <c r="F165" s="176">
        <v>245676</v>
      </c>
      <c r="G165" s="48">
        <f t="shared" si="10"/>
        <v>111.102267485506</v>
      </c>
      <c r="H165" s="49">
        <f t="shared" si="11"/>
        <v>100</v>
      </c>
    </row>
    <row r="166" spans="1:8" ht="12.75">
      <c r="A166" s="58">
        <v>7200</v>
      </c>
      <c r="B166" s="20">
        <v>4359</v>
      </c>
      <c r="C166" s="12" t="s">
        <v>202</v>
      </c>
      <c r="D166" s="175">
        <v>44200</v>
      </c>
      <c r="E166" s="175">
        <v>2050</v>
      </c>
      <c r="F166" s="176">
        <v>2050</v>
      </c>
      <c r="G166" s="48">
        <f t="shared" si="10"/>
        <v>4.638009049773756</v>
      </c>
      <c r="H166" s="49">
        <f t="shared" si="11"/>
        <v>100</v>
      </c>
    </row>
    <row r="167" spans="1:8" ht="12.75">
      <c r="A167" s="58">
        <v>7200</v>
      </c>
      <c r="B167" s="20">
        <v>4371</v>
      </c>
      <c r="C167" s="90" t="s">
        <v>211</v>
      </c>
      <c r="D167" s="175">
        <v>0</v>
      </c>
      <c r="E167" s="175">
        <v>865</v>
      </c>
      <c r="F167" s="176">
        <v>865</v>
      </c>
      <c r="G167" s="48">
        <f t="shared" si="10"/>
        <v>0</v>
      </c>
      <c r="H167" s="49">
        <f t="shared" si="11"/>
        <v>100</v>
      </c>
    </row>
    <row r="168" spans="1:8" ht="12.75">
      <c r="A168" s="58">
        <v>7200</v>
      </c>
      <c r="B168" s="20">
        <v>4372</v>
      </c>
      <c r="C168" s="12" t="s">
        <v>194</v>
      </c>
      <c r="D168" s="175">
        <v>0</v>
      </c>
      <c r="E168" s="175">
        <v>220</v>
      </c>
      <c r="F168" s="176">
        <v>220</v>
      </c>
      <c r="G168" s="48">
        <f t="shared" si="10"/>
        <v>0</v>
      </c>
      <c r="H168" s="49">
        <f t="shared" si="11"/>
        <v>100</v>
      </c>
    </row>
    <row r="169" spans="1:8" ht="12.75">
      <c r="A169" s="58">
        <v>7200</v>
      </c>
      <c r="B169" s="20">
        <v>4374</v>
      </c>
      <c r="C169" s="12" t="s">
        <v>195</v>
      </c>
      <c r="D169" s="175">
        <v>0</v>
      </c>
      <c r="E169" s="175">
        <v>1010</v>
      </c>
      <c r="F169" s="176">
        <v>1010</v>
      </c>
      <c r="G169" s="48">
        <f t="shared" si="10"/>
        <v>0</v>
      </c>
      <c r="H169" s="49">
        <f t="shared" si="11"/>
        <v>100</v>
      </c>
    </row>
    <row r="170" spans="1:8" ht="12.75">
      <c r="A170" s="58">
        <v>7200</v>
      </c>
      <c r="B170" s="20">
        <v>4375</v>
      </c>
      <c r="C170" s="12" t="s">
        <v>208</v>
      </c>
      <c r="D170" s="175">
        <v>0</v>
      </c>
      <c r="E170" s="175">
        <v>510</v>
      </c>
      <c r="F170" s="176">
        <v>510</v>
      </c>
      <c r="G170" s="48">
        <f t="shared" si="10"/>
        <v>0</v>
      </c>
      <c r="H170" s="49">
        <f t="shared" si="11"/>
        <v>100</v>
      </c>
    </row>
    <row r="171" spans="1:8" ht="12.75">
      <c r="A171" s="58">
        <v>7200</v>
      </c>
      <c r="B171" s="20">
        <v>4376</v>
      </c>
      <c r="C171" s="12" t="s">
        <v>196</v>
      </c>
      <c r="D171" s="175">
        <v>0</v>
      </c>
      <c r="E171" s="175">
        <v>440</v>
      </c>
      <c r="F171" s="176">
        <v>440</v>
      </c>
      <c r="G171" s="48">
        <f t="shared" si="10"/>
        <v>0</v>
      </c>
      <c r="H171" s="49">
        <f t="shared" si="11"/>
        <v>100</v>
      </c>
    </row>
    <row r="172" spans="1:8" ht="12.75">
      <c r="A172" s="58">
        <v>7200</v>
      </c>
      <c r="B172" s="20">
        <v>4378</v>
      </c>
      <c r="C172" s="12" t="s">
        <v>209</v>
      </c>
      <c r="D172" s="175">
        <v>0</v>
      </c>
      <c r="E172" s="175">
        <v>130</v>
      </c>
      <c r="F172" s="176">
        <v>130</v>
      </c>
      <c r="G172" s="48">
        <f t="shared" si="10"/>
        <v>0</v>
      </c>
      <c r="H172" s="49">
        <f t="shared" si="11"/>
        <v>100</v>
      </c>
    </row>
    <row r="173" spans="1:8" ht="12.75">
      <c r="A173" s="58">
        <v>7200</v>
      </c>
      <c r="B173" s="20">
        <v>4379</v>
      </c>
      <c r="C173" s="12" t="s">
        <v>197</v>
      </c>
      <c r="D173" s="175">
        <v>995</v>
      </c>
      <c r="E173" s="175">
        <v>2145</v>
      </c>
      <c r="F173" s="176">
        <v>2145</v>
      </c>
      <c r="G173" s="48">
        <f t="shared" si="10"/>
        <v>215.57788944723617</v>
      </c>
      <c r="H173" s="49">
        <f t="shared" si="11"/>
        <v>100</v>
      </c>
    </row>
    <row r="174" spans="1:8" ht="12.75">
      <c r="A174" s="58">
        <v>7200</v>
      </c>
      <c r="B174" s="20">
        <v>4399</v>
      </c>
      <c r="C174" s="12" t="s">
        <v>285</v>
      </c>
      <c r="D174" s="175"/>
      <c r="E174" s="175">
        <v>3132</v>
      </c>
      <c r="F174" s="176">
        <v>613</v>
      </c>
      <c r="G174" s="48"/>
      <c r="H174" s="49">
        <f t="shared" si="11"/>
        <v>19.572158365261814</v>
      </c>
    </row>
    <row r="175" spans="1:8" ht="12.75">
      <c r="A175" s="58">
        <v>7200</v>
      </c>
      <c r="B175" s="20">
        <v>5319</v>
      </c>
      <c r="C175" s="15" t="s">
        <v>210</v>
      </c>
      <c r="D175" s="175">
        <v>2500</v>
      </c>
      <c r="E175" s="175">
        <v>1658</v>
      </c>
      <c r="F175" s="176">
        <v>1658</v>
      </c>
      <c r="G175" s="48">
        <f t="shared" si="10"/>
        <v>66.32000000000001</v>
      </c>
      <c r="H175" s="49">
        <f t="shared" si="11"/>
        <v>100</v>
      </c>
    </row>
    <row r="176" spans="1:8" ht="12.75">
      <c r="A176" s="58">
        <v>7200</v>
      </c>
      <c r="B176" s="20">
        <v>6409</v>
      </c>
      <c r="C176" s="10" t="s">
        <v>39</v>
      </c>
      <c r="D176" s="175"/>
      <c r="E176" s="175">
        <v>200</v>
      </c>
      <c r="F176" s="176">
        <v>200</v>
      </c>
      <c r="G176" s="48">
        <f t="shared" si="10"/>
        <v>0</v>
      </c>
      <c r="H176" s="49">
        <f t="shared" si="11"/>
        <v>100</v>
      </c>
    </row>
    <row r="177" spans="1:8" ht="12.75">
      <c r="A177" s="33" t="s">
        <v>35</v>
      </c>
      <c r="B177" s="20"/>
      <c r="C177" s="12"/>
      <c r="D177" s="40">
        <f>SUBTOTAL(9,D154:D175)</f>
        <v>279745</v>
      </c>
      <c r="E177" s="40">
        <f>SUBTOTAL(9,E154:E176)</f>
        <v>287382</v>
      </c>
      <c r="F177" s="40">
        <f>SUBTOTAL(9,F154:F176)</f>
        <v>283640</v>
      </c>
      <c r="G177" s="50">
        <f t="shared" si="10"/>
        <v>101.39233945200093</v>
      </c>
      <c r="H177" s="51">
        <f t="shared" si="11"/>
        <v>98.69790035562423</v>
      </c>
    </row>
    <row r="178" spans="1:8" ht="12.75">
      <c r="A178" s="33"/>
      <c r="B178" s="20"/>
      <c r="C178" s="12"/>
      <c r="D178" s="40"/>
      <c r="E178" s="40"/>
      <c r="F178" s="41"/>
      <c r="G178" s="50">
        <f t="shared" si="10"/>
        <v>0</v>
      </c>
      <c r="H178" s="51">
        <f t="shared" si="11"/>
        <v>0</v>
      </c>
    </row>
    <row r="179" spans="1:8" ht="12.75">
      <c r="A179" s="33" t="s">
        <v>30</v>
      </c>
      <c r="B179" s="20"/>
      <c r="C179" s="12"/>
      <c r="D179" s="40"/>
      <c r="E179" s="40"/>
      <c r="F179" s="41"/>
      <c r="G179" s="50">
        <f t="shared" si="10"/>
        <v>0</v>
      </c>
      <c r="H179" s="51">
        <f t="shared" si="11"/>
        <v>0</v>
      </c>
    </row>
    <row r="180" spans="1:8" ht="12.75">
      <c r="A180" s="57">
        <v>7300</v>
      </c>
      <c r="B180" s="5">
        <v>3311</v>
      </c>
      <c r="C180" s="15" t="s">
        <v>24</v>
      </c>
      <c r="D180" s="6">
        <v>490285</v>
      </c>
      <c r="E180" s="6">
        <v>514486</v>
      </c>
      <c r="F180" s="25">
        <v>514472</v>
      </c>
      <c r="G180" s="48">
        <f t="shared" si="10"/>
        <v>104.93325310788623</v>
      </c>
      <c r="H180" s="49">
        <f t="shared" si="11"/>
        <v>99.99727883751939</v>
      </c>
    </row>
    <row r="181" spans="1:8" ht="12.75">
      <c r="A181" s="57">
        <v>7300</v>
      </c>
      <c r="B181" s="5">
        <v>3312</v>
      </c>
      <c r="C181" s="15" t="s">
        <v>91</v>
      </c>
      <c r="D181" s="6">
        <v>67533</v>
      </c>
      <c r="E181" s="6">
        <v>74176</v>
      </c>
      <c r="F181" s="25">
        <v>74095</v>
      </c>
      <c r="G181" s="48">
        <f t="shared" si="10"/>
        <v>109.71673107962035</v>
      </c>
      <c r="H181" s="49">
        <f t="shared" si="11"/>
        <v>99.89080025884383</v>
      </c>
    </row>
    <row r="182" spans="1:8" ht="12.75">
      <c r="A182" s="57">
        <v>7300</v>
      </c>
      <c r="B182" s="5">
        <v>3314</v>
      </c>
      <c r="C182" s="15" t="s">
        <v>92</v>
      </c>
      <c r="D182" s="6">
        <v>45287</v>
      </c>
      <c r="E182" s="6">
        <v>46733</v>
      </c>
      <c r="F182" s="25">
        <v>46733</v>
      </c>
      <c r="G182" s="48">
        <f t="shared" si="10"/>
        <v>103.19296928478371</v>
      </c>
      <c r="H182" s="49">
        <f t="shared" si="11"/>
        <v>100</v>
      </c>
    </row>
    <row r="183" spans="1:8" ht="12.75">
      <c r="A183" s="57">
        <v>7300</v>
      </c>
      <c r="B183" s="5">
        <v>3315</v>
      </c>
      <c r="C183" s="15" t="s">
        <v>93</v>
      </c>
      <c r="D183" s="6">
        <v>42718</v>
      </c>
      <c r="E183" s="6">
        <v>44047</v>
      </c>
      <c r="F183" s="25">
        <v>44047</v>
      </c>
      <c r="G183" s="48">
        <f t="shared" si="10"/>
        <v>103.11110070696195</v>
      </c>
      <c r="H183" s="49">
        <f t="shared" si="11"/>
        <v>100</v>
      </c>
    </row>
    <row r="184" spans="1:8" ht="12.75">
      <c r="A184" s="57">
        <v>7300</v>
      </c>
      <c r="B184" s="5">
        <v>3317</v>
      </c>
      <c r="C184" s="15" t="s">
        <v>94</v>
      </c>
      <c r="D184" s="6">
        <v>14534</v>
      </c>
      <c r="E184" s="6">
        <v>15876</v>
      </c>
      <c r="F184" s="25">
        <v>15871</v>
      </c>
      <c r="G184" s="48">
        <f t="shared" si="10"/>
        <v>109.19911930645382</v>
      </c>
      <c r="H184" s="49">
        <f t="shared" si="11"/>
        <v>99.96850592088687</v>
      </c>
    </row>
    <row r="185" spans="1:8" ht="12.75">
      <c r="A185" s="57">
        <v>7300</v>
      </c>
      <c r="B185" s="5">
        <v>3319</v>
      </c>
      <c r="C185" s="15" t="s">
        <v>49</v>
      </c>
      <c r="D185" s="6">
        <v>18018</v>
      </c>
      <c r="E185" s="6">
        <v>13756</v>
      </c>
      <c r="F185" s="25">
        <v>13469</v>
      </c>
      <c r="G185" s="48">
        <f t="shared" si="10"/>
        <v>74.75302475302476</v>
      </c>
      <c r="H185" s="49">
        <f t="shared" si="11"/>
        <v>97.91363768537366</v>
      </c>
    </row>
    <row r="186" spans="1:8" ht="12.75">
      <c r="A186" s="57">
        <v>7300</v>
      </c>
      <c r="B186" s="5">
        <v>3326</v>
      </c>
      <c r="C186" s="15" t="s">
        <v>174</v>
      </c>
      <c r="D186" s="6">
        <v>1500</v>
      </c>
      <c r="E186" s="6">
        <v>1459</v>
      </c>
      <c r="F186" s="25">
        <v>1133</v>
      </c>
      <c r="G186" s="48">
        <f t="shared" si="10"/>
        <v>75.53333333333333</v>
      </c>
      <c r="H186" s="49">
        <f t="shared" si="11"/>
        <v>77.6559287183002</v>
      </c>
    </row>
    <row r="187" spans="1:8" ht="12.75">
      <c r="A187" s="34" t="s">
        <v>27</v>
      </c>
      <c r="B187" s="5"/>
      <c r="C187" s="15"/>
      <c r="D187" s="40">
        <f>SUBTOTAL(9,D180:D186)</f>
        <v>679875</v>
      </c>
      <c r="E187" s="40">
        <f>SUBTOTAL(9,E180:E186)</f>
        <v>710533</v>
      </c>
      <c r="F187" s="41">
        <f>SUBTOTAL(9,F180:F186)</f>
        <v>709820</v>
      </c>
      <c r="G187" s="50">
        <f t="shared" si="10"/>
        <v>104.40448611877183</v>
      </c>
      <c r="H187" s="51">
        <f t="shared" si="11"/>
        <v>99.89965279585888</v>
      </c>
    </row>
    <row r="188" spans="1:8" ht="12.75">
      <c r="A188" s="34"/>
      <c r="B188" s="5"/>
      <c r="C188" s="15"/>
      <c r="D188" s="40"/>
      <c r="E188" s="40"/>
      <c r="F188" s="41"/>
      <c r="G188" s="50">
        <f t="shared" si="10"/>
        <v>0</v>
      </c>
      <c r="H188" s="51">
        <f t="shared" si="11"/>
        <v>0</v>
      </c>
    </row>
    <row r="189" spans="1:8" ht="12.75">
      <c r="A189" s="34" t="s">
        <v>41</v>
      </c>
      <c r="B189" s="5"/>
      <c r="C189" s="15"/>
      <c r="D189" s="40"/>
      <c r="E189" s="40"/>
      <c r="F189" s="41"/>
      <c r="G189" s="50">
        <f t="shared" si="10"/>
        <v>0</v>
      </c>
      <c r="H189" s="51">
        <f t="shared" si="11"/>
        <v>0</v>
      </c>
    </row>
    <row r="190" spans="1:8" ht="12.75">
      <c r="A190" s="56">
        <v>7400</v>
      </c>
      <c r="B190" s="5">
        <v>3111</v>
      </c>
      <c r="C190" s="15" t="s">
        <v>97</v>
      </c>
      <c r="D190" s="9">
        <v>2449</v>
      </c>
      <c r="E190" s="9">
        <v>2916</v>
      </c>
      <c r="F190" s="23">
        <v>2767</v>
      </c>
      <c r="G190" s="48">
        <f t="shared" si="10"/>
        <v>112.98489179256839</v>
      </c>
      <c r="H190" s="49">
        <f t="shared" si="11"/>
        <v>94.89026063100137</v>
      </c>
    </row>
    <row r="191" spans="1:8" ht="12.75">
      <c r="A191" s="56">
        <v>7400</v>
      </c>
      <c r="B191" s="17">
        <v>3113</v>
      </c>
      <c r="C191" s="10" t="s">
        <v>23</v>
      </c>
      <c r="D191" s="9">
        <v>21047</v>
      </c>
      <c r="E191" s="9">
        <v>67252</v>
      </c>
      <c r="F191" s="23">
        <v>66781</v>
      </c>
      <c r="G191" s="48">
        <f t="shared" si="10"/>
        <v>317.2946263125386</v>
      </c>
      <c r="H191" s="49">
        <f t="shared" si="11"/>
        <v>99.29964908106822</v>
      </c>
    </row>
    <row r="192" spans="1:8" ht="12.75">
      <c r="A192" s="56">
        <v>7400</v>
      </c>
      <c r="B192" s="17">
        <v>3117</v>
      </c>
      <c r="C192" s="10" t="s">
        <v>302</v>
      </c>
      <c r="D192" s="9"/>
      <c r="E192" s="9">
        <v>90</v>
      </c>
      <c r="F192" s="23">
        <v>90</v>
      </c>
      <c r="G192" s="48"/>
      <c r="H192" s="49">
        <f t="shared" si="11"/>
        <v>100</v>
      </c>
    </row>
    <row r="193" spans="1:8" ht="12.75">
      <c r="A193" s="56">
        <v>7400</v>
      </c>
      <c r="B193" s="17">
        <v>3141</v>
      </c>
      <c r="C193" s="10" t="s">
        <v>168</v>
      </c>
      <c r="D193" s="9">
        <v>2000</v>
      </c>
      <c r="E193" s="9"/>
      <c r="F193" s="23"/>
      <c r="G193" s="48">
        <f t="shared" si="10"/>
        <v>0</v>
      </c>
      <c r="H193" s="49">
        <f t="shared" si="11"/>
        <v>0</v>
      </c>
    </row>
    <row r="194" spans="1:8" ht="12.75">
      <c r="A194" s="56">
        <v>7400</v>
      </c>
      <c r="B194" s="17">
        <v>3149</v>
      </c>
      <c r="C194" s="10" t="s">
        <v>95</v>
      </c>
      <c r="D194" s="9">
        <v>1270</v>
      </c>
      <c r="E194" s="9">
        <v>1070</v>
      </c>
      <c r="F194" s="23">
        <v>444</v>
      </c>
      <c r="G194" s="48">
        <f t="shared" si="10"/>
        <v>34.960629921259844</v>
      </c>
      <c r="H194" s="49">
        <f t="shared" si="11"/>
        <v>41.495327102803735</v>
      </c>
    </row>
    <row r="195" spans="1:8" ht="12.75">
      <c r="A195" s="56">
        <v>7400</v>
      </c>
      <c r="B195" s="17">
        <v>3419</v>
      </c>
      <c r="C195" s="10" t="s">
        <v>50</v>
      </c>
      <c r="D195" s="9">
        <v>151810</v>
      </c>
      <c r="E195" s="9">
        <v>182197</v>
      </c>
      <c r="F195" s="23">
        <v>179349</v>
      </c>
      <c r="G195" s="48">
        <f t="shared" si="10"/>
        <v>118.14043870627758</v>
      </c>
      <c r="H195" s="49">
        <f t="shared" si="11"/>
        <v>98.43685680883878</v>
      </c>
    </row>
    <row r="196" spans="1:8" ht="12.75">
      <c r="A196" s="56">
        <v>7400</v>
      </c>
      <c r="B196" s="17">
        <v>3421</v>
      </c>
      <c r="C196" s="10" t="s">
        <v>96</v>
      </c>
      <c r="D196" s="9">
        <v>12900</v>
      </c>
      <c r="E196" s="9">
        <v>11350</v>
      </c>
      <c r="F196" s="23">
        <v>11095</v>
      </c>
      <c r="G196" s="48">
        <f>IF(D196&lt;=0,0,$F196/D196*100)</f>
        <v>86.0077519379845</v>
      </c>
      <c r="H196" s="49">
        <f>IF(E196&lt;=0,0,$F196/E196*100)</f>
        <v>97.7533039647577</v>
      </c>
    </row>
    <row r="197" spans="1:8" ht="12.75">
      <c r="A197" s="56">
        <v>7400</v>
      </c>
      <c r="B197" s="17">
        <v>6409</v>
      </c>
      <c r="C197" s="10" t="s">
        <v>39</v>
      </c>
      <c r="D197" s="9"/>
      <c r="E197" s="9">
        <v>12367</v>
      </c>
      <c r="F197" s="23">
        <v>12367</v>
      </c>
      <c r="G197" s="48">
        <f t="shared" si="10"/>
        <v>0</v>
      </c>
      <c r="H197" s="49">
        <f t="shared" si="11"/>
        <v>100</v>
      </c>
    </row>
    <row r="198" spans="1:8" ht="12.75">
      <c r="A198" s="36" t="s">
        <v>36</v>
      </c>
      <c r="B198" s="21"/>
      <c r="C198" s="10"/>
      <c r="D198" s="40">
        <f>SUBTOTAL(9,D190:D197)</f>
        <v>191476</v>
      </c>
      <c r="E198" s="40">
        <f>SUBTOTAL(9,E190:E197)</f>
        <v>277242</v>
      </c>
      <c r="F198" s="40">
        <f>SUBTOTAL(9,F190:F197)</f>
        <v>272893</v>
      </c>
      <c r="G198" s="50">
        <f t="shared" si="10"/>
        <v>142.5207336689716</v>
      </c>
      <c r="H198" s="51">
        <f t="shared" si="11"/>
        <v>98.43133435770916</v>
      </c>
    </row>
    <row r="199" spans="1:8" ht="12.75">
      <c r="A199" s="36"/>
      <c r="B199" s="21"/>
      <c r="C199" s="10"/>
      <c r="D199" s="40"/>
      <c r="E199" s="40"/>
      <c r="F199" s="41"/>
      <c r="G199" s="50">
        <f t="shared" si="10"/>
        <v>0</v>
      </c>
      <c r="H199" s="51">
        <f t="shared" si="11"/>
        <v>0</v>
      </c>
    </row>
    <row r="200" spans="1:8" ht="12.75">
      <c r="A200" s="85" t="s">
        <v>99</v>
      </c>
      <c r="B200" s="17"/>
      <c r="C200" s="10"/>
      <c r="D200" s="40"/>
      <c r="E200" s="40"/>
      <c r="F200" s="41"/>
      <c r="G200" s="50">
        <f t="shared" si="10"/>
        <v>0</v>
      </c>
      <c r="H200" s="51">
        <f t="shared" si="11"/>
        <v>0</v>
      </c>
    </row>
    <row r="201" spans="1:8" ht="12.75">
      <c r="A201" s="57">
        <v>7500</v>
      </c>
      <c r="B201" s="5">
        <v>3322</v>
      </c>
      <c r="C201" s="15" t="s">
        <v>28</v>
      </c>
      <c r="D201" s="6">
        <v>10170</v>
      </c>
      <c r="E201" s="6">
        <v>11155</v>
      </c>
      <c r="F201" s="25">
        <v>10949</v>
      </c>
      <c r="G201" s="48">
        <f t="shared" si="10"/>
        <v>107.65978367748279</v>
      </c>
      <c r="H201" s="49">
        <f t="shared" si="11"/>
        <v>98.15329448677723</v>
      </c>
    </row>
    <row r="202" spans="1:8" ht="12.75">
      <c r="A202" s="57">
        <v>7500</v>
      </c>
      <c r="B202" s="5">
        <v>6409</v>
      </c>
      <c r="C202" s="10" t="s">
        <v>39</v>
      </c>
      <c r="D202" s="6"/>
      <c r="E202" s="6">
        <v>100</v>
      </c>
      <c r="F202" s="25"/>
      <c r="G202" s="48">
        <f>IF(D202&lt;=0,0,$F202/D202*100)</f>
        <v>0</v>
      </c>
      <c r="H202" s="49">
        <f>IF(E202&lt;=0,0,$F202/E202*100)</f>
        <v>0</v>
      </c>
    </row>
    <row r="203" spans="1:8" ht="12.75">
      <c r="A203" s="34" t="s">
        <v>100</v>
      </c>
      <c r="B203" s="5"/>
      <c r="C203" s="15"/>
      <c r="D203" s="40">
        <f>SUBTOTAL(9,D201:D202)</f>
        <v>10170</v>
      </c>
      <c r="E203" s="40">
        <f>SUBTOTAL(9,E201:E202)</f>
        <v>11255</v>
      </c>
      <c r="F203" s="40">
        <f>SUBTOTAL(9,F201:F202)</f>
        <v>10949</v>
      </c>
      <c r="G203" s="134">
        <f t="shared" si="10"/>
        <v>107.65978367748279</v>
      </c>
      <c r="H203" s="51">
        <f t="shared" si="11"/>
        <v>97.28120835184363</v>
      </c>
    </row>
    <row r="204" spans="1:8" ht="12.75">
      <c r="A204" s="34"/>
      <c r="B204" s="5"/>
      <c r="C204" s="15"/>
      <c r="D204" s="40"/>
      <c r="E204" s="40"/>
      <c r="F204" s="41"/>
      <c r="G204" s="50">
        <f t="shared" si="10"/>
        <v>0</v>
      </c>
      <c r="H204" s="51">
        <f t="shared" si="11"/>
        <v>0</v>
      </c>
    </row>
    <row r="205" spans="1:8" ht="12.75">
      <c r="A205" s="34" t="s">
        <v>31</v>
      </c>
      <c r="B205" s="5"/>
      <c r="C205" s="15"/>
      <c r="D205" s="40"/>
      <c r="E205" s="40"/>
      <c r="F205" s="41"/>
      <c r="G205" s="50">
        <f t="shared" si="10"/>
        <v>0</v>
      </c>
      <c r="H205" s="51">
        <f t="shared" si="11"/>
        <v>0</v>
      </c>
    </row>
    <row r="206" spans="1:8" ht="12.75">
      <c r="A206" s="57">
        <v>8200</v>
      </c>
      <c r="B206" s="5">
        <v>1014</v>
      </c>
      <c r="C206" s="10" t="s">
        <v>175</v>
      </c>
      <c r="D206" s="9">
        <v>16028</v>
      </c>
      <c r="E206" s="9">
        <v>16472</v>
      </c>
      <c r="F206" s="23">
        <v>14707</v>
      </c>
      <c r="G206" s="48">
        <f aca="true" t="shared" si="12" ref="G206:H210">IF(D206&lt;=0,0,$F206/D206*100)</f>
        <v>91.75817319690542</v>
      </c>
      <c r="H206" s="49">
        <f t="shared" si="12"/>
        <v>89.28484701311316</v>
      </c>
    </row>
    <row r="207" spans="1:8" ht="12.75">
      <c r="A207" s="57">
        <v>8200</v>
      </c>
      <c r="B207" s="5" t="s">
        <v>32</v>
      </c>
      <c r="C207" s="15" t="s">
        <v>33</v>
      </c>
      <c r="D207" s="6">
        <v>340412</v>
      </c>
      <c r="E207" s="6">
        <v>337185</v>
      </c>
      <c r="F207" s="26">
        <v>327394</v>
      </c>
      <c r="G207" s="52">
        <f t="shared" si="12"/>
        <v>96.17581048846692</v>
      </c>
      <c r="H207" s="49">
        <f t="shared" si="12"/>
        <v>97.09625279890861</v>
      </c>
    </row>
    <row r="208" spans="1:8" ht="12.75">
      <c r="A208" s="57">
        <v>8200</v>
      </c>
      <c r="B208" s="5">
        <v>5319</v>
      </c>
      <c r="C208" s="15" t="s">
        <v>210</v>
      </c>
      <c r="D208" s="6">
        <v>654</v>
      </c>
      <c r="E208" s="6">
        <v>2230</v>
      </c>
      <c r="F208" s="25">
        <v>2030</v>
      </c>
      <c r="G208" s="52">
        <f>IF(D208&lt;=0,0,$F208/D208*100)</f>
        <v>310.3975535168196</v>
      </c>
      <c r="H208" s="49">
        <f>IF(E208&lt;=0,0,$F208/E208*100)</f>
        <v>91.03139013452915</v>
      </c>
    </row>
    <row r="209" spans="1:8" ht="12.75">
      <c r="A209" s="57">
        <v>8200</v>
      </c>
      <c r="B209" s="5">
        <v>6399</v>
      </c>
      <c r="C209" s="15" t="s">
        <v>83</v>
      </c>
      <c r="D209" s="6"/>
      <c r="E209" s="6"/>
      <c r="F209" s="25">
        <v>601</v>
      </c>
      <c r="G209" s="52">
        <f t="shared" si="12"/>
        <v>0</v>
      </c>
      <c r="H209" s="49">
        <f t="shared" si="12"/>
        <v>0</v>
      </c>
    </row>
    <row r="210" spans="1:8" ht="12.75">
      <c r="A210" s="34" t="s">
        <v>29</v>
      </c>
      <c r="B210" s="5"/>
      <c r="C210" s="15"/>
      <c r="D210" s="40">
        <f>SUBTOTAL(9,D206:D209)</f>
        <v>357094</v>
      </c>
      <c r="E210" s="40">
        <f>SUBTOTAL(9,E206:E209)</f>
        <v>355887</v>
      </c>
      <c r="F210" s="40">
        <f>SUBTOTAL(9,F206:F209)</f>
        <v>344732</v>
      </c>
      <c r="G210" s="50">
        <f t="shared" si="12"/>
        <v>96.53816642116641</v>
      </c>
      <c r="H210" s="51">
        <f t="shared" si="12"/>
        <v>96.86557811889729</v>
      </c>
    </row>
    <row r="211" spans="1:8" ht="12.75">
      <c r="A211" s="70"/>
      <c r="B211" s="71"/>
      <c r="C211" s="72"/>
      <c r="D211" s="73"/>
      <c r="E211" s="73"/>
      <c r="F211" s="74"/>
      <c r="G211" s="75"/>
      <c r="H211" s="76"/>
    </row>
    <row r="212" spans="1:8" ht="12.75">
      <c r="A212" s="85" t="s">
        <v>245</v>
      </c>
      <c r="B212" s="17"/>
      <c r="C212" s="10"/>
      <c r="D212" s="40"/>
      <c r="E212" s="40"/>
      <c r="F212" s="41"/>
      <c r="G212" s="50">
        <f aca="true" t="shared" si="13" ref="G212:H214">IF(D212&lt;=0,0,$F212/D212*100)</f>
        <v>0</v>
      </c>
      <c r="H212" s="51">
        <f t="shared" si="13"/>
        <v>0</v>
      </c>
    </row>
    <row r="213" spans="1:8" ht="12.75">
      <c r="A213" s="57">
        <v>8887</v>
      </c>
      <c r="B213" s="5">
        <v>6399</v>
      </c>
      <c r="C213" s="15" t="s">
        <v>83</v>
      </c>
      <c r="D213" s="6"/>
      <c r="E213" s="6"/>
      <c r="F213" s="25">
        <v>-3437</v>
      </c>
      <c r="G213" s="48">
        <f t="shared" si="13"/>
        <v>0</v>
      </c>
      <c r="H213" s="49">
        <f t="shared" si="13"/>
        <v>0</v>
      </c>
    </row>
    <row r="214" spans="1:8" ht="12.75">
      <c r="A214" s="34" t="s">
        <v>246</v>
      </c>
      <c r="B214" s="5"/>
      <c r="C214" s="15"/>
      <c r="D214" s="40">
        <f>SUBTOTAL(9,D213:D213)</f>
        <v>0</v>
      </c>
      <c r="E214" s="40">
        <f>SUBTOTAL(9,E213:E213)</f>
        <v>0</v>
      </c>
      <c r="F214" s="40">
        <f>SUBTOTAL(9,F213:F213)</f>
        <v>-3437</v>
      </c>
      <c r="G214" s="134">
        <f t="shared" si="13"/>
        <v>0</v>
      </c>
      <c r="H214" s="51">
        <f t="shared" si="13"/>
        <v>0</v>
      </c>
    </row>
    <row r="215" spans="1:8" ht="12" customHeight="1" thickBot="1">
      <c r="A215" s="29"/>
      <c r="B215" s="30"/>
      <c r="C215" s="31"/>
      <c r="D215" s="42"/>
      <c r="E215" s="42"/>
      <c r="F215" s="60"/>
      <c r="G215" s="61">
        <f>IF(D215&lt;=0,0,$F215/D215*100)</f>
        <v>0</v>
      </c>
      <c r="H215" s="62">
        <f>IF(E215&lt;=0,0,$F215/E215*100)</f>
        <v>0</v>
      </c>
    </row>
    <row r="216" spans="1:8" ht="16.5" thickBot="1">
      <c r="A216" s="89" t="s">
        <v>101</v>
      </c>
      <c r="B216" s="65"/>
      <c r="C216" s="66"/>
      <c r="D216" s="63">
        <f>SUBTOTAL(9,D2:D215)</f>
        <v>7675101</v>
      </c>
      <c r="E216" s="63">
        <f>SUBTOTAL(9,E2:E215)</f>
        <v>8156725</v>
      </c>
      <c r="F216" s="63">
        <f>SUBTOTAL(9,F2:F215)</f>
        <v>7541881</v>
      </c>
      <c r="G216" s="64">
        <f>IF(D216&lt;=0,0,$F216/D216*100)</f>
        <v>98.26425736938185</v>
      </c>
      <c r="H216" s="266">
        <f>IF(E216&lt;=0,0,$F216/E216*100)</f>
        <v>92.4621217461665</v>
      </c>
    </row>
    <row r="218" spans="5:6" ht="12.75">
      <c r="E218" s="138"/>
      <c r="F218" s="138"/>
    </row>
    <row r="219" spans="5:6" ht="12.75">
      <c r="E219" s="138"/>
      <c r="F219" s="138"/>
    </row>
  </sheetData>
  <sheetProtection/>
  <mergeCells count="1">
    <mergeCell ref="A17:C17"/>
  </mergeCells>
  <printOptions/>
  <pageMargins left="0.6299212598425197" right="0.7874015748031497" top="0.9055118110236221" bottom="0.7480314960629921" header="0.5118110236220472" footer="0.5118110236220472"/>
  <pageSetup fitToHeight="0" horizontalDpi="600" verticalDpi="600" orientation="portrait" paperSize="9" scale="78" r:id="rId1"/>
  <headerFooter alignWithMargins="0">
    <oddHeader>&amp;C&amp;"Times New Roman CE,Tučné"&amp;14Čerpání rozpočtu provozních výdajů města k 31.12.2013 (v tis. Kč)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15"/>
  <sheetViews>
    <sheetView zoomScalePageLayoutView="0" workbookViewId="0" topLeftCell="A952">
      <selection activeCell="B994" sqref="B994"/>
    </sheetView>
  </sheetViews>
  <sheetFormatPr defaultColWidth="9.00390625" defaultRowHeight="12.75"/>
  <cols>
    <col min="1" max="1" width="4.875" style="326" customWidth="1"/>
    <col min="2" max="2" width="4.875" style="668" customWidth="1"/>
    <col min="3" max="3" width="5.125" style="668" customWidth="1"/>
    <col min="4" max="4" width="42.875" style="669" bestFit="1" customWidth="1"/>
    <col min="5" max="5" width="5.375" style="668" customWidth="1"/>
    <col min="6" max="6" width="44.00390625" style="669" customWidth="1"/>
    <col min="7" max="7" width="18.25390625" style="669" customWidth="1"/>
    <col min="8" max="8" width="13.625" style="326" customWidth="1"/>
    <col min="9" max="9" width="9.25390625" style="326" bestFit="1" customWidth="1"/>
    <col min="10" max="10" width="11.75390625" style="326" customWidth="1"/>
    <col min="11" max="11" width="10.75390625" style="326" customWidth="1"/>
    <col min="12" max="12" width="8.375" style="326" customWidth="1"/>
    <col min="13" max="16384" width="9.125" style="326" customWidth="1"/>
  </cols>
  <sheetData>
    <row r="1" spans="1:12" ht="13.5" thickBot="1">
      <c r="A1" s="318" t="s">
        <v>312</v>
      </c>
      <c r="B1" s="319" t="s">
        <v>251</v>
      </c>
      <c r="C1" s="320" t="s">
        <v>0</v>
      </c>
      <c r="D1" s="320" t="s">
        <v>3</v>
      </c>
      <c r="E1" s="320" t="s">
        <v>103</v>
      </c>
      <c r="F1" s="320" t="s">
        <v>104</v>
      </c>
      <c r="G1" s="321" t="s">
        <v>313</v>
      </c>
      <c r="H1" s="322" t="s">
        <v>265</v>
      </c>
      <c r="I1" s="323" t="s">
        <v>314</v>
      </c>
      <c r="J1" s="322" t="s">
        <v>315</v>
      </c>
      <c r="K1" s="324" t="s">
        <v>316</v>
      </c>
      <c r="L1" s="325" t="s">
        <v>317</v>
      </c>
    </row>
    <row r="2" spans="1:12" ht="15.75">
      <c r="A2" s="318">
        <v>1</v>
      </c>
      <c r="B2" s="327" t="s">
        <v>44</v>
      </c>
      <c r="C2" s="328"/>
      <c r="D2" s="328"/>
      <c r="E2" s="328"/>
      <c r="F2" s="328"/>
      <c r="G2" s="329"/>
      <c r="H2" s="330"/>
      <c r="I2" s="331"/>
      <c r="J2" s="330"/>
      <c r="K2" s="332"/>
      <c r="L2" s="333"/>
    </row>
    <row r="3" spans="1:12" ht="12.75">
      <c r="A3" s="334">
        <f>A2+1</f>
        <v>2</v>
      </c>
      <c r="B3" s="335">
        <v>1700</v>
      </c>
      <c r="C3" s="336">
        <v>3511</v>
      </c>
      <c r="D3" s="336" t="s">
        <v>13</v>
      </c>
      <c r="E3" s="336">
        <v>5166</v>
      </c>
      <c r="F3" s="328" t="s">
        <v>318</v>
      </c>
      <c r="G3" s="329" t="s">
        <v>291</v>
      </c>
      <c r="H3" s="330">
        <v>200</v>
      </c>
      <c r="I3" s="330">
        <v>200</v>
      </c>
      <c r="J3" s="330">
        <v>79</v>
      </c>
      <c r="K3" s="337">
        <f>J3-I3</f>
        <v>-121</v>
      </c>
      <c r="L3" s="338">
        <f>J3/I3*100</f>
        <v>39.5</v>
      </c>
    </row>
    <row r="4" spans="1:12" ht="12.75">
      <c r="A4" s="334">
        <f aca="true" t="shared" si="0" ref="A4:A67">A3+1</f>
        <v>3</v>
      </c>
      <c r="B4" s="335">
        <v>1700</v>
      </c>
      <c r="C4" s="336">
        <v>3511</v>
      </c>
      <c r="D4" s="336" t="s">
        <v>13</v>
      </c>
      <c r="E4" s="336">
        <v>5429</v>
      </c>
      <c r="F4" s="328" t="s">
        <v>319</v>
      </c>
      <c r="G4" s="329" t="s">
        <v>291</v>
      </c>
      <c r="H4" s="330">
        <v>1000</v>
      </c>
      <c r="I4" s="330">
        <v>1000</v>
      </c>
      <c r="J4" s="330">
        <v>236</v>
      </c>
      <c r="K4" s="337">
        <f aca="true" t="shared" si="1" ref="K4:K67">J4-I4</f>
        <v>-764</v>
      </c>
      <c r="L4" s="338">
        <f aca="true" t="shared" si="2" ref="L4:L67">J4/I4*100</f>
        <v>23.599999999999998</v>
      </c>
    </row>
    <row r="5" spans="1:12" ht="12.75">
      <c r="A5" s="334">
        <f t="shared" si="0"/>
        <v>4</v>
      </c>
      <c r="B5" s="339"/>
      <c r="C5" s="340" t="s">
        <v>320</v>
      </c>
      <c r="D5" s="340"/>
      <c r="E5" s="340"/>
      <c r="F5" s="341"/>
      <c r="G5" s="342"/>
      <c r="H5" s="343">
        <f>SUBTOTAL(9,H3:H4)</f>
        <v>1200</v>
      </c>
      <c r="I5" s="343">
        <f>SUBTOTAL(9,I3:I4)</f>
        <v>1200</v>
      </c>
      <c r="J5" s="343">
        <f>SUBTOTAL(9,J3:J4)</f>
        <v>315</v>
      </c>
      <c r="K5" s="344">
        <f t="shared" si="1"/>
        <v>-885</v>
      </c>
      <c r="L5" s="345">
        <f t="shared" si="2"/>
        <v>26.25</v>
      </c>
    </row>
    <row r="6" spans="1:12" ht="12.75">
      <c r="A6" s="334">
        <f t="shared" si="0"/>
        <v>5</v>
      </c>
      <c r="B6" s="335">
        <v>1700</v>
      </c>
      <c r="C6" s="336">
        <v>6171</v>
      </c>
      <c r="D6" s="336" t="s">
        <v>26</v>
      </c>
      <c r="E6" s="336">
        <v>5166</v>
      </c>
      <c r="F6" s="328" t="s">
        <v>318</v>
      </c>
      <c r="G6" s="329"/>
      <c r="H6" s="330">
        <v>1105</v>
      </c>
      <c r="I6" s="330">
        <v>1105</v>
      </c>
      <c r="J6" s="330">
        <v>307</v>
      </c>
      <c r="K6" s="337">
        <f t="shared" si="1"/>
        <v>-798</v>
      </c>
      <c r="L6" s="338">
        <f t="shared" si="2"/>
        <v>27.782805429864254</v>
      </c>
    </row>
    <row r="7" spans="1:12" ht="12.75">
      <c r="A7" s="334">
        <f t="shared" si="0"/>
        <v>6</v>
      </c>
      <c r="B7" s="335">
        <v>1700</v>
      </c>
      <c r="C7" s="336">
        <v>6171</v>
      </c>
      <c r="D7" s="336" t="s">
        <v>26</v>
      </c>
      <c r="E7" s="336">
        <v>5169</v>
      </c>
      <c r="F7" s="328" t="s">
        <v>321</v>
      </c>
      <c r="G7" s="329"/>
      <c r="H7" s="330">
        <v>6600</v>
      </c>
      <c r="I7" s="330">
        <v>6600</v>
      </c>
      <c r="J7" s="330">
        <v>5634</v>
      </c>
      <c r="K7" s="337">
        <f t="shared" si="1"/>
        <v>-966</v>
      </c>
      <c r="L7" s="338">
        <f t="shared" si="2"/>
        <v>85.36363636363636</v>
      </c>
    </row>
    <row r="8" spans="1:12" ht="12.75">
      <c r="A8" s="334">
        <f t="shared" si="0"/>
        <v>7</v>
      </c>
      <c r="B8" s="335">
        <v>1700</v>
      </c>
      <c r="C8" s="336">
        <v>6171</v>
      </c>
      <c r="D8" s="336" t="s">
        <v>26</v>
      </c>
      <c r="E8" s="336">
        <v>5363</v>
      </c>
      <c r="F8" s="328" t="s">
        <v>322</v>
      </c>
      <c r="G8" s="329"/>
      <c r="H8" s="330"/>
      <c r="I8" s="330"/>
      <c r="J8" s="330">
        <v>1</v>
      </c>
      <c r="K8" s="337">
        <f t="shared" si="1"/>
        <v>1</v>
      </c>
      <c r="L8" s="338"/>
    </row>
    <row r="9" spans="1:12" ht="12.75">
      <c r="A9" s="334">
        <f t="shared" si="0"/>
        <v>8</v>
      </c>
      <c r="B9" s="339"/>
      <c r="C9" s="340" t="s">
        <v>323</v>
      </c>
      <c r="D9" s="340"/>
      <c r="E9" s="340"/>
      <c r="F9" s="341"/>
      <c r="G9" s="342"/>
      <c r="H9" s="343">
        <f>SUBTOTAL(9,H6:H8)</f>
        <v>7705</v>
      </c>
      <c r="I9" s="343">
        <f>SUBTOTAL(9,I6:I8)</f>
        <v>7705</v>
      </c>
      <c r="J9" s="343">
        <f>SUBTOTAL(9,J6:J8)</f>
        <v>5942</v>
      </c>
      <c r="K9" s="344">
        <f t="shared" si="1"/>
        <v>-1763</v>
      </c>
      <c r="L9" s="345">
        <f t="shared" si="2"/>
        <v>77.11875405580791</v>
      </c>
    </row>
    <row r="10" spans="1:12" ht="12.75">
      <c r="A10" s="334">
        <f t="shared" si="0"/>
        <v>9</v>
      </c>
      <c r="B10" s="335">
        <v>1700</v>
      </c>
      <c r="C10" s="336">
        <v>6310</v>
      </c>
      <c r="D10" s="346" t="s">
        <v>141</v>
      </c>
      <c r="E10" s="336">
        <v>5141</v>
      </c>
      <c r="F10" s="336" t="s">
        <v>324</v>
      </c>
      <c r="G10" s="347"/>
      <c r="H10" s="330">
        <v>224000</v>
      </c>
      <c r="I10" s="330">
        <v>224000</v>
      </c>
      <c r="J10" s="330">
        <v>83706</v>
      </c>
      <c r="K10" s="337">
        <f t="shared" si="1"/>
        <v>-140294</v>
      </c>
      <c r="L10" s="338">
        <f t="shared" si="2"/>
        <v>37.36875</v>
      </c>
    </row>
    <row r="11" spans="1:12" ht="12.75">
      <c r="A11" s="334">
        <f t="shared" si="0"/>
        <v>10</v>
      </c>
      <c r="B11" s="335">
        <v>1700</v>
      </c>
      <c r="C11" s="336">
        <v>6310</v>
      </c>
      <c r="D11" s="346" t="s">
        <v>141</v>
      </c>
      <c r="E11" s="336">
        <v>5142</v>
      </c>
      <c r="F11" s="336" t="s">
        <v>325</v>
      </c>
      <c r="G11" s="347"/>
      <c r="H11" s="330">
        <v>200</v>
      </c>
      <c r="I11" s="330">
        <v>200</v>
      </c>
      <c r="J11" s="330">
        <v>92</v>
      </c>
      <c r="K11" s="337">
        <f t="shared" si="1"/>
        <v>-108</v>
      </c>
      <c r="L11" s="338">
        <f t="shared" si="2"/>
        <v>46</v>
      </c>
    </row>
    <row r="12" spans="1:12" ht="12.75">
      <c r="A12" s="334">
        <f t="shared" si="0"/>
        <v>11</v>
      </c>
      <c r="B12" s="335">
        <v>1700</v>
      </c>
      <c r="C12" s="336">
        <v>6310</v>
      </c>
      <c r="D12" s="346" t="s">
        <v>141</v>
      </c>
      <c r="E12" s="336">
        <v>5163</v>
      </c>
      <c r="F12" s="336" t="s">
        <v>326</v>
      </c>
      <c r="G12" s="347" t="s">
        <v>327</v>
      </c>
      <c r="H12" s="330">
        <v>1100</v>
      </c>
      <c r="I12" s="330">
        <v>1100</v>
      </c>
      <c r="J12" s="330">
        <v>694</v>
      </c>
      <c r="K12" s="337">
        <f t="shared" si="1"/>
        <v>-406</v>
      </c>
      <c r="L12" s="338">
        <f t="shared" si="2"/>
        <v>63.090909090909086</v>
      </c>
    </row>
    <row r="13" spans="1:12" ht="12.75">
      <c r="A13" s="334">
        <f t="shared" si="0"/>
        <v>12</v>
      </c>
      <c r="B13" s="339"/>
      <c r="C13" s="340" t="s">
        <v>328</v>
      </c>
      <c r="D13" s="340"/>
      <c r="E13" s="340"/>
      <c r="F13" s="340"/>
      <c r="G13" s="348"/>
      <c r="H13" s="343">
        <f>SUBTOTAL(9,H10:H12)</f>
        <v>225300</v>
      </c>
      <c r="I13" s="343">
        <f>SUBTOTAL(9,I10:I12)</f>
        <v>225300</v>
      </c>
      <c r="J13" s="343">
        <f>SUBTOTAL(9,J10:J12)</f>
        <v>84492</v>
      </c>
      <c r="K13" s="344">
        <f t="shared" si="1"/>
        <v>-140808</v>
      </c>
      <c r="L13" s="345">
        <f t="shared" si="2"/>
        <v>37.50199733688415</v>
      </c>
    </row>
    <row r="14" spans="1:12" ht="12.75">
      <c r="A14" s="334">
        <f t="shared" si="0"/>
        <v>13</v>
      </c>
      <c r="B14" s="335">
        <v>1700</v>
      </c>
      <c r="C14" s="336">
        <v>6399</v>
      </c>
      <c r="D14" s="349" t="s">
        <v>83</v>
      </c>
      <c r="E14" s="336">
        <v>5362</v>
      </c>
      <c r="F14" s="328" t="s">
        <v>329</v>
      </c>
      <c r="G14" s="347" t="s">
        <v>330</v>
      </c>
      <c r="H14" s="330">
        <v>350000</v>
      </c>
      <c r="I14" s="330">
        <v>294186</v>
      </c>
      <c r="J14" s="330">
        <v>294186</v>
      </c>
      <c r="K14" s="337">
        <f t="shared" si="1"/>
        <v>0</v>
      </c>
      <c r="L14" s="338">
        <f t="shared" si="2"/>
        <v>100</v>
      </c>
    </row>
    <row r="15" spans="1:12" ht="12.75">
      <c r="A15" s="334">
        <f t="shared" si="0"/>
        <v>14</v>
      </c>
      <c r="B15" s="335">
        <v>1700</v>
      </c>
      <c r="C15" s="336">
        <v>6399</v>
      </c>
      <c r="D15" s="349" t="s">
        <v>83</v>
      </c>
      <c r="E15" s="336">
        <v>5909</v>
      </c>
      <c r="F15" s="328"/>
      <c r="G15" s="347"/>
      <c r="H15" s="330"/>
      <c r="I15" s="330"/>
      <c r="J15" s="330">
        <v>-16</v>
      </c>
      <c r="K15" s="337">
        <f t="shared" si="1"/>
        <v>-16</v>
      </c>
      <c r="L15" s="338"/>
    </row>
    <row r="16" spans="1:12" ht="12.75">
      <c r="A16" s="334">
        <f t="shared" si="0"/>
        <v>15</v>
      </c>
      <c r="B16" s="339"/>
      <c r="C16" s="340" t="s">
        <v>331</v>
      </c>
      <c r="D16" s="340"/>
      <c r="E16" s="340"/>
      <c r="F16" s="350"/>
      <c r="G16" s="351"/>
      <c r="H16" s="343">
        <f>SUBTOTAL(9,H14:H15)</f>
        <v>350000</v>
      </c>
      <c r="I16" s="343">
        <f>SUBTOTAL(9,I14:I15)</f>
        <v>294186</v>
      </c>
      <c r="J16" s="343">
        <f>SUBTOTAL(9,J14:J15)</f>
        <v>294170</v>
      </c>
      <c r="K16" s="344">
        <f t="shared" si="1"/>
        <v>-16</v>
      </c>
      <c r="L16" s="345">
        <f t="shared" si="2"/>
        <v>99.99456126396225</v>
      </c>
    </row>
    <row r="17" spans="1:12" ht="12.75">
      <c r="A17" s="334">
        <f t="shared" si="0"/>
        <v>16</v>
      </c>
      <c r="B17" s="335">
        <v>1700</v>
      </c>
      <c r="C17" s="336">
        <v>6402</v>
      </c>
      <c r="D17" s="82" t="s">
        <v>98</v>
      </c>
      <c r="E17" s="336">
        <v>5364</v>
      </c>
      <c r="F17" s="352" t="s">
        <v>332</v>
      </c>
      <c r="G17" s="353"/>
      <c r="H17" s="354"/>
      <c r="I17" s="354">
        <v>243</v>
      </c>
      <c r="J17" s="354">
        <v>243</v>
      </c>
      <c r="K17" s="355">
        <f t="shared" si="1"/>
        <v>0</v>
      </c>
      <c r="L17" s="356">
        <f t="shared" si="2"/>
        <v>100</v>
      </c>
    </row>
    <row r="18" spans="1:12" ht="12.75">
      <c r="A18" s="334">
        <f t="shared" si="0"/>
        <v>17</v>
      </c>
      <c r="B18" s="335">
        <v>1700</v>
      </c>
      <c r="C18" s="336">
        <v>6402</v>
      </c>
      <c r="D18" s="82" t="s">
        <v>98</v>
      </c>
      <c r="E18" s="336">
        <v>5366</v>
      </c>
      <c r="F18" s="352" t="s">
        <v>333</v>
      </c>
      <c r="G18" s="353"/>
      <c r="H18" s="354"/>
      <c r="I18" s="354">
        <v>5622</v>
      </c>
      <c r="J18" s="354">
        <v>5623</v>
      </c>
      <c r="K18" s="355">
        <f t="shared" si="1"/>
        <v>1</v>
      </c>
      <c r="L18" s="356">
        <f t="shared" si="2"/>
        <v>100.01778726431876</v>
      </c>
    </row>
    <row r="19" spans="1:12" ht="12.75">
      <c r="A19" s="334">
        <f t="shared" si="0"/>
        <v>18</v>
      </c>
      <c r="B19" s="335">
        <v>1700</v>
      </c>
      <c r="C19" s="336">
        <v>6402</v>
      </c>
      <c r="D19" s="82" t="s">
        <v>98</v>
      </c>
      <c r="E19" s="336">
        <v>5367</v>
      </c>
      <c r="F19" s="352" t="s">
        <v>334</v>
      </c>
      <c r="G19" s="353"/>
      <c r="H19" s="354"/>
      <c r="I19" s="354">
        <v>205267</v>
      </c>
      <c r="J19" s="354">
        <v>205267</v>
      </c>
      <c r="K19" s="355">
        <f t="shared" si="1"/>
        <v>0</v>
      </c>
      <c r="L19" s="356">
        <f t="shared" si="2"/>
        <v>100</v>
      </c>
    </row>
    <row r="20" spans="1:12" ht="12.75">
      <c r="A20" s="334">
        <f t="shared" si="0"/>
        <v>19</v>
      </c>
      <c r="B20" s="339"/>
      <c r="C20" s="340" t="s">
        <v>335</v>
      </c>
      <c r="D20" s="340"/>
      <c r="E20" s="340"/>
      <c r="F20" s="350"/>
      <c r="G20" s="348"/>
      <c r="H20" s="343">
        <f>SUBTOTAL(9,H18:H19)</f>
        <v>0</v>
      </c>
      <c r="I20" s="343">
        <f>SUBTOTAL(9,I17:I19)</f>
        <v>211132</v>
      </c>
      <c r="J20" s="343">
        <f>SUBTOTAL(9,J17:J19)</f>
        <v>211133</v>
      </c>
      <c r="K20" s="344">
        <f t="shared" si="1"/>
        <v>1</v>
      </c>
      <c r="L20" s="345">
        <f t="shared" si="2"/>
        <v>100.00047363734537</v>
      </c>
    </row>
    <row r="21" spans="1:12" ht="12.75">
      <c r="A21" s="334">
        <f t="shared" si="0"/>
        <v>20</v>
      </c>
      <c r="B21" s="335">
        <v>1700</v>
      </c>
      <c r="C21" s="336">
        <v>6409</v>
      </c>
      <c r="D21" s="336" t="s">
        <v>336</v>
      </c>
      <c r="E21" s="336">
        <v>5321</v>
      </c>
      <c r="F21" s="349" t="s">
        <v>337</v>
      </c>
      <c r="G21" s="347"/>
      <c r="H21" s="330">
        <v>974958</v>
      </c>
      <c r="I21" s="330">
        <v>983529</v>
      </c>
      <c r="J21" s="330">
        <v>983529</v>
      </c>
      <c r="K21" s="337">
        <f t="shared" si="1"/>
        <v>0</v>
      </c>
      <c r="L21" s="338">
        <f t="shared" si="2"/>
        <v>100</v>
      </c>
    </row>
    <row r="22" spans="1:12" ht="12.75">
      <c r="A22" s="334">
        <f t="shared" si="0"/>
        <v>21</v>
      </c>
      <c r="B22" s="335">
        <v>1700</v>
      </c>
      <c r="C22" s="336">
        <v>6409</v>
      </c>
      <c r="D22" s="336" t="s">
        <v>336</v>
      </c>
      <c r="E22" s="336">
        <v>5321</v>
      </c>
      <c r="F22" s="349" t="s">
        <v>337</v>
      </c>
      <c r="G22" s="347" t="s">
        <v>338</v>
      </c>
      <c r="H22" s="330"/>
      <c r="I22" s="330">
        <v>18871</v>
      </c>
      <c r="J22" s="330">
        <v>18871</v>
      </c>
      <c r="K22" s="337">
        <f t="shared" si="1"/>
        <v>0</v>
      </c>
      <c r="L22" s="338">
        <f t="shared" si="2"/>
        <v>100</v>
      </c>
    </row>
    <row r="23" spans="1:12" ht="12.75">
      <c r="A23" s="334">
        <f t="shared" si="0"/>
        <v>22</v>
      </c>
      <c r="B23" s="335">
        <v>1700</v>
      </c>
      <c r="C23" s="336">
        <v>6409</v>
      </c>
      <c r="D23" s="336" t="s">
        <v>336</v>
      </c>
      <c r="E23" s="336">
        <v>5901</v>
      </c>
      <c r="F23" s="336" t="s">
        <v>339</v>
      </c>
      <c r="G23" s="347"/>
      <c r="H23" s="330">
        <v>7111</v>
      </c>
      <c r="I23" s="330">
        <v>6511</v>
      </c>
      <c r="J23" s="330">
        <v>0</v>
      </c>
      <c r="K23" s="337">
        <f t="shared" si="1"/>
        <v>-6511</v>
      </c>
      <c r="L23" s="338">
        <f t="shared" si="2"/>
        <v>0</v>
      </c>
    </row>
    <row r="24" spans="1:12" ht="12.75">
      <c r="A24" s="334">
        <f t="shared" si="0"/>
        <v>23</v>
      </c>
      <c r="B24" s="339"/>
      <c r="C24" s="340" t="s">
        <v>340</v>
      </c>
      <c r="D24" s="340"/>
      <c r="E24" s="340"/>
      <c r="F24" s="350"/>
      <c r="G24" s="348"/>
      <c r="H24" s="343">
        <f>SUBTOTAL(9,H21:H23)</f>
        <v>982069</v>
      </c>
      <c r="I24" s="343">
        <f>SUBTOTAL(9,I21:I23)</f>
        <v>1008911</v>
      </c>
      <c r="J24" s="343">
        <f>SUBTOTAL(9,J21:J23)</f>
        <v>1002400</v>
      </c>
      <c r="K24" s="344">
        <f t="shared" si="1"/>
        <v>-6511</v>
      </c>
      <c r="L24" s="345">
        <f t="shared" si="2"/>
        <v>99.35465070754506</v>
      </c>
    </row>
    <row r="25" spans="1:12" ht="13.5" thickBot="1">
      <c r="A25" s="334">
        <f t="shared" si="0"/>
        <v>24</v>
      </c>
      <c r="B25" s="357" t="s">
        <v>203</v>
      </c>
      <c r="C25" s="358"/>
      <c r="D25" s="358"/>
      <c r="E25" s="358"/>
      <c r="F25" s="358"/>
      <c r="G25" s="359"/>
      <c r="H25" s="360">
        <f>SUBTOTAL(9,H3:H24)</f>
        <v>1566274</v>
      </c>
      <c r="I25" s="360">
        <f>SUBTOTAL(9,I3:I24)</f>
        <v>1748434</v>
      </c>
      <c r="J25" s="360">
        <f>SUBTOTAL(9,J3:J24)</f>
        <v>1598452</v>
      </c>
      <c r="K25" s="361">
        <f t="shared" si="1"/>
        <v>-149982</v>
      </c>
      <c r="L25" s="362">
        <f t="shared" si="2"/>
        <v>91.42192384728277</v>
      </c>
    </row>
    <row r="26" spans="1:12" ht="9.75" customHeight="1">
      <c r="A26" s="334">
        <f t="shared" si="0"/>
        <v>25</v>
      </c>
      <c r="B26" s="363"/>
      <c r="C26" s="364"/>
      <c r="D26" s="364"/>
      <c r="E26" s="364"/>
      <c r="F26" s="365"/>
      <c r="G26" s="366"/>
      <c r="H26" s="367"/>
      <c r="I26" s="367"/>
      <c r="J26" s="367"/>
      <c r="K26" s="368">
        <f t="shared" si="1"/>
        <v>0</v>
      </c>
      <c r="L26" s="369"/>
    </row>
    <row r="27" spans="1:12" ht="15.75">
      <c r="A27" s="334">
        <f t="shared" si="0"/>
        <v>26</v>
      </c>
      <c r="B27" s="370" t="s">
        <v>172</v>
      </c>
      <c r="C27" s="371"/>
      <c r="D27" s="371"/>
      <c r="E27" s="371"/>
      <c r="F27" s="371"/>
      <c r="G27" s="372"/>
      <c r="H27" s="373"/>
      <c r="I27" s="373"/>
      <c r="J27" s="373"/>
      <c r="K27" s="374">
        <f t="shared" si="1"/>
        <v>0</v>
      </c>
      <c r="L27" s="375"/>
    </row>
    <row r="28" spans="1:12" ht="12.75">
      <c r="A28" s="334">
        <f t="shared" si="0"/>
        <v>27</v>
      </c>
      <c r="B28" s="376">
        <v>1900</v>
      </c>
      <c r="C28" s="328">
        <v>2143</v>
      </c>
      <c r="D28" s="377" t="s">
        <v>193</v>
      </c>
      <c r="E28" s="328">
        <v>5169</v>
      </c>
      <c r="F28" s="378" t="s">
        <v>321</v>
      </c>
      <c r="G28" s="329"/>
      <c r="H28" s="379">
        <v>4950</v>
      </c>
      <c r="I28" s="379">
        <v>4950</v>
      </c>
      <c r="J28" s="379">
        <v>4479</v>
      </c>
      <c r="K28" s="380">
        <f t="shared" si="1"/>
        <v>-471</v>
      </c>
      <c r="L28" s="381">
        <f t="shared" si="2"/>
        <v>90.48484848484848</v>
      </c>
    </row>
    <row r="29" spans="1:12" ht="12.75">
      <c r="A29" s="334">
        <f t="shared" si="0"/>
        <v>28</v>
      </c>
      <c r="B29" s="376">
        <v>1900</v>
      </c>
      <c r="C29" s="328">
        <v>2143</v>
      </c>
      <c r="D29" s="377" t="s">
        <v>193</v>
      </c>
      <c r="E29" s="328">
        <v>5175</v>
      </c>
      <c r="F29" s="378" t="s">
        <v>341</v>
      </c>
      <c r="G29" s="372"/>
      <c r="H29" s="379">
        <v>80</v>
      </c>
      <c r="I29" s="379">
        <v>80</v>
      </c>
      <c r="J29" s="379">
        <v>42</v>
      </c>
      <c r="K29" s="380">
        <f t="shared" si="1"/>
        <v>-38</v>
      </c>
      <c r="L29" s="381">
        <f t="shared" si="2"/>
        <v>52.5</v>
      </c>
    </row>
    <row r="30" spans="1:12" ht="12.75">
      <c r="A30" s="334">
        <f t="shared" si="0"/>
        <v>29</v>
      </c>
      <c r="B30" s="376">
        <v>1900</v>
      </c>
      <c r="C30" s="328">
        <v>2143</v>
      </c>
      <c r="D30" s="377" t="s">
        <v>193</v>
      </c>
      <c r="E30" s="328">
        <v>5192</v>
      </c>
      <c r="F30" s="328" t="s">
        <v>342</v>
      </c>
      <c r="G30" s="372"/>
      <c r="H30" s="379">
        <v>3</v>
      </c>
      <c r="I30" s="379">
        <v>3</v>
      </c>
      <c r="J30" s="379"/>
      <c r="K30" s="380">
        <f t="shared" si="1"/>
        <v>-3</v>
      </c>
      <c r="L30" s="381">
        <f t="shared" si="2"/>
        <v>0</v>
      </c>
    </row>
    <row r="31" spans="1:12" ht="12.75">
      <c r="A31" s="334">
        <f t="shared" si="0"/>
        <v>30</v>
      </c>
      <c r="B31" s="376">
        <v>1900</v>
      </c>
      <c r="C31" s="328">
        <v>2143</v>
      </c>
      <c r="D31" s="377" t="s">
        <v>193</v>
      </c>
      <c r="E31" s="328">
        <v>5229</v>
      </c>
      <c r="F31" s="378" t="s">
        <v>343</v>
      </c>
      <c r="G31" s="382" t="s">
        <v>344</v>
      </c>
      <c r="H31" s="379">
        <v>2000</v>
      </c>
      <c r="I31" s="379">
        <v>2000</v>
      </c>
      <c r="J31" s="379">
        <v>2000</v>
      </c>
      <c r="K31" s="380">
        <f t="shared" si="1"/>
        <v>0</v>
      </c>
      <c r="L31" s="381">
        <f t="shared" si="2"/>
        <v>100</v>
      </c>
    </row>
    <row r="32" spans="1:12" ht="12.75">
      <c r="A32" s="334">
        <f t="shared" si="0"/>
        <v>31</v>
      </c>
      <c r="B32" s="376">
        <v>1900</v>
      </c>
      <c r="C32" s="328">
        <v>2143</v>
      </c>
      <c r="D32" s="377" t="s">
        <v>193</v>
      </c>
      <c r="E32" s="328">
        <v>5331</v>
      </c>
      <c r="F32" s="378" t="s">
        <v>345</v>
      </c>
      <c r="G32" s="382" t="s">
        <v>346</v>
      </c>
      <c r="H32" s="379">
        <v>37128</v>
      </c>
      <c r="I32" s="379">
        <v>37450</v>
      </c>
      <c r="J32" s="379">
        <v>37450</v>
      </c>
      <c r="K32" s="380">
        <f t="shared" si="1"/>
        <v>0</v>
      </c>
      <c r="L32" s="381">
        <f t="shared" si="2"/>
        <v>100</v>
      </c>
    </row>
    <row r="33" spans="1:12" ht="12.75">
      <c r="A33" s="334">
        <f t="shared" si="0"/>
        <v>32</v>
      </c>
      <c r="B33" s="376">
        <v>1900</v>
      </c>
      <c r="C33" s="328">
        <v>2143</v>
      </c>
      <c r="D33" s="377" t="s">
        <v>193</v>
      </c>
      <c r="E33" s="328">
        <v>5336</v>
      </c>
      <c r="F33" s="378" t="s">
        <v>347</v>
      </c>
      <c r="G33" s="382" t="s">
        <v>346</v>
      </c>
      <c r="H33" s="379">
        <v>0</v>
      </c>
      <c r="I33" s="379">
        <v>3530</v>
      </c>
      <c r="J33" s="379">
        <v>3530</v>
      </c>
      <c r="K33" s="380">
        <f t="shared" si="1"/>
        <v>0</v>
      </c>
      <c r="L33" s="381">
        <f t="shared" si="2"/>
        <v>100</v>
      </c>
    </row>
    <row r="34" spans="1:12" s="387" customFormat="1" ht="12.75">
      <c r="A34" s="334">
        <f t="shared" si="0"/>
        <v>33</v>
      </c>
      <c r="B34" s="383"/>
      <c r="C34" s="341" t="s">
        <v>348</v>
      </c>
      <c r="D34" s="341"/>
      <c r="E34" s="341"/>
      <c r="F34" s="341"/>
      <c r="G34" s="372"/>
      <c r="H34" s="384">
        <f>SUBTOTAL(9,H28:H33)</f>
        <v>44161</v>
      </c>
      <c r="I34" s="384">
        <f>SUBTOTAL(9,I28:I33)</f>
        <v>48013</v>
      </c>
      <c r="J34" s="384">
        <f>SUBTOTAL(9,J28:J33)</f>
        <v>47501</v>
      </c>
      <c r="K34" s="385">
        <f t="shared" si="1"/>
        <v>-512</v>
      </c>
      <c r="L34" s="386">
        <f t="shared" si="2"/>
        <v>98.93362214400267</v>
      </c>
    </row>
    <row r="35" spans="1:12" ht="12.75">
      <c r="A35" s="334">
        <f t="shared" si="0"/>
        <v>34</v>
      </c>
      <c r="B35" s="376">
        <v>1900</v>
      </c>
      <c r="C35" s="328">
        <v>3349</v>
      </c>
      <c r="D35" s="328" t="s">
        <v>58</v>
      </c>
      <c r="E35" s="336">
        <v>5139</v>
      </c>
      <c r="F35" s="328" t="s">
        <v>349</v>
      </c>
      <c r="G35" s="372"/>
      <c r="H35" s="379">
        <v>3536</v>
      </c>
      <c r="I35" s="379">
        <v>2336</v>
      </c>
      <c r="J35" s="379">
        <v>2064</v>
      </c>
      <c r="K35" s="380">
        <f t="shared" si="1"/>
        <v>-272</v>
      </c>
      <c r="L35" s="381">
        <f t="shared" si="2"/>
        <v>88.35616438356165</v>
      </c>
    </row>
    <row r="36" spans="1:12" ht="12.75">
      <c r="A36" s="334">
        <f t="shared" si="0"/>
        <v>35</v>
      </c>
      <c r="B36" s="376">
        <v>1900</v>
      </c>
      <c r="C36" s="328">
        <v>3349</v>
      </c>
      <c r="D36" s="328" t="s">
        <v>58</v>
      </c>
      <c r="E36" s="336">
        <v>5169</v>
      </c>
      <c r="F36" s="336" t="s">
        <v>321</v>
      </c>
      <c r="G36" s="329"/>
      <c r="H36" s="379">
        <v>12450</v>
      </c>
      <c r="I36" s="379">
        <v>13650</v>
      </c>
      <c r="J36" s="379">
        <v>11179</v>
      </c>
      <c r="K36" s="380">
        <f t="shared" si="1"/>
        <v>-2471</v>
      </c>
      <c r="L36" s="381">
        <f t="shared" si="2"/>
        <v>81.8974358974359</v>
      </c>
    </row>
    <row r="37" spans="1:12" ht="12.75">
      <c r="A37" s="334">
        <f t="shared" si="0"/>
        <v>36</v>
      </c>
      <c r="B37" s="376">
        <v>1900</v>
      </c>
      <c r="C37" s="328">
        <v>3349</v>
      </c>
      <c r="D37" s="328" t="s">
        <v>58</v>
      </c>
      <c r="E37" s="336">
        <v>5194</v>
      </c>
      <c r="F37" s="336" t="s">
        <v>350</v>
      </c>
      <c r="G37" s="372"/>
      <c r="H37" s="379">
        <v>215</v>
      </c>
      <c r="I37" s="379">
        <v>215</v>
      </c>
      <c r="J37" s="379">
        <v>141</v>
      </c>
      <c r="K37" s="380">
        <f t="shared" si="1"/>
        <v>-74</v>
      </c>
      <c r="L37" s="381">
        <f t="shared" si="2"/>
        <v>65.58139534883722</v>
      </c>
    </row>
    <row r="38" spans="1:12" ht="12.75">
      <c r="A38" s="334">
        <f t="shared" si="0"/>
        <v>37</v>
      </c>
      <c r="B38" s="383"/>
      <c r="C38" s="341" t="s">
        <v>351</v>
      </c>
      <c r="D38" s="341"/>
      <c r="E38" s="341"/>
      <c r="F38" s="341"/>
      <c r="G38" s="372"/>
      <c r="H38" s="384">
        <f>SUBTOTAL(9,H35:H37)</f>
        <v>16201</v>
      </c>
      <c r="I38" s="384">
        <f>SUBTOTAL(9,I35:I37)</f>
        <v>16201</v>
      </c>
      <c r="J38" s="384">
        <f>SUBTOTAL(9,J35:J37)</f>
        <v>13384</v>
      </c>
      <c r="K38" s="385">
        <f t="shared" si="1"/>
        <v>-2817</v>
      </c>
      <c r="L38" s="386">
        <f t="shared" si="2"/>
        <v>82.61218443305968</v>
      </c>
    </row>
    <row r="39" spans="1:12" ht="12.75">
      <c r="A39" s="334">
        <f t="shared" si="0"/>
        <v>38</v>
      </c>
      <c r="B39" s="376">
        <v>1900</v>
      </c>
      <c r="C39" s="328">
        <v>3636</v>
      </c>
      <c r="D39" s="349" t="s">
        <v>171</v>
      </c>
      <c r="E39" s="328">
        <v>5041</v>
      </c>
      <c r="F39" s="328" t="s">
        <v>352</v>
      </c>
      <c r="G39" s="372"/>
      <c r="H39" s="379">
        <v>100</v>
      </c>
      <c r="I39" s="379">
        <v>100</v>
      </c>
      <c r="J39" s="379">
        <v>16</v>
      </c>
      <c r="K39" s="380">
        <f t="shared" si="1"/>
        <v>-84</v>
      </c>
      <c r="L39" s="381">
        <f t="shared" si="2"/>
        <v>16</v>
      </c>
    </row>
    <row r="40" spans="1:12" ht="12.75">
      <c r="A40" s="334">
        <f t="shared" si="0"/>
        <v>39</v>
      </c>
      <c r="B40" s="376">
        <v>1900</v>
      </c>
      <c r="C40" s="328">
        <v>3636</v>
      </c>
      <c r="D40" s="349" t="s">
        <v>171</v>
      </c>
      <c r="E40" s="328">
        <v>5137</v>
      </c>
      <c r="F40" s="328" t="s">
        <v>353</v>
      </c>
      <c r="G40" s="372"/>
      <c r="H40" s="379">
        <v>82</v>
      </c>
      <c r="I40" s="379">
        <v>82</v>
      </c>
      <c r="J40" s="379"/>
      <c r="K40" s="380">
        <f t="shared" si="1"/>
        <v>-82</v>
      </c>
      <c r="L40" s="381">
        <f t="shared" si="2"/>
        <v>0</v>
      </c>
    </row>
    <row r="41" spans="1:12" ht="12.75">
      <c r="A41" s="334">
        <f t="shared" si="0"/>
        <v>40</v>
      </c>
      <c r="B41" s="376">
        <v>1900</v>
      </c>
      <c r="C41" s="328">
        <v>3636</v>
      </c>
      <c r="D41" s="349" t="s">
        <v>171</v>
      </c>
      <c r="E41" s="328">
        <v>5139</v>
      </c>
      <c r="F41" s="328" t="s">
        <v>349</v>
      </c>
      <c r="G41" s="372"/>
      <c r="H41" s="379">
        <v>775</v>
      </c>
      <c r="I41" s="379">
        <v>775</v>
      </c>
      <c r="J41" s="379">
        <v>54</v>
      </c>
      <c r="K41" s="380">
        <f t="shared" si="1"/>
        <v>-721</v>
      </c>
      <c r="L41" s="381">
        <f t="shared" si="2"/>
        <v>6.96774193548387</v>
      </c>
    </row>
    <row r="42" spans="1:12" ht="12.75">
      <c r="A42" s="334">
        <f t="shared" si="0"/>
        <v>41</v>
      </c>
      <c r="B42" s="376">
        <v>1900</v>
      </c>
      <c r="C42" s="328">
        <v>3636</v>
      </c>
      <c r="D42" s="349" t="s">
        <v>171</v>
      </c>
      <c r="E42" s="336">
        <v>5151</v>
      </c>
      <c r="F42" s="352" t="s">
        <v>354</v>
      </c>
      <c r="G42" s="372"/>
      <c r="H42" s="379">
        <v>2</v>
      </c>
      <c r="I42" s="379">
        <v>2</v>
      </c>
      <c r="J42" s="379"/>
      <c r="K42" s="380">
        <f t="shared" si="1"/>
        <v>-2</v>
      </c>
      <c r="L42" s="381">
        <f t="shared" si="2"/>
        <v>0</v>
      </c>
    </row>
    <row r="43" spans="1:12" ht="12.75">
      <c r="A43" s="334">
        <f t="shared" si="0"/>
        <v>42</v>
      </c>
      <c r="B43" s="376">
        <v>1900</v>
      </c>
      <c r="C43" s="328">
        <v>3636</v>
      </c>
      <c r="D43" s="349" t="s">
        <v>171</v>
      </c>
      <c r="E43" s="336">
        <v>5152</v>
      </c>
      <c r="F43" s="336" t="s">
        <v>355</v>
      </c>
      <c r="G43" s="372"/>
      <c r="H43" s="379">
        <v>4</v>
      </c>
      <c r="I43" s="379">
        <v>4</v>
      </c>
      <c r="J43" s="379"/>
      <c r="K43" s="380">
        <f t="shared" si="1"/>
        <v>-4</v>
      </c>
      <c r="L43" s="381">
        <f t="shared" si="2"/>
        <v>0</v>
      </c>
    </row>
    <row r="44" spans="1:12" ht="12.75">
      <c r="A44" s="334">
        <f t="shared" si="0"/>
        <v>43</v>
      </c>
      <c r="B44" s="376">
        <v>1900</v>
      </c>
      <c r="C44" s="328">
        <v>3636</v>
      </c>
      <c r="D44" s="349" t="s">
        <v>171</v>
      </c>
      <c r="E44" s="336">
        <v>5154</v>
      </c>
      <c r="F44" s="353" t="s">
        <v>356</v>
      </c>
      <c r="G44" s="372"/>
      <c r="H44" s="379">
        <v>17</v>
      </c>
      <c r="I44" s="379">
        <v>17</v>
      </c>
      <c r="J44" s="379">
        <v>3</v>
      </c>
      <c r="K44" s="380">
        <f t="shared" si="1"/>
        <v>-14</v>
      </c>
      <c r="L44" s="381">
        <f t="shared" si="2"/>
        <v>17.647058823529413</v>
      </c>
    </row>
    <row r="45" spans="1:12" ht="12.75">
      <c r="A45" s="334">
        <f t="shared" si="0"/>
        <v>44</v>
      </c>
      <c r="B45" s="376">
        <v>1900</v>
      </c>
      <c r="C45" s="328">
        <v>3636</v>
      </c>
      <c r="D45" s="349" t="s">
        <v>171</v>
      </c>
      <c r="E45" s="328">
        <v>5163</v>
      </c>
      <c r="F45" s="328" t="s">
        <v>326</v>
      </c>
      <c r="G45" s="372"/>
      <c r="H45" s="379">
        <v>25</v>
      </c>
      <c r="I45" s="379">
        <v>25</v>
      </c>
      <c r="J45" s="379">
        <v>4</v>
      </c>
      <c r="K45" s="380">
        <f t="shared" si="1"/>
        <v>-21</v>
      </c>
      <c r="L45" s="381">
        <f t="shared" si="2"/>
        <v>16</v>
      </c>
    </row>
    <row r="46" spans="1:12" ht="12.75">
      <c r="A46" s="334">
        <f t="shared" si="0"/>
        <v>45</v>
      </c>
      <c r="B46" s="376">
        <v>1900</v>
      </c>
      <c r="C46" s="328">
        <v>3636</v>
      </c>
      <c r="D46" s="349" t="s">
        <v>171</v>
      </c>
      <c r="E46" s="328">
        <v>5164</v>
      </c>
      <c r="F46" s="328" t="s">
        <v>357</v>
      </c>
      <c r="G46" s="372"/>
      <c r="H46" s="379">
        <v>52</v>
      </c>
      <c r="I46" s="379">
        <v>52</v>
      </c>
      <c r="J46" s="379">
        <v>7</v>
      </c>
      <c r="K46" s="380">
        <f t="shared" si="1"/>
        <v>-45</v>
      </c>
      <c r="L46" s="381">
        <f t="shared" si="2"/>
        <v>13.461538461538462</v>
      </c>
    </row>
    <row r="47" spans="1:12" ht="12.75">
      <c r="A47" s="334">
        <f t="shared" si="0"/>
        <v>46</v>
      </c>
      <c r="B47" s="376">
        <v>1900</v>
      </c>
      <c r="C47" s="328">
        <v>3636</v>
      </c>
      <c r="D47" s="349" t="s">
        <v>171</v>
      </c>
      <c r="E47" s="328">
        <v>5166</v>
      </c>
      <c r="F47" s="328" t="s">
        <v>318</v>
      </c>
      <c r="G47" s="372"/>
      <c r="H47" s="379">
        <v>1150</v>
      </c>
      <c r="I47" s="379">
        <v>1150</v>
      </c>
      <c r="J47" s="379"/>
      <c r="K47" s="380">
        <f t="shared" si="1"/>
        <v>-1150</v>
      </c>
      <c r="L47" s="381">
        <f t="shared" si="2"/>
        <v>0</v>
      </c>
    </row>
    <row r="48" spans="1:12" ht="12.75">
      <c r="A48" s="334">
        <f t="shared" si="0"/>
        <v>47</v>
      </c>
      <c r="B48" s="376">
        <v>1900</v>
      </c>
      <c r="C48" s="328">
        <v>3636</v>
      </c>
      <c r="D48" s="349" t="s">
        <v>171</v>
      </c>
      <c r="E48" s="328">
        <v>5169</v>
      </c>
      <c r="F48" s="328" t="s">
        <v>321</v>
      </c>
      <c r="G48" s="329"/>
      <c r="H48" s="379">
        <v>5200</v>
      </c>
      <c r="I48" s="379">
        <v>5200</v>
      </c>
      <c r="J48" s="379">
        <v>1626</v>
      </c>
      <c r="K48" s="380">
        <f t="shared" si="1"/>
        <v>-3574</v>
      </c>
      <c r="L48" s="381">
        <f t="shared" si="2"/>
        <v>31.26923076923077</v>
      </c>
    </row>
    <row r="49" spans="1:12" ht="12.75">
      <c r="A49" s="334">
        <f t="shared" si="0"/>
        <v>48</v>
      </c>
      <c r="B49" s="376">
        <v>1900</v>
      </c>
      <c r="C49" s="328">
        <v>3636</v>
      </c>
      <c r="D49" s="349" t="s">
        <v>171</v>
      </c>
      <c r="E49" s="328">
        <v>5175</v>
      </c>
      <c r="F49" s="328" t="s">
        <v>341</v>
      </c>
      <c r="G49" s="372"/>
      <c r="H49" s="379">
        <v>80</v>
      </c>
      <c r="I49" s="379">
        <v>80</v>
      </c>
      <c r="J49" s="379">
        <v>50</v>
      </c>
      <c r="K49" s="380">
        <f t="shared" si="1"/>
        <v>-30</v>
      </c>
      <c r="L49" s="381">
        <f t="shared" si="2"/>
        <v>62.5</v>
      </c>
    </row>
    <row r="50" spans="1:12" ht="12.75">
      <c r="A50" s="334">
        <f t="shared" si="0"/>
        <v>49</v>
      </c>
      <c r="B50" s="376">
        <v>1900</v>
      </c>
      <c r="C50" s="328">
        <v>3636</v>
      </c>
      <c r="D50" s="349" t="s">
        <v>171</v>
      </c>
      <c r="E50" s="328">
        <v>5192</v>
      </c>
      <c r="F50" s="328" t="s">
        <v>342</v>
      </c>
      <c r="G50" s="372"/>
      <c r="H50" s="379">
        <v>30</v>
      </c>
      <c r="I50" s="379">
        <v>30</v>
      </c>
      <c r="J50" s="379">
        <v>16</v>
      </c>
      <c r="K50" s="380">
        <f t="shared" si="1"/>
        <v>-14</v>
      </c>
      <c r="L50" s="381">
        <f t="shared" si="2"/>
        <v>53.333333333333336</v>
      </c>
    </row>
    <row r="51" spans="1:12" ht="12.75">
      <c r="A51" s="334">
        <f t="shared" si="0"/>
        <v>50</v>
      </c>
      <c r="B51" s="376">
        <v>1900</v>
      </c>
      <c r="C51" s="328">
        <v>3636</v>
      </c>
      <c r="D51" s="349" t="s">
        <v>171</v>
      </c>
      <c r="E51" s="328">
        <v>5194</v>
      </c>
      <c r="F51" s="328" t="s">
        <v>350</v>
      </c>
      <c r="G51" s="372"/>
      <c r="H51" s="379">
        <v>100</v>
      </c>
      <c r="I51" s="379">
        <v>100</v>
      </c>
      <c r="J51" s="379"/>
      <c r="K51" s="380">
        <f t="shared" si="1"/>
        <v>-100</v>
      </c>
      <c r="L51" s="381">
        <f t="shared" si="2"/>
        <v>0</v>
      </c>
    </row>
    <row r="52" spans="1:12" ht="12.75">
      <c r="A52" s="334">
        <f t="shared" si="0"/>
        <v>51</v>
      </c>
      <c r="B52" s="376">
        <v>1900</v>
      </c>
      <c r="C52" s="328">
        <v>3636</v>
      </c>
      <c r="D52" s="349" t="s">
        <v>171</v>
      </c>
      <c r="E52" s="328">
        <v>5331</v>
      </c>
      <c r="F52" s="378" t="s">
        <v>345</v>
      </c>
      <c r="G52" s="382" t="s">
        <v>346</v>
      </c>
      <c r="H52" s="379"/>
      <c r="I52" s="379">
        <v>151</v>
      </c>
      <c r="J52" s="379">
        <v>151</v>
      </c>
      <c r="K52" s="380">
        <f t="shared" si="1"/>
        <v>0</v>
      </c>
      <c r="L52" s="381">
        <f t="shared" si="2"/>
        <v>100</v>
      </c>
    </row>
    <row r="53" spans="1:12" ht="12.75">
      <c r="A53" s="334">
        <f t="shared" si="0"/>
        <v>52</v>
      </c>
      <c r="B53" s="383"/>
      <c r="C53" s="341" t="s">
        <v>358</v>
      </c>
      <c r="D53" s="341"/>
      <c r="E53" s="341"/>
      <c r="F53" s="341"/>
      <c r="G53" s="372"/>
      <c r="H53" s="388">
        <f>SUBTOTAL(9,H39:H52)</f>
        <v>7617</v>
      </c>
      <c r="I53" s="388">
        <f>SUBTOTAL(9,I39:I52)</f>
        <v>7768</v>
      </c>
      <c r="J53" s="388">
        <f>SUBTOTAL(9,J39:J52)</f>
        <v>1927</v>
      </c>
      <c r="K53" s="389">
        <f t="shared" si="1"/>
        <v>-5841</v>
      </c>
      <c r="L53" s="390">
        <f t="shared" si="2"/>
        <v>24.806900102986614</v>
      </c>
    </row>
    <row r="54" spans="1:12" ht="13.5" thickBot="1">
      <c r="A54" s="334">
        <f t="shared" si="0"/>
        <v>53</v>
      </c>
      <c r="B54" s="357" t="s">
        <v>170</v>
      </c>
      <c r="C54" s="358"/>
      <c r="D54" s="358"/>
      <c r="E54" s="358"/>
      <c r="F54" s="358"/>
      <c r="G54" s="359"/>
      <c r="H54" s="360">
        <f>SUBTOTAL(9,H28:H53)</f>
        <v>67979</v>
      </c>
      <c r="I54" s="360">
        <f>SUBTOTAL(9,I28:I53)</f>
        <v>71982</v>
      </c>
      <c r="J54" s="360">
        <f>SUBTOTAL(9,J28:J53)</f>
        <v>62812</v>
      </c>
      <c r="K54" s="361">
        <f t="shared" si="1"/>
        <v>-9170</v>
      </c>
      <c r="L54" s="362">
        <f t="shared" si="2"/>
        <v>87.26070406490511</v>
      </c>
    </row>
    <row r="55" spans="1:12" ht="9.75" customHeight="1">
      <c r="A55" s="334">
        <f t="shared" si="0"/>
        <v>54</v>
      </c>
      <c r="B55" s="391"/>
      <c r="C55" s="391"/>
      <c r="D55" s="392"/>
      <c r="E55" s="392"/>
      <c r="F55" s="392"/>
      <c r="G55" s="393"/>
      <c r="H55" s="394"/>
      <c r="I55" s="394"/>
      <c r="J55" s="394"/>
      <c r="K55" s="395">
        <f t="shared" si="1"/>
        <v>0</v>
      </c>
      <c r="L55" s="333"/>
    </row>
    <row r="56" spans="1:12" s="401" customFormat="1" ht="15.75">
      <c r="A56" s="334">
        <f t="shared" si="0"/>
        <v>55</v>
      </c>
      <c r="B56" s="396" t="s">
        <v>37</v>
      </c>
      <c r="C56" s="371"/>
      <c r="D56" s="371"/>
      <c r="E56" s="371"/>
      <c r="F56" s="371"/>
      <c r="G56" s="397"/>
      <c r="H56" s="398"/>
      <c r="I56" s="398"/>
      <c r="J56" s="398"/>
      <c r="K56" s="399">
        <f t="shared" si="1"/>
        <v>0</v>
      </c>
      <c r="L56" s="400"/>
    </row>
    <row r="57" spans="1:12" ht="12.75">
      <c r="A57" s="334">
        <f t="shared" si="0"/>
        <v>56</v>
      </c>
      <c r="B57" s="402">
        <v>3200</v>
      </c>
      <c r="C57" s="10">
        <v>2143</v>
      </c>
      <c r="D57" s="10" t="s">
        <v>193</v>
      </c>
      <c r="E57" s="10">
        <v>5011</v>
      </c>
      <c r="F57" s="10" t="s">
        <v>359</v>
      </c>
      <c r="G57" s="403" t="s">
        <v>360</v>
      </c>
      <c r="H57" s="331">
        <v>150</v>
      </c>
      <c r="I57" s="331">
        <v>150</v>
      </c>
      <c r="J57" s="330">
        <v>59</v>
      </c>
      <c r="K57" s="337">
        <f t="shared" si="1"/>
        <v>-91</v>
      </c>
      <c r="L57" s="338">
        <f t="shared" si="2"/>
        <v>39.33333333333333</v>
      </c>
    </row>
    <row r="58" spans="1:12" ht="12.75">
      <c r="A58" s="334">
        <f t="shared" si="0"/>
        <v>57</v>
      </c>
      <c r="B58" s="402">
        <v>3200</v>
      </c>
      <c r="C58" s="10">
        <v>2143</v>
      </c>
      <c r="D58" s="10" t="s">
        <v>193</v>
      </c>
      <c r="E58" s="10">
        <v>5031</v>
      </c>
      <c r="F58" s="10" t="s">
        <v>361</v>
      </c>
      <c r="G58" s="329" t="s">
        <v>360</v>
      </c>
      <c r="H58" s="331">
        <v>38</v>
      </c>
      <c r="I58" s="331">
        <v>38</v>
      </c>
      <c r="J58" s="330">
        <v>16</v>
      </c>
      <c r="K58" s="337">
        <f t="shared" si="1"/>
        <v>-22</v>
      </c>
      <c r="L58" s="338">
        <f t="shared" si="2"/>
        <v>42.10526315789473</v>
      </c>
    </row>
    <row r="59" spans="1:12" ht="12.75">
      <c r="A59" s="334">
        <f t="shared" si="0"/>
        <v>58</v>
      </c>
      <c r="B59" s="402">
        <v>3200</v>
      </c>
      <c r="C59" s="10">
        <v>2143</v>
      </c>
      <c r="D59" s="10" t="s">
        <v>193</v>
      </c>
      <c r="E59" s="10">
        <v>5032</v>
      </c>
      <c r="F59" s="10" t="s">
        <v>362</v>
      </c>
      <c r="G59" s="329" t="s">
        <v>360</v>
      </c>
      <c r="H59" s="331">
        <v>12</v>
      </c>
      <c r="I59" s="331">
        <v>12</v>
      </c>
      <c r="J59" s="330">
        <v>7</v>
      </c>
      <c r="K59" s="337">
        <f t="shared" si="1"/>
        <v>-5</v>
      </c>
      <c r="L59" s="338">
        <f t="shared" si="2"/>
        <v>58.333333333333336</v>
      </c>
    </row>
    <row r="60" spans="1:12" s="401" customFormat="1" ht="12.75">
      <c r="A60" s="334">
        <f t="shared" si="0"/>
        <v>59</v>
      </c>
      <c r="B60" s="404"/>
      <c r="C60" s="405" t="s">
        <v>348</v>
      </c>
      <c r="D60" s="405"/>
      <c r="E60" s="405"/>
      <c r="F60" s="405"/>
      <c r="G60" s="342"/>
      <c r="H60" s="406">
        <f>SUBTOTAL(9,H57:H59)</f>
        <v>200</v>
      </c>
      <c r="I60" s="406">
        <f>SUBTOTAL(9,I57:I59)</f>
        <v>200</v>
      </c>
      <c r="J60" s="407">
        <f>SUBTOTAL(9,J57:J59)</f>
        <v>82</v>
      </c>
      <c r="K60" s="408">
        <f t="shared" si="1"/>
        <v>-118</v>
      </c>
      <c r="L60" s="409">
        <f t="shared" si="2"/>
        <v>41</v>
      </c>
    </row>
    <row r="61" spans="1:12" s="401" customFormat="1" ht="12.75">
      <c r="A61" s="334">
        <f t="shared" si="0"/>
        <v>60</v>
      </c>
      <c r="B61" s="402">
        <v>3200</v>
      </c>
      <c r="C61" s="10">
        <v>2219</v>
      </c>
      <c r="D61" s="10" t="s">
        <v>54</v>
      </c>
      <c r="E61" s="10">
        <v>5011</v>
      </c>
      <c r="F61" s="10" t="s">
        <v>359</v>
      </c>
      <c r="G61" s="329" t="s">
        <v>360</v>
      </c>
      <c r="H61" s="331">
        <v>600</v>
      </c>
      <c r="I61" s="331">
        <v>2173</v>
      </c>
      <c r="J61" s="330">
        <v>847</v>
      </c>
      <c r="K61" s="337">
        <f t="shared" si="1"/>
        <v>-1326</v>
      </c>
      <c r="L61" s="338">
        <f t="shared" si="2"/>
        <v>38.97837091578463</v>
      </c>
    </row>
    <row r="62" spans="1:12" s="401" customFormat="1" ht="12.75">
      <c r="A62" s="334">
        <f t="shared" si="0"/>
        <v>61</v>
      </c>
      <c r="B62" s="402">
        <v>3200</v>
      </c>
      <c r="C62" s="10">
        <v>2219</v>
      </c>
      <c r="D62" s="10" t="s">
        <v>54</v>
      </c>
      <c r="E62" s="10">
        <v>5031</v>
      </c>
      <c r="F62" s="10" t="s">
        <v>361</v>
      </c>
      <c r="G62" s="329" t="s">
        <v>360</v>
      </c>
      <c r="H62" s="331">
        <v>150</v>
      </c>
      <c r="I62" s="331">
        <v>543</v>
      </c>
      <c r="J62" s="330">
        <v>212</v>
      </c>
      <c r="K62" s="337">
        <f t="shared" si="1"/>
        <v>-331</v>
      </c>
      <c r="L62" s="338">
        <f t="shared" si="2"/>
        <v>39.042357274401475</v>
      </c>
    </row>
    <row r="63" spans="1:12" s="401" customFormat="1" ht="12.75">
      <c r="A63" s="334">
        <f t="shared" si="0"/>
        <v>62</v>
      </c>
      <c r="B63" s="402">
        <v>3200</v>
      </c>
      <c r="C63" s="10">
        <v>2219</v>
      </c>
      <c r="D63" s="10" t="s">
        <v>54</v>
      </c>
      <c r="E63" s="10">
        <v>5032</v>
      </c>
      <c r="F63" s="10" t="s">
        <v>362</v>
      </c>
      <c r="G63" s="329" t="s">
        <v>360</v>
      </c>
      <c r="H63" s="331">
        <v>54</v>
      </c>
      <c r="I63" s="331">
        <v>196</v>
      </c>
      <c r="J63" s="330">
        <v>76</v>
      </c>
      <c r="K63" s="337">
        <f t="shared" si="1"/>
        <v>-120</v>
      </c>
      <c r="L63" s="338">
        <f t="shared" si="2"/>
        <v>38.775510204081634</v>
      </c>
    </row>
    <row r="64" spans="1:12" s="401" customFormat="1" ht="12.75">
      <c r="A64" s="334">
        <f t="shared" si="0"/>
        <v>63</v>
      </c>
      <c r="B64" s="402">
        <v>3200</v>
      </c>
      <c r="C64" s="10">
        <v>2219</v>
      </c>
      <c r="D64" s="10" t="s">
        <v>54</v>
      </c>
      <c r="E64" s="10">
        <v>5169</v>
      </c>
      <c r="F64" s="10" t="s">
        <v>321</v>
      </c>
      <c r="G64" s="329" t="s">
        <v>360</v>
      </c>
      <c r="H64" s="331">
        <v>0</v>
      </c>
      <c r="I64" s="331">
        <v>72</v>
      </c>
      <c r="J64" s="330">
        <v>30</v>
      </c>
      <c r="K64" s="337">
        <f t="shared" si="1"/>
        <v>-42</v>
      </c>
      <c r="L64" s="338">
        <f t="shared" si="2"/>
        <v>41.66666666666667</v>
      </c>
    </row>
    <row r="65" spans="1:12" s="401" customFormat="1" ht="12.75">
      <c r="A65" s="334">
        <f t="shared" si="0"/>
        <v>64</v>
      </c>
      <c r="B65" s="402">
        <v>3200</v>
      </c>
      <c r="C65" s="10">
        <v>2219</v>
      </c>
      <c r="D65" s="10" t="s">
        <v>54</v>
      </c>
      <c r="E65" s="10">
        <v>5173</v>
      </c>
      <c r="F65" s="410" t="s">
        <v>363</v>
      </c>
      <c r="G65" s="329" t="s">
        <v>360</v>
      </c>
      <c r="H65" s="331">
        <v>200</v>
      </c>
      <c r="I65" s="331">
        <v>338</v>
      </c>
      <c r="J65" s="330">
        <v>269</v>
      </c>
      <c r="K65" s="337">
        <f t="shared" si="1"/>
        <v>-69</v>
      </c>
      <c r="L65" s="338">
        <f t="shared" si="2"/>
        <v>79.58579881656804</v>
      </c>
    </row>
    <row r="66" spans="1:12" s="401" customFormat="1" ht="12.75">
      <c r="A66" s="334">
        <f t="shared" si="0"/>
        <v>65</v>
      </c>
      <c r="B66" s="404"/>
      <c r="C66" s="405" t="s">
        <v>364</v>
      </c>
      <c r="D66" s="405"/>
      <c r="E66" s="405"/>
      <c r="F66" s="405"/>
      <c r="G66" s="342"/>
      <c r="H66" s="406">
        <f>SUBTOTAL(9,H61:H65)</f>
        <v>1004</v>
      </c>
      <c r="I66" s="406">
        <f>SUBTOTAL(9,I61:I65)</f>
        <v>3322</v>
      </c>
      <c r="J66" s="407">
        <f>SUBTOTAL(9,J61:J65)</f>
        <v>1434</v>
      </c>
      <c r="K66" s="408">
        <f t="shared" si="1"/>
        <v>-1888</v>
      </c>
      <c r="L66" s="409">
        <f t="shared" si="2"/>
        <v>43.166767007826614</v>
      </c>
    </row>
    <row r="67" spans="1:12" ht="12.75">
      <c r="A67" s="334">
        <f t="shared" si="0"/>
        <v>66</v>
      </c>
      <c r="B67" s="402">
        <v>3200</v>
      </c>
      <c r="C67" s="10">
        <v>2271</v>
      </c>
      <c r="D67" s="10" t="s">
        <v>20</v>
      </c>
      <c r="E67" s="10">
        <v>5011</v>
      </c>
      <c r="F67" s="10" t="s">
        <v>359</v>
      </c>
      <c r="G67" s="329" t="s">
        <v>360</v>
      </c>
      <c r="H67" s="331">
        <v>785</v>
      </c>
      <c r="I67" s="331">
        <v>554</v>
      </c>
      <c r="J67" s="330">
        <v>286</v>
      </c>
      <c r="K67" s="337">
        <f t="shared" si="1"/>
        <v>-268</v>
      </c>
      <c r="L67" s="338">
        <f t="shared" si="2"/>
        <v>51.624548736462096</v>
      </c>
    </row>
    <row r="68" spans="1:12" ht="12.75">
      <c r="A68" s="334">
        <f aca="true" t="shared" si="3" ref="A68:A131">A67+1</f>
        <v>67</v>
      </c>
      <c r="B68" s="402">
        <v>3200</v>
      </c>
      <c r="C68" s="10">
        <v>2271</v>
      </c>
      <c r="D68" s="10" t="s">
        <v>20</v>
      </c>
      <c r="E68" s="10">
        <v>5021</v>
      </c>
      <c r="F68" s="10" t="s">
        <v>365</v>
      </c>
      <c r="G68" s="329" t="s">
        <v>360</v>
      </c>
      <c r="H68" s="331">
        <v>0</v>
      </c>
      <c r="I68" s="331">
        <v>231</v>
      </c>
      <c r="J68" s="330">
        <v>231</v>
      </c>
      <c r="K68" s="337">
        <f aca="true" t="shared" si="4" ref="K68:K131">J68-I68</f>
        <v>0</v>
      </c>
      <c r="L68" s="338">
        <f aca="true" t="shared" si="5" ref="L68:L131">J68/I68*100</f>
        <v>100</v>
      </c>
    </row>
    <row r="69" spans="1:12" ht="12.75">
      <c r="A69" s="334">
        <f t="shared" si="3"/>
        <v>68</v>
      </c>
      <c r="B69" s="402">
        <v>3200</v>
      </c>
      <c r="C69" s="10">
        <v>2271</v>
      </c>
      <c r="D69" s="10" t="s">
        <v>20</v>
      </c>
      <c r="E69" s="10">
        <v>5031</v>
      </c>
      <c r="F69" s="10" t="s">
        <v>361</v>
      </c>
      <c r="G69" s="329" t="s">
        <v>360</v>
      </c>
      <c r="H69" s="331">
        <v>197</v>
      </c>
      <c r="I69" s="331">
        <v>197</v>
      </c>
      <c r="J69" s="330">
        <v>66</v>
      </c>
      <c r="K69" s="337">
        <f t="shared" si="4"/>
        <v>-131</v>
      </c>
      <c r="L69" s="338">
        <f t="shared" si="5"/>
        <v>33.50253807106599</v>
      </c>
    </row>
    <row r="70" spans="1:12" ht="12.75">
      <c r="A70" s="334">
        <f t="shared" si="3"/>
        <v>69</v>
      </c>
      <c r="B70" s="402">
        <v>3200</v>
      </c>
      <c r="C70" s="10">
        <v>2271</v>
      </c>
      <c r="D70" s="10" t="s">
        <v>20</v>
      </c>
      <c r="E70" s="10">
        <v>5032</v>
      </c>
      <c r="F70" s="10" t="s">
        <v>362</v>
      </c>
      <c r="G70" s="329" t="s">
        <v>360</v>
      </c>
      <c r="H70" s="331">
        <v>71</v>
      </c>
      <c r="I70" s="331">
        <v>71</v>
      </c>
      <c r="J70" s="330">
        <v>24</v>
      </c>
      <c r="K70" s="337">
        <f t="shared" si="4"/>
        <v>-47</v>
      </c>
      <c r="L70" s="338">
        <f t="shared" si="5"/>
        <v>33.80281690140845</v>
      </c>
    </row>
    <row r="71" spans="1:12" ht="12.75">
      <c r="A71" s="334">
        <f t="shared" si="3"/>
        <v>70</v>
      </c>
      <c r="B71" s="402">
        <v>3200</v>
      </c>
      <c r="C71" s="10">
        <v>2271</v>
      </c>
      <c r="D71" s="10" t="s">
        <v>20</v>
      </c>
      <c r="E71" s="10">
        <v>5169</v>
      </c>
      <c r="F71" s="10" t="s">
        <v>321</v>
      </c>
      <c r="G71" s="329" t="s">
        <v>360</v>
      </c>
      <c r="H71" s="331">
        <v>50</v>
      </c>
      <c r="I71" s="331">
        <v>50</v>
      </c>
      <c r="J71" s="330">
        <v>0</v>
      </c>
      <c r="K71" s="337">
        <f t="shared" si="4"/>
        <v>-50</v>
      </c>
      <c r="L71" s="338">
        <f t="shared" si="5"/>
        <v>0</v>
      </c>
    </row>
    <row r="72" spans="1:12" ht="12.75">
      <c r="A72" s="334">
        <f t="shared" si="3"/>
        <v>71</v>
      </c>
      <c r="B72" s="402">
        <v>3200</v>
      </c>
      <c r="C72" s="10">
        <v>2271</v>
      </c>
      <c r="D72" s="10" t="s">
        <v>20</v>
      </c>
      <c r="E72" s="10">
        <v>5173</v>
      </c>
      <c r="F72" s="410" t="s">
        <v>363</v>
      </c>
      <c r="G72" s="329" t="s">
        <v>360</v>
      </c>
      <c r="H72" s="331">
        <v>150</v>
      </c>
      <c r="I72" s="331">
        <v>150</v>
      </c>
      <c r="J72" s="330">
        <v>96</v>
      </c>
      <c r="K72" s="337">
        <f t="shared" si="4"/>
        <v>-54</v>
      </c>
      <c r="L72" s="338">
        <f t="shared" si="5"/>
        <v>64</v>
      </c>
    </row>
    <row r="73" spans="1:12" ht="12.75">
      <c r="A73" s="334">
        <f t="shared" si="3"/>
        <v>72</v>
      </c>
      <c r="B73" s="404"/>
      <c r="C73" s="405" t="s">
        <v>366</v>
      </c>
      <c r="D73" s="405"/>
      <c r="E73" s="405"/>
      <c r="F73" s="405"/>
      <c r="G73" s="342"/>
      <c r="H73" s="406">
        <f>SUBTOTAL(9,H67:H72)</f>
        <v>1253</v>
      </c>
      <c r="I73" s="406">
        <f>SUBTOTAL(9,I67:I72)</f>
        <v>1253</v>
      </c>
      <c r="J73" s="407">
        <f>SUBTOTAL(9,J67:J72)</f>
        <v>703</v>
      </c>
      <c r="K73" s="408">
        <f t="shared" si="4"/>
        <v>-550</v>
      </c>
      <c r="L73" s="409">
        <f t="shared" si="5"/>
        <v>56.10534716679968</v>
      </c>
    </row>
    <row r="74" spans="1:12" ht="12.75">
      <c r="A74" s="334">
        <f t="shared" si="3"/>
        <v>73</v>
      </c>
      <c r="B74" s="402">
        <v>3200</v>
      </c>
      <c r="C74" s="10">
        <v>3299</v>
      </c>
      <c r="D74" s="10" t="s">
        <v>259</v>
      </c>
      <c r="E74" s="10">
        <v>5011</v>
      </c>
      <c r="F74" s="10" t="s">
        <v>359</v>
      </c>
      <c r="G74" s="329" t="s">
        <v>360</v>
      </c>
      <c r="H74" s="331">
        <v>480</v>
      </c>
      <c r="I74" s="331">
        <v>494</v>
      </c>
      <c r="J74" s="330">
        <v>494</v>
      </c>
      <c r="K74" s="337">
        <f t="shared" si="4"/>
        <v>0</v>
      </c>
      <c r="L74" s="338">
        <f t="shared" si="5"/>
        <v>100</v>
      </c>
    </row>
    <row r="75" spans="1:12" ht="12.75">
      <c r="A75" s="334">
        <f t="shared" si="3"/>
        <v>74</v>
      </c>
      <c r="B75" s="402">
        <v>3200</v>
      </c>
      <c r="C75" s="10">
        <v>3299</v>
      </c>
      <c r="D75" s="10" t="s">
        <v>259</v>
      </c>
      <c r="E75" s="10">
        <v>5021</v>
      </c>
      <c r="F75" s="10" t="s">
        <v>365</v>
      </c>
      <c r="G75" s="329" t="s">
        <v>360</v>
      </c>
      <c r="H75" s="331">
        <v>0</v>
      </c>
      <c r="I75" s="331">
        <v>198</v>
      </c>
      <c r="J75" s="330">
        <v>198</v>
      </c>
      <c r="K75" s="337">
        <f t="shared" si="4"/>
        <v>0</v>
      </c>
      <c r="L75" s="338">
        <f t="shared" si="5"/>
        <v>100</v>
      </c>
    </row>
    <row r="76" spans="1:12" ht="12.75">
      <c r="A76" s="334">
        <f t="shared" si="3"/>
        <v>75</v>
      </c>
      <c r="B76" s="402">
        <v>3200</v>
      </c>
      <c r="C76" s="10">
        <v>3299</v>
      </c>
      <c r="D76" s="10" t="s">
        <v>259</v>
      </c>
      <c r="E76" s="10">
        <v>5031</v>
      </c>
      <c r="F76" s="10" t="s">
        <v>361</v>
      </c>
      <c r="G76" s="329" t="s">
        <v>360</v>
      </c>
      <c r="H76" s="331">
        <v>120</v>
      </c>
      <c r="I76" s="331">
        <v>129</v>
      </c>
      <c r="J76" s="330">
        <v>123</v>
      </c>
      <c r="K76" s="337">
        <f t="shared" si="4"/>
        <v>-6</v>
      </c>
      <c r="L76" s="338">
        <f t="shared" si="5"/>
        <v>95.34883720930233</v>
      </c>
    </row>
    <row r="77" spans="1:12" ht="12.75">
      <c r="A77" s="334">
        <f t="shared" si="3"/>
        <v>76</v>
      </c>
      <c r="B77" s="402">
        <v>3200</v>
      </c>
      <c r="C77" s="10">
        <v>3299</v>
      </c>
      <c r="D77" s="10" t="s">
        <v>259</v>
      </c>
      <c r="E77" s="10">
        <v>5032</v>
      </c>
      <c r="F77" s="10" t="s">
        <v>362</v>
      </c>
      <c r="G77" s="329" t="s">
        <v>360</v>
      </c>
      <c r="H77" s="331">
        <v>44</v>
      </c>
      <c r="I77" s="331">
        <v>48</v>
      </c>
      <c r="J77" s="330">
        <v>44</v>
      </c>
      <c r="K77" s="337">
        <f t="shared" si="4"/>
        <v>-4</v>
      </c>
      <c r="L77" s="338">
        <f t="shared" si="5"/>
        <v>91.66666666666666</v>
      </c>
    </row>
    <row r="78" spans="1:12" ht="12.75">
      <c r="A78" s="334">
        <f t="shared" si="3"/>
        <v>77</v>
      </c>
      <c r="B78" s="404"/>
      <c r="C78" s="405" t="s">
        <v>367</v>
      </c>
      <c r="D78" s="405"/>
      <c r="E78" s="405"/>
      <c r="F78" s="405"/>
      <c r="G78" s="342"/>
      <c r="H78" s="406">
        <f>SUBTOTAL(9,H74:H77)</f>
        <v>644</v>
      </c>
      <c r="I78" s="406">
        <f>SUBTOTAL(9,I74:I77)</f>
        <v>869</v>
      </c>
      <c r="J78" s="407">
        <f>SUBTOTAL(9,J74:J77)</f>
        <v>859</v>
      </c>
      <c r="K78" s="408">
        <f t="shared" si="4"/>
        <v>-10</v>
      </c>
      <c r="L78" s="409">
        <f t="shared" si="5"/>
        <v>98.84925201380898</v>
      </c>
    </row>
    <row r="79" spans="1:12" ht="12.75">
      <c r="A79" s="334">
        <f t="shared" si="3"/>
        <v>78</v>
      </c>
      <c r="B79" s="402">
        <v>3200</v>
      </c>
      <c r="C79" s="10">
        <v>3349</v>
      </c>
      <c r="D79" s="10" t="s">
        <v>58</v>
      </c>
      <c r="E79" s="10">
        <v>5139</v>
      </c>
      <c r="F79" s="10" t="s">
        <v>349</v>
      </c>
      <c r="G79" s="329"/>
      <c r="H79" s="331">
        <v>700</v>
      </c>
      <c r="I79" s="331">
        <v>863</v>
      </c>
      <c r="J79" s="330">
        <v>861</v>
      </c>
      <c r="K79" s="337">
        <f t="shared" si="4"/>
        <v>-2</v>
      </c>
      <c r="L79" s="338">
        <f t="shared" si="5"/>
        <v>99.76825028968713</v>
      </c>
    </row>
    <row r="80" spans="1:12" ht="12.75">
      <c r="A80" s="334">
        <f t="shared" si="3"/>
        <v>79</v>
      </c>
      <c r="B80" s="402">
        <v>3200</v>
      </c>
      <c r="C80" s="10">
        <v>3349</v>
      </c>
      <c r="D80" s="10" t="s">
        <v>58</v>
      </c>
      <c r="E80" s="10">
        <v>5169</v>
      </c>
      <c r="F80" s="10" t="s">
        <v>321</v>
      </c>
      <c r="G80" s="329"/>
      <c r="H80" s="331">
        <v>1086</v>
      </c>
      <c r="I80" s="331">
        <v>1006</v>
      </c>
      <c r="J80" s="330">
        <v>999</v>
      </c>
      <c r="K80" s="337">
        <f t="shared" si="4"/>
        <v>-7</v>
      </c>
      <c r="L80" s="338">
        <f t="shared" si="5"/>
        <v>99.3041749502982</v>
      </c>
    </row>
    <row r="81" spans="1:12" ht="12.75">
      <c r="A81" s="334">
        <f t="shared" si="3"/>
        <v>80</v>
      </c>
      <c r="B81" s="402">
        <v>3200</v>
      </c>
      <c r="C81" s="10">
        <v>3349</v>
      </c>
      <c r="D81" s="10" t="s">
        <v>58</v>
      </c>
      <c r="E81" s="10">
        <v>5194</v>
      </c>
      <c r="F81" s="10" t="s">
        <v>350</v>
      </c>
      <c r="G81" s="329"/>
      <c r="H81" s="331">
        <v>1382</v>
      </c>
      <c r="I81" s="331">
        <v>1299</v>
      </c>
      <c r="J81" s="330">
        <v>1282</v>
      </c>
      <c r="K81" s="337">
        <f t="shared" si="4"/>
        <v>-17</v>
      </c>
      <c r="L81" s="338">
        <f t="shared" si="5"/>
        <v>98.69130100076983</v>
      </c>
    </row>
    <row r="82" spans="1:12" ht="12.75">
      <c r="A82" s="334">
        <f t="shared" si="3"/>
        <v>81</v>
      </c>
      <c r="B82" s="404"/>
      <c r="C82" s="405" t="s">
        <v>351</v>
      </c>
      <c r="D82" s="405"/>
      <c r="E82" s="405"/>
      <c r="F82" s="405"/>
      <c r="G82" s="342"/>
      <c r="H82" s="406">
        <f>SUBTOTAL(9,H79:H81)</f>
        <v>3168</v>
      </c>
      <c r="I82" s="406">
        <f>SUBTOTAL(9,I79:I81)</f>
        <v>3168</v>
      </c>
      <c r="J82" s="407">
        <f>SUBTOTAL(9,J79:J81)</f>
        <v>3142</v>
      </c>
      <c r="K82" s="408">
        <f t="shared" si="4"/>
        <v>-26</v>
      </c>
      <c r="L82" s="409">
        <f t="shared" si="5"/>
        <v>99.17929292929293</v>
      </c>
    </row>
    <row r="83" spans="1:12" ht="12.75">
      <c r="A83" s="334">
        <f t="shared" si="3"/>
        <v>82</v>
      </c>
      <c r="B83" s="402">
        <v>3200</v>
      </c>
      <c r="C83" s="10">
        <v>3429</v>
      </c>
      <c r="D83" s="10" t="s">
        <v>59</v>
      </c>
      <c r="E83" s="10">
        <v>5021</v>
      </c>
      <c r="F83" s="10" t="s">
        <v>365</v>
      </c>
      <c r="G83" s="329" t="s">
        <v>368</v>
      </c>
      <c r="H83" s="331">
        <v>47</v>
      </c>
      <c r="I83" s="331">
        <v>47</v>
      </c>
      <c r="J83" s="330">
        <v>38</v>
      </c>
      <c r="K83" s="337">
        <f t="shared" si="4"/>
        <v>-9</v>
      </c>
      <c r="L83" s="338">
        <f t="shared" si="5"/>
        <v>80.85106382978722</v>
      </c>
    </row>
    <row r="84" spans="1:12" ht="12.75">
      <c r="A84" s="334">
        <f t="shared" si="3"/>
        <v>83</v>
      </c>
      <c r="B84" s="402">
        <v>3200</v>
      </c>
      <c r="C84" s="10">
        <v>3429</v>
      </c>
      <c r="D84" s="10" t="s">
        <v>59</v>
      </c>
      <c r="E84" s="10">
        <v>5031</v>
      </c>
      <c r="F84" s="10" t="s">
        <v>361</v>
      </c>
      <c r="G84" s="329" t="s">
        <v>368</v>
      </c>
      <c r="H84" s="331">
        <v>12</v>
      </c>
      <c r="I84" s="331">
        <v>12</v>
      </c>
      <c r="J84" s="330">
        <v>5</v>
      </c>
      <c r="K84" s="337">
        <f t="shared" si="4"/>
        <v>-7</v>
      </c>
      <c r="L84" s="338">
        <f t="shared" si="5"/>
        <v>41.66666666666667</v>
      </c>
    </row>
    <row r="85" spans="1:12" ht="12.75">
      <c r="A85" s="334">
        <f t="shared" si="3"/>
        <v>84</v>
      </c>
      <c r="B85" s="402">
        <v>3200</v>
      </c>
      <c r="C85" s="10">
        <v>3429</v>
      </c>
      <c r="D85" s="10" t="s">
        <v>59</v>
      </c>
      <c r="E85" s="10">
        <v>5032</v>
      </c>
      <c r="F85" s="10" t="s">
        <v>362</v>
      </c>
      <c r="G85" s="329" t="s">
        <v>368</v>
      </c>
      <c r="H85" s="331">
        <v>5</v>
      </c>
      <c r="I85" s="331">
        <v>5</v>
      </c>
      <c r="J85" s="330">
        <v>2</v>
      </c>
      <c r="K85" s="337">
        <f t="shared" si="4"/>
        <v>-3</v>
      </c>
      <c r="L85" s="338">
        <f t="shared" si="5"/>
        <v>40</v>
      </c>
    </row>
    <row r="86" spans="1:12" ht="12.75">
      <c r="A86" s="334">
        <f t="shared" si="3"/>
        <v>85</v>
      </c>
      <c r="B86" s="404"/>
      <c r="C86" s="405" t="s">
        <v>369</v>
      </c>
      <c r="D86" s="405"/>
      <c r="E86" s="405"/>
      <c r="F86" s="405"/>
      <c r="G86" s="342"/>
      <c r="H86" s="406">
        <f>SUBTOTAL(9,H83:H85)</f>
        <v>64</v>
      </c>
      <c r="I86" s="406">
        <f>SUBTOTAL(9,I83:I85)</f>
        <v>64</v>
      </c>
      <c r="J86" s="407">
        <f>SUBTOTAL(9,J83:J85)</f>
        <v>45</v>
      </c>
      <c r="K86" s="408">
        <f t="shared" si="4"/>
        <v>-19</v>
      </c>
      <c r="L86" s="409">
        <f t="shared" si="5"/>
        <v>70.3125</v>
      </c>
    </row>
    <row r="87" spans="1:12" s="401" customFormat="1" ht="12.75">
      <c r="A87" s="334">
        <f t="shared" si="3"/>
        <v>86</v>
      </c>
      <c r="B87" s="402">
        <v>3200</v>
      </c>
      <c r="C87" s="10">
        <v>3727</v>
      </c>
      <c r="D87" s="10" t="s">
        <v>224</v>
      </c>
      <c r="E87" s="10">
        <v>5011</v>
      </c>
      <c r="F87" s="10" t="s">
        <v>359</v>
      </c>
      <c r="G87" s="329" t="s">
        <v>360</v>
      </c>
      <c r="H87" s="411">
        <v>270</v>
      </c>
      <c r="I87" s="411">
        <v>270</v>
      </c>
      <c r="J87" s="412">
        <v>29</v>
      </c>
      <c r="K87" s="413">
        <f t="shared" si="4"/>
        <v>-241</v>
      </c>
      <c r="L87" s="414">
        <f t="shared" si="5"/>
        <v>10.74074074074074</v>
      </c>
    </row>
    <row r="88" spans="1:12" ht="12.75">
      <c r="A88" s="334">
        <f t="shared" si="3"/>
        <v>87</v>
      </c>
      <c r="B88" s="402">
        <v>3200</v>
      </c>
      <c r="C88" s="10">
        <v>3727</v>
      </c>
      <c r="D88" s="10" t="s">
        <v>224</v>
      </c>
      <c r="E88" s="10">
        <v>5031</v>
      </c>
      <c r="F88" s="10" t="s">
        <v>361</v>
      </c>
      <c r="G88" s="329" t="s">
        <v>360</v>
      </c>
      <c r="H88" s="411">
        <v>65</v>
      </c>
      <c r="I88" s="411">
        <v>65</v>
      </c>
      <c r="J88" s="412">
        <v>7</v>
      </c>
      <c r="K88" s="413">
        <f t="shared" si="4"/>
        <v>-58</v>
      </c>
      <c r="L88" s="414">
        <f t="shared" si="5"/>
        <v>10.76923076923077</v>
      </c>
    </row>
    <row r="89" spans="1:12" s="401" customFormat="1" ht="12.75">
      <c r="A89" s="334">
        <f t="shared" si="3"/>
        <v>88</v>
      </c>
      <c r="B89" s="402">
        <v>3200</v>
      </c>
      <c r="C89" s="10">
        <v>3727</v>
      </c>
      <c r="D89" s="10" t="s">
        <v>224</v>
      </c>
      <c r="E89" s="10">
        <v>5032</v>
      </c>
      <c r="F89" s="10" t="s">
        <v>362</v>
      </c>
      <c r="G89" s="329" t="s">
        <v>360</v>
      </c>
      <c r="H89" s="411">
        <v>21</v>
      </c>
      <c r="I89" s="411">
        <v>21</v>
      </c>
      <c r="J89" s="412">
        <v>3</v>
      </c>
      <c r="K89" s="413">
        <f t="shared" si="4"/>
        <v>-18</v>
      </c>
      <c r="L89" s="414">
        <f t="shared" si="5"/>
        <v>14.285714285714285</v>
      </c>
    </row>
    <row r="90" spans="1:12" ht="12.75">
      <c r="A90" s="334">
        <f t="shared" si="3"/>
        <v>89</v>
      </c>
      <c r="B90" s="402">
        <v>3200</v>
      </c>
      <c r="C90" s="10">
        <v>3727</v>
      </c>
      <c r="D90" s="10" t="s">
        <v>224</v>
      </c>
      <c r="E90" s="10">
        <v>5169</v>
      </c>
      <c r="F90" s="10" t="s">
        <v>321</v>
      </c>
      <c r="G90" s="329" t="s">
        <v>360</v>
      </c>
      <c r="H90" s="411">
        <v>50</v>
      </c>
      <c r="I90" s="411">
        <v>50</v>
      </c>
      <c r="J90" s="412">
        <v>35</v>
      </c>
      <c r="K90" s="413">
        <f t="shared" si="4"/>
        <v>-15</v>
      </c>
      <c r="L90" s="414">
        <f t="shared" si="5"/>
        <v>70</v>
      </c>
    </row>
    <row r="91" spans="1:12" ht="12.75">
      <c r="A91" s="334">
        <f t="shared" si="3"/>
        <v>90</v>
      </c>
      <c r="B91" s="402">
        <v>3200</v>
      </c>
      <c r="C91" s="10">
        <v>3727</v>
      </c>
      <c r="D91" s="10" t="s">
        <v>224</v>
      </c>
      <c r="E91" s="10">
        <v>5173</v>
      </c>
      <c r="F91" s="410" t="s">
        <v>363</v>
      </c>
      <c r="G91" s="329" t="s">
        <v>360</v>
      </c>
      <c r="H91" s="411">
        <v>100</v>
      </c>
      <c r="I91" s="411">
        <v>100</v>
      </c>
      <c r="J91" s="412">
        <v>0</v>
      </c>
      <c r="K91" s="413">
        <f t="shared" si="4"/>
        <v>-100</v>
      </c>
      <c r="L91" s="414">
        <f t="shared" si="5"/>
        <v>0</v>
      </c>
    </row>
    <row r="92" spans="1:12" ht="12.75">
      <c r="A92" s="334">
        <f t="shared" si="3"/>
        <v>91</v>
      </c>
      <c r="B92" s="326"/>
      <c r="C92" s="405" t="s">
        <v>370</v>
      </c>
      <c r="D92" s="405"/>
      <c r="E92" s="405"/>
      <c r="F92" s="405"/>
      <c r="G92" s="342"/>
      <c r="H92" s="406">
        <f>SUBTOTAL(9,H87:H91)</f>
        <v>506</v>
      </c>
      <c r="I92" s="406">
        <f>SUBTOTAL(9,I87:I91)</f>
        <v>506</v>
      </c>
      <c r="J92" s="407">
        <f>SUBTOTAL(9,J87:J91)</f>
        <v>74</v>
      </c>
      <c r="K92" s="408">
        <f t="shared" si="4"/>
        <v>-432</v>
      </c>
      <c r="L92" s="409">
        <f t="shared" si="5"/>
        <v>14.624505928853754</v>
      </c>
    </row>
    <row r="93" spans="1:12" ht="12.75">
      <c r="A93" s="334">
        <f t="shared" si="3"/>
        <v>92</v>
      </c>
      <c r="B93" s="415">
        <v>3200</v>
      </c>
      <c r="C93" s="12">
        <v>5269</v>
      </c>
      <c r="D93" s="82" t="s">
        <v>371</v>
      </c>
      <c r="E93" s="12">
        <v>5321</v>
      </c>
      <c r="F93" s="82" t="s">
        <v>372</v>
      </c>
      <c r="G93" s="82"/>
      <c r="H93" s="13">
        <v>0</v>
      </c>
      <c r="I93" s="13">
        <v>1232</v>
      </c>
      <c r="J93" s="26">
        <v>1231</v>
      </c>
      <c r="K93" s="416">
        <f t="shared" si="4"/>
        <v>-1</v>
      </c>
      <c r="L93" s="54">
        <f t="shared" si="5"/>
        <v>99.91883116883116</v>
      </c>
    </row>
    <row r="94" spans="1:12" ht="12.75">
      <c r="A94" s="334">
        <f t="shared" si="3"/>
        <v>93</v>
      </c>
      <c r="B94" s="415"/>
      <c r="C94" s="417" t="s">
        <v>373</v>
      </c>
      <c r="D94" s="418"/>
      <c r="E94" s="12"/>
      <c r="F94" s="82"/>
      <c r="G94" s="82"/>
      <c r="H94" s="13">
        <f>SUBTOTAL(9,H93)</f>
        <v>0</v>
      </c>
      <c r="I94" s="419">
        <f>SUBTOTAL(9,I93)</f>
        <v>1232</v>
      </c>
      <c r="J94" s="420">
        <f>SUBTOTAL(9,J93)</f>
        <v>1231</v>
      </c>
      <c r="K94" s="421">
        <f t="shared" si="4"/>
        <v>-1</v>
      </c>
      <c r="L94" s="422">
        <f t="shared" si="5"/>
        <v>99.91883116883116</v>
      </c>
    </row>
    <row r="95" spans="1:12" ht="12.75">
      <c r="A95" s="334">
        <f t="shared" si="3"/>
        <v>94</v>
      </c>
      <c r="B95" s="415">
        <v>3200</v>
      </c>
      <c r="C95" s="12">
        <v>5319</v>
      </c>
      <c r="D95" s="423" t="s">
        <v>374</v>
      </c>
      <c r="E95" s="12">
        <v>5173</v>
      </c>
      <c r="F95" s="82" t="s">
        <v>363</v>
      </c>
      <c r="G95" s="82"/>
      <c r="H95" s="13">
        <v>0</v>
      </c>
      <c r="I95" s="13">
        <v>180</v>
      </c>
      <c r="J95" s="26">
        <v>180</v>
      </c>
      <c r="K95" s="416">
        <f t="shared" si="4"/>
        <v>0</v>
      </c>
      <c r="L95" s="54">
        <f t="shared" si="5"/>
        <v>100</v>
      </c>
    </row>
    <row r="96" spans="1:12" ht="12.75">
      <c r="A96" s="334">
        <f t="shared" si="3"/>
        <v>95</v>
      </c>
      <c r="B96" s="415"/>
      <c r="C96" s="424" t="s">
        <v>375</v>
      </c>
      <c r="D96" s="401"/>
      <c r="E96" s="82"/>
      <c r="F96" s="326"/>
      <c r="G96" s="82"/>
      <c r="H96" s="13"/>
      <c r="I96" s="419">
        <f>SUBTOTAL(9,I95)</f>
        <v>180</v>
      </c>
      <c r="J96" s="425">
        <f>SUBTOTAL(9,J95)</f>
        <v>180</v>
      </c>
      <c r="K96" s="426">
        <f t="shared" si="4"/>
        <v>0</v>
      </c>
      <c r="L96" s="427">
        <f t="shared" si="5"/>
        <v>100</v>
      </c>
    </row>
    <row r="97" spans="1:12" s="401" customFormat="1" ht="12.75">
      <c r="A97" s="334">
        <f t="shared" si="3"/>
        <v>96</v>
      </c>
      <c r="B97" s="402">
        <v>3200</v>
      </c>
      <c r="C97" s="10">
        <v>5511</v>
      </c>
      <c r="D97" s="10" t="s">
        <v>243</v>
      </c>
      <c r="E97" s="10">
        <v>5319</v>
      </c>
      <c r="F97" s="10" t="s">
        <v>376</v>
      </c>
      <c r="G97" s="329" t="s">
        <v>377</v>
      </c>
      <c r="H97" s="428">
        <v>3000</v>
      </c>
      <c r="I97" s="428">
        <v>3000</v>
      </c>
      <c r="J97" s="429">
        <v>3000</v>
      </c>
      <c r="K97" s="430">
        <f t="shared" si="4"/>
        <v>0</v>
      </c>
      <c r="L97" s="431">
        <f t="shared" si="5"/>
        <v>100</v>
      </c>
    </row>
    <row r="98" spans="1:12" ht="12.75">
      <c r="A98" s="334">
        <f t="shared" si="3"/>
        <v>97</v>
      </c>
      <c r="B98" s="404"/>
      <c r="C98" s="405" t="s">
        <v>378</v>
      </c>
      <c r="D98" s="405"/>
      <c r="E98" s="405"/>
      <c r="F98" s="405"/>
      <c r="G98" s="342"/>
      <c r="H98" s="406">
        <f>SUBTOTAL(9,H97:H97)</f>
        <v>3000</v>
      </c>
      <c r="I98" s="406">
        <f>SUBTOTAL(9,I97:I97)</f>
        <v>3000</v>
      </c>
      <c r="J98" s="407">
        <f>SUBTOTAL(9,J97:J97)</f>
        <v>3000</v>
      </c>
      <c r="K98" s="408">
        <f t="shared" si="4"/>
        <v>0</v>
      </c>
      <c r="L98" s="409">
        <f t="shared" si="5"/>
        <v>100</v>
      </c>
    </row>
    <row r="99" spans="1:12" ht="12.75">
      <c r="A99" s="334">
        <f t="shared" si="3"/>
        <v>98</v>
      </c>
      <c r="B99" s="402">
        <v>3200</v>
      </c>
      <c r="C99" s="10">
        <v>6112</v>
      </c>
      <c r="D99" s="10" t="s">
        <v>60</v>
      </c>
      <c r="E99" s="10">
        <v>5019</v>
      </c>
      <c r="F99" s="10" t="s">
        <v>379</v>
      </c>
      <c r="G99" s="329"/>
      <c r="H99" s="331">
        <v>400</v>
      </c>
      <c r="I99" s="331">
        <v>400</v>
      </c>
      <c r="J99" s="330">
        <v>248</v>
      </c>
      <c r="K99" s="337">
        <f t="shared" si="4"/>
        <v>-152</v>
      </c>
      <c r="L99" s="338">
        <f t="shared" si="5"/>
        <v>62</v>
      </c>
    </row>
    <row r="100" spans="1:12" ht="12.75">
      <c r="A100" s="334">
        <f t="shared" si="3"/>
        <v>99</v>
      </c>
      <c r="B100" s="402">
        <v>3200</v>
      </c>
      <c r="C100" s="10">
        <v>6112</v>
      </c>
      <c r="D100" s="10" t="s">
        <v>60</v>
      </c>
      <c r="E100" s="10">
        <v>5023</v>
      </c>
      <c r="F100" s="10" t="s">
        <v>380</v>
      </c>
      <c r="G100" s="329"/>
      <c r="H100" s="331">
        <v>15000</v>
      </c>
      <c r="I100" s="331">
        <v>15000</v>
      </c>
      <c r="J100" s="330">
        <v>14504</v>
      </c>
      <c r="K100" s="337">
        <f t="shared" si="4"/>
        <v>-496</v>
      </c>
      <c r="L100" s="338">
        <f t="shared" si="5"/>
        <v>96.69333333333333</v>
      </c>
    </row>
    <row r="101" spans="1:12" s="401" customFormat="1" ht="12.75">
      <c r="A101" s="334">
        <f t="shared" si="3"/>
        <v>100</v>
      </c>
      <c r="B101" s="402">
        <v>3200</v>
      </c>
      <c r="C101" s="10">
        <v>6112</v>
      </c>
      <c r="D101" s="10" t="s">
        <v>60</v>
      </c>
      <c r="E101" s="10">
        <v>5031</v>
      </c>
      <c r="F101" s="10" t="s">
        <v>361</v>
      </c>
      <c r="G101" s="329"/>
      <c r="H101" s="331">
        <v>1955</v>
      </c>
      <c r="I101" s="331">
        <v>1955</v>
      </c>
      <c r="J101" s="330">
        <v>1856</v>
      </c>
      <c r="K101" s="337">
        <f t="shared" si="4"/>
        <v>-99</v>
      </c>
      <c r="L101" s="338">
        <f t="shared" si="5"/>
        <v>94.93606138107417</v>
      </c>
    </row>
    <row r="102" spans="1:12" s="401" customFormat="1" ht="12.75">
      <c r="A102" s="334">
        <f t="shared" si="3"/>
        <v>101</v>
      </c>
      <c r="B102" s="402">
        <v>3200</v>
      </c>
      <c r="C102" s="10">
        <v>6112</v>
      </c>
      <c r="D102" s="10" t="s">
        <v>60</v>
      </c>
      <c r="E102" s="10">
        <v>5032</v>
      </c>
      <c r="F102" s="10" t="s">
        <v>362</v>
      </c>
      <c r="G102" s="329"/>
      <c r="H102" s="331">
        <v>1357</v>
      </c>
      <c r="I102" s="331">
        <v>1357</v>
      </c>
      <c r="J102" s="330">
        <v>1311</v>
      </c>
      <c r="K102" s="337">
        <f t="shared" si="4"/>
        <v>-46</v>
      </c>
      <c r="L102" s="338">
        <f t="shared" si="5"/>
        <v>96.61016949152543</v>
      </c>
    </row>
    <row r="103" spans="1:12" s="401" customFormat="1" ht="12.75">
      <c r="A103" s="334">
        <f t="shared" si="3"/>
        <v>102</v>
      </c>
      <c r="B103" s="402">
        <v>3200</v>
      </c>
      <c r="C103" s="10">
        <v>6112</v>
      </c>
      <c r="D103" s="10" t="s">
        <v>60</v>
      </c>
      <c r="E103" s="10">
        <v>5039</v>
      </c>
      <c r="F103" s="10" t="s">
        <v>381</v>
      </c>
      <c r="G103" s="329"/>
      <c r="H103" s="331">
        <v>70</v>
      </c>
      <c r="I103" s="331">
        <v>70</v>
      </c>
      <c r="J103" s="330">
        <v>23</v>
      </c>
      <c r="K103" s="337">
        <f t="shared" si="4"/>
        <v>-47</v>
      </c>
      <c r="L103" s="338">
        <f t="shared" si="5"/>
        <v>32.857142857142854</v>
      </c>
    </row>
    <row r="104" spans="1:12" s="401" customFormat="1" ht="12.75">
      <c r="A104" s="334">
        <f t="shared" si="3"/>
        <v>103</v>
      </c>
      <c r="B104" s="404"/>
      <c r="C104" s="405" t="s">
        <v>382</v>
      </c>
      <c r="D104" s="405"/>
      <c r="E104" s="405"/>
      <c r="F104" s="405"/>
      <c r="G104" s="342"/>
      <c r="H104" s="406">
        <f>SUBTOTAL(9,H99:H103)</f>
        <v>18782</v>
      </c>
      <c r="I104" s="406">
        <f>SUBTOTAL(9,I99:I103)</f>
        <v>18782</v>
      </c>
      <c r="J104" s="407">
        <f>SUBTOTAL(9,J99:J103)</f>
        <v>17942</v>
      </c>
      <c r="K104" s="408">
        <f t="shared" si="4"/>
        <v>-840</v>
      </c>
      <c r="L104" s="409">
        <f t="shared" si="5"/>
        <v>95.52763283995314</v>
      </c>
    </row>
    <row r="105" spans="1:12" s="401" customFormat="1" ht="12.75">
      <c r="A105" s="334">
        <f t="shared" si="3"/>
        <v>104</v>
      </c>
      <c r="B105" s="415">
        <v>3200</v>
      </c>
      <c r="C105" s="432">
        <v>6114</v>
      </c>
      <c r="D105" s="432" t="s">
        <v>383</v>
      </c>
      <c r="E105" s="432">
        <v>5011</v>
      </c>
      <c r="F105" s="432" t="s">
        <v>359</v>
      </c>
      <c r="G105" s="341"/>
      <c r="H105" s="406"/>
      <c r="I105" s="411">
        <v>28</v>
      </c>
      <c r="J105" s="412">
        <v>7</v>
      </c>
      <c r="K105" s="413">
        <f t="shared" si="4"/>
        <v>-21</v>
      </c>
      <c r="L105" s="414">
        <f t="shared" si="5"/>
        <v>25</v>
      </c>
    </row>
    <row r="106" spans="1:12" s="401" customFormat="1" ht="12.75">
      <c r="A106" s="334">
        <f t="shared" si="3"/>
        <v>105</v>
      </c>
      <c r="B106" s="415">
        <v>3200</v>
      </c>
      <c r="C106" s="432">
        <v>6114</v>
      </c>
      <c r="D106" s="432" t="s">
        <v>383</v>
      </c>
      <c r="E106" s="432">
        <v>5031</v>
      </c>
      <c r="F106" s="432" t="s">
        <v>384</v>
      </c>
      <c r="G106" s="341"/>
      <c r="H106" s="406"/>
      <c r="I106" s="411">
        <v>7</v>
      </c>
      <c r="J106" s="412">
        <v>2</v>
      </c>
      <c r="K106" s="413">
        <f t="shared" si="4"/>
        <v>-5</v>
      </c>
      <c r="L106" s="414">
        <f t="shared" si="5"/>
        <v>28.57142857142857</v>
      </c>
    </row>
    <row r="107" spans="1:12" s="401" customFormat="1" ht="12.75">
      <c r="A107" s="334">
        <f t="shared" si="3"/>
        <v>106</v>
      </c>
      <c r="B107" s="415">
        <v>3200</v>
      </c>
      <c r="C107" s="432">
        <v>6114</v>
      </c>
      <c r="D107" s="432" t="s">
        <v>383</v>
      </c>
      <c r="E107" s="432">
        <v>5032</v>
      </c>
      <c r="F107" s="432" t="s">
        <v>385</v>
      </c>
      <c r="G107" s="341"/>
      <c r="H107" s="406"/>
      <c r="I107" s="411">
        <v>2</v>
      </c>
      <c r="J107" s="412">
        <v>1</v>
      </c>
      <c r="K107" s="413">
        <f t="shared" si="4"/>
        <v>-1</v>
      </c>
      <c r="L107" s="414">
        <f t="shared" si="5"/>
        <v>50</v>
      </c>
    </row>
    <row r="108" spans="1:12" s="401" customFormat="1" ht="12.75">
      <c r="A108" s="334">
        <f t="shared" si="3"/>
        <v>107</v>
      </c>
      <c r="B108" s="415">
        <v>3200</v>
      </c>
      <c r="C108" s="432">
        <v>6114</v>
      </c>
      <c r="D108" s="432" t="s">
        <v>383</v>
      </c>
      <c r="E108" s="432">
        <v>5156</v>
      </c>
      <c r="F108" s="432" t="s">
        <v>386</v>
      </c>
      <c r="G108" s="341"/>
      <c r="H108" s="406"/>
      <c r="I108" s="411">
        <v>4</v>
      </c>
      <c r="J108" s="412"/>
      <c r="K108" s="413">
        <f t="shared" si="4"/>
        <v>-4</v>
      </c>
      <c r="L108" s="414">
        <f t="shared" si="5"/>
        <v>0</v>
      </c>
    </row>
    <row r="109" spans="1:12" s="401" customFormat="1" ht="12.75">
      <c r="A109" s="334">
        <f t="shared" si="3"/>
        <v>108</v>
      </c>
      <c r="B109" s="415">
        <v>3200</v>
      </c>
      <c r="C109" s="432">
        <v>6114</v>
      </c>
      <c r="D109" s="432" t="s">
        <v>383</v>
      </c>
      <c r="E109" s="432">
        <v>5161</v>
      </c>
      <c r="F109" s="432" t="s">
        <v>387</v>
      </c>
      <c r="G109" s="341"/>
      <c r="H109" s="406"/>
      <c r="I109" s="411">
        <v>1</v>
      </c>
      <c r="J109" s="412">
        <v>0</v>
      </c>
      <c r="K109" s="413">
        <f t="shared" si="4"/>
        <v>-1</v>
      </c>
      <c r="L109" s="414">
        <f t="shared" si="5"/>
        <v>0</v>
      </c>
    </row>
    <row r="110" spans="1:12" s="401" customFormat="1" ht="12.75">
      <c r="A110" s="334">
        <f t="shared" si="3"/>
        <v>109</v>
      </c>
      <c r="B110" s="415">
        <v>3200</v>
      </c>
      <c r="C110" s="432">
        <v>6114</v>
      </c>
      <c r="D110" s="432" t="s">
        <v>383</v>
      </c>
      <c r="E110" s="432">
        <v>5169</v>
      </c>
      <c r="F110" s="432" t="s">
        <v>321</v>
      </c>
      <c r="G110" s="341"/>
      <c r="H110" s="406"/>
      <c r="I110" s="411">
        <v>5</v>
      </c>
      <c r="J110" s="412">
        <v>1</v>
      </c>
      <c r="K110" s="413">
        <f t="shared" si="4"/>
        <v>-4</v>
      </c>
      <c r="L110" s="414">
        <f t="shared" si="5"/>
        <v>20</v>
      </c>
    </row>
    <row r="111" spans="1:12" s="401" customFormat="1" ht="12.75">
      <c r="A111" s="334">
        <f t="shared" si="3"/>
        <v>110</v>
      </c>
      <c r="B111" s="433"/>
      <c r="C111" s="418" t="s">
        <v>388</v>
      </c>
      <c r="D111" s="418"/>
      <c r="E111" s="418"/>
      <c r="F111" s="418"/>
      <c r="G111" s="418"/>
      <c r="H111" s="419"/>
      <c r="I111" s="419">
        <f>SUBTOTAL(9,I105:I110)</f>
        <v>47</v>
      </c>
      <c r="J111" s="420">
        <f>SUBTOTAL(9,J105:J110)</f>
        <v>11</v>
      </c>
      <c r="K111" s="421">
        <f t="shared" si="4"/>
        <v>-36</v>
      </c>
      <c r="L111" s="422">
        <f t="shared" si="5"/>
        <v>23.404255319148938</v>
      </c>
    </row>
    <row r="112" spans="1:12" s="401" customFormat="1" ht="12.75">
      <c r="A112" s="334">
        <f t="shared" si="3"/>
        <v>111</v>
      </c>
      <c r="B112" s="434">
        <v>3200</v>
      </c>
      <c r="C112" s="435">
        <v>6118</v>
      </c>
      <c r="D112" s="436" t="s">
        <v>389</v>
      </c>
      <c r="E112" s="435">
        <v>5011</v>
      </c>
      <c r="F112" s="436" t="s">
        <v>359</v>
      </c>
      <c r="G112" s="418"/>
      <c r="H112" s="419"/>
      <c r="I112" s="175">
        <v>114</v>
      </c>
      <c r="J112" s="176">
        <v>114</v>
      </c>
      <c r="K112" s="437">
        <f t="shared" si="4"/>
        <v>0</v>
      </c>
      <c r="L112" s="438">
        <f t="shared" si="5"/>
        <v>100</v>
      </c>
    </row>
    <row r="113" spans="1:12" s="401" customFormat="1" ht="12.75">
      <c r="A113" s="334">
        <f t="shared" si="3"/>
        <v>112</v>
      </c>
      <c r="B113" s="434">
        <v>3200</v>
      </c>
      <c r="C113" s="435">
        <v>6118</v>
      </c>
      <c r="D113" s="436" t="s">
        <v>389</v>
      </c>
      <c r="E113" s="435">
        <v>5031</v>
      </c>
      <c r="F113" s="436" t="s">
        <v>390</v>
      </c>
      <c r="G113" s="418"/>
      <c r="H113" s="419"/>
      <c r="I113" s="175">
        <v>28</v>
      </c>
      <c r="J113" s="176">
        <v>28</v>
      </c>
      <c r="K113" s="437">
        <f t="shared" si="4"/>
        <v>0</v>
      </c>
      <c r="L113" s="438">
        <f t="shared" si="5"/>
        <v>100</v>
      </c>
    </row>
    <row r="114" spans="1:12" s="401" customFormat="1" ht="12.75">
      <c r="A114" s="334">
        <f t="shared" si="3"/>
        <v>113</v>
      </c>
      <c r="B114" s="434">
        <v>3200</v>
      </c>
      <c r="C114" s="435">
        <v>6118</v>
      </c>
      <c r="D114" s="436" t="s">
        <v>389</v>
      </c>
      <c r="E114" s="435">
        <v>5032</v>
      </c>
      <c r="F114" s="436" t="s">
        <v>385</v>
      </c>
      <c r="G114" s="436"/>
      <c r="H114" s="175"/>
      <c r="I114" s="175">
        <v>10</v>
      </c>
      <c r="J114" s="176">
        <v>10</v>
      </c>
      <c r="K114" s="437">
        <f t="shared" si="4"/>
        <v>0</v>
      </c>
      <c r="L114" s="438">
        <f t="shared" si="5"/>
        <v>100</v>
      </c>
    </row>
    <row r="115" spans="1:12" s="401" customFormat="1" ht="12.75">
      <c r="A115" s="334">
        <f t="shared" si="3"/>
        <v>114</v>
      </c>
      <c r="B115" s="434">
        <v>3200</v>
      </c>
      <c r="C115" s="435">
        <v>6118</v>
      </c>
      <c r="D115" s="436" t="s">
        <v>389</v>
      </c>
      <c r="E115" s="435">
        <v>5139</v>
      </c>
      <c r="F115" s="436" t="s">
        <v>349</v>
      </c>
      <c r="G115" s="436"/>
      <c r="H115" s="175"/>
      <c r="I115" s="175">
        <v>1</v>
      </c>
      <c r="J115" s="176">
        <v>1</v>
      </c>
      <c r="K115" s="437">
        <f t="shared" si="4"/>
        <v>0</v>
      </c>
      <c r="L115" s="438">
        <f t="shared" si="5"/>
        <v>100</v>
      </c>
    </row>
    <row r="116" spans="1:12" s="401" customFormat="1" ht="12.75">
      <c r="A116" s="334">
        <f t="shared" si="3"/>
        <v>115</v>
      </c>
      <c r="B116" s="434">
        <v>3200</v>
      </c>
      <c r="C116" s="435">
        <v>6118</v>
      </c>
      <c r="D116" s="436" t="s">
        <v>389</v>
      </c>
      <c r="E116" s="435">
        <v>5156</v>
      </c>
      <c r="F116" s="436" t="s">
        <v>386</v>
      </c>
      <c r="G116" s="418"/>
      <c r="H116" s="419"/>
      <c r="I116" s="175">
        <v>8</v>
      </c>
      <c r="J116" s="176">
        <v>8</v>
      </c>
      <c r="K116" s="437">
        <f t="shared" si="4"/>
        <v>0</v>
      </c>
      <c r="L116" s="438">
        <f t="shared" si="5"/>
        <v>100</v>
      </c>
    </row>
    <row r="117" spans="1:12" s="401" customFormat="1" ht="12.75">
      <c r="A117" s="334">
        <f t="shared" si="3"/>
        <v>116</v>
      </c>
      <c r="B117" s="434">
        <v>3200</v>
      </c>
      <c r="C117" s="435">
        <v>6118</v>
      </c>
      <c r="D117" s="436" t="s">
        <v>389</v>
      </c>
      <c r="E117" s="435">
        <v>5161</v>
      </c>
      <c r="F117" s="436" t="s">
        <v>387</v>
      </c>
      <c r="G117" s="418"/>
      <c r="H117" s="419"/>
      <c r="I117" s="175">
        <v>1</v>
      </c>
      <c r="J117" s="176">
        <v>1</v>
      </c>
      <c r="K117" s="437">
        <f t="shared" si="4"/>
        <v>0</v>
      </c>
      <c r="L117" s="438">
        <f t="shared" si="5"/>
        <v>100</v>
      </c>
    </row>
    <row r="118" spans="1:12" s="401" customFormat="1" ht="12.75">
      <c r="A118" s="334">
        <f t="shared" si="3"/>
        <v>117</v>
      </c>
      <c r="B118" s="434">
        <v>3200</v>
      </c>
      <c r="C118" s="435">
        <v>6118</v>
      </c>
      <c r="D118" s="436" t="s">
        <v>389</v>
      </c>
      <c r="E118" s="435">
        <v>5169</v>
      </c>
      <c r="F118" s="436" t="s">
        <v>321</v>
      </c>
      <c r="G118" s="418"/>
      <c r="H118" s="419"/>
      <c r="I118" s="175">
        <v>9</v>
      </c>
      <c r="J118" s="176">
        <v>9</v>
      </c>
      <c r="K118" s="437">
        <f t="shared" si="4"/>
        <v>0</v>
      </c>
      <c r="L118" s="438">
        <f t="shared" si="5"/>
        <v>100</v>
      </c>
    </row>
    <row r="119" spans="1:12" s="401" customFormat="1" ht="12.75">
      <c r="A119" s="334">
        <f t="shared" si="3"/>
        <v>118</v>
      </c>
      <c r="B119" s="434"/>
      <c r="C119" s="417" t="s">
        <v>391</v>
      </c>
      <c r="D119" s="418"/>
      <c r="E119" s="435"/>
      <c r="F119" s="436"/>
      <c r="G119" s="418"/>
      <c r="H119" s="419"/>
      <c r="I119" s="419">
        <f>SUBTOTAL(9,I112:I118)</f>
        <v>171</v>
      </c>
      <c r="J119" s="420">
        <f>SUBTOTAL(9,J112:J118)</f>
        <v>171</v>
      </c>
      <c r="K119" s="421">
        <f t="shared" si="4"/>
        <v>0</v>
      </c>
      <c r="L119" s="422">
        <f t="shared" si="5"/>
        <v>100</v>
      </c>
    </row>
    <row r="120" spans="1:12" s="401" customFormat="1" ht="12.75">
      <c r="A120" s="334">
        <f t="shared" si="3"/>
        <v>119</v>
      </c>
      <c r="B120" s="402">
        <v>3200</v>
      </c>
      <c r="C120" s="10">
        <v>6171</v>
      </c>
      <c r="D120" s="12" t="s">
        <v>26</v>
      </c>
      <c r="E120" s="10">
        <v>5011</v>
      </c>
      <c r="F120" s="10" t="s">
        <v>359</v>
      </c>
      <c r="G120" s="439"/>
      <c r="H120" s="440">
        <v>359676</v>
      </c>
      <c r="I120" s="440">
        <v>363609</v>
      </c>
      <c r="J120" s="441">
        <v>362155</v>
      </c>
      <c r="K120" s="442">
        <f t="shared" si="4"/>
        <v>-1454</v>
      </c>
      <c r="L120" s="443">
        <f t="shared" si="5"/>
        <v>99.60011990902315</v>
      </c>
    </row>
    <row r="121" spans="1:12" s="401" customFormat="1" ht="12.75">
      <c r="A121" s="334">
        <f t="shared" si="3"/>
        <v>120</v>
      </c>
      <c r="B121" s="402">
        <v>3200</v>
      </c>
      <c r="C121" s="10">
        <v>6171</v>
      </c>
      <c r="D121" s="12" t="s">
        <v>26</v>
      </c>
      <c r="E121" s="10">
        <v>5011</v>
      </c>
      <c r="F121" s="10" t="s">
        <v>359</v>
      </c>
      <c r="G121" s="439"/>
      <c r="H121" s="444">
        <v>7000</v>
      </c>
      <c r="I121" s="444">
        <v>7000</v>
      </c>
      <c r="J121" s="445">
        <v>3169</v>
      </c>
      <c r="K121" s="446">
        <f t="shared" si="4"/>
        <v>-3831</v>
      </c>
      <c r="L121" s="447">
        <f t="shared" si="5"/>
        <v>45.27142857142857</v>
      </c>
    </row>
    <row r="122" spans="1:12" s="401" customFormat="1" ht="12.75">
      <c r="A122" s="334">
        <f t="shared" si="3"/>
        <v>121</v>
      </c>
      <c r="B122" s="402">
        <v>3200</v>
      </c>
      <c r="C122" s="10">
        <v>6171</v>
      </c>
      <c r="D122" s="12" t="s">
        <v>26</v>
      </c>
      <c r="E122" s="10">
        <v>5011</v>
      </c>
      <c r="F122" s="10" t="s">
        <v>359</v>
      </c>
      <c r="G122" s="439" t="s">
        <v>360</v>
      </c>
      <c r="H122" s="331">
        <v>1110</v>
      </c>
      <c r="I122" s="331">
        <v>2790</v>
      </c>
      <c r="J122" s="330">
        <v>1948</v>
      </c>
      <c r="K122" s="337">
        <f t="shared" si="4"/>
        <v>-842</v>
      </c>
      <c r="L122" s="338">
        <f t="shared" si="5"/>
        <v>69.82078853046595</v>
      </c>
    </row>
    <row r="123" spans="1:12" s="401" customFormat="1" ht="12.75">
      <c r="A123" s="334">
        <f t="shared" si="3"/>
        <v>122</v>
      </c>
      <c r="B123" s="402">
        <v>3200</v>
      </c>
      <c r="C123" s="10">
        <v>6171</v>
      </c>
      <c r="D123" s="12" t="s">
        <v>26</v>
      </c>
      <c r="E123" s="10">
        <v>5019</v>
      </c>
      <c r="F123" s="10" t="s">
        <v>379</v>
      </c>
      <c r="G123" s="439"/>
      <c r="H123" s="331">
        <v>30</v>
      </c>
      <c r="I123" s="331">
        <v>30</v>
      </c>
      <c r="J123" s="330"/>
      <c r="K123" s="337">
        <f t="shared" si="4"/>
        <v>-30</v>
      </c>
      <c r="L123" s="338">
        <f t="shared" si="5"/>
        <v>0</v>
      </c>
    </row>
    <row r="124" spans="1:12" s="401" customFormat="1" ht="12.75">
      <c r="A124" s="334">
        <f t="shared" si="3"/>
        <v>123</v>
      </c>
      <c r="B124" s="402">
        <v>3200</v>
      </c>
      <c r="C124" s="10">
        <v>6171</v>
      </c>
      <c r="D124" s="12" t="s">
        <v>26</v>
      </c>
      <c r="E124" s="10">
        <v>5021</v>
      </c>
      <c r="F124" s="10" t="s">
        <v>365</v>
      </c>
      <c r="G124" s="439"/>
      <c r="H124" s="331">
        <v>901</v>
      </c>
      <c r="I124" s="331">
        <v>901</v>
      </c>
      <c r="J124" s="330">
        <v>418</v>
      </c>
      <c r="K124" s="337">
        <f t="shared" si="4"/>
        <v>-483</v>
      </c>
      <c r="L124" s="338">
        <f t="shared" si="5"/>
        <v>46.392896781354054</v>
      </c>
    </row>
    <row r="125" spans="1:12" s="401" customFormat="1" ht="12.75">
      <c r="A125" s="334">
        <f t="shared" si="3"/>
        <v>124</v>
      </c>
      <c r="B125" s="402">
        <v>3200</v>
      </c>
      <c r="C125" s="10">
        <v>6171</v>
      </c>
      <c r="D125" s="12" t="s">
        <v>26</v>
      </c>
      <c r="E125" s="10">
        <v>5021</v>
      </c>
      <c r="F125" s="10" t="s">
        <v>365</v>
      </c>
      <c r="G125" s="439" t="s">
        <v>368</v>
      </c>
      <c r="H125" s="331">
        <v>60</v>
      </c>
      <c r="I125" s="331">
        <v>60</v>
      </c>
      <c r="J125" s="330">
        <v>43</v>
      </c>
      <c r="K125" s="337">
        <f t="shared" si="4"/>
        <v>-17</v>
      </c>
      <c r="L125" s="338">
        <f t="shared" si="5"/>
        <v>71.66666666666667</v>
      </c>
    </row>
    <row r="126" spans="1:12" s="401" customFormat="1" ht="12.75">
      <c r="A126" s="334">
        <f t="shared" si="3"/>
        <v>125</v>
      </c>
      <c r="B126" s="402">
        <v>3200</v>
      </c>
      <c r="C126" s="10">
        <v>6171</v>
      </c>
      <c r="D126" s="12" t="s">
        <v>26</v>
      </c>
      <c r="E126" s="10">
        <v>5024</v>
      </c>
      <c r="F126" s="10" t="s">
        <v>392</v>
      </c>
      <c r="G126" s="439"/>
      <c r="H126" s="331">
        <v>750</v>
      </c>
      <c r="I126" s="331">
        <v>810</v>
      </c>
      <c r="J126" s="330">
        <v>802</v>
      </c>
      <c r="K126" s="337">
        <f t="shared" si="4"/>
        <v>-8</v>
      </c>
      <c r="L126" s="338">
        <f t="shared" si="5"/>
        <v>99.01234567901234</v>
      </c>
    </row>
    <row r="127" spans="1:12" s="401" customFormat="1" ht="12.75">
      <c r="A127" s="334">
        <f t="shared" si="3"/>
        <v>126</v>
      </c>
      <c r="B127" s="402">
        <v>3200</v>
      </c>
      <c r="C127" s="10">
        <v>6171</v>
      </c>
      <c r="D127" s="12" t="s">
        <v>26</v>
      </c>
      <c r="E127" s="10">
        <v>5031</v>
      </c>
      <c r="F127" s="10" t="s">
        <v>361</v>
      </c>
      <c r="G127" s="439"/>
      <c r="H127" s="444">
        <v>93135</v>
      </c>
      <c r="I127" s="444">
        <v>94135</v>
      </c>
      <c r="J127" s="445">
        <v>91781</v>
      </c>
      <c r="K127" s="446">
        <f t="shared" si="4"/>
        <v>-2354</v>
      </c>
      <c r="L127" s="447">
        <f t="shared" si="5"/>
        <v>97.49933605991396</v>
      </c>
    </row>
    <row r="128" spans="1:12" s="401" customFormat="1" ht="12.75">
      <c r="A128" s="334">
        <f t="shared" si="3"/>
        <v>127</v>
      </c>
      <c r="B128" s="402">
        <v>3200</v>
      </c>
      <c r="C128" s="10">
        <v>6171</v>
      </c>
      <c r="D128" s="12" t="s">
        <v>26</v>
      </c>
      <c r="E128" s="10">
        <v>5031</v>
      </c>
      <c r="F128" s="10" t="s">
        <v>361</v>
      </c>
      <c r="G128" s="439"/>
      <c r="H128" s="448">
        <v>1250</v>
      </c>
      <c r="I128" s="448">
        <v>1250</v>
      </c>
      <c r="J128" s="449">
        <v>792</v>
      </c>
      <c r="K128" s="450">
        <f t="shared" si="4"/>
        <v>-458</v>
      </c>
      <c r="L128" s="451">
        <f t="shared" si="5"/>
        <v>63.36000000000001</v>
      </c>
    </row>
    <row r="129" spans="1:12" s="401" customFormat="1" ht="12.75">
      <c r="A129" s="334">
        <f t="shared" si="3"/>
        <v>128</v>
      </c>
      <c r="B129" s="402">
        <v>3200</v>
      </c>
      <c r="C129" s="10">
        <v>6171</v>
      </c>
      <c r="D129" s="12" t="s">
        <v>26</v>
      </c>
      <c r="E129" s="10">
        <v>5031</v>
      </c>
      <c r="F129" s="10" t="s">
        <v>361</v>
      </c>
      <c r="G129" s="439" t="s">
        <v>360</v>
      </c>
      <c r="H129" s="331">
        <v>278</v>
      </c>
      <c r="I129" s="331">
        <v>700</v>
      </c>
      <c r="J129" s="330">
        <v>487</v>
      </c>
      <c r="K129" s="337">
        <f t="shared" si="4"/>
        <v>-213</v>
      </c>
      <c r="L129" s="338">
        <f t="shared" si="5"/>
        <v>69.57142857142857</v>
      </c>
    </row>
    <row r="130" spans="1:12" s="401" customFormat="1" ht="12.75">
      <c r="A130" s="334">
        <f t="shared" si="3"/>
        <v>129</v>
      </c>
      <c r="B130" s="402">
        <v>3200</v>
      </c>
      <c r="C130" s="10">
        <v>6171</v>
      </c>
      <c r="D130" s="10" t="s">
        <v>9</v>
      </c>
      <c r="E130" s="10">
        <v>5032</v>
      </c>
      <c r="F130" s="10" t="s">
        <v>362</v>
      </c>
      <c r="G130" s="439"/>
      <c r="H130" s="444">
        <v>33579</v>
      </c>
      <c r="I130" s="444">
        <v>33939</v>
      </c>
      <c r="J130" s="445">
        <v>33071</v>
      </c>
      <c r="K130" s="446">
        <f t="shared" si="4"/>
        <v>-868</v>
      </c>
      <c r="L130" s="447">
        <f t="shared" si="5"/>
        <v>97.44247031438758</v>
      </c>
    </row>
    <row r="131" spans="1:12" s="401" customFormat="1" ht="12.75">
      <c r="A131" s="334">
        <f t="shared" si="3"/>
        <v>130</v>
      </c>
      <c r="B131" s="402">
        <v>3200</v>
      </c>
      <c r="C131" s="10">
        <v>6171</v>
      </c>
      <c r="D131" s="10" t="s">
        <v>9</v>
      </c>
      <c r="E131" s="10">
        <v>5032</v>
      </c>
      <c r="F131" s="10" t="s">
        <v>362</v>
      </c>
      <c r="G131" s="439"/>
      <c r="H131" s="448">
        <v>450</v>
      </c>
      <c r="I131" s="448">
        <v>450</v>
      </c>
      <c r="J131" s="449">
        <v>285</v>
      </c>
      <c r="K131" s="450">
        <f t="shared" si="4"/>
        <v>-165</v>
      </c>
      <c r="L131" s="451">
        <f t="shared" si="5"/>
        <v>63.33333333333333</v>
      </c>
    </row>
    <row r="132" spans="1:12" s="401" customFormat="1" ht="12.75">
      <c r="A132" s="334">
        <f aca="true" t="shared" si="6" ref="A132:A195">A131+1</f>
        <v>131</v>
      </c>
      <c r="B132" s="402">
        <v>3200</v>
      </c>
      <c r="C132" s="10">
        <v>6171</v>
      </c>
      <c r="D132" s="10" t="s">
        <v>9</v>
      </c>
      <c r="E132" s="10">
        <v>5032</v>
      </c>
      <c r="F132" s="10" t="s">
        <v>362</v>
      </c>
      <c r="G132" s="439" t="s">
        <v>360</v>
      </c>
      <c r="H132" s="331">
        <v>100</v>
      </c>
      <c r="I132" s="331">
        <v>255</v>
      </c>
      <c r="J132" s="330">
        <v>176</v>
      </c>
      <c r="K132" s="337">
        <f aca="true" t="shared" si="7" ref="K132:K195">J132-I132</f>
        <v>-79</v>
      </c>
      <c r="L132" s="338">
        <f aca="true" t="shared" si="8" ref="L132:L193">J132/I132*100</f>
        <v>69.01960784313725</v>
      </c>
    </row>
    <row r="133" spans="1:12" s="401" customFormat="1" ht="12.75">
      <c r="A133" s="334">
        <f t="shared" si="6"/>
        <v>132</v>
      </c>
      <c r="B133" s="402">
        <v>3200</v>
      </c>
      <c r="C133" s="10">
        <v>6171</v>
      </c>
      <c r="D133" s="10" t="s">
        <v>9</v>
      </c>
      <c r="E133" s="10">
        <v>5038</v>
      </c>
      <c r="F133" s="10" t="s">
        <v>393</v>
      </c>
      <c r="G133" s="439"/>
      <c r="H133" s="331">
        <v>2477</v>
      </c>
      <c r="I133" s="331">
        <v>2477</v>
      </c>
      <c r="J133" s="330">
        <v>2450</v>
      </c>
      <c r="K133" s="337">
        <f t="shared" si="7"/>
        <v>-27</v>
      </c>
      <c r="L133" s="338">
        <f t="shared" si="8"/>
        <v>98.90997174000807</v>
      </c>
    </row>
    <row r="134" spans="1:12" s="401" customFormat="1" ht="12.75">
      <c r="A134" s="334">
        <f t="shared" si="6"/>
        <v>133</v>
      </c>
      <c r="B134" s="402">
        <v>3200</v>
      </c>
      <c r="C134" s="10">
        <v>6171</v>
      </c>
      <c r="D134" s="10" t="s">
        <v>9</v>
      </c>
      <c r="E134" s="10">
        <v>5039</v>
      </c>
      <c r="F134" s="10" t="s">
        <v>381</v>
      </c>
      <c r="G134" s="439"/>
      <c r="H134" s="331">
        <v>11</v>
      </c>
      <c r="I134" s="331">
        <v>11</v>
      </c>
      <c r="J134" s="330">
        <v>0</v>
      </c>
      <c r="K134" s="337">
        <f t="shared" si="7"/>
        <v>-11</v>
      </c>
      <c r="L134" s="338">
        <f t="shared" si="8"/>
        <v>0</v>
      </c>
    </row>
    <row r="135" spans="1:12" s="401" customFormat="1" ht="12.75">
      <c r="A135" s="334">
        <f t="shared" si="6"/>
        <v>134</v>
      </c>
      <c r="B135" s="402">
        <v>3200</v>
      </c>
      <c r="C135" s="10">
        <v>6171</v>
      </c>
      <c r="D135" s="10" t="s">
        <v>9</v>
      </c>
      <c r="E135" s="10">
        <v>5132</v>
      </c>
      <c r="F135" s="10" t="s">
        <v>394</v>
      </c>
      <c r="G135" s="439"/>
      <c r="H135" s="331">
        <v>122</v>
      </c>
      <c r="I135" s="331">
        <v>127</v>
      </c>
      <c r="J135" s="330">
        <v>127</v>
      </c>
      <c r="K135" s="337">
        <f t="shared" si="7"/>
        <v>0</v>
      </c>
      <c r="L135" s="338">
        <f t="shared" si="8"/>
        <v>100</v>
      </c>
    </row>
    <row r="136" spans="1:12" s="401" customFormat="1" ht="12.75">
      <c r="A136" s="334">
        <f t="shared" si="6"/>
        <v>135</v>
      </c>
      <c r="B136" s="402">
        <v>3200</v>
      </c>
      <c r="C136" s="10">
        <v>6171</v>
      </c>
      <c r="D136" s="10" t="s">
        <v>9</v>
      </c>
      <c r="E136" s="10">
        <v>5133</v>
      </c>
      <c r="F136" s="10" t="s">
        <v>395</v>
      </c>
      <c r="G136" s="439"/>
      <c r="H136" s="331">
        <v>35</v>
      </c>
      <c r="I136" s="331">
        <v>55</v>
      </c>
      <c r="J136" s="330">
        <v>45</v>
      </c>
      <c r="K136" s="337">
        <f t="shared" si="7"/>
        <v>-10</v>
      </c>
      <c r="L136" s="338">
        <f t="shared" si="8"/>
        <v>81.81818181818183</v>
      </c>
    </row>
    <row r="137" spans="1:12" s="387" customFormat="1" ht="12.75">
      <c r="A137" s="334">
        <f t="shared" si="6"/>
        <v>136</v>
      </c>
      <c r="B137" s="402">
        <v>3200</v>
      </c>
      <c r="C137" s="10">
        <v>6171</v>
      </c>
      <c r="D137" s="10" t="s">
        <v>9</v>
      </c>
      <c r="E137" s="10">
        <v>5133</v>
      </c>
      <c r="F137" s="10" t="s">
        <v>395</v>
      </c>
      <c r="G137" s="439" t="s">
        <v>368</v>
      </c>
      <c r="H137" s="331">
        <v>2</v>
      </c>
      <c r="I137" s="331">
        <v>4</v>
      </c>
      <c r="J137" s="330">
        <v>4</v>
      </c>
      <c r="K137" s="337">
        <f t="shared" si="7"/>
        <v>0</v>
      </c>
      <c r="L137" s="338">
        <f t="shared" si="8"/>
        <v>100</v>
      </c>
    </row>
    <row r="138" spans="1:12" s="387" customFormat="1" ht="12.75">
      <c r="A138" s="334">
        <f t="shared" si="6"/>
        <v>137</v>
      </c>
      <c r="B138" s="402">
        <v>3200</v>
      </c>
      <c r="C138" s="10">
        <v>6171</v>
      </c>
      <c r="D138" s="10" t="s">
        <v>9</v>
      </c>
      <c r="E138" s="10">
        <v>5136</v>
      </c>
      <c r="F138" s="10" t="s">
        <v>396</v>
      </c>
      <c r="G138" s="439"/>
      <c r="H138" s="331">
        <v>1110</v>
      </c>
      <c r="I138" s="331">
        <v>1110</v>
      </c>
      <c r="J138" s="330">
        <v>723</v>
      </c>
      <c r="K138" s="337">
        <f t="shared" si="7"/>
        <v>-387</v>
      </c>
      <c r="L138" s="338">
        <f t="shared" si="8"/>
        <v>65.13513513513513</v>
      </c>
    </row>
    <row r="139" spans="1:12" s="387" customFormat="1" ht="12.75">
      <c r="A139" s="334">
        <f t="shared" si="6"/>
        <v>138</v>
      </c>
      <c r="B139" s="402">
        <v>3200</v>
      </c>
      <c r="C139" s="10">
        <v>6171</v>
      </c>
      <c r="D139" s="10" t="s">
        <v>9</v>
      </c>
      <c r="E139" s="10">
        <v>5136</v>
      </c>
      <c r="F139" s="10" t="s">
        <v>396</v>
      </c>
      <c r="G139" s="439" t="s">
        <v>397</v>
      </c>
      <c r="H139" s="331"/>
      <c r="I139" s="331">
        <v>4</v>
      </c>
      <c r="J139" s="330">
        <v>4</v>
      </c>
      <c r="K139" s="337">
        <f t="shared" si="7"/>
        <v>0</v>
      </c>
      <c r="L139" s="338">
        <f t="shared" si="8"/>
        <v>100</v>
      </c>
    </row>
    <row r="140" spans="1:12" s="387" customFormat="1" ht="12.75">
      <c r="A140" s="334">
        <f t="shared" si="6"/>
        <v>139</v>
      </c>
      <c r="B140" s="402">
        <v>3200</v>
      </c>
      <c r="C140" s="10">
        <v>6171</v>
      </c>
      <c r="D140" s="10" t="s">
        <v>9</v>
      </c>
      <c r="E140" s="10">
        <v>5136</v>
      </c>
      <c r="F140" s="10" t="s">
        <v>396</v>
      </c>
      <c r="G140" s="439" t="s">
        <v>368</v>
      </c>
      <c r="H140" s="331">
        <v>35</v>
      </c>
      <c r="I140" s="331">
        <v>35</v>
      </c>
      <c r="J140" s="330">
        <v>22</v>
      </c>
      <c r="K140" s="337">
        <f t="shared" si="7"/>
        <v>-13</v>
      </c>
      <c r="L140" s="338">
        <f t="shared" si="8"/>
        <v>62.857142857142854</v>
      </c>
    </row>
    <row r="141" spans="1:12" s="387" customFormat="1" ht="12.75">
      <c r="A141" s="334">
        <f t="shared" si="6"/>
        <v>140</v>
      </c>
      <c r="B141" s="402">
        <v>3200</v>
      </c>
      <c r="C141" s="10">
        <v>6171</v>
      </c>
      <c r="D141" s="10" t="s">
        <v>9</v>
      </c>
      <c r="E141" s="10">
        <v>5137</v>
      </c>
      <c r="F141" s="12" t="s">
        <v>353</v>
      </c>
      <c r="G141" s="150"/>
      <c r="H141" s="331">
        <v>3376</v>
      </c>
      <c r="I141" s="331">
        <v>3046</v>
      </c>
      <c r="J141" s="330">
        <v>3012</v>
      </c>
      <c r="K141" s="337">
        <f t="shared" si="7"/>
        <v>-34</v>
      </c>
      <c r="L141" s="338">
        <f t="shared" si="8"/>
        <v>98.88378200919237</v>
      </c>
    </row>
    <row r="142" spans="1:12" s="387" customFormat="1" ht="12.75">
      <c r="A142" s="334">
        <f t="shared" si="6"/>
        <v>141</v>
      </c>
      <c r="B142" s="402">
        <v>3200</v>
      </c>
      <c r="C142" s="10">
        <v>6171</v>
      </c>
      <c r="D142" s="10" t="s">
        <v>9</v>
      </c>
      <c r="E142" s="10">
        <v>5137</v>
      </c>
      <c r="F142" s="12" t="s">
        <v>353</v>
      </c>
      <c r="G142" s="150" t="s">
        <v>368</v>
      </c>
      <c r="H142" s="331">
        <v>25</v>
      </c>
      <c r="I142" s="331">
        <v>24</v>
      </c>
      <c r="J142" s="330">
        <v>1</v>
      </c>
      <c r="K142" s="337">
        <f t="shared" si="7"/>
        <v>-23</v>
      </c>
      <c r="L142" s="338">
        <f t="shared" si="8"/>
        <v>4.166666666666666</v>
      </c>
    </row>
    <row r="143" spans="1:12" s="387" customFormat="1" ht="12.75">
      <c r="A143" s="334">
        <f t="shared" si="6"/>
        <v>142</v>
      </c>
      <c r="B143" s="402">
        <v>3200</v>
      </c>
      <c r="C143" s="10">
        <v>6171</v>
      </c>
      <c r="D143" s="10" t="s">
        <v>9</v>
      </c>
      <c r="E143" s="10">
        <v>5139</v>
      </c>
      <c r="F143" s="10" t="s">
        <v>349</v>
      </c>
      <c r="G143" s="439"/>
      <c r="H143" s="331">
        <v>4949</v>
      </c>
      <c r="I143" s="331">
        <v>4949</v>
      </c>
      <c r="J143" s="330">
        <v>2864</v>
      </c>
      <c r="K143" s="337">
        <f t="shared" si="7"/>
        <v>-2085</v>
      </c>
      <c r="L143" s="338">
        <f t="shared" si="8"/>
        <v>57.87027682360073</v>
      </c>
    </row>
    <row r="144" spans="1:12" s="387" customFormat="1" ht="12.75">
      <c r="A144" s="334">
        <f t="shared" si="6"/>
        <v>143</v>
      </c>
      <c r="B144" s="402">
        <v>3200</v>
      </c>
      <c r="C144" s="10">
        <v>6171</v>
      </c>
      <c r="D144" s="10" t="s">
        <v>9</v>
      </c>
      <c r="E144" s="10">
        <v>5139</v>
      </c>
      <c r="F144" s="10" t="s">
        <v>349</v>
      </c>
      <c r="G144" s="439" t="s">
        <v>368</v>
      </c>
      <c r="H144" s="331">
        <v>31</v>
      </c>
      <c r="I144" s="331">
        <v>33</v>
      </c>
      <c r="J144" s="330">
        <v>30</v>
      </c>
      <c r="K144" s="337">
        <f t="shared" si="7"/>
        <v>-3</v>
      </c>
      <c r="L144" s="338">
        <f t="shared" si="8"/>
        <v>90.9090909090909</v>
      </c>
    </row>
    <row r="145" spans="1:12" s="387" customFormat="1" ht="12.75">
      <c r="A145" s="334">
        <f t="shared" si="6"/>
        <v>144</v>
      </c>
      <c r="B145" s="402">
        <v>3200</v>
      </c>
      <c r="C145" s="10">
        <v>6171</v>
      </c>
      <c r="D145" s="10" t="s">
        <v>9</v>
      </c>
      <c r="E145" s="10">
        <v>5149</v>
      </c>
      <c r="F145" s="10" t="s">
        <v>398</v>
      </c>
      <c r="G145" s="439"/>
      <c r="H145" s="331">
        <v>5</v>
      </c>
      <c r="I145" s="331">
        <v>5</v>
      </c>
      <c r="J145" s="330"/>
      <c r="K145" s="337">
        <f t="shared" si="7"/>
        <v>-5</v>
      </c>
      <c r="L145" s="338">
        <f t="shared" si="8"/>
        <v>0</v>
      </c>
    </row>
    <row r="146" spans="1:12" s="387" customFormat="1" ht="12.75">
      <c r="A146" s="334">
        <f t="shared" si="6"/>
        <v>145</v>
      </c>
      <c r="B146" s="402">
        <v>3200</v>
      </c>
      <c r="C146" s="10">
        <v>6171</v>
      </c>
      <c r="D146" s="10" t="s">
        <v>9</v>
      </c>
      <c r="E146" s="10">
        <v>5153</v>
      </c>
      <c r="F146" s="10" t="s">
        <v>399</v>
      </c>
      <c r="G146" s="439" t="s">
        <v>368</v>
      </c>
      <c r="H146" s="331">
        <v>22</v>
      </c>
      <c r="I146" s="331">
        <v>22</v>
      </c>
      <c r="J146" s="330">
        <v>3</v>
      </c>
      <c r="K146" s="337">
        <f t="shared" si="7"/>
        <v>-19</v>
      </c>
      <c r="L146" s="338">
        <f t="shared" si="8"/>
        <v>13.636363636363635</v>
      </c>
    </row>
    <row r="147" spans="1:12" s="387" customFormat="1" ht="12.75">
      <c r="A147" s="334">
        <f t="shared" si="6"/>
        <v>146</v>
      </c>
      <c r="B147" s="402">
        <v>3200</v>
      </c>
      <c r="C147" s="10">
        <v>6171</v>
      </c>
      <c r="D147" s="10" t="s">
        <v>9</v>
      </c>
      <c r="E147" s="10">
        <v>5154</v>
      </c>
      <c r="F147" s="10" t="s">
        <v>356</v>
      </c>
      <c r="G147" s="439" t="s">
        <v>368</v>
      </c>
      <c r="H147" s="331">
        <v>30</v>
      </c>
      <c r="I147" s="331">
        <v>30</v>
      </c>
      <c r="J147" s="330">
        <v>13</v>
      </c>
      <c r="K147" s="337">
        <f t="shared" si="7"/>
        <v>-17</v>
      </c>
      <c r="L147" s="338">
        <f t="shared" si="8"/>
        <v>43.333333333333336</v>
      </c>
    </row>
    <row r="148" spans="1:12" s="387" customFormat="1" ht="12.75">
      <c r="A148" s="334">
        <f t="shared" si="6"/>
        <v>147</v>
      </c>
      <c r="B148" s="402">
        <v>3200</v>
      </c>
      <c r="C148" s="10">
        <v>6171</v>
      </c>
      <c r="D148" s="10" t="s">
        <v>9</v>
      </c>
      <c r="E148" s="10">
        <v>5156</v>
      </c>
      <c r="F148" s="10" t="s">
        <v>386</v>
      </c>
      <c r="G148" s="439"/>
      <c r="H148" s="331">
        <v>1670</v>
      </c>
      <c r="I148" s="331">
        <v>1671</v>
      </c>
      <c r="J148" s="330">
        <v>1353</v>
      </c>
      <c r="K148" s="337">
        <f t="shared" si="7"/>
        <v>-318</v>
      </c>
      <c r="L148" s="338">
        <f t="shared" si="8"/>
        <v>80.96947935368043</v>
      </c>
    </row>
    <row r="149" spans="1:12" s="387" customFormat="1" ht="12.75">
      <c r="A149" s="334">
        <f t="shared" si="6"/>
        <v>148</v>
      </c>
      <c r="B149" s="402">
        <v>3200</v>
      </c>
      <c r="C149" s="10">
        <v>6171</v>
      </c>
      <c r="D149" s="10" t="s">
        <v>9</v>
      </c>
      <c r="E149" s="10">
        <v>5161</v>
      </c>
      <c r="F149" s="10" t="s">
        <v>387</v>
      </c>
      <c r="G149" s="439"/>
      <c r="H149" s="331">
        <v>6541</v>
      </c>
      <c r="I149" s="331">
        <v>6397</v>
      </c>
      <c r="J149" s="330">
        <v>4306</v>
      </c>
      <c r="K149" s="337">
        <f t="shared" si="7"/>
        <v>-2091</v>
      </c>
      <c r="L149" s="338">
        <f t="shared" si="8"/>
        <v>67.31280287634829</v>
      </c>
    </row>
    <row r="150" spans="1:12" s="387" customFormat="1" ht="12.75">
      <c r="A150" s="334">
        <f t="shared" si="6"/>
        <v>149</v>
      </c>
      <c r="B150" s="402">
        <v>3200</v>
      </c>
      <c r="C150" s="10">
        <v>6171</v>
      </c>
      <c r="D150" s="10" t="s">
        <v>9</v>
      </c>
      <c r="E150" s="10">
        <v>5162</v>
      </c>
      <c r="F150" s="10" t="s">
        <v>400</v>
      </c>
      <c r="G150" s="439"/>
      <c r="H150" s="331">
        <v>20</v>
      </c>
      <c r="I150" s="331">
        <v>20</v>
      </c>
      <c r="J150" s="330">
        <v>13</v>
      </c>
      <c r="K150" s="337">
        <f t="shared" si="7"/>
        <v>-7</v>
      </c>
      <c r="L150" s="338">
        <f t="shared" si="8"/>
        <v>65</v>
      </c>
    </row>
    <row r="151" spans="1:12" s="387" customFormat="1" ht="12.75">
      <c r="A151" s="334">
        <f t="shared" si="6"/>
        <v>150</v>
      </c>
      <c r="B151" s="402">
        <v>3200</v>
      </c>
      <c r="C151" s="10">
        <v>6171</v>
      </c>
      <c r="D151" s="10" t="s">
        <v>9</v>
      </c>
      <c r="E151" s="10">
        <v>5163</v>
      </c>
      <c r="F151" s="10" t="s">
        <v>326</v>
      </c>
      <c r="G151" s="439"/>
      <c r="H151" s="331">
        <v>875</v>
      </c>
      <c r="I151" s="331">
        <v>878</v>
      </c>
      <c r="J151" s="330">
        <v>877</v>
      </c>
      <c r="K151" s="337">
        <f t="shared" si="7"/>
        <v>-1</v>
      </c>
      <c r="L151" s="338">
        <f t="shared" si="8"/>
        <v>99.88610478359908</v>
      </c>
    </row>
    <row r="152" spans="1:12" s="387" customFormat="1" ht="12.75">
      <c r="A152" s="334">
        <f t="shared" si="6"/>
        <v>151</v>
      </c>
      <c r="B152" s="402">
        <v>3200</v>
      </c>
      <c r="C152" s="10">
        <v>6171</v>
      </c>
      <c r="D152" s="10" t="s">
        <v>9</v>
      </c>
      <c r="E152" s="10">
        <v>5164</v>
      </c>
      <c r="F152" s="10" t="s">
        <v>357</v>
      </c>
      <c r="G152" s="439"/>
      <c r="H152" s="331">
        <v>1273</v>
      </c>
      <c r="I152" s="331">
        <v>1273</v>
      </c>
      <c r="J152" s="330">
        <v>827</v>
      </c>
      <c r="K152" s="337">
        <f t="shared" si="7"/>
        <v>-446</v>
      </c>
      <c r="L152" s="338">
        <f t="shared" si="8"/>
        <v>64.96465043205028</v>
      </c>
    </row>
    <row r="153" spans="1:12" s="401" customFormat="1" ht="12.75">
      <c r="A153" s="334">
        <f t="shared" si="6"/>
        <v>152</v>
      </c>
      <c r="B153" s="402">
        <v>3200</v>
      </c>
      <c r="C153" s="10">
        <v>6171</v>
      </c>
      <c r="D153" s="10" t="s">
        <v>9</v>
      </c>
      <c r="E153" s="10">
        <v>5164</v>
      </c>
      <c r="F153" s="10" t="s">
        <v>357</v>
      </c>
      <c r="G153" s="439" t="s">
        <v>368</v>
      </c>
      <c r="H153" s="331">
        <v>10</v>
      </c>
      <c r="I153" s="331">
        <v>10</v>
      </c>
      <c r="J153" s="330">
        <v>3</v>
      </c>
      <c r="K153" s="337">
        <f t="shared" si="7"/>
        <v>-7</v>
      </c>
      <c r="L153" s="338">
        <f t="shared" si="8"/>
        <v>30</v>
      </c>
    </row>
    <row r="154" spans="1:12" s="401" customFormat="1" ht="12.75">
      <c r="A154" s="334">
        <f t="shared" si="6"/>
        <v>153</v>
      </c>
      <c r="B154" s="402">
        <v>3200</v>
      </c>
      <c r="C154" s="10">
        <v>6171</v>
      </c>
      <c r="D154" s="10" t="s">
        <v>9</v>
      </c>
      <c r="E154" s="10">
        <v>5166</v>
      </c>
      <c r="F154" s="10" t="s">
        <v>318</v>
      </c>
      <c r="G154" s="439"/>
      <c r="H154" s="331">
        <v>845</v>
      </c>
      <c r="I154" s="331">
        <v>1527</v>
      </c>
      <c r="J154" s="330">
        <v>747</v>
      </c>
      <c r="K154" s="337">
        <f t="shared" si="7"/>
        <v>-780</v>
      </c>
      <c r="L154" s="338">
        <f t="shared" si="8"/>
        <v>48.919449901768175</v>
      </c>
    </row>
    <row r="155" spans="1:12" ht="12.75">
      <c r="A155" s="334">
        <f t="shared" si="6"/>
        <v>154</v>
      </c>
      <c r="B155" s="402">
        <v>3200</v>
      </c>
      <c r="C155" s="10">
        <v>6171</v>
      </c>
      <c r="D155" s="10" t="s">
        <v>9</v>
      </c>
      <c r="E155" s="10">
        <v>5167</v>
      </c>
      <c r="F155" s="10" t="s">
        <v>401</v>
      </c>
      <c r="G155" s="439"/>
      <c r="H155" s="331">
        <v>6100</v>
      </c>
      <c r="I155" s="331">
        <v>6100</v>
      </c>
      <c r="J155" s="330">
        <v>4841</v>
      </c>
      <c r="K155" s="337">
        <f t="shared" si="7"/>
        <v>-1259</v>
      </c>
      <c r="L155" s="338">
        <f t="shared" si="8"/>
        <v>79.36065573770492</v>
      </c>
    </row>
    <row r="156" spans="1:12" ht="12.75">
      <c r="A156" s="334">
        <f t="shared" si="6"/>
        <v>155</v>
      </c>
      <c r="B156" s="402">
        <v>3200</v>
      </c>
      <c r="C156" s="10">
        <v>6171</v>
      </c>
      <c r="D156" s="10" t="s">
        <v>9</v>
      </c>
      <c r="E156" s="10">
        <v>5167</v>
      </c>
      <c r="F156" s="10" t="s">
        <v>401</v>
      </c>
      <c r="G156" s="439" t="s">
        <v>368</v>
      </c>
      <c r="H156" s="331">
        <v>800</v>
      </c>
      <c r="I156" s="331">
        <v>800</v>
      </c>
      <c r="J156" s="330">
        <v>607</v>
      </c>
      <c r="K156" s="337">
        <f t="shared" si="7"/>
        <v>-193</v>
      </c>
      <c r="L156" s="338">
        <f t="shared" si="8"/>
        <v>75.875</v>
      </c>
    </row>
    <row r="157" spans="1:12" ht="12.75">
      <c r="A157" s="334">
        <f t="shared" si="6"/>
        <v>156</v>
      </c>
      <c r="B157" s="402">
        <v>3200</v>
      </c>
      <c r="C157" s="10">
        <v>6171</v>
      </c>
      <c r="D157" s="10" t="s">
        <v>9</v>
      </c>
      <c r="E157" s="10">
        <v>5169</v>
      </c>
      <c r="F157" s="10" t="s">
        <v>321</v>
      </c>
      <c r="G157" s="439"/>
      <c r="H157" s="331">
        <v>12111</v>
      </c>
      <c r="I157" s="331">
        <v>12029</v>
      </c>
      <c r="J157" s="330">
        <v>10174</v>
      </c>
      <c r="K157" s="337">
        <f t="shared" si="7"/>
        <v>-1855</v>
      </c>
      <c r="L157" s="338">
        <f t="shared" si="8"/>
        <v>84.57893424224791</v>
      </c>
    </row>
    <row r="158" spans="1:12" s="401" customFormat="1" ht="12.75">
      <c r="A158" s="334">
        <f t="shared" si="6"/>
        <v>157</v>
      </c>
      <c r="B158" s="402">
        <v>3200</v>
      </c>
      <c r="C158" s="10">
        <v>6171</v>
      </c>
      <c r="D158" s="10" t="s">
        <v>9</v>
      </c>
      <c r="E158" s="10">
        <v>5169</v>
      </c>
      <c r="F158" s="10" t="s">
        <v>321</v>
      </c>
      <c r="G158" s="439" t="s">
        <v>368</v>
      </c>
      <c r="H158" s="331">
        <v>8910</v>
      </c>
      <c r="I158" s="331">
        <v>16485</v>
      </c>
      <c r="J158" s="330">
        <v>15060</v>
      </c>
      <c r="K158" s="337">
        <f t="shared" si="7"/>
        <v>-1425</v>
      </c>
      <c r="L158" s="338">
        <f t="shared" si="8"/>
        <v>91.3557779799818</v>
      </c>
    </row>
    <row r="159" spans="1:12" s="401" customFormat="1" ht="12.75">
      <c r="A159" s="334">
        <f t="shared" si="6"/>
        <v>158</v>
      </c>
      <c r="B159" s="402">
        <v>3200</v>
      </c>
      <c r="C159" s="10">
        <v>6171</v>
      </c>
      <c r="D159" s="10" t="s">
        <v>9</v>
      </c>
      <c r="E159" s="10">
        <v>5169</v>
      </c>
      <c r="F159" s="10" t="s">
        <v>321</v>
      </c>
      <c r="G159" s="439" t="s">
        <v>397</v>
      </c>
      <c r="H159" s="331"/>
      <c r="I159" s="331">
        <v>60</v>
      </c>
      <c r="J159" s="330">
        <v>60</v>
      </c>
      <c r="K159" s="337">
        <f t="shared" si="7"/>
        <v>0</v>
      </c>
      <c r="L159" s="338">
        <f t="shared" si="8"/>
        <v>100</v>
      </c>
    </row>
    <row r="160" spans="1:12" s="401" customFormat="1" ht="12.75">
      <c r="A160" s="334">
        <f t="shared" si="6"/>
        <v>159</v>
      </c>
      <c r="B160" s="402">
        <v>3200</v>
      </c>
      <c r="C160" s="10">
        <v>6171</v>
      </c>
      <c r="D160" s="10" t="s">
        <v>9</v>
      </c>
      <c r="E160" s="10">
        <v>5171</v>
      </c>
      <c r="F160" s="10" t="s">
        <v>402</v>
      </c>
      <c r="G160" s="439"/>
      <c r="H160" s="331">
        <v>1813</v>
      </c>
      <c r="I160" s="331">
        <v>1813</v>
      </c>
      <c r="J160" s="330">
        <v>1209</v>
      </c>
      <c r="K160" s="337">
        <f t="shared" si="7"/>
        <v>-604</v>
      </c>
      <c r="L160" s="338">
        <f t="shared" si="8"/>
        <v>66.68505239933812</v>
      </c>
    </row>
    <row r="161" spans="1:12" s="401" customFormat="1" ht="12.75">
      <c r="A161" s="334">
        <f t="shared" si="6"/>
        <v>160</v>
      </c>
      <c r="B161" s="402">
        <v>3200</v>
      </c>
      <c r="C161" s="10">
        <v>6171</v>
      </c>
      <c r="D161" s="10" t="s">
        <v>9</v>
      </c>
      <c r="E161" s="10">
        <v>5171</v>
      </c>
      <c r="F161" s="10" t="s">
        <v>402</v>
      </c>
      <c r="G161" s="439" t="s">
        <v>368</v>
      </c>
      <c r="H161" s="331">
        <v>60</v>
      </c>
      <c r="I161" s="331">
        <v>180</v>
      </c>
      <c r="J161" s="330">
        <v>136</v>
      </c>
      <c r="K161" s="337">
        <f t="shared" si="7"/>
        <v>-44</v>
      </c>
      <c r="L161" s="338">
        <f t="shared" si="8"/>
        <v>75.55555555555556</v>
      </c>
    </row>
    <row r="162" spans="1:12" s="401" customFormat="1" ht="12.75">
      <c r="A162" s="334">
        <f t="shared" si="6"/>
        <v>161</v>
      </c>
      <c r="B162" s="402">
        <v>3200</v>
      </c>
      <c r="C162" s="10">
        <v>6171</v>
      </c>
      <c r="D162" s="10" t="s">
        <v>9</v>
      </c>
      <c r="E162" s="10">
        <v>5173</v>
      </c>
      <c r="F162" s="410" t="s">
        <v>363</v>
      </c>
      <c r="G162" s="439"/>
      <c r="H162" s="331">
        <v>1528</v>
      </c>
      <c r="I162" s="331">
        <v>1528</v>
      </c>
      <c r="J162" s="330">
        <v>1230</v>
      </c>
      <c r="K162" s="337">
        <f t="shared" si="7"/>
        <v>-298</v>
      </c>
      <c r="L162" s="338">
        <f t="shared" si="8"/>
        <v>80.49738219895288</v>
      </c>
    </row>
    <row r="163" spans="1:12" s="401" customFormat="1" ht="12.75">
      <c r="A163" s="334">
        <f t="shared" si="6"/>
        <v>162</v>
      </c>
      <c r="B163" s="402">
        <v>3200</v>
      </c>
      <c r="C163" s="10">
        <v>6171</v>
      </c>
      <c r="D163" s="10" t="s">
        <v>9</v>
      </c>
      <c r="E163" s="10">
        <v>5175</v>
      </c>
      <c r="F163" s="10" t="s">
        <v>341</v>
      </c>
      <c r="G163" s="439"/>
      <c r="H163" s="331">
        <v>2466</v>
      </c>
      <c r="I163" s="331">
        <v>2466</v>
      </c>
      <c r="J163" s="330">
        <v>1601</v>
      </c>
      <c r="K163" s="337">
        <f t="shared" si="7"/>
        <v>-865</v>
      </c>
      <c r="L163" s="338">
        <f t="shared" si="8"/>
        <v>64.92295214922952</v>
      </c>
    </row>
    <row r="164" spans="1:12" s="401" customFormat="1" ht="12.75">
      <c r="A164" s="334">
        <f t="shared" si="6"/>
        <v>163</v>
      </c>
      <c r="B164" s="402">
        <v>3200</v>
      </c>
      <c r="C164" s="10">
        <v>6171</v>
      </c>
      <c r="D164" s="10" t="s">
        <v>9</v>
      </c>
      <c r="E164" s="10">
        <v>5175</v>
      </c>
      <c r="F164" s="10" t="s">
        <v>341</v>
      </c>
      <c r="G164" s="439" t="s">
        <v>368</v>
      </c>
      <c r="H164" s="331">
        <v>20</v>
      </c>
      <c r="I164" s="331">
        <v>20</v>
      </c>
      <c r="J164" s="330">
        <v>7</v>
      </c>
      <c r="K164" s="337">
        <f t="shared" si="7"/>
        <v>-13</v>
      </c>
      <c r="L164" s="338">
        <f t="shared" si="8"/>
        <v>35</v>
      </c>
    </row>
    <row r="165" spans="1:12" s="401" customFormat="1" ht="12.75">
      <c r="A165" s="334">
        <f t="shared" si="6"/>
        <v>164</v>
      </c>
      <c r="B165" s="402">
        <v>3200</v>
      </c>
      <c r="C165" s="10">
        <v>6171</v>
      </c>
      <c r="D165" s="10" t="s">
        <v>9</v>
      </c>
      <c r="E165" s="10">
        <v>5176</v>
      </c>
      <c r="F165" s="10" t="s">
        <v>403</v>
      </c>
      <c r="G165" s="439"/>
      <c r="H165" s="331">
        <v>50</v>
      </c>
      <c r="I165" s="331">
        <v>50</v>
      </c>
      <c r="J165" s="330">
        <v>1</v>
      </c>
      <c r="K165" s="337">
        <f t="shared" si="7"/>
        <v>-49</v>
      </c>
      <c r="L165" s="338">
        <f t="shared" si="8"/>
        <v>2</v>
      </c>
    </row>
    <row r="166" spans="1:12" s="401" customFormat="1" ht="12.75">
      <c r="A166" s="334">
        <f t="shared" si="6"/>
        <v>165</v>
      </c>
      <c r="B166" s="402">
        <v>3200</v>
      </c>
      <c r="C166" s="10">
        <v>6171</v>
      </c>
      <c r="D166" s="10" t="s">
        <v>9</v>
      </c>
      <c r="E166" s="10">
        <v>5179</v>
      </c>
      <c r="F166" s="10" t="s">
        <v>404</v>
      </c>
      <c r="G166" s="439"/>
      <c r="H166" s="331">
        <v>30</v>
      </c>
      <c r="I166" s="331">
        <v>50</v>
      </c>
      <c r="J166" s="330">
        <v>123</v>
      </c>
      <c r="K166" s="337">
        <f t="shared" si="7"/>
        <v>73</v>
      </c>
      <c r="L166" s="338">
        <f t="shared" si="8"/>
        <v>246</v>
      </c>
    </row>
    <row r="167" spans="1:12" s="401" customFormat="1" ht="12.75">
      <c r="A167" s="334">
        <f t="shared" si="6"/>
        <v>166</v>
      </c>
      <c r="B167" s="402">
        <v>3200</v>
      </c>
      <c r="C167" s="10">
        <v>6171</v>
      </c>
      <c r="D167" s="10" t="s">
        <v>9</v>
      </c>
      <c r="E167" s="10">
        <v>5179</v>
      </c>
      <c r="F167" s="10" t="s">
        <v>404</v>
      </c>
      <c r="G167" s="439" t="s">
        <v>368</v>
      </c>
      <c r="H167" s="331">
        <v>3754</v>
      </c>
      <c r="I167" s="331">
        <v>3854</v>
      </c>
      <c r="J167" s="330">
        <v>3394</v>
      </c>
      <c r="K167" s="337">
        <f t="shared" si="7"/>
        <v>-460</v>
      </c>
      <c r="L167" s="338">
        <f t="shared" si="8"/>
        <v>88.06434872859367</v>
      </c>
    </row>
    <row r="168" spans="1:12" s="401" customFormat="1" ht="12.75">
      <c r="A168" s="334">
        <f t="shared" si="6"/>
        <v>167</v>
      </c>
      <c r="B168" s="402">
        <v>3200</v>
      </c>
      <c r="C168" s="10">
        <v>6171</v>
      </c>
      <c r="D168" s="10" t="s">
        <v>9</v>
      </c>
      <c r="E168" s="10">
        <v>5192</v>
      </c>
      <c r="F168" s="10" t="s">
        <v>342</v>
      </c>
      <c r="G168" s="439"/>
      <c r="H168" s="331">
        <v>350</v>
      </c>
      <c r="I168" s="331">
        <v>384</v>
      </c>
      <c r="J168" s="330">
        <v>362</v>
      </c>
      <c r="K168" s="337">
        <f t="shared" si="7"/>
        <v>-22</v>
      </c>
      <c r="L168" s="338">
        <f t="shared" si="8"/>
        <v>94.27083333333334</v>
      </c>
    </row>
    <row r="169" spans="1:12" s="401" customFormat="1" ht="12.75">
      <c r="A169" s="334">
        <f t="shared" si="6"/>
        <v>168</v>
      </c>
      <c r="B169" s="402">
        <v>3200</v>
      </c>
      <c r="C169" s="10">
        <v>6171</v>
      </c>
      <c r="D169" s="10" t="s">
        <v>9</v>
      </c>
      <c r="E169" s="10">
        <v>5194</v>
      </c>
      <c r="F169" s="10" t="s">
        <v>350</v>
      </c>
      <c r="G169" s="439"/>
      <c r="H169" s="331">
        <v>374</v>
      </c>
      <c r="I169" s="331">
        <v>374</v>
      </c>
      <c r="J169" s="330">
        <v>244</v>
      </c>
      <c r="K169" s="337">
        <f t="shared" si="7"/>
        <v>-130</v>
      </c>
      <c r="L169" s="338">
        <f t="shared" si="8"/>
        <v>65.24064171122996</v>
      </c>
    </row>
    <row r="170" spans="1:12" s="401" customFormat="1" ht="12.75">
      <c r="A170" s="334">
        <f t="shared" si="6"/>
        <v>169</v>
      </c>
      <c r="B170" s="402">
        <v>3200</v>
      </c>
      <c r="C170" s="10">
        <v>6171</v>
      </c>
      <c r="D170" s="10" t="s">
        <v>9</v>
      </c>
      <c r="E170" s="10">
        <v>5229</v>
      </c>
      <c r="F170" s="378" t="s">
        <v>343</v>
      </c>
      <c r="G170" s="452"/>
      <c r="H170" s="331">
        <v>1518</v>
      </c>
      <c r="I170" s="331">
        <v>1518</v>
      </c>
      <c r="J170" s="330">
        <v>1509</v>
      </c>
      <c r="K170" s="337">
        <f t="shared" si="7"/>
        <v>-9</v>
      </c>
      <c r="L170" s="338">
        <f t="shared" si="8"/>
        <v>99.40711462450594</v>
      </c>
    </row>
    <row r="171" spans="1:12" ht="12.75">
      <c r="A171" s="334">
        <f t="shared" si="6"/>
        <v>170</v>
      </c>
      <c r="B171" s="402">
        <v>3200</v>
      </c>
      <c r="C171" s="10">
        <v>6171</v>
      </c>
      <c r="D171" s="10" t="s">
        <v>9</v>
      </c>
      <c r="E171" s="10">
        <v>5361</v>
      </c>
      <c r="F171" s="10" t="s">
        <v>405</v>
      </c>
      <c r="G171" s="439"/>
      <c r="H171" s="331">
        <v>321</v>
      </c>
      <c r="I171" s="331">
        <v>466</v>
      </c>
      <c r="J171" s="330">
        <v>451</v>
      </c>
      <c r="K171" s="337">
        <f t="shared" si="7"/>
        <v>-15</v>
      </c>
      <c r="L171" s="338">
        <f t="shared" si="8"/>
        <v>96.78111587982833</v>
      </c>
    </row>
    <row r="172" spans="1:12" ht="12.75">
      <c r="A172" s="334">
        <f t="shared" si="6"/>
        <v>171</v>
      </c>
      <c r="B172" s="402">
        <v>3200</v>
      </c>
      <c r="C172" s="10">
        <v>6171</v>
      </c>
      <c r="D172" s="10" t="s">
        <v>9</v>
      </c>
      <c r="E172" s="10">
        <v>5362</v>
      </c>
      <c r="F172" s="10" t="s">
        <v>329</v>
      </c>
      <c r="G172" s="439"/>
      <c r="H172" s="331">
        <v>111</v>
      </c>
      <c r="I172" s="331">
        <v>111</v>
      </c>
      <c r="J172" s="330">
        <v>43</v>
      </c>
      <c r="K172" s="337">
        <f t="shared" si="7"/>
        <v>-68</v>
      </c>
      <c r="L172" s="338">
        <f t="shared" si="8"/>
        <v>38.73873873873874</v>
      </c>
    </row>
    <row r="173" spans="1:12" ht="12.75">
      <c r="A173" s="334">
        <f t="shared" si="6"/>
        <v>172</v>
      </c>
      <c r="B173" s="402">
        <v>3200</v>
      </c>
      <c r="C173" s="10">
        <v>6171</v>
      </c>
      <c r="D173" s="10" t="s">
        <v>9</v>
      </c>
      <c r="E173" s="10">
        <v>5365</v>
      </c>
      <c r="F173" s="10" t="s">
        <v>406</v>
      </c>
      <c r="G173" s="439" t="s">
        <v>368</v>
      </c>
      <c r="H173" s="331">
        <v>21</v>
      </c>
      <c r="I173" s="331">
        <v>21</v>
      </c>
      <c r="J173" s="330">
        <v>12</v>
      </c>
      <c r="K173" s="337">
        <f t="shared" si="7"/>
        <v>-9</v>
      </c>
      <c r="L173" s="338">
        <f t="shared" si="8"/>
        <v>57.14285714285714</v>
      </c>
    </row>
    <row r="174" spans="1:12" s="401" customFormat="1" ht="12.75">
      <c r="A174" s="334">
        <f t="shared" si="6"/>
        <v>173</v>
      </c>
      <c r="B174" s="402">
        <v>3200</v>
      </c>
      <c r="C174" s="10">
        <v>6171</v>
      </c>
      <c r="D174" s="10" t="s">
        <v>9</v>
      </c>
      <c r="E174" s="10">
        <v>5424</v>
      </c>
      <c r="F174" s="10" t="s">
        <v>407</v>
      </c>
      <c r="G174" s="439"/>
      <c r="H174" s="331">
        <v>2517</v>
      </c>
      <c r="I174" s="331">
        <v>2517</v>
      </c>
      <c r="J174" s="330">
        <v>2278</v>
      </c>
      <c r="K174" s="337">
        <f t="shared" si="7"/>
        <v>-239</v>
      </c>
      <c r="L174" s="338">
        <f t="shared" si="8"/>
        <v>90.50456893126739</v>
      </c>
    </row>
    <row r="175" spans="1:12" ht="12.75">
      <c r="A175" s="334">
        <f t="shared" si="6"/>
        <v>174</v>
      </c>
      <c r="B175" s="402">
        <v>3200</v>
      </c>
      <c r="C175" s="10">
        <v>6171</v>
      </c>
      <c r="D175" s="10" t="s">
        <v>9</v>
      </c>
      <c r="E175" s="10">
        <v>5492</v>
      </c>
      <c r="F175" s="10" t="s">
        <v>408</v>
      </c>
      <c r="G175" s="439"/>
      <c r="H175" s="331">
        <v>335</v>
      </c>
      <c r="I175" s="331">
        <v>335</v>
      </c>
      <c r="J175" s="330">
        <v>293</v>
      </c>
      <c r="K175" s="337">
        <f t="shared" si="7"/>
        <v>-42</v>
      </c>
      <c r="L175" s="338">
        <f t="shared" si="8"/>
        <v>87.46268656716418</v>
      </c>
    </row>
    <row r="176" spans="1:12" ht="12.75">
      <c r="A176" s="334">
        <f t="shared" si="6"/>
        <v>175</v>
      </c>
      <c r="B176" s="402">
        <v>3200</v>
      </c>
      <c r="C176" s="10">
        <v>6171</v>
      </c>
      <c r="D176" s="10" t="s">
        <v>9</v>
      </c>
      <c r="E176" s="10">
        <v>5499</v>
      </c>
      <c r="F176" s="10" t="s">
        <v>409</v>
      </c>
      <c r="G176" s="439" t="s">
        <v>368</v>
      </c>
      <c r="H176" s="331">
        <v>4878</v>
      </c>
      <c r="I176" s="331">
        <v>5418</v>
      </c>
      <c r="J176" s="330">
        <v>4631</v>
      </c>
      <c r="K176" s="337">
        <f t="shared" si="7"/>
        <v>-787</v>
      </c>
      <c r="L176" s="338">
        <f t="shared" si="8"/>
        <v>85.47434477667036</v>
      </c>
    </row>
    <row r="177" spans="1:12" ht="12.75">
      <c r="A177" s="334">
        <f t="shared" si="6"/>
        <v>176</v>
      </c>
      <c r="B177" s="196">
        <v>3200</v>
      </c>
      <c r="C177" s="12">
        <v>6171</v>
      </c>
      <c r="D177" s="326" t="s">
        <v>9</v>
      </c>
      <c r="E177" s="12">
        <v>5909</v>
      </c>
      <c r="F177" s="326" t="s">
        <v>410</v>
      </c>
      <c r="G177" s="82"/>
      <c r="H177" s="13"/>
      <c r="I177" s="13"/>
      <c r="J177" s="453">
        <v>215</v>
      </c>
      <c r="K177" s="454">
        <f t="shared" si="7"/>
        <v>215</v>
      </c>
      <c r="L177" s="455"/>
    </row>
    <row r="178" spans="1:12" ht="12.75">
      <c r="A178" s="334">
        <f t="shared" si="6"/>
        <v>177</v>
      </c>
      <c r="B178" s="404"/>
      <c r="C178" s="405" t="s">
        <v>323</v>
      </c>
      <c r="D178" s="405"/>
      <c r="E178" s="405"/>
      <c r="F178" s="405"/>
      <c r="G178" s="329"/>
      <c r="H178" s="406">
        <f>SUBTOTAL(9,H120:H176)</f>
        <v>569850</v>
      </c>
      <c r="I178" s="406">
        <f>SUBTOTAL(9,I120:I176)</f>
        <v>586216</v>
      </c>
      <c r="J178" s="407">
        <f>SUBTOTAL(9,J120:J177)</f>
        <v>561032</v>
      </c>
      <c r="K178" s="408">
        <f t="shared" si="7"/>
        <v>-25184</v>
      </c>
      <c r="L178" s="409">
        <f t="shared" si="8"/>
        <v>95.70397259713144</v>
      </c>
    </row>
    <row r="179" spans="1:12" ht="12.75">
      <c r="A179" s="334">
        <f t="shared" si="6"/>
        <v>178</v>
      </c>
      <c r="B179" s="402">
        <v>3200</v>
      </c>
      <c r="C179" s="10">
        <v>6223</v>
      </c>
      <c r="D179" s="10" t="s">
        <v>266</v>
      </c>
      <c r="E179" s="10">
        <v>5139</v>
      </c>
      <c r="F179" s="10" t="s">
        <v>349</v>
      </c>
      <c r="G179" s="328"/>
      <c r="H179" s="331">
        <v>80</v>
      </c>
      <c r="I179" s="331">
        <v>80</v>
      </c>
      <c r="J179" s="330">
        <v>47</v>
      </c>
      <c r="K179" s="337">
        <f t="shared" si="7"/>
        <v>-33</v>
      </c>
      <c r="L179" s="338">
        <f t="shared" si="8"/>
        <v>58.75</v>
      </c>
    </row>
    <row r="180" spans="1:12" ht="12.75">
      <c r="A180" s="334">
        <f t="shared" si="6"/>
        <v>179</v>
      </c>
      <c r="B180" s="456">
        <v>3200</v>
      </c>
      <c r="C180" s="12">
        <v>6223</v>
      </c>
      <c r="D180" s="12" t="s">
        <v>266</v>
      </c>
      <c r="E180" s="12">
        <v>5161</v>
      </c>
      <c r="F180" s="82" t="s">
        <v>387</v>
      </c>
      <c r="G180" s="82"/>
      <c r="H180" s="13"/>
      <c r="I180" s="13">
        <v>3</v>
      </c>
      <c r="J180" s="26">
        <v>3</v>
      </c>
      <c r="K180" s="416">
        <f t="shared" si="7"/>
        <v>0</v>
      </c>
      <c r="L180" s="54">
        <f t="shared" si="8"/>
        <v>100</v>
      </c>
    </row>
    <row r="181" spans="1:12" ht="12.75">
      <c r="A181" s="334">
        <f t="shared" si="6"/>
        <v>180</v>
      </c>
      <c r="B181" s="402">
        <v>3200</v>
      </c>
      <c r="C181" s="10">
        <v>6223</v>
      </c>
      <c r="D181" s="10" t="s">
        <v>266</v>
      </c>
      <c r="E181" s="10">
        <v>5163</v>
      </c>
      <c r="F181" s="10" t="s">
        <v>326</v>
      </c>
      <c r="G181" s="329"/>
      <c r="H181" s="331">
        <v>20</v>
      </c>
      <c r="I181" s="331">
        <v>20</v>
      </c>
      <c r="J181" s="330">
        <v>4</v>
      </c>
      <c r="K181" s="337">
        <f t="shared" si="7"/>
        <v>-16</v>
      </c>
      <c r="L181" s="338">
        <f t="shared" si="8"/>
        <v>20</v>
      </c>
    </row>
    <row r="182" spans="1:12" ht="12.75">
      <c r="A182" s="334">
        <f t="shared" si="6"/>
        <v>181</v>
      </c>
      <c r="B182" s="402">
        <v>3200</v>
      </c>
      <c r="C182" s="10">
        <v>6223</v>
      </c>
      <c r="D182" s="10" t="s">
        <v>266</v>
      </c>
      <c r="E182" s="10">
        <v>5164</v>
      </c>
      <c r="F182" s="10" t="s">
        <v>357</v>
      </c>
      <c r="G182" s="329"/>
      <c r="H182" s="331">
        <v>160</v>
      </c>
      <c r="I182" s="331">
        <v>157</v>
      </c>
      <c r="J182" s="330">
        <v>36</v>
      </c>
      <c r="K182" s="337">
        <f t="shared" si="7"/>
        <v>-121</v>
      </c>
      <c r="L182" s="338">
        <f t="shared" si="8"/>
        <v>22.929936305732486</v>
      </c>
    </row>
    <row r="183" spans="1:12" ht="12.75">
      <c r="A183" s="334">
        <f t="shared" si="6"/>
        <v>182</v>
      </c>
      <c r="B183" s="402">
        <v>3200</v>
      </c>
      <c r="C183" s="10">
        <v>6223</v>
      </c>
      <c r="D183" s="10" t="s">
        <v>266</v>
      </c>
      <c r="E183" s="10">
        <v>5169</v>
      </c>
      <c r="F183" s="10" t="s">
        <v>321</v>
      </c>
      <c r="G183" s="329"/>
      <c r="H183" s="331">
        <v>1938</v>
      </c>
      <c r="I183" s="331">
        <v>2175</v>
      </c>
      <c r="J183" s="330">
        <v>1722</v>
      </c>
      <c r="K183" s="337">
        <f t="shared" si="7"/>
        <v>-453</v>
      </c>
      <c r="L183" s="338">
        <f t="shared" si="8"/>
        <v>79.17241379310344</v>
      </c>
    </row>
    <row r="184" spans="1:12" ht="12.75">
      <c r="A184" s="334">
        <f t="shared" si="6"/>
        <v>183</v>
      </c>
      <c r="B184" s="402">
        <v>3200</v>
      </c>
      <c r="C184" s="10">
        <v>6223</v>
      </c>
      <c r="D184" s="10" t="s">
        <v>266</v>
      </c>
      <c r="E184" s="10">
        <v>5173</v>
      </c>
      <c r="F184" s="10" t="s">
        <v>363</v>
      </c>
      <c r="G184" s="329"/>
      <c r="H184" s="331">
        <v>4130</v>
      </c>
      <c r="I184" s="331">
        <v>4336</v>
      </c>
      <c r="J184" s="330">
        <v>4174</v>
      </c>
      <c r="K184" s="337">
        <f t="shared" si="7"/>
        <v>-162</v>
      </c>
      <c r="L184" s="338">
        <f t="shared" si="8"/>
        <v>96.26383763837639</v>
      </c>
    </row>
    <row r="185" spans="1:12" ht="12.75">
      <c r="A185" s="334">
        <f t="shared" si="6"/>
        <v>184</v>
      </c>
      <c r="B185" s="402">
        <v>3200</v>
      </c>
      <c r="C185" s="10">
        <v>6223</v>
      </c>
      <c r="D185" s="10" t="s">
        <v>266</v>
      </c>
      <c r="E185" s="10">
        <v>5175</v>
      </c>
      <c r="F185" s="10" t="s">
        <v>341</v>
      </c>
      <c r="G185" s="329"/>
      <c r="H185" s="331">
        <v>1021</v>
      </c>
      <c r="I185" s="331">
        <v>1039</v>
      </c>
      <c r="J185" s="330">
        <v>929</v>
      </c>
      <c r="K185" s="337">
        <f t="shared" si="7"/>
        <v>-110</v>
      </c>
      <c r="L185" s="338">
        <f t="shared" si="8"/>
        <v>89.4128970163619</v>
      </c>
    </row>
    <row r="186" spans="1:12" ht="12.75">
      <c r="A186" s="334">
        <f t="shared" si="6"/>
        <v>185</v>
      </c>
      <c r="B186" s="402">
        <v>3200</v>
      </c>
      <c r="C186" s="10">
        <v>6223</v>
      </c>
      <c r="D186" s="10" t="s">
        <v>266</v>
      </c>
      <c r="E186" s="10">
        <v>5176</v>
      </c>
      <c r="F186" s="10" t="s">
        <v>403</v>
      </c>
      <c r="G186" s="329"/>
      <c r="H186" s="331">
        <v>100</v>
      </c>
      <c r="I186" s="331">
        <v>100</v>
      </c>
      <c r="J186" s="330">
        <v>70</v>
      </c>
      <c r="K186" s="337">
        <f t="shared" si="7"/>
        <v>-30</v>
      </c>
      <c r="L186" s="338">
        <f t="shared" si="8"/>
        <v>70</v>
      </c>
    </row>
    <row r="187" spans="1:12" ht="12.75">
      <c r="A187" s="334">
        <f t="shared" si="6"/>
        <v>186</v>
      </c>
      <c r="B187" s="402">
        <v>3200</v>
      </c>
      <c r="C187" s="10">
        <v>6223</v>
      </c>
      <c r="D187" s="10" t="s">
        <v>266</v>
      </c>
      <c r="E187" s="10">
        <v>5179</v>
      </c>
      <c r="F187" s="10" t="s">
        <v>404</v>
      </c>
      <c r="G187" s="329"/>
      <c r="H187" s="331">
        <v>42</v>
      </c>
      <c r="I187" s="331">
        <v>42</v>
      </c>
      <c r="J187" s="330">
        <v>4</v>
      </c>
      <c r="K187" s="337">
        <f t="shared" si="7"/>
        <v>-38</v>
      </c>
      <c r="L187" s="338">
        <f t="shared" si="8"/>
        <v>9.523809523809524</v>
      </c>
    </row>
    <row r="188" spans="1:12" ht="12.75">
      <c r="A188" s="334">
        <f t="shared" si="6"/>
        <v>187</v>
      </c>
      <c r="B188" s="402">
        <v>3200</v>
      </c>
      <c r="C188" s="10">
        <v>6223</v>
      </c>
      <c r="D188" s="10" t="s">
        <v>266</v>
      </c>
      <c r="E188" s="10">
        <v>5194</v>
      </c>
      <c r="F188" s="10" t="s">
        <v>350</v>
      </c>
      <c r="G188" s="329"/>
      <c r="H188" s="331">
        <v>80</v>
      </c>
      <c r="I188" s="331">
        <v>80</v>
      </c>
      <c r="J188" s="330">
        <v>50</v>
      </c>
      <c r="K188" s="337">
        <f t="shared" si="7"/>
        <v>-30</v>
      </c>
      <c r="L188" s="338">
        <f t="shared" si="8"/>
        <v>62.5</v>
      </c>
    </row>
    <row r="189" spans="1:12" ht="12.75">
      <c r="A189" s="334">
        <f t="shared" si="6"/>
        <v>188</v>
      </c>
      <c r="B189" s="402">
        <v>3200</v>
      </c>
      <c r="C189" s="10">
        <v>6223</v>
      </c>
      <c r="D189" s="10" t="s">
        <v>266</v>
      </c>
      <c r="E189" s="10">
        <v>5229</v>
      </c>
      <c r="F189" s="378" t="s">
        <v>343</v>
      </c>
      <c r="G189" s="457"/>
      <c r="H189" s="331">
        <v>839</v>
      </c>
      <c r="I189" s="331">
        <v>839</v>
      </c>
      <c r="J189" s="330">
        <v>716</v>
      </c>
      <c r="K189" s="337">
        <f t="shared" si="7"/>
        <v>-123</v>
      </c>
      <c r="L189" s="338">
        <f t="shared" si="8"/>
        <v>85.33969010727056</v>
      </c>
    </row>
    <row r="190" spans="1:12" ht="12.75">
      <c r="A190" s="334">
        <f t="shared" si="6"/>
        <v>189</v>
      </c>
      <c r="B190" s="458"/>
      <c r="C190" s="459" t="s">
        <v>411</v>
      </c>
      <c r="D190" s="459"/>
      <c r="E190" s="459"/>
      <c r="F190" s="460"/>
      <c r="G190" s="457"/>
      <c r="H190" s="461">
        <f>SUBTOTAL(9,H179:H189)</f>
        <v>8410</v>
      </c>
      <c r="I190" s="461">
        <f>SUBTOTAL(9,I179:I189)</f>
        <v>8871</v>
      </c>
      <c r="J190" s="462">
        <f>SUBTOTAL(9,J179:J189)</f>
        <v>7755</v>
      </c>
      <c r="K190" s="463">
        <f t="shared" si="7"/>
        <v>-1116</v>
      </c>
      <c r="L190" s="464">
        <f t="shared" si="8"/>
        <v>87.41968211024688</v>
      </c>
    </row>
    <row r="191" spans="1:12" ht="12.75">
      <c r="A191" s="334">
        <f t="shared" si="6"/>
        <v>190</v>
      </c>
      <c r="B191" s="402">
        <v>3200</v>
      </c>
      <c r="C191" s="12">
        <v>6399</v>
      </c>
      <c r="D191" s="82" t="s">
        <v>83</v>
      </c>
      <c r="E191" s="12">
        <v>5909</v>
      </c>
      <c r="F191" s="82" t="s">
        <v>410</v>
      </c>
      <c r="G191" s="82"/>
      <c r="H191" s="13"/>
      <c r="I191" s="13"/>
      <c r="J191" s="26">
        <v>4017</v>
      </c>
      <c r="K191" s="416">
        <f t="shared" si="7"/>
        <v>4017</v>
      </c>
      <c r="L191" s="54"/>
    </row>
    <row r="192" spans="1:12" ht="12.75">
      <c r="A192" s="334">
        <f t="shared" si="6"/>
        <v>191</v>
      </c>
      <c r="B192" s="465"/>
      <c r="C192" s="417" t="s">
        <v>331</v>
      </c>
      <c r="D192" s="418"/>
      <c r="E192" s="82"/>
      <c r="F192" s="82"/>
      <c r="G192" s="82"/>
      <c r="H192" s="13"/>
      <c r="I192" s="13"/>
      <c r="J192" s="420">
        <f>SUBTOTAL(9,J191)</f>
        <v>4017</v>
      </c>
      <c r="K192" s="421">
        <f t="shared" si="7"/>
        <v>4017</v>
      </c>
      <c r="L192" s="422"/>
    </row>
    <row r="193" spans="1:12" ht="13.5" thickBot="1">
      <c r="A193" s="334">
        <f t="shared" si="6"/>
        <v>192</v>
      </c>
      <c r="B193" s="357" t="s">
        <v>34</v>
      </c>
      <c r="C193" s="358"/>
      <c r="D193" s="358"/>
      <c r="E193" s="358"/>
      <c r="F193" s="358"/>
      <c r="G193" s="359"/>
      <c r="H193" s="466">
        <f>SUBTOTAL(9,H57:H190)</f>
        <v>606881</v>
      </c>
      <c r="I193" s="466">
        <f>SUBTOTAL(9,I57:I190)</f>
        <v>627881</v>
      </c>
      <c r="J193" s="467">
        <f>SUBTOTAL(9,J57:J191)</f>
        <v>601678</v>
      </c>
      <c r="K193" s="468">
        <f t="shared" si="7"/>
        <v>-26203</v>
      </c>
      <c r="L193" s="469">
        <f t="shared" si="8"/>
        <v>95.8267569810203</v>
      </c>
    </row>
    <row r="194" spans="1:12" ht="9.75" customHeight="1">
      <c r="A194" s="334">
        <f t="shared" si="6"/>
        <v>193</v>
      </c>
      <c r="B194" s="470"/>
      <c r="C194" s="471"/>
      <c r="D194" s="471"/>
      <c r="E194" s="471"/>
      <c r="F194" s="471"/>
      <c r="G194" s="472"/>
      <c r="H194" s="473"/>
      <c r="I194" s="473"/>
      <c r="J194" s="473"/>
      <c r="K194" s="474">
        <f t="shared" si="7"/>
        <v>0</v>
      </c>
      <c r="L194" s="475"/>
    </row>
    <row r="195" spans="1:12" ht="15.75">
      <c r="A195" s="334">
        <f t="shared" si="6"/>
        <v>194</v>
      </c>
      <c r="B195" s="370" t="s">
        <v>61</v>
      </c>
      <c r="C195" s="371"/>
      <c r="D195" s="371"/>
      <c r="E195" s="371"/>
      <c r="F195" s="371"/>
      <c r="G195" s="397"/>
      <c r="H195" s="388"/>
      <c r="I195" s="388"/>
      <c r="J195" s="388"/>
      <c r="K195" s="389">
        <f t="shared" si="7"/>
        <v>0</v>
      </c>
      <c r="L195" s="390"/>
    </row>
    <row r="196" spans="1:12" s="387" customFormat="1" ht="12.75">
      <c r="A196" s="334">
        <f aca="true" t="shared" si="9" ref="A196:A259">A195+1</f>
        <v>195</v>
      </c>
      <c r="B196" s="376">
        <v>3600</v>
      </c>
      <c r="C196" s="328">
        <v>5212</v>
      </c>
      <c r="D196" s="328" t="s">
        <v>248</v>
      </c>
      <c r="E196" s="328">
        <v>5137</v>
      </c>
      <c r="F196" s="349" t="s">
        <v>353</v>
      </c>
      <c r="G196" s="476"/>
      <c r="H196" s="477">
        <v>100</v>
      </c>
      <c r="I196" s="477">
        <v>100</v>
      </c>
      <c r="J196" s="477"/>
      <c r="K196" s="478">
        <f aca="true" t="shared" si="10" ref="K196:K259">J196-I196</f>
        <v>-100</v>
      </c>
      <c r="L196" s="479">
        <f aca="true" t="shared" si="11" ref="L196:L259">J196/I196*100</f>
        <v>0</v>
      </c>
    </row>
    <row r="197" spans="1:12" s="387" customFormat="1" ht="12.75">
      <c r="A197" s="334">
        <f t="shared" si="9"/>
        <v>196</v>
      </c>
      <c r="B197" s="376">
        <v>3600</v>
      </c>
      <c r="C197" s="328">
        <v>5212</v>
      </c>
      <c r="D197" s="328" t="s">
        <v>248</v>
      </c>
      <c r="E197" s="328">
        <v>5139</v>
      </c>
      <c r="F197" s="328" t="s">
        <v>349</v>
      </c>
      <c r="G197" s="476"/>
      <c r="H197" s="477">
        <v>100</v>
      </c>
      <c r="I197" s="477">
        <v>100</v>
      </c>
      <c r="J197" s="477"/>
      <c r="K197" s="478">
        <f t="shared" si="10"/>
        <v>-100</v>
      </c>
      <c r="L197" s="479">
        <f t="shared" si="11"/>
        <v>0</v>
      </c>
    </row>
    <row r="198" spans="1:12" s="387" customFormat="1" ht="12.75">
      <c r="A198" s="334">
        <f t="shared" si="9"/>
        <v>197</v>
      </c>
      <c r="B198" s="376">
        <v>3600</v>
      </c>
      <c r="C198" s="328">
        <v>5212</v>
      </c>
      <c r="D198" s="328" t="s">
        <v>248</v>
      </c>
      <c r="E198" s="328">
        <v>5169</v>
      </c>
      <c r="F198" s="328" t="s">
        <v>412</v>
      </c>
      <c r="G198" s="329"/>
      <c r="H198" s="477">
        <v>100</v>
      </c>
      <c r="I198" s="477">
        <v>100</v>
      </c>
      <c r="J198" s="477">
        <v>4</v>
      </c>
      <c r="K198" s="478">
        <f t="shared" si="10"/>
        <v>-96</v>
      </c>
      <c r="L198" s="479">
        <f t="shared" si="11"/>
        <v>4</v>
      </c>
    </row>
    <row r="199" spans="1:12" s="387" customFormat="1" ht="12.75">
      <c r="A199" s="334">
        <f t="shared" si="9"/>
        <v>198</v>
      </c>
      <c r="B199" s="376">
        <v>3600</v>
      </c>
      <c r="C199" s="328">
        <v>5212</v>
      </c>
      <c r="D199" s="328" t="s">
        <v>248</v>
      </c>
      <c r="E199" s="328">
        <v>5192</v>
      </c>
      <c r="F199" s="328" t="s">
        <v>342</v>
      </c>
      <c r="G199" s="476"/>
      <c r="H199" s="477">
        <v>100</v>
      </c>
      <c r="I199" s="477">
        <v>100</v>
      </c>
      <c r="J199" s="477"/>
      <c r="K199" s="478">
        <f t="shared" si="10"/>
        <v>-100</v>
      </c>
      <c r="L199" s="479">
        <f t="shared" si="11"/>
        <v>0</v>
      </c>
    </row>
    <row r="200" spans="1:12" s="387" customFormat="1" ht="12.75">
      <c r="A200" s="334">
        <f t="shared" si="9"/>
        <v>199</v>
      </c>
      <c r="B200" s="376">
        <v>3600</v>
      </c>
      <c r="C200" s="328">
        <v>5212</v>
      </c>
      <c r="D200" s="328" t="s">
        <v>248</v>
      </c>
      <c r="E200" s="328">
        <v>5429</v>
      </c>
      <c r="F200" s="328" t="s">
        <v>319</v>
      </c>
      <c r="G200" s="476"/>
      <c r="H200" s="477">
        <v>100</v>
      </c>
      <c r="I200" s="477">
        <v>100</v>
      </c>
      <c r="J200" s="477"/>
      <c r="K200" s="478">
        <f t="shared" si="10"/>
        <v>-100</v>
      </c>
      <c r="L200" s="479">
        <f t="shared" si="11"/>
        <v>0</v>
      </c>
    </row>
    <row r="201" spans="1:12" ht="12.75">
      <c r="A201" s="334">
        <f t="shared" si="9"/>
        <v>200</v>
      </c>
      <c r="B201" s="376"/>
      <c r="C201" s="748" t="s">
        <v>413</v>
      </c>
      <c r="D201" s="749"/>
      <c r="E201" s="328"/>
      <c r="F201" s="328"/>
      <c r="G201" s="397"/>
      <c r="H201" s="407">
        <f>SUBTOTAL(9,H196:H200)</f>
        <v>500</v>
      </c>
      <c r="I201" s="407">
        <f>SUBTOTAL(9,I196:I200)</f>
        <v>500</v>
      </c>
      <c r="J201" s="407">
        <f>SUBTOTAL(9,J196:J200)</f>
        <v>4</v>
      </c>
      <c r="K201" s="408">
        <f t="shared" si="10"/>
        <v>-496</v>
      </c>
      <c r="L201" s="409">
        <f t="shared" si="11"/>
        <v>0.8</v>
      </c>
    </row>
    <row r="202" spans="1:12" s="387" customFormat="1" ht="12.75">
      <c r="A202" s="334">
        <f t="shared" si="9"/>
        <v>201</v>
      </c>
      <c r="B202" s="376">
        <v>3600</v>
      </c>
      <c r="C202" s="328">
        <v>5269</v>
      </c>
      <c r="D202" s="328" t="s">
        <v>414</v>
      </c>
      <c r="E202" s="328">
        <v>5139</v>
      </c>
      <c r="F202" s="328" t="s">
        <v>349</v>
      </c>
      <c r="G202" s="457"/>
      <c r="H202" s="480">
        <v>200</v>
      </c>
      <c r="I202" s="480">
        <v>199</v>
      </c>
      <c r="J202" s="480"/>
      <c r="K202" s="481">
        <f t="shared" si="10"/>
        <v>-199</v>
      </c>
      <c r="L202" s="482">
        <f t="shared" si="11"/>
        <v>0</v>
      </c>
    </row>
    <row r="203" spans="1:12" s="387" customFormat="1" ht="12.75">
      <c r="A203" s="334">
        <f t="shared" si="9"/>
        <v>202</v>
      </c>
      <c r="B203" s="376">
        <v>3600</v>
      </c>
      <c r="C203" s="328">
        <v>5269</v>
      </c>
      <c r="D203" s="328" t="s">
        <v>414</v>
      </c>
      <c r="E203" s="328">
        <v>5909</v>
      </c>
      <c r="F203" s="352" t="s">
        <v>410</v>
      </c>
      <c r="G203" s="457"/>
      <c r="H203" s="480"/>
      <c r="I203" s="480">
        <v>1</v>
      </c>
      <c r="J203" s="480">
        <v>1</v>
      </c>
      <c r="K203" s="481">
        <f t="shared" si="10"/>
        <v>0</v>
      </c>
      <c r="L203" s="482">
        <f t="shared" si="11"/>
        <v>100</v>
      </c>
    </row>
    <row r="204" spans="1:12" ht="12.75">
      <c r="A204" s="334">
        <f t="shared" si="9"/>
        <v>203</v>
      </c>
      <c r="B204" s="376"/>
      <c r="C204" s="748" t="s">
        <v>373</v>
      </c>
      <c r="D204" s="749"/>
      <c r="E204" s="328"/>
      <c r="F204" s="328"/>
      <c r="G204" s="483"/>
      <c r="H204" s="462">
        <f>SUBTOTAL(9,H202:H203)</f>
        <v>200</v>
      </c>
      <c r="I204" s="462">
        <f>SUBTOTAL(9,I202:I203)</f>
        <v>200</v>
      </c>
      <c r="J204" s="462">
        <f>SUBTOTAL(9,J202:J203)</f>
        <v>1</v>
      </c>
      <c r="K204" s="463">
        <f t="shared" si="10"/>
        <v>-199</v>
      </c>
      <c r="L204" s="464">
        <f t="shared" si="11"/>
        <v>0.5</v>
      </c>
    </row>
    <row r="205" spans="1:12" s="387" customFormat="1" ht="12.75">
      <c r="A205" s="334">
        <f t="shared" si="9"/>
        <v>204</v>
      </c>
      <c r="B205" s="376">
        <v>3600</v>
      </c>
      <c r="C205" s="328">
        <v>5273</v>
      </c>
      <c r="D205" s="328" t="s">
        <v>249</v>
      </c>
      <c r="E205" s="328">
        <v>5172</v>
      </c>
      <c r="F205" s="328" t="s">
        <v>415</v>
      </c>
      <c r="G205" s="457"/>
      <c r="H205" s="480">
        <v>60</v>
      </c>
      <c r="I205" s="480">
        <v>60</v>
      </c>
      <c r="J205" s="480"/>
      <c r="K205" s="481">
        <f t="shared" si="10"/>
        <v>-60</v>
      </c>
      <c r="L205" s="482">
        <f t="shared" si="11"/>
        <v>0</v>
      </c>
    </row>
    <row r="206" spans="1:12" s="387" customFormat="1" ht="12.75">
      <c r="A206" s="334">
        <f t="shared" si="9"/>
        <v>205</v>
      </c>
      <c r="B206" s="376">
        <v>3600</v>
      </c>
      <c r="C206" s="328">
        <v>5273</v>
      </c>
      <c r="D206" s="328" t="s">
        <v>249</v>
      </c>
      <c r="E206" s="328">
        <v>5139</v>
      </c>
      <c r="F206" s="328" t="s">
        <v>349</v>
      </c>
      <c r="G206" s="457"/>
      <c r="H206" s="480">
        <v>240</v>
      </c>
      <c r="I206" s="480">
        <v>240</v>
      </c>
      <c r="J206" s="480"/>
      <c r="K206" s="481">
        <f t="shared" si="10"/>
        <v>-240</v>
      </c>
      <c r="L206" s="482">
        <f t="shared" si="11"/>
        <v>0</v>
      </c>
    </row>
    <row r="207" spans="1:12" ht="12.75">
      <c r="A207" s="334">
        <f t="shared" si="9"/>
        <v>206</v>
      </c>
      <c r="B207" s="383"/>
      <c r="C207" s="748" t="s">
        <v>416</v>
      </c>
      <c r="D207" s="749"/>
      <c r="E207" s="341"/>
      <c r="F207" s="341"/>
      <c r="G207" s="483"/>
      <c r="H207" s="462">
        <f>SUBTOTAL(9,H205:H206)</f>
        <v>300</v>
      </c>
      <c r="I207" s="462">
        <f>SUBTOTAL(9,I205:I206)</f>
        <v>300</v>
      </c>
      <c r="J207" s="462">
        <f>SUBTOTAL(9,J205:J206)</f>
        <v>0</v>
      </c>
      <c r="K207" s="463">
        <f t="shared" si="10"/>
        <v>-300</v>
      </c>
      <c r="L207" s="464">
        <f t="shared" si="11"/>
        <v>0</v>
      </c>
    </row>
    <row r="208" spans="1:12" ht="13.5" thickBot="1">
      <c r="A208" s="334">
        <f t="shared" si="9"/>
        <v>207</v>
      </c>
      <c r="B208" s="357" t="s">
        <v>62</v>
      </c>
      <c r="C208" s="358"/>
      <c r="D208" s="358"/>
      <c r="E208" s="358"/>
      <c r="F208" s="358"/>
      <c r="G208" s="359"/>
      <c r="H208" s="467">
        <f>SUBTOTAL(9,H196:H207)</f>
        <v>1000</v>
      </c>
      <c r="I208" s="467">
        <f>SUBTOTAL(9,I196:I207)</f>
        <v>1000</v>
      </c>
      <c r="J208" s="467">
        <f>SUBTOTAL(9,J196:J207)</f>
        <v>5</v>
      </c>
      <c r="K208" s="468">
        <f t="shared" si="10"/>
        <v>-995</v>
      </c>
      <c r="L208" s="469">
        <f t="shared" si="11"/>
        <v>0.5</v>
      </c>
    </row>
    <row r="209" spans="1:12" ht="9.75" customHeight="1">
      <c r="A209" s="334">
        <f t="shared" si="9"/>
        <v>208</v>
      </c>
      <c r="B209" s="484"/>
      <c r="C209" s="485"/>
      <c r="D209" s="485"/>
      <c r="E209" s="485"/>
      <c r="F209" s="486"/>
      <c r="G209" s="487"/>
      <c r="H209" s="488"/>
      <c r="I209" s="488"/>
      <c r="J209" s="488"/>
      <c r="K209" s="489">
        <f t="shared" si="10"/>
        <v>0</v>
      </c>
      <c r="L209" s="490"/>
    </row>
    <row r="210" spans="1:12" ht="15.75">
      <c r="A210" s="334">
        <f t="shared" si="9"/>
        <v>209</v>
      </c>
      <c r="B210" s="370" t="s">
        <v>56</v>
      </c>
      <c r="C210" s="349"/>
      <c r="D210" s="349"/>
      <c r="E210" s="349"/>
      <c r="F210" s="349"/>
      <c r="G210" s="476"/>
      <c r="H210" s="491"/>
      <c r="I210" s="491"/>
      <c r="J210" s="491"/>
      <c r="K210" s="492">
        <f t="shared" si="10"/>
        <v>0</v>
      </c>
      <c r="L210" s="493"/>
    </row>
    <row r="211" spans="1:12" ht="12.75">
      <c r="A211" s="334">
        <f t="shared" si="9"/>
        <v>210</v>
      </c>
      <c r="B211" s="376">
        <v>3900</v>
      </c>
      <c r="C211" s="328">
        <v>6211</v>
      </c>
      <c r="D211" s="328" t="s">
        <v>57</v>
      </c>
      <c r="E211" s="328">
        <v>5136</v>
      </c>
      <c r="F211" s="328" t="s">
        <v>396</v>
      </c>
      <c r="G211" s="329"/>
      <c r="H211" s="491">
        <v>74</v>
      </c>
      <c r="I211" s="491">
        <v>74</v>
      </c>
      <c r="J211" s="491">
        <v>65</v>
      </c>
      <c r="K211" s="492">
        <f t="shared" si="10"/>
        <v>-9</v>
      </c>
      <c r="L211" s="493">
        <f t="shared" si="11"/>
        <v>87.83783783783784</v>
      </c>
    </row>
    <row r="212" spans="1:12" ht="12.75">
      <c r="A212" s="334">
        <f t="shared" si="9"/>
        <v>211</v>
      </c>
      <c r="B212" s="376">
        <v>3900</v>
      </c>
      <c r="C212" s="328">
        <v>6211</v>
      </c>
      <c r="D212" s="328" t="s">
        <v>57</v>
      </c>
      <c r="E212" s="328">
        <v>5137</v>
      </c>
      <c r="F212" s="328" t="s">
        <v>353</v>
      </c>
      <c r="G212" s="476"/>
      <c r="H212" s="491">
        <v>119</v>
      </c>
      <c r="I212" s="491">
        <v>69</v>
      </c>
      <c r="J212" s="491">
        <v>48</v>
      </c>
      <c r="K212" s="492">
        <f t="shared" si="10"/>
        <v>-21</v>
      </c>
      <c r="L212" s="493">
        <f t="shared" si="11"/>
        <v>69.56521739130434</v>
      </c>
    </row>
    <row r="213" spans="1:12" ht="12.75">
      <c r="A213" s="334">
        <f t="shared" si="9"/>
        <v>212</v>
      </c>
      <c r="B213" s="376">
        <v>3900</v>
      </c>
      <c r="C213" s="328">
        <v>6211</v>
      </c>
      <c r="D213" s="328" t="s">
        <v>57</v>
      </c>
      <c r="E213" s="328">
        <v>5139</v>
      </c>
      <c r="F213" s="328" t="s">
        <v>349</v>
      </c>
      <c r="G213" s="329"/>
      <c r="H213" s="491">
        <v>109</v>
      </c>
      <c r="I213" s="491">
        <v>179</v>
      </c>
      <c r="J213" s="491">
        <v>172</v>
      </c>
      <c r="K213" s="492">
        <f t="shared" si="10"/>
        <v>-7</v>
      </c>
      <c r="L213" s="493">
        <f t="shared" si="11"/>
        <v>96.08938547486034</v>
      </c>
    </row>
    <row r="214" spans="1:12" ht="12.75">
      <c r="A214" s="334">
        <f t="shared" si="9"/>
        <v>213</v>
      </c>
      <c r="B214" s="376">
        <v>3900</v>
      </c>
      <c r="C214" s="328">
        <v>6211</v>
      </c>
      <c r="D214" s="328" t="s">
        <v>57</v>
      </c>
      <c r="E214" s="328">
        <v>5161</v>
      </c>
      <c r="F214" s="328" t="s">
        <v>387</v>
      </c>
      <c r="G214" s="329"/>
      <c r="H214" s="491">
        <v>4</v>
      </c>
      <c r="I214" s="491">
        <v>4</v>
      </c>
      <c r="J214" s="491"/>
      <c r="K214" s="492">
        <f t="shared" si="10"/>
        <v>-4</v>
      </c>
      <c r="L214" s="493">
        <f t="shared" si="11"/>
        <v>0</v>
      </c>
    </row>
    <row r="215" spans="1:12" ht="12.75">
      <c r="A215" s="334">
        <f t="shared" si="9"/>
        <v>214</v>
      </c>
      <c r="B215" s="376">
        <v>3900</v>
      </c>
      <c r="C215" s="328">
        <v>6211</v>
      </c>
      <c r="D215" s="328" t="s">
        <v>57</v>
      </c>
      <c r="E215" s="328">
        <v>5163</v>
      </c>
      <c r="F215" s="328" t="s">
        <v>326</v>
      </c>
      <c r="G215" s="329"/>
      <c r="H215" s="491">
        <v>5</v>
      </c>
      <c r="I215" s="491">
        <v>5</v>
      </c>
      <c r="J215" s="491">
        <v>5</v>
      </c>
      <c r="K215" s="492">
        <f t="shared" si="10"/>
        <v>0</v>
      </c>
      <c r="L215" s="493">
        <f t="shared" si="11"/>
        <v>100</v>
      </c>
    </row>
    <row r="216" spans="1:12" ht="12.75">
      <c r="A216" s="334">
        <f t="shared" si="9"/>
        <v>215</v>
      </c>
      <c r="B216" s="376">
        <v>3900</v>
      </c>
      <c r="C216" s="328">
        <v>6211</v>
      </c>
      <c r="D216" s="328" t="s">
        <v>57</v>
      </c>
      <c r="E216" s="328">
        <v>5164</v>
      </c>
      <c r="F216" s="328" t="s">
        <v>357</v>
      </c>
      <c r="G216" s="329"/>
      <c r="H216" s="491">
        <v>2</v>
      </c>
      <c r="I216" s="491">
        <v>2</v>
      </c>
      <c r="J216" s="491">
        <v>2</v>
      </c>
      <c r="K216" s="492">
        <f t="shared" si="10"/>
        <v>0</v>
      </c>
      <c r="L216" s="493">
        <f t="shared" si="11"/>
        <v>100</v>
      </c>
    </row>
    <row r="217" spans="1:12" ht="12.75">
      <c r="A217" s="334">
        <f t="shared" si="9"/>
        <v>216</v>
      </c>
      <c r="B217" s="376">
        <v>3900</v>
      </c>
      <c r="C217" s="328">
        <v>6211</v>
      </c>
      <c r="D217" s="328" t="s">
        <v>57</v>
      </c>
      <c r="E217" s="328">
        <v>5169</v>
      </c>
      <c r="F217" s="328" t="s">
        <v>321</v>
      </c>
      <c r="G217" s="329"/>
      <c r="H217" s="491">
        <v>1518</v>
      </c>
      <c r="I217" s="491">
        <v>1518</v>
      </c>
      <c r="J217" s="491">
        <v>1456</v>
      </c>
      <c r="K217" s="492">
        <f t="shared" si="10"/>
        <v>-62</v>
      </c>
      <c r="L217" s="493">
        <f t="shared" si="11"/>
        <v>95.91567852437419</v>
      </c>
    </row>
    <row r="218" spans="1:12" ht="12.75">
      <c r="A218" s="334">
        <f t="shared" si="9"/>
        <v>217</v>
      </c>
      <c r="B218" s="376">
        <v>3900</v>
      </c>
      <c r="C218" s="328">
        <v>6211</v>
      </c>
      <c r="D218" s="328" t="s">
        <v>57</v>
      </c>
      <c r="E218" s="328">
        <v>5171</v>
      </c>
      <c r="F218" s="328" t="s">
        <v>402</v>
      </c>
      <c r="G218" s="329"/>
      <c r="H218" s="491">
        <v>40</v>
      </c>
      <c r="I218" s="491">
        <v>20</v>
      </c>
      <c r="J218" s="491">
        <v>13</v>
      </c>
      <c r="K218" s="492">
        <f t="shared" si="10"/>
        <v>-7</v>
      </c>
      <c r="L218" s="493">
        <f t="shared" si="11"/>
        <v>65</v>
      </c>
    </row>
    <row r="219" spans="1:12" ht="12.75">
      <c r="A219" s="334">
        <f t="shared" si="9"/>
        <v>218</v>
      </c>
      <c r="B219" s="376">
        <v>3900</v>
      </c>
      <c r="C219" s="328">
        <v>6211</v>
      </c>
      <c r="D219" s="328" t="s">
        <v>57</v>
      </c>
      <c r="E219" s="328">
        <v>5229</v>
      </c>
      <c r="F219" s="378" t="s">
        <v>343</v>
      </c>
      <c r="G219" s="329" t="s">
        <v>417</v>
      </c>
      <c r="H219" s="491">
        <v>1</v>
      </c>
      <c r="I219" s="491">
        <v>1</v>
      </c>
      <c r="J219" s="491">
        <v>1</v>
      </c>
      <c r="K219" s="492">
        <f t="shared" si="10"/>
        <v>0</v>
      </c>
      <c r="L219" s="493">
        <f t="shared" si="11"/>
        <v>100</v>
      </c>
    </row>
    <row r="220" spans="1:12" ht="12.75">
      <c r="A220" s="334">
        <f t="shared" si="9"/>
        <v>219</v>
      </c>
      <c r="B220" s="383"/>
      <c r="C220" s="341" t="s">
        <v>418</v>
      </c>
      <c r="D220" s="341"/>
      <c r="E220" s="341"/>
      <c r="F220" s="341"/>
      <c r="G220" s="342"/>
      <c r="H220" s="494">
        <f>SUBTOTAL(9,H211:H219)</f>
        <v>1872</v>
      </c>
      <c r="I220" s="494">
        <f>SUBTOTAL(9,I211:I219)</f>
        <v>1872</v>
      </c>
      <c r="J220" s="494">
        <f>SUBTOTAL(9,J211:J219)</f>
        <v>1762</v>
      </c>
      <c r="K220" s="495">
        <f t="shared" si="10"/>
        <v>-110</v>
      </c>
      <c r="L220" s="496">
        <f t="shared" si="11"/>
        <v>94.12393162393163</v>
      </c>
    </row>
    <row r="221" spans="1:12" ht="13.5" thickBot="1">
      <c r="A221" s="334">
        <f t="shared" si="9"/>
        <v>220</v>
      </c>
      <c r="B221" s="357" t="s">
        <v>214</v>
      </c>
      <c r="C221" s="358"/>
      <c r="D221" s="358"/>
      <c r="E221" s="358"/>
      <c r="F221" s="358"/>
      <c r="G221" s="359"/>
      <c r="H221" s="360">
        <f>SUBTOTAL(9,H211:H220)</f>
        <v>1872</v>
      </c>
      <c r="I221" s="360">
        <f>SUBTOTAL(9,I211:I220)</f>
        <v>1872</v>
      </c>
      <c r="J221" s="360">
        <f>SUBTOTAL(9,J211:J220)</f>
        <v>1762</v>
      </c>
      <c r="K221" s="361">
        <f t="shared" si="10"/>
        <v>-110</v>
      </c>
      <c r="L221" s="362">
        <f t="shared" si="11"/>
        <v>94.12393162393163</v>
      </c>
    </row>
    <row r="222" spans="1:12" ht="9.75" customHeight="1">
      <c r="A222" s="334">
        <f t="shared" si="9"/>
        <v>221</v>
      </c>
      <c r="B222" s="497"/>
      <c r="C222" s="498"/>
      <c r="D222" s="498"/>
      <c r="E222" s="498"/>
      <c r="F222" s="499"/>
      <c r="G222" s="500"/>
      <c r="H222" s="367"/>
      <c r="I222" s="367"/>
      <c r="J222" s="367"/>
      <c r="K222" s="368">
        <f t="shared" si="10"/>
        <v>0</v>
      </c>
      <c r="L222" s="369"/>
    </row>
    <row r="223" spans="1:12" ht="13.5" customHeight="1">
      <c r="A223" s="334">
        <f t="shared" si="9"/>
        <v>222</v>
      </c>
      <c r="B223" s="501" t="s">
        <v>85</v>
      </c>
      <c r="C223" s="352"/>
      <c r="D223" s="352"/>
      <c r="E223" s="352"/>
      <c r="F223" s="328"/>
      <c r="G223" s="329"/>
      <c r="H223" s="502"/>
      <c r="I223" s="502"/>
      <c r="J223" s="502"/>
      <c r="K223" s="503">
        <f t="shared" si="10"/>
        <v>0</v>
      </c>
      <c r="L223" s="504"/>
    </row>
    <row r="224" spans="1:12" ht="12.75">
      <c r="A224" s="334">
        <f t="shared" si="9"/>
        <v>223</v>
      </c>
      <c r="B224" s="376">
        <v>4100</v>
      </c>
      <c r="C224" s="328">
        <v>2219</v>
      </c>
      <c r="D224" s="352" t="s">
        <v>54</v>
      </c>
      <c r="E224" s="328">
        <v>5166</v>
      </c>
      <c r="F224" s="377" t="s">
        <v>318</v>
      </c>
      <c r="G224" s="329" t="s">
        <v>360</v>
      </c>
      <c r="H224" s="429">
        <v>290</v>
      </c>
      <c r="I224" s="429">
        <v>370</v>
      </c>
      <c r="J224" s="429">
        <v>146</v>
      </c>
      <c r="K224" s="430">
        <f t="shared" si="10"/>
        <v>-224</v>
      </c>
      <c r="L224" s="431">
        <f t="shared" si="11"/>
        <v>39.45945945945946</v>
      </c>
    </row>
    <row r="225" spans="1:12" ht="12.75">
      <c r="A225" s="334">
        <f t="shared" si="9"/>
        <v>224</v>
      </c>
      <c r="B225" s="383"/>
      <c r="C225" s="341" t="s">
        <v>364</v>
      </c>
      <c r="D225" s="341"/>
      <c r="E225" s="341"/>
      <c r="F225" s="341"/>
      <c r="G225" s="342"/>
      <c r="H225" s="494">
        <f>SUBTOTAL(9,H224:H224)</f>
        <v>290</v>
      </c>
      <c r="I225" s="494">
        <f>SUBTOTAL(9,I224:I224)</f>
        <v>370</v>
      </c>
      <c r="J225" s="494">
        <f>SUBTOTAL(9,J224:J224)</f>
        <v>146</v>
      </c>
      <c r="K225" s="495">
        <f t="shared" si="10"/>
        <v>-224</v>
      </c>
      <c r="L225" s="496">
        <f t="shared" si="11"/>
        <v>39.45945945945946</v>
      </c>
    </row>
    <row r="226" spans="1:12" ht="12.75">
      <c r="A226" s="334">
        <f t="shared" si="9"/>
        <v>225</v>
      </c>
      <c r="B226" s="376">
        <v>4100</v>
      </c>
      <c r="C226" s="328">
        <v>2229</v>
      </c>
      <c r="D226" s="328" t="s">
        <v>228</v>
      </c>
      <c r="E226" s="328">
        <v>5166</v>
      </c>
      <c r="F226" s="377" t="s">
        <v>318</v>
      </c>
      <c r="G226" s="329" t="s">
        <v>360</v>
      </c>
      <c r="H226" s="412">
        <v>380</v>
      </c>
      <c r="I226" s="412">
        <v>830</v>
      </c>
      <c r="J226" s="412">
        <v>294</v>
      </c>
      <c r="K226" s="413">
        <f t="shared" si="10"/>
        <v>-536</v>
      </c>
      <c r="L226" s="414">
        <f t="shared" si="11"/>
        <v>35.42168674698795</v>
      </c>
    </row>
    <row r="227" spans="1:12" ht="12.75">
      <c r="A227" s="334">
        <f t="shared" si="9"/>
        <v>226</v>
      </c>
      <c r="B227" s="383"/>
      <c r="C227" s="341" t="s">
        <v>419</v>
      </c>
      <c r="D227" s="341"/>
      <c r="E227" s="341"/>
      <c r="F227" s="341"/>
      <c r="G227" s="342"/>
      <c r="H227" s="494">
        <f>SUBTOTAL(9,H226)</f>
        <v>380</v>
      </c>
      <c r="I227" s="494">
        <f>SUBTOTAL(9,I226)</f>
        <v>830</v>
      </c>
      <c r="J227" s="494">
        <f>SUBTOTAL(9,J226)</f>
        <v>294</v>
      </c>
      <c r="K227" s="495">
        <f t="shared" si="10"/>
        <v>-536</v>
      </c>
      <c r="L227" s="496">
        <f t="shared" si="11"/>
        <v>35.42168674698795</v>
      </c>
    </row>
    <row r="228" spans="1:12" ht="12.75">
      <c r="A228" s="334">
        <f t="shared" si="9"/>
        <v>227</v>
      </c>
      <c r="B228" s="376">
        <v>4100</v>
      </c>
      <c r="C228" s="328">
        <v>3111</v>
      </c>
      <c r="D228" s="328" t="s">
        <v>97</v>
      </c>
      <c r="E228" s="328">
        <v>5169</v>
      </c>
      <c r="F228" s="328" t="s">
        <v>420</v>
      </c>
      <c r="G228" s="329" t="s">
        <v>360</v>
      </c>
      <c r="H228" s="429"/>
      <c r="I228" s="429">
        <v>16</v>
      </c>
      <c r="J228" s="412"/>
      <c r="K228" s="413">
        <f t="shared" si="10"/>
        <v>-16</v>
      </c>
      <c r="L228" s="414">
        <f t="shared" si="11"/>
        <v>0</v>
      </c>
    </row>
    <row r="229" spans="1:12" ht="12.75">
      <c r="A229" s="334">
        <f t="shared" si="9"/>
        <v>228</v>
      </c>
      <c r="B229" s="383"/>
      <c r="C229" s="341" t="s">
        <v>421</v>
      </c>
      <c r="D229" s="341"/>
      <c r="E229" s="341"/>
      <c r="F229" s="341"/>
      <c r="G229" s="342"/>
      <c r="H229" s="494">
        <f>SUBTOTAL(9,H228)</f>
        <v>0</v>
      </c>
      <c r="I229" s="494">
        <f>SUBTOTAL(9,I228)</f>
        <v>16</v>
      </c>
      <c r="J229" s="494">
        <f>SUBTOTAL(9,J228)</f>
        <v>0</v>
      </c>
      <c r="K229" s="495">
        <f t="shared" si="10"/>
        <v>-16</v>
      </c>
      <c r="L229" s="496">
        <f t="shared" si="11"/>
        <v>0</v>
      </c>
    </row>
    <row r="230" spans="1:12" ht="12.75">
      <c r="A230" s="334">
        <f t="shared" si="9"/>
        <v>229</v>
      </c>
      <c r="B230" s="376">
        <v>4100</v>
      </c>
      <c r="C230" s="328">
        <v>3113</v>
      </c>
      <c r="D230" s="328" t="s">
        <v>23</v>
      </c>
      <c r="E230" s="328">
        <v>5166</v>
      </c>
      <c r="F230" s="328" t="s">
        <v>318</v>
      </c>
      <c r="G230" s="329" t="s">
        <v>360</v>
      </c>
      <c r="H230" s="412">
        <v>10</v>
      </c>
      <c r="I230" s="412">
        <v>10</v>
      </c>
      <c r="J230" s="412"/>
      <c r="K230" s="413">
        <f t="shared" si="10"/>
        <v>-10</v>
      </c>
      <c r="L230" s="414">
        <f t="shared" si="11"/>
        <v>0</v>
      </c>
    </row>
    <row r="231" spans="1:12" ht="12.75">
      <c r="A231" s="334">
        <f t="shared" si="9"/>
        <v>230</v>
      </c>
      <c r="B231" s="376">
        <v>4100</v>
      </c>
      <c r="C231" s="328">
        <v>3113</v>
      </c>
      <c r="D231" s="505" t="s">
        <v>23</v>
      </c>
      <c r="E231" s="506">
        <v>5169</v>
      </c>
      <c r="F231" s="328" t="s">
        <v>420</v>
      </c>
      <c r="G231" s="329" t="s">
        <v>360</v>
      </c>
      <c r="H231" s="412"/>
      <c r="I231" s="412">
        <v>12</v>
      </c>
      <c r="J231" s="412"/>
      <c r="K231" s="413">
        <f t="shared" si="10"/>
        <v>-12</v>
      </c>
      <c r="L231" s="414">
        <f t="shared" si="11"/>
        <v>0</v>
      </c>
    </row>
    <row r="232" spans="1:12" ht="12.75">
      <c r="A232" s="334">
        <f t="shared" si="9"/>
        <v>231</v>
      </c>
      <c r="B232" s="383"/>
      <c r="C232" s="342" t="s">
        <v>422</v>
      </c>
      <c r="D232" s="342"/>
      <c r="E232" s="341"/>
      <c r="F232" s="383"/>
      <c r="G232" s="342"/>
      <c r="H232" s="494">
        <f>SUBTOTAL(9,H230:H231)</f>
        <v>10</v>
      </c>
      <c r="I232" s="494">
        <f>SUBTOTAL(9,I230:I231)</f>
        <v>22</v>
      </c>
      <c r="J232" s="494">
        <f>SUBTOTAL(9,J230:J231)</f>
        <v>0</v>
      </c>
      <c r="K232" s="495">
        <f t="shared" si="10"/>
        <v>-22</v>
      </c>
      <c r="L232" s="496">
        <f t="shared" si="11"/>
        <v>0</v>
      </c>
    </row>
    <row r="233" spans="1:12" ht="12.75">
      <c r="A233" s="334">
        <f t="shared" si="9"/>
        <v>232</v>
      </c>
      <c r="B233" s="376">
        <v>4100</v>
      </c>
      <c r="C233" s="329">
        <v>3299</v>
      </c>
      <c r="D233" s="507" t="s">
        <v>259</v>
      </c>
      <c r="E233" s="508">
        <v>5162</v>
      </c>
      <c r="F233" s="376" t="s">
        <v>400</v>
      </c>
      <c r="G233" s="329" t="s">
        <v>360</v>
      </c>
      <c r="H233" s="429"/>
      <c r="I233" s="429">
        <v>1</v>
      </c>
      <c r="J233" s="429">
        <v>1</v>
      </c>
      <c r="K233" s="430">
        <f t="shared" si="10"/>
        <v>0</v>
      </c>
      <c r="L233" s="431">
        <f t="shared" si="11"/>
        <v>100</v>
      </c>
    </row>
    <row r="234" spans="1:12" ht="12.75">
      <c r="A234" s="334">
        <f t="shared" si="9"/>
        <v>233</v>
      </c>
      <c r="B234" s="383"/>
      <c r="C234" s="342" t="s">
        <v>367</v>
      </c>
      <c r="D234" s="509"/>
      <c r="E234" s="510"/>
      <c r="F234" s="383"/>
      <c r="G234" s="342"/>
      <c r="H234" s="494">
        <f>SUBTOTAL(9,H233)</f>
        <v>0</v>
      </c>
      <c r="I234" s="494">
        <f>SUBTOTAL(9,I233)</f>
        <v>1</v>
      </c>
      <c r="J234" s="494">
        <f>SUBTOTAL(9,J233)</f>
        <v>1</v>
      </c>
      <c r="K234" s="495">
        <f t="shared" si="10"/>
        <v>0</v>
      </c>
      <c r="L234" s="496">
        <f t="shared" si="11"/>
        <v>100</v>
      </c>
    </row>
    <row r="235" spans="1:12" ht="12.75">
      <c r="A235" s="334">
        <f t="shared" si="9"/>
        <v>234</v>
      </c>
      <c r="B235" s="376">
        <v>4100</v>
      </c>
      <c r="C235" s="329">
        <v>3319</v>
      </c>
      <c r="D235" s="511" t="s">
        <v>49</v>
      </c>
      <c r="E235" s="508">
        <v>5139</v>
      </c>
      <c r="F235" s="376" t="s">
        <v>349</v>
      </c>
      <c r="G235" s="329"/>
      <c r="H235" s="429"/>
      <c r="I235" s="429">
        <v>77</v>
      </c>
      <c r="J235" s="429">
        <v>76</v>
      </c>
      <c r="K235" s="430">
        <f t="shared" si="10"/>
        <v>-1</v>
      </c>
      <c r="L235" s="431">
        <f t="shared" si="11"/>
        <v>98.7012987012987</v>
      </c>
    </row>
    <row r="236" spans="1:12" s="401" customFormat="1" ht="12.75">
      <c r="A236" s="334">
        <f t="shared" si="9"/>
        <v>235</v>
      </c>
      <c r="B236" s="415">
        <v>4100</v>
      </c>
      <c r="C236" s="432">
        <v>3319</v>
      </c>
      <c r="D236" s="511" t="s">
        <v>49</v>
      </c>
      <c r="E236" s="511">
        <v>5166</v>
      </c>
      <c r="F236" s="512" t="s">
        <v>318</v>
      </c>
      <c r="G236" s="513" t="s">
        <v>360</v>
      </c>
      <c r="H236" s="412">
        <v>200</v>
      </c>
      <c r="I236" s="412"/>
      <c r="J236" s="412"/>
      <c r="K236" s="413">
        <f t="shared" si="10"/>
        <v>0</v>
      </c>
      <c r="L236" s="414"/>
    </row>
    <row r="237" spans="1:12" s="401" customFormat="1" ht="12.75">
      <c r="A237" s="334">
        <f t="shared" si="9"/>
        <v>236</v>
      </c>
      <c r="B237" s="415">
        <v>4100</v>
      </c>
      <c r="C237" s="432">
        <v>3319</v>
      </c>
      <c r="D237" s="511" t="s">
        <v>49</v>
      </c>
      <c r="E237" s="511">
        <v>5169</v>
      </c>
      <c r="F237" s="328" t="s">
        <v>420</v>
      </c>
      <c r="G237" s="513"/>
      <c r="H237" s="412"/>
      <c r="I237" s="412">
        <v>194</v>
      </c>
      <c r="J237" s="412"/>
      <c r="K237" s="413">
        <f t="shared" si="10"/>
        <v>-194</v>
      </c>
      <c r="L237" s="414">
        <f t="shared" si="11"/>
        <v>0</v>
      </c>
    </row>
    <row r="238" spans="1:12" s="401" customFormat="1" ht="12.75">
      <c r="A238" s="334">
        <f t="shared" si="9"/>
        <v>237</v>
      </c>
      <c r="B238" s="415">
        <v>4100</v>
      </c>
      <c r="C238" s="432">
        <v>3319</v>
      </c>
      <c r="D238" s="511" t="s">
        <v>49</v>
      </c>
      <c r="E238" s="511">
        <v>5175</v>
      </c>
      <c r="F238" s="328" t="s">
        <v>341</v>
      </c>
      <c r="G238" s="513"/>
      <c r="H238" s="412"/>
      <c r="I238" s="412">
        <v>95</v>
      </c>
      <c r="J238" s="412">
        <v>95</v>
      </c>
      <c r="K238" s="413">
        <f t="shared" si="10"/>
        <v>0</v>
      </c>
      <c r="L238" s="414">
        <f t="shared" si="11"/>
        <v>100</v>
      </c>
    </row>
    <row r="239" spans="1:12" s="401" customFormat="1" ht="12.75">
      <c r="A239" s="334">
        <f t="shared" si="9"/>
        <v>238</v>
      </c>
      <c r="B239" s="404"/>
      <c r="C239" s="405" t="s">
        <v>423</v>
      </c>
      <c r="D239" s="405"/>
      <c r="E239" s="405"/>
      <c r="F239" s="405"/>
      <c r="G239" s="514"/>
      <c r="H239" s="515">
        <f>SUBTOTAL(9,H235:H238)</f>
        <v>200</v>
      </c>
      <c r="I239" s="515">
        <f>SUBTOTAL(9,I235:I238)</f>
        <v>366</v>
      </c>
      <c r="J239" s="494">
        <f>SUBTOTAL(9,J235:J238)</f>
        <v>171</v>
      </c>
      <c r="K239" s="495">
        <f t="shared" si="10"/>
        <v>-195</v>
      </c>
      <c r="L239" s="496">
        <f t="shared" si="11"/>
        <v>46.72131147540984</v>
      </c>
    </row>
    <row r="240" spans="1:12" ht="12.75">
      <c r="A240" s="334">
        <f t="shared" si="9"/>
        <v>239</v>
      </c>
      <c r="B240" s="376">
        <v>4100</v>
      </c>
      <c r="C240" s="328">
        <v>3322</v>
      </c>
      <c r="D240" s="328" t="s">
        <v>28</v>
      </c>
      <c r="E240" s="328">
        <v>5166</v>
      </c>
      <c r="F240" s="377" t="s">
        <v>318</v>
      </c>
      <c r="G240" s="329" t="s">
        <v>360</v>
      </c>
      <c r="H240" s="412">
        <v>130</v>
      </c>
      <c r="I240" s="412">
        <v>130</v>
      </c>
      <c r="J240" s="412">
        <v>121</v>
      </c>
      <c r="K240" s="413">
        <f t="shared" si="10"/>
        <v>-9</v>
      </c>
      <c r="L240" s="414">
        <f t="shared" si="11"/>
        <v>93.07692307692308</v>
      </c>
    </row>
    <row r="241" spans="1:12" ht="12.75">
      <c r="A241" s="334">
        <f t="shared" si="9"/>
        <v>240</v>
      </c>
      <c r="B241" s="383"/>
      <c r="C241" s="341" t="s">
        <v>424</v>
      </c>
      <c r="D241" s="341"/>
      <c r="E241" s="341"/>
      <c r="F241" s="341"/>
      <c r="G241" s="342"/>
      <c r="H241" s="407">
        <f>SUBTOTAL(9,H240)</f>
        <v>130</v>
      </c>
      <c r="I241" s="407">
        <f>SUBTOTAL(9,I240)</f>
        <v>130</v>
      </c>
      <c r="J241" s="407">
        <f>SUBTOTAL(9,J240)</f>
        <v>121</v>
      </c>
      <c r="K241" s="408">
        <f t="shared" si="10"/>
        <v>-9</v>
      </c>
      <c r="L241" s="409">
        <f t="shared" si="11"/>
        <v>93.07692307692308</v>
      </c>
    </row>
    <row r="242" spans="1:12" ht="12.75">
      <c r="A242" s="334">
        <f t="shared" si="9"/>
        <v>241</v>
      </c>
      <c r="B242" s="376">
        <v>4100</v>
      </c>
      <c r="C242" s="328">
        <v>3412</v>
      </c>
      <c r="D242" s="328" t="s">
        <v>218</v>
      </c>
      <c r="E242" s="328">
        <v>5166</v>
      </c>
      <c r="F242" s="377" t="s">
        <v>318</v>
      </c>
      <c r="G242" s="329" t="s">
        <v>360</v>
      </c>
      <c r="H242" s="412">
        <v>120</v>
      </c>
      <c r="I242" s="412">
        <v>120</v>
      </c>
      <c r="J242" s="412"/>
      <c r="K242" s="413">
        <f t="shared" si="10"/>
        <v>-120</v>
      </c>
      <c r="L242" s="414">
        <f t="shared" si="11"/>
        <v>0</v>
      </c>
    </row>
    <row r="243" spans="1:12" ht="12.75">
      <c r="A243" s="334">
        <f t="shared" si="9"/>
        <v>242</v>
      </c>
      <c r="B243" s="383"/>
      <c r="C243" s="341" t="s">
        <v>425</v>
      </c>
      <c r="D243" s="341"/>
      <c r="E243" s="341"/>
      <c r="F243" s="341"/>
      <c r="G243" s="342"/>
      <c r="H243" s="407">
        <f>SUBTOTAL(9,H242)</f>
        <v>120</v>
      </c>
      <c r="I243" s="407">
        <f>SUBTOTAL(9,I242)</f>
        <v>120</v>
      </c>
      <c r="J243" s="407">
        <f>SUBTOTAL(9,J242)</f>
        <v>0</v>
      </c>
      <c r="K243" s="408">
        <f t="shared" si="10"/>
        <v>-120</v>
      </c>
      <c r="L243" s="409">
        <f t="shared" si="11"/>
        <v>0</v>
      </c>
    </row>
    <row r="244" spans="1:12" ht="12.75">
      <c r="A244" s="334">
        <f t="shared" si="9"/>
        <v>243</v>
      </c>
      <c r="B244" s="376">
        <v>4100</v>
      </c>
      <c r="C244" s="328">
        <v>3421</v>
      </c>
      <c r="D244" s="328" t="s">
        <v>96</v>
      </c>
      <c r="E244" s="432">
        <v>5166</v>
      </c>
      <c r="F244" s="12" t="s">
        <v>318</v>
      </c>
      <c r="G244" s="329" t="s">
        <v>360</v>
      </c>
      <c r="H244" s="412">
        <v>200</v>
      </c>
      <c r="I244" s="412">
        <v>200</v>
      </c>
      <c r="J244" s="412"/>
      <c r="K244" s="413">
        <f t="shared" si="10"/>
        <v>-200</v>
      </c>
      <c r="L244" s="414">
        <f t="shared" si="11"/>
        <v>0</v>
      </c>
    </row>
    <row r="245" spans="1:12" ht="12.75">
      <c r="A245" s="334">
        <f t="shared" si="9"/>
        <v>244</v>
      </c>
      <c r="B245" s="376">
        <v>4100</v>
      </c>
      <c r="C245" s="328">
        <v>3421</v>
      </c>
      <c r="D245" s="328" t="s">
        <v>96</v>
      </c>
      <c r="E245" s="432">
        <v>5169</v>
      </c>
      <c r="F245" s="328" t="s">
        <v>420</v>
      </c>
      <c r="G245" s="329" t="s">
        <v>360</v>
      </c>
      <c r="H245" s="412"/>
      <c r="I245" s="412">
        <v>4</v>
      </c>
      <c r="J245" s="412"/>
      <c r="K245" s="413">
        <f t="shared" si="10"/>
        <v>-4</v>
      </c>
      <c r="L245" s="414">
        <f t="shared" si="11"/>
        <v>0</v>
      </c>
    </row>
    <row r="246" spans="1:12" ht="12.75">
      <c r="A246" s="334">
        <f t="shared" si="9"/>
        <v>245</v>
      </c>
      <c r="B246" s="383"/>
      <c r="C246" s="341" t="s">
        <v>426</v>
      </c>
      <c r="D246" s="341"/>
      <c r="E246" s="341"/>
      <c r="F246" s="341"/>
      <c r="G246" s="342"/>
      <c r="H246" s="494">
        <f>SUBTOTAL(9,H244:H245)</f>
        <v>200</v>
      </c>
      <c r="I246" s="494">
        <f>SUBTOTAL(9,I244:I245)</f>
        <v>204</v>
      </c>
      <c r="J246" s="494">
        <f>SUBTOTAL(9,J244:J245)</f>
        <v>0</v>
      </c>
      <c r="K246" s="495">
        <f t="shared" si="10"/>
        <v>-204</v>
      </c>
      <c r="L246" s="496">
        <f t="shared" si="11"/>
        <v>0</v>
      </c>
    </row>
    <row r="247" spans="1:12" ht="12.75">
      <c r="A247" s="334">
        <f t="shared" si="9"/>
        <v>246</v>
      </c>
      <c r="B247" s="516">
        <v>4100</v>
      </c>
      <c r="C247" s="349">
        <v>3635</v>
      </c>
      <c r="D247" s="349" t="s">
        <v>74</v>
      </c>
      <c r="E247" s="349">
        <v>5021</v>
      </c>
      <c r="F247" s="349" t="s">
        <v>365</v>
      </c>
      <c r="G247" s="476"/>
      <c r="H247" s="330">
        <v>54</v>
      </c>
      <c r="I247" s="330">
        <v>54</v>
      </c>
      <c r="J247" s="330"/>
      <c r="K247" s="337">
        <f t="shared" si="10"/>
        <v>-54</v>
      </c>
      <c r="L247" s="338">
        <f t="shared" si="11"/>
        <v>0</v>
      </c>
    </row>
    <row r="248" spans="1:12" ht="12.75">
      <c r="A248" s="334">
        <f t="shared" si="9"/>
        <v>247</v>
      </c>
      <c r="B248" s="516">
        <v>4100</v>
      </c>
      <c r="C248" s="349">
        <v>3635</v>
      </c>
      <c r="D248" s="349" t="s">
        <v>74</v>
      </c>
      <c r="E248" s="349">
        <v>5137</v>
      </c>
      <c r="F248" s="349" t="s">
        <v>353</v>
      </c>
      <c r="G248" s="476"/>
      <c r="H248" s="330"/>
      <c r="I248" s="330">
        <v>70</v>
      </c>
      <c r="J248" s="330">
        <v>58</v>
      </c>
      <c r="K248" s="337">
        <f t="shared" si="10"/>
        <v>-12</v>
      </c>
      <c r="L248" s="338">
        <f t="shared" si="11"/>
        <v>82.85714285714286</v>
      </c>
    </row>
    <row r="249" spans="1:12" ht="12.75">
      <c r="A249" s="334">
        <f t="shared" si="9"/>
        <v>248</v>
      </c>
      <c r="B249" s="517">
        <v>4100</v>
      </c>
      <c r="C249" s="12">
        <v>3635</v>
      </c>
      <c r="D249" s="12" t="s">
        <v>74</v>
      </c>
      <c r="E249" s="12">
        <v>5164</v>
      </c>
      <c r="F249" s="12" t="s">
        <v>357</v>
      </c>
      <c r="G249" s="476"/>
      <c r="H249" s="330">
        <v>92</v>
      </c>
      <c r="I249" s="330">
        <v>92</v>
      </c>
      <c r="J249" s="330"/>
      <c r="K249" s="337">
        <f t="shared" si="10"/>
        <v>-92</v>
      </c>
      <c r="L249" s="338">
        <f t="shared" si="11"/>
        <v>0</v>
      </c>
    </row>
    <row r="250" spans="1:12" ht="12.75">
      <c r="A250" s="334">
        <f t="shared" si="9"/>
        <v>249</v>
      </c>
      <c r="B250" s="517">
        <v>4100</v>
      </c>
      <c r="C250" s="12">
        <v>3635</v>
      </c>
      <c r="D250" s="12" t="s">
        <v>74</v>
      </c>
      <c r="E250" s="12">
        <v>5166</v>
      </c>
      <c r="F250" s="12" t="s">
        <v>318</v>
      </c>
      <c r="G250" s="476" t="s">
        <v>427</v>
      </c>
      <c r="H250" s="330">
        <v>7050</v>
      </c>
      <c r="I250" s="330">
        <v>6976</v>
      </c>
      <c r="J250" s="330">
        <v>5579</v>
      </c>
      <c r="K250" s="337">
        <f t="shared" si="10"/>
        <v>-1397</v>
      </c>
      <c r="L250" s="338">
        <f t="shared" si="11"/>
        <v>79.97419724770643</v>
      </c>
    </row>
    <row r="251" spans="1:12" ht="12.75">
      <c r="A251" s="334">
        <f t="shared" si="9"/>
        <v>250</v>
      </c>
      <c r="B251" s="517">
        <v>4100</v>
      </c>
      <c r="C251" s="12">
        <v>3635</v>
      </c>
      <c r="D251" s="12" t="s">
        <v>74</v>
      </c>
      <c r="E251" s="12">
        <v>5169</v>
      </c>
      <c r="F251" s="10" t="s">
        <v>321</v>
      </c>
      <c r="G251" s="476"/>
      <c r="H251" s="330">
        <v>1140</v>
      </c>
      <c r="I251" s="330">
        <v>1070</v>
      </c>
      <c r="J251" s="330">
        <v>273</v>
      </c>
      <c r="K251" s="337">
        <f t="shared" si="10"/>
        <v>-797</v>
      </c>
      <c r="L251" s="338">
        <f t="shared" si="11"/>
        <v>25.514018691588785</v>
      </c>
    </row>
    <row r="252" spans="1:12" ht="12.75">
      <c r="A252" s="334">
        <f t="shared" si="9"/>
        <v>251</v>
      </c>
      <c r="B252" s="516">
        <v>4100</v>
      </c>
      <c r="C252" s="349">
        <v>3635</v>
      </c>
      <c r="D252" s="349" t="s">
        <v>74</v>
      </c>
      <c r="E252" s="349">
        <v>5173</v>
      </c>
      <c r="F252" s="378" t="s">
        <v>363</v>
      </c>
      <c r="G252" s="329"/>
      <c r="H252" s="330">
        <v>75</v>
      </c>
      <c r="I252" s="330">
        <v>75</v>
      </c>
      <c r="J252" s="330"/>
      <c r="K252" s="337">
        <f t="shared" si="10"/>
        <v>-75</v>
      </c>
      <c r="L252" s="338">
        <f t="shared" si="11"/>
        <v>0</v>
      </c>
    </row>
    <row r="253" spans="1:12" ht="12.75">
      <c r="A253" s="334">
        <f t="shared" si="9"/>
        <v>252</v>
      </c>
      <c r="B253" s="516">
        <v>4100</v>
      </c>
      <c r="C253" s="349">
        <v>3635</v>
      </c>
      <c r="D253" s="349" t="s">
        <v>74</v>
      </c>
      <c r="E253" s="349">
        <v>5175</v>
      </c>
      <c r="F253" s="349" t="s">
        <v>341</v>
      </c>
      <c r="G253" s="329"/>
      <c r="H253" s="330">
        <v>43</v>
      </c>
      <c r="I253" s="330">
        <v>43</v>
      </c>
      <c r="J253" s="330">
        <v>2</v>
      </c>
      <c r="K253" s="337">
        <f t="shared" si="10"/>
        <v>-41</v>
      </c>
      <c r="L253" s="338">
        <f t="shared" si="11"/>
        <v>4.651162790697675</v>
      </c>
    </row>
    <row r="254" spans="1:12" ht="12.75">
      <c r="A254" s="334">
        <f t="shared" si="9"/>
        <v>253</v>
      </c>
      <c r="B254" s="516">
        <v>4100</v>
      </c>
      <c r="C254" s="349">
        <v>3635</v>
      </c>
      <c r="D254" s="349" t="s">
        <v>74</v>
      </c>
      <c r="E254" s="349">
        <v>5192</v>
      </c>
      <c r="F254" s="349" t="s">
        <v>342</v>
      </c>
      <c r="G254" s="329"/>
      <c r="H254" s="330"/>
      <c r="I254" s="330">
        <v>74</v>
      </c>
      <c r="J254" s="330">
        <v>23</v>
      </c>
      <c r="K254" s="337">
        <f t="shared" si="10"/>
        <v>-51</v>
      </c>
      <c r="L254" s="338">
        <f t="shared" si="11"/>
        <v>31.08108108108108</v>
      </c>
    </row>
    <row r="255" spans="1:12" ht="12.75">
      <c r="A255" s="334">
        <f t="shared" si="9"/>
        <v>254</v>
      </c>
      <c r="B255" s="518"/>
      <c r="C255" s="371" t="s">
        <v>428</v>
      </c>
      <c r="D255" s="371"/>
      <c r="E255" s="371"/>
      <c r="F255" s="371"/>
      <c r="G255" s="397"/>
      <c r="H255" s="519">
        <f>SUBTOTAL(9,H247:H254)</f>
        <v>8454</v>
      </c>
      <c r="I255" s="519">
        <f>SUBTOTAL(9,I247:I254)</f>
        <v>8454</v>
      </c>
      <c r="J255" s="519">
        <f>SUBTOTAL(9,J247:J254)</f>
        <v>5935</v>
      </c>
      <c r="K255" s="520">
        <f t="shared" si="10"/>
        <v>-2519</v>
      </c>
      <c r="L255" s="521">
        <f t="shared" si="11"/>
        <v>70.20345398627869</v>
      </c>
    </row>
    <row r="256" spans="1:12" ht="12.75">
      <c r="A256" s="334">
        <f t="shared" si="9"/>
        <v>255</v>
      </c>
      <c r="B256" s="376">
        <v>4100</v>
      </c>
      <c r="C256" s="328">
        <v>3636</v>
      </c>
      <c r="D256" s="352" t="s">
        <v>171</v>
      </c>
      <c r="E256" s="328">
        <v>5139</v>
      </c>
      <c r="F256" s="328" t="s">
        <v>349</v>
      </c>
      <c r="G256" s="329"/>
      <c r="H256" s="429">
        <v>300</v>
      </c>
      <c r="I256" s="429">
        <v>300</v>
      </c>
      <c r="J256" s="429">
        <v>60</v>
      </c>
      <c r="K256" s="430">
        <f t="shared" si="10"/>
        <v>-240</v>
      </c>
      <c r="L256" s="431">
        <f t="shared" si="11"/>
        <v>20</v>
      </c>
    </row>
    <row r="257" spans="1:12" ht="12.75">
      <c r="A257" s="334">
        <f t="shared" si="9"/>
        <v>256</v>
      </c>
      <c r="B257" s="402">
        <v>4100</v>
      </c>
      <c r="C257" s="10">
        <v>3636</v>
      </c>
      <c r="D257" s="522" t="s">
        <v>171</v>
      </c>
      <c r="E257" s="10">
        <v>5166</v>
      </c>
      <c r="F257" s="512" t="s">
        <v>318</v>
      </c>
      <c r="G257" s="329"/>
      <c r="H257" s="429">
        <v>2900</v>
      </c>
      <c r="I257" s="429">
        <v>2900</v>
      </c>
      <c r="J257" s="429">
        <v>1417</v>
      </c>
      <c r="K257" s="430">
        <f t="shared" si="10"/>
        <v>-1483</v>
      </c>
      <c r="L257" s="431">
        <f t="shared" si="11"/>
        <v>48.86206896551724</v>
      </c>
    </row>
    <row r="258" spans="1:12" ht="12.75">
      <c r="A258" s="334">
        <f t="shared" si="9"/>
        <v>257</v>
      </c>
      <c r="B258" s="376">
        <v>4100</v>
      </c>
      <c r="C258" s="328">
        <v>3636</v>
      </c>
      <c r="D258" s="352" t="s">
        <v>171</v>
      </c>
      <c r="E258" s="328">
        <v>5169</v>
      </c>
      <c r="F258" s="328" t="s">
        <v>321</v>
      </c>
      <c r="G258" s="329"/>
      <c r="H258" s="429">
        <v>430</v>
      </c>
      <c r="I258" s="429">
        <v>430</v>
      </c>
      <c r="J258" s="429">
        <v>25</v>
      </c>
      <c r="K258" s="430">
        <f t="shared" si="10"/>
        <v>-405</v>
      </c>
      <c r="L258" s="431">
        <f t="shared" si="11"/>
        <v>5.813953488372093</v>
      </c>
    </row>
    <row r="259" spans="1:12" ht="12.75">
      <c r="A259" s="334">
        <f t="shared" si="9"/>
        <v>258</v>
      </c>
      <c r="B259" s="402">
        <v>4100</v>
      </c>
      <c r="C259" s="10">
        <v>3636</v>
      </c>
      <c r="D259" s="522" t="s">
        <v>171</v>
      </c>
      <c r="E259" s="10">
        <v>5175</v>
      </c>
      <c r="F259" s="10" t="s">
        <v>341</v>
      </c>
      <c r="G259" s="329"/>
      <c r="H259" s="429">
        <v>100</v>
      </c>
      <c r="I259" s="429">
        <v>100</v>
      </c>
      <c r="J259" s="429">
        <v>24</v>
      </c>
      <c r="K259" s="430">
        <f t="shared" si="10"/>
        <v>-76</v>
      </c>
      <c r="L259" s="431">
        <f t="shared" si="11"/>
        <v>24</v>
      </c>
    </row>
    <row r="260" spans="1:12" ht="12.75">
      <c r="A260" s="334">
        <f aca="true" t="shared" si="12" ref="A260:A323">A259+1</f>
        <v>259</v>
      </c>
      <c r="B260" s="376">
        <v>4100</v>
      </c>
      <c r="C260" s="328">
        <v>3636</v>
      </c>
      <c r="D260" s="352" t="s">
        <v>171</v>
      </c>
      <c r="E260" s="328">
        <v>5229</v>
      </c>
      <c r="F260" s="378" t="s">
        <v>343</v>
      </c>
      <c r="G260" s="329" t="s">
        <v>429</v>
      </c>
      <c r="H260" s="429">
        <v>2000</v>
      </c>
      <c r="I260" s="429">
        <v>2000</v>
      </c>
      <c r="J260" s="429">
        <v>2000</v>
      </c>
      <c r="K260" s="430">
        <f aca="true" t="shared" si="13" ref="K260:K323">J260-I260</f>
        <v>0</v>
      </c>
      <c r="L260" s="431">
        <f aca="true" t="shared" si="14" ref="L260:L323">J260/I260*100</f>
        <v>100</v>
      </c>
    </row>
    <row r="261" spans="1:12" ht="12.75">
      <c r="A261" s="334">
        <f t="shared" si="12"/>
        <v>260</v>
      </c>
      <c r="B261" s="383"/>
      <c r="C261" s="341" t="s">
        <v>358</v>
      </c>
      <c r="D261" s="341"/>
      <c r="E261" s="341"/>
      <c r="F261" s="341"/>
      <c r="G261" s="342"/>
      <c r="H261" s="407">
        <f>SUBTOTAL(9,H256:H260)</f>
        <v>5730</v>
      </c>
      <c r="I261" s="407">
        <f>SUBTOTAL(9,I256:I260)</f>
        <v>5730</v>
      </c>
      <c r="J261" s="407">
        <f>SUBTOTAL(9,J256:J260)</f>
        <v>3526</v>
      </c>
      <c r="K261" s="408">
        <f t="shared" si="13"/>
        <v>-2204</v>
      </c>
      <c r="L261" s="409">
        <f t="shared" si="14"/>
        <v>61.53577661431064</v>
      </c>
    </row>
    <row r="262" spans="1:12" ht="12.75">
      <c r="A262" s="334">
        <f t="shared" si="12"/>
        <v>261</v>
      </c>
      <c r="B262" s="376">
        <v>4100</v>
      </c>
      <c r="C262" s="328">
        <v>3639</v>
      </c>
      <c r="D262" s="352" t="s">
        <v>42</v>
      </c>
      <c r="E262" s="328">
        <v>5163</v>
      </c>
      <c r="F262" s="377" t="s">
        <v>326</v>
      </c>
      <c r="G262" s="329" t="s">
        <v>360</v>
      </c>
      <c r="H262" s="429">
        <v>10</v>
      </c>
      <c r="I262" s="429">
        <v>10</v>
      </c>
      <c r="J262" s="429">
        <v>5</v>
      </c>
      <c r="K262" s="430">
        <f t="shared" si="13"/>
        <v>-5</v>
      </c>
      <c r="L262" s="431">
        <f t="shared" si="14"/>
        <v>50</v>
      </c>
    </row>
    <row r="263" spans="1:12" ht="12.75">
      <c r="A263" s="334">
        <f t="shared" si="12"/>
        <v>262</v>
      </c>
      <c r="B263" s="376">
        <v>4100</v>
      </c>
      <c r="C263" s="328">
        <v>3639</v>
      </c>
      <c r="D263" s="352" t="s">
        <v>42</v>
      </c>
      <c r="E263" s="328">
        <v>5166</v>
      </c>
      <c r="F263" s="377" t="s">
        <v>318</v>
      </c>
      <c r="G263" s="329" t="s">
        <v>360</v>
      </c>
      <c r="H263" s="429">
        <v>28286</v>
      </c>
      <c r="I263" s="429">
        <v>14506</v>
      </c>
      <c r="J263" s="429">
        <v>1165</v>
      </c>
      <c r="K263" s="430">
        <f t="shared" si="13"/>
        <v>-13341</v>
      </c>
      <c r="L263" s="431">
        <f t="shared" si="14"/>
        <v>8.031159520198539</v>
      </c>
    </row>
    <row r="264" spans="1:12" ht="12.75">
      <c r="A264" s="334">
        <f t="shared" si="12"/>
        <v>263</v>
      </c>
      <c r="B264" s="376">
        <v>4100</v>
      </c>
      <c r="C264" s="328">
        <v>3639</v>
      </c>
      <c r="D264" s="352" t="s">
        <v>42</v>
      </c>
      <c r="E264" s="328">
        <v>5169</v>
      </c>
      <c r="F264" s="377" t="s">
        <v>420</v>
      </c>
      <c r="G264" s="329" t="s">
        <v>360</v>
      </c>
      <c r="H264" s="429"/>
      <c r="I264" s="429">
        <v>84</v>
      </c>
      <c r="J264" s="429">
        <v>84</v>
      </c>
      <c r="K264" s="430">
        <f t="shared" si="13"/>
        <v>0</v>
      </c>
      <c r="L264" s="431">
        <f t="shared" si="14"/>
        <v>100</v>
      </c>
    </row>
    <row r="265" spans="1:12" ht="12.75">
      <c r="A265" s="334">
        <f t="shared" si="12"/>
        <v>264</v>
      </c>
      <c r="B265" s="376">
        <v>4100</v>
      </c>
      <c r="C265" s="328">
        <v>3639</v>
      </c>
      <c r="D265" s="352" t="s">
        <v>42</v>
      </c>
      <c r="E265" s="328">
        <v>5171</v>
      </c>
      <c r="F265" s="328" t="s">
        <v>402</v>
      </c>
      <c r="G265" s="329" t="s">
        <v>360</v>
      </c>
      <c r="H265" s="429">
        <v>10000</v>
      </c>
      <c r="I265" s="429">
        <v>10000</v>
      </c>
      <c r="J265" s="429">
        <v>89</v>
      </c>
      <c r="K265" s="430">
        <f t="shared" si="13"/>
        <v>-9911</v>
      </c>
      <c r="L265" s="431">
        <f t="shared" si="14"/>
        <v>0.89</v>
      </c>
    </row>
    <row r="266" spans="1:12" ht="12.75">
      <c r="A266" s="334">
        <f t="shared" si="12"/>
        <v>265</v>
      </c>
      <c r="B266" s="383"/>
      <c r="C266" s="341" t="s">
        <v>430</v>
      </c>
      <c r="D266" s="341"/>
      <c r="E266" s="341"/>
      <c r="F266" s="341"/>
      <c r="G266" s="342"/>
      <c r="H266" s="407">
        <f>SUBTOTAL(9,H262:H265)</f>
        <v>38296</v>
      </c>
      <c r="I266" s="407">
        <f>SUBTOTAL(9,I262:I265)</f>
        <v>24600</v>
      </c>
      <c r="J266" s="407">
        <f>SUBTOTAL(9,J262:J265)</f>
        <v>1343</v>
      </c>
      <c r="K266" s="408">
        <f t="shared" si="13"/>
        <v>-23257</v>
      </c>
      <c r="L266" s="409">
        <f t="shared" si="14"/>
        <v>5.4593495934959355</v>
      </c>
    </row>
    <row r="267" spans="1:12" ht="12.75">
      <c r="A267" s="334">
        <f t="shared" si="12"/>
        <v>266</v>
      </c>
      <c r="B267" s="376">
        <v>4100</v>
      </c>
      <c r="C267" s="328">
        <v>3745</v>
      </c>
      <c r="D267" s="352" t="s">
        <v>2</v>
      </c>
      <c r="E267" s="328">
        <v>5166</v>
      </c>
      <c r="F267" s="377" t="s">
        <v>318</v>
      </c>
      <c r="G267" s="329" t="s">
        <v>360</v>
      </c>
      <c r="H267" s="412">
        <v>279</v>
      </c>
      <c r="I267" s="412">
        <v>586</v>
      </c>
      <c r="J267" s="412">
        <v>524</v>
      </c>
      <c r="K267" s="413">
        <f t="shared" si="13"/>
        <v>-62</v>
      </c>
      <c r="L267" s="414">
        <f t="shared" si="14"/>
        <v>89.419795221843</v>
      </c>
    </row>
    <row r="268" spans="1:12" ht="12.75">
      <c r="A268" s="334">
        <f t="shared" si="12"/>
        <v>267</v>
      </c>
      <c r="B268" s="376">
        <v>4100</v>
      </c>
      <c r="C268" s="328">
        <v>3745</v>
      </c>
      <c r="D268" s="352" t="s">
        <v>2</v>
      </c>
      <c r="E268" s="328">
        <v>5169</v>
      </c>
      <c r="F268" s="328" t="s">
        <v>321</v>
      </c>
      <c r="G268" s="329" t="s">
        <v>360</v>
      </c>
      <c r="H268" s="429">
        <v>2280</v>
      </c>
      <c r="I268" s="429">
        <v>8154</v>
      </c>
      <c r="J268" s="429">
        <v>1286</v>
      </c>
      <c r="K268" s="430">
        <f t="shared" si="13"/>
        <v>-6868</v>
      </c>
      <c r="L268" s="431">
        <f t="shared" si="14"/>
        <v>15.77140053961246</v>
      </c>
    </row>
    <row r="269" spans="1:12" ht="12.75">
      <c r="A269" s="334">
        <f t="shared" si="12"/>
        <v>268</v>
      </c>
      <c r="B269" s="376">
        <v>4100</v>
      </c>
      <c r="C269" s="328">
        <v>3745</v>
      </c>
      <c r="D269" s="352" t="s">
        <v>2</v>
      </c>
      <c r="E269" s="328">
        <v>5192</v>
      </c>
      <c r="F269" s="349" t="s">
        <v>342</v>
      </c>
      <c r="G269" s="329" t="s">
        <v>360</v>
      </c>
      <c r="H269" s="429"/>
      <c r="I269" s="429">
        <v>38</v>
      </c>
      <c r="J269" s="429">
        <v>38</v>
      </c>
      <c r="K269" s="430">
        <f t="shared" si="13"/>
        <v>0</v>
      </c>
      <c r="L269" s="431">
        <f t="shared" si="14"/>
        <v>100</v>
      </c>
    </row>
    <row r="270" spans="1:12" ht="12.75">
      <c r="A270" s="334">
        <f t="shared" si="12"/>
        <v>269</v>
      </c>
      <c r="B270" s="383"/>
      <c r="C270" s="341" t="s">
        <v>431</v>
      </c>
      <c r="D270" s="341"/>
      <c r="E270" s="341"/>
      <c r="F270" s="341"/>
      <c r="G270" s="342"/>
      <c r="H270" s="494">
        <f>SUBTOTAL(9,H267:H269)</f>
        <v>2559</v>
      </c>
      <c r="I270" s="494">
        <f>SUBTOTAL(9,I267:I269)</f>
        <v>8778</v>
      </c>
      <c r="J270" s="494">
        <f>SUBTOTAL(9,J267:J269)</f>
        <v>1848</v>
      </c>
      <c r="K270" s="495">
        <f t="shared" si="13"/>
        <v>-6930</v>
      </c>
      <c r="L270" s="496">
        <f t="shared" si="14"/>
        <v>21.052631578947366</v>
      </c>
    </row>
    <row r="271" spans="1:12" ht="12.75">
      <c r="A271" s="334">
        <f t="shared" si="12"/>
        <v>270</v>
      </c>
      <c r="B271" s="376">
        <v>4100</v>
      </c>
      <c r="C271" s="328">
        <v>3792</v>
      </c>
      <c r="D271" s="328" t="s">
        <v>8</v>
      </c>
      <c r="E271" s="328">
        <v>5166</v>
      </c>
      <c r="F271" s="377" t="s">
        <v>318</v>
      </c>
      <c r="G271" s="329" t="s">
        <v>360</v>
      </c>
      <c r="H271" s="429"/>
      <c r="I271" s="429">
        <v>120</v>
      </c>
      <c r="J271" s="429">
        <v>120</v>
      </c>
      <c r="K271" s="430">
        <f t="shared" si="13"/>
        <v>0</v>
      </c>
      <c r="L271" s="431">
        <f t="shared" si="14"/>
        <v>100</v>
      </c>
    </row>
    <row r="272" spans="1:12" ht="12.75">
      <c r="A272" s="334">
        <f t="shared" si="12"/>
        <v>271</v>
      </c>
      <c r="B272" s="383"/>
      <c r="C272" s="341" t="s">
        <v>432</v>
      </c>
      <c r="D272" s="341"/>
      <c r="E272" s="341"/>
      <c r="F272" s="341"/>
      <c r="G272" s="342"/>
      <c r="H272" s="494">
        <f>SUBTOTAL(9,H271)</f>
        <v>0</v>
      </c>
      <c r="I272" s="494">
        <f>SUBTOTAL(9,I271)</f>
        <v>120</v>
      </c>
      <c r="J272" s="494">
        <f>SUBTOTAL(9,J271)</f>
        <v>120</v>
      </c>
      <c r="K272" s="495">
        <f t="shared" si="13"/>
        <v>0</v>
      </c>
      <c r="L272" s="496">
        <f t="shared" si="14"/>
        <v>100</v>
      </c>
    </row>
    <row r="273" spans="1:12" ht="12.75">
      <c r="A273" s="334">
        <f t="shared" si="12"/>
        <v>272</v>
      </c>
      <c r="B273" s="376">
        <v>4100</v>
      </c>
      <c r="C273" s="328">
        <v>3809</v>
      </c>
      <c r="D273" s="423" t="s">
        <v>267</v>
      </c>
      <c r="E273" s="328">
        <v>5222</v>
      </c>
      <c r="F273" s="352" t="s">
        <v>433</v>
      </c>
      <c r="G273" s="329" t="s">
        <v>434</v>
      </c>
      <c r="H273" s="412">
        <v>1500</v>
      </c>
      <c r="I273" s="412">
        <v>1500</v>
      </c>
      <c r="J273" s="412">
        <v>1500</v>
      </c>
      <c r="K273" s="413">
        <f t="shared" si="13"/>
        <v>0</v>
      </c>
      <c r="L273" s="414">
        <f t="shared" si="14"/>
        <v>100</v>
      </c>
    </row>
    <row r="274" spans="1:12" ht="12.75">
      <c r="A274" s="334">
        <f t="shared" si="12"/>
        <v>273</v>
      </c>
      <c r="B274" s="376">
        <v>4100</v>
      </c>
      <c r="C274" s="328">
        <v>3809</v>
      </c>
      <c r="D274" s="423" t="s">
        <v>267</v>
      </c>
      <c r="E274" s="328">
        <v>5229</v>
      </c>
      <c r="F274" s="378" t="s">
        <v>343</v>
      </c>
      <c r="G274" s="329" t="s">
        <v>435</v>
      </c>
      <c r="H274" s="412">
        <v>8000</v>
      </c>
      <c r="I274" s="412">
        <v>8000</v>
      </c>
      <c r="J274" s="412">
        <v>8000</v>
      </c>
      <c r="K274" s="413">
        <f t="shared" si="13"/>
        <v>0</v>
      </c>
      <c r="L274" s="414">
        <f t="shared" si="14"/>
        <v>100</v>
      </c>
    </row>
    <row r="275" spans="1:12" ht="12.75">
      <c r="A275" s="334">
        <f t="shared" si="12"/>
        <v>274</v>
      </c>
      <c r="B275" s="383"/>
      <c r="C275" s="341" t="s">
        <v>436</v>
      </c>
      <c r="D275" s="341"/>
      <c r="E275" s="341"/>
      <c r="F275" s="341"/>
      <c r="G275" s="342"/>
      <c r="H275" s="494">
        <f>SUBTOTAL(9,H273:H274)</f>
        <v>9500</v>
      </c>
      <c r="I275" s="494">
        <f>SUBTOTAL(9,I273:I274)</f>
        <v>9500</v>
      </c>
      <c r="J275" s="494">
        <f>SUBTOTAL(9,J273:J274)</f>
        <v>9500</v>
      </c>
      <c r="K275" s="495">
        <f t="shared" si="13"/>
        <v>0</v>
      </c>
      <c r="L275" s="496">
        <f t="shared" si="14"/>
        <v>100</v>
      </c>
    </row>
    <row r="276" spans="1:12" ht="12.75">
      <c r="A276" s="334">
        <f t="shared" si="12"/>
        <v>275</v>
      </c>
      <c r="B276" s="376">
        <v>4100</v>
      </c>
      <c r="C276" s="328">
        <v>6171</v>
      </c>
      <c r="D276" s="328" t="s">
        <v>9</v>
      </c>
      <c r="E276" s="328">
        <v>5139</v>
      </c>
      <c r="F276" s="376" t="s">
        <v>349</v>
      </c>
      <c r="G276" s="329" t="s">
        <v>360</v>
      </c>
      <c r="H276" s="429"/>
      <c r="I276" s="429">
        <v>5</v>
      </c>
      <c r="J276" s="429"/>
      <c r="K276" s="430">
        <f t="shared" si="13"/>
        <v>-5</v>
      </c>
      <c r="L276" s="431">
        <f t="shared" si="14"/>
        <v>0</v>
      </c>
    </row>
    <row r="277" spans="1:12" ht="12.75">
      <c r="A277" s="334">
        <f t="shared" si="12"/>
        <v>276</v>
      </c>
      <c r="B277" s="376">
        <v>4100</v>
      </c>
      <c r="C277" s="328">
        <v>6171</v>
      </c>
      <c r="D277" s="328" t="s">
        <v>9</v>
      </c>
      <c r="E277" s="328">
        <v>5164</v>
      </c>
      <c r="F277" s="349" t="s">
        <v>357</v>
      </c>
      <c r="G277" s="329" t="s">
        <v>360</v>
      </c>
      <c r="H277" s="429">
        <v>20</v>
      </c>
      <c r="I277" s="429">
        <v>20</v>
      </c>
      <c r="J277" s="429"/>
      <c r="K277" s="430">
        <f t="shared" si="13"/>
        <v>-20</v>
      </c>
      <c r="L277" s="431">
        <f t="shared" si="14"/>
        <v>0</v>
      </c>
    </row>
    <row r="278" spans="1:12" ht="12.75">
      <c r="A278" s="334">
        <f t="shared" si="12"/>
        <v>277</v>
      </c>
      <c r="B278" s="376">
        <v>4100</v>
      </c>
      <c r="C278" s="328">
        <v>6171</v>
      </c>
      <c r="D278" s="328" t="s">
        <v>9</v>
      </c>
      <c r="E278" s="328">
        <v>5166</v>
      </c>
      <c r="F278" s="349" t="s">
        <v>318</v>
      </c>
      <c r="G278" s="329" t="s">
        <v>360</v>
      </c>
      <c r="H278" s="429"/>
      <c r="I278" s="429">
        <v>381</v>
      </c>
      <c r="J278" s="429">
        <v>381</v>
      </c>
      <c r="K278" s="430">
        <f t="shared" si="13"/>
        <v>0</v>
      </c>
      <c r="L278" s="431">
        <f t="shared" si="14"/>
        <v>100</v>
      </c>
    </row>
    <row r="279" spans="1:12" ht="12.75">
      <c r="A279" s="334">
        <f t="shared" si="12"/>
        <v>278</v>
      </c>
      <c r="B279" s="376">
        <v>4100</v>
      </c>
      <c r="C279" s="328">
        <v>6171</v>
      </c>
      <c r="D279" s="328" t="s">
        <v>9</v>
      </c>
      <c r="E279" s="328">
        <v>5169</v>
      </c>
      <c r="F279" s="328" t="s">
        <v>321</v>
      </c>
      <c r="G279" s="329" t="s">
        <v>360</v>
      </c>
      <c r="H279" s="429">
        <v>1400</v>
      </c>
      <c r="I279" s="429">
        <v>3780</v>
      </c>
      <c r="J279" s="429">
        <v>3277</v>
      </c>
      <c r="K279" s="430">
        <f t="shared" si="13"/>
        <v>-503</v>
      </c>
      <c r="L279" s="431">
        <f t="shared" si="14"/>
        <v>86.69312169312168</v>
      </c>
    </row>
    <row r="280" spans="1:12" ht="12.75">
      <c r="A280" s="334">
        <f t="shared" si="12"/>
        <v>279</v>
      </c>
      <c r="B280" s="376">
        <v>4100</v>
      </c>
      <c r="C280" s="328">
        <v>6171</v>
      </c>
      <c r="D280" s="328" t="s">
        <v>9</v>
      </c>
      <c r="E280" s="328">
        <v>5175</v>
      </c>
      <c r="F280" s="328" t="s">
        <v>341</v>
      </c>
      <c r="G280" s="329" t="s">
        <v>360</v>
      </c>
      <c r="H280" s="429">
        <v>80</v>
      </c>
      <c r="I280" s="429">
        <v>80</v>
      </c>
      <c r="J280" s="429">
        <v>7</v>
      </c>
      <c r="K280" s="430">
        <f t="shared" si="13"/>
        <v>-73</v>
      </c>
      <c r="L280" s="431">
        <f t="shared" si="14"/>
        <v>8.75</v>
      </c>
    </row>
    <row r="281" spans="1:12" ht="12.75">
      <c r="A281" s="334">
        <f t="shared" si="12"/>
        <v>280</v>
      </c>
      <c r="B281" s="376">
        <v>4100</v>
      </c>
      <c r="C281" s="328">
        <v>6171</v>
      </c>
      <c r="D281" s="328" t="s">
        <v>9</v>
      </c>
      <c r="E281" s="328">
        <v>5366</v>
      </c>
      <c r="F281" s="328" t="s">
        <v>437</v>
      </c>
      <c r="G281" s="329" t="s">
        <v>360</v>
      </c>
      <c r="H281" s="429"/>
      <c r="I281" s="429">
        <v>1105</v>
      </c>
      <c r="J281" s="429">
        <v>1105</v>
      </c>
      <c r="K281" s="430">
        <f t="shared" si="13"/>
        <v>0</v>
      </c>
      <c r="L281" s="431">
        <f t="shared" si="14"/>
        <v>100</v>
      </c>
    </row>
    <row r="282" spans="1:12" ht="12.75">
      <c r="A282" s="334">
        <f t="shared" si="12"/>
        <v>281</v>
      </c>
      <c r="B282" s="383"/>
      <c r="C282" s="341" t="s">
        <v>323</v>
      </c>
      <c r="D282" s="341"/>
      <c r="E282" s="341"/>
      <c r="F282" s="341"/>
      <c r="G282" s="342"/>
      <c r="H282" s="407">
        <f>SUBTOTAL(9,H276:H281)</f>
        <v>1500</v>
      </c>
      <c r="I282" s="407">
        <f>SUBTOTAL(9,I276:I281)</f>
        <v>5371</v>
      </c>
      <c r="J282" s="407">
        <f>SUBTOTAL(9,J276:J281)</f>
        <v>4770</v>
      </c>
      <c r="K282" s="408">
        <f t="shared" si="13"/>
        <v>-601</v>
      </c>
      <c r="L282" s="409">
        <f t="shared" si="14"/>
        <v>88.81027741575126</v>
      </c>
    </row>
    <row r="283" spans="1:12" ht="13.5" thickBot="1">
      <c r="A283" s="334">
        <f t="shared" si="12"/>
        <v>282</v>
      </c>
      <c r="B283" s="357" t="s">
        <v>205</v>
      </c>
      <c r="C283" s="358"/>
      <c r="D283" s="358"/>
      <c r="E283" s="358"/>
      <c r="F283" s="358"/>
      <c r="G283" s="359"/>
      <c r="H283" s="360">
        <f>SUBTOTAL(9,H224:H282)</f>
        <v>67369</v>
      </c>
      <c r="I283" s="360">
        <f>SUBTOTAL(9,I224:I282)</f>
        <v>64612</v>
      </c>
      <c r="J283" s="360">
        <f>SUBTOTAL(9,J224:J282)</f>
        <v>27775</v>
      </c>
      <c r="K283" s="361">
        <f t="shared" si="13"/>
        <v>-36837</v>
      </c>
      <c r="L283" s="362">
        <f t="shared" si="14"/>
        <v>42.987370767040176</v>
      </c>
    </row>
    <row r="284" spans="1:12" ht="9.75" customHeight="1">
      <c r="A284" s="334">
        <f t="shared" si="12"/>
        <v>283</v>
      </c>
      <c r="B284" s="484"/>
      <c r="C284" s="485"/>
      <c r="D284" s="485"/>
      <c r="E284" s="485"/>
      <c r="F284" s="486"/>
      <c r="G284" s="487"/>
      <c r="H284" s="488"/>
      <c r="I284" s="488"/>
      <c r="J284" s="488"/>
      <c r="K284" s="489">
        <f t="shared" si="13"/>
        <v>0</v>
      </c>
      <c r="L284" s="490"/>
    </row>
    <row r="285" spans="1:12" ht="15.75">
      <c r="A285" s="334">
        <f t="shared" si="12"/>
        <v>284</v>
      </c>
      <c r="B285" s="523" t="s">
        <v>4</v>
      </c>
      <c r="C285" s="328"/>
      <c r="D285" s="328"/>
      <c r="E285" s="328"/>
      <c r="F285" s="328"/>
      <c r="G285" s="329"/>
      <c r="H285" s="330"/>
      <c r="I285" s="330"/>
      <c r="J285" s="330"/>
      <c r="K285" s="337">
        <f t="shared" si="13"/>
        <v>0</v>
      </c>
      <c r="L285" s="338"/>
    </row>
    <row r="286" spans="1:12" ht="12.75">
      <c r="A286" s="334">
        <f t="shared" si="12"/>
        <v>285</v>
      </c>
      <c r="B286" s="524">
        <v>4200</v>
      </c>
      <c r="C286" s="525">
        <v>1014</v>
      </c>
      <c r="D286" s="526" t="s">
        <v>438</v>
      </c>
      <c r="E286" s="525">
        <v>5166</v>
      </c>
      <c r="F286" s="526" t="s">
        <v>439</v>
      </c>
      <c r="G286" s="527"/>
      <c r="H286" s="528">
        <v>50</v>
      </c>
      <c r="I286" s="528">
        <v>50</v>
      </c>
      <c r="J286" s="528">
        <v>0</v>
      </c>
      <c r="K286" s="529">
        <f t="shared" si="13"/>
        <v>-50</v>
      </c>
      <c r="L286" s="530">
        <f t="shared" si="14"/>
        <v>0</v>
      </c>
    </row>
    <row r="287" spans="1:12" ht="12.75">
      <c r="A287" s="334">
        <f t="shared" si="12"/>
        <v>286</v>
      </c>
      <c r="B287" s="376">
        <v>4200</v>
      </c>
      <c r="C287" s="328">
        <v>1014</v>
      </c>
      <c r="D287" s="525" t="s">
        <v>438</v>
      </c>
      <c r="E287" s="328">
        <v>5169</v>
      </c>
      <c r="F287" s="328" t="s">
        <v>321</v>
      </c>
      <c r="G287" s="329"/>
      <c r="H287" s="330">
        <v>100</v>
      </c>
      <c r="I287" s="330">
        <v>100</v>
      </c>
      <c r="J287" s="330">
        <v>0</v>
      </c>
      <c r="K287" s="337">
        <f t="shared" si="13"/>
        <v>-100</v>
      </c>
      <c r="L287" s="338">
        <f t="shared" si="14"/>
        <v>0</v>
      </c>
    </row>
    <row r="288" spans="1:12" ht="12.75">
      <c r="A288" s="334">
        <f t="shared" si="12"/>
        <v>287</v>
      </c>
      <c r="B288" s="383"/>
      <c r="C288" s="341" t="s">
        <v>440</v>
      </c>
      <c r="D288" s="341"/>
      <c r="E288" s="341"/>
      <c r="F288" s="341"/>
      <c r="G288" s="342"/>
      <c r="H288" s="494">
        <f>SUBTOTAL(9,H286:H287)</f>
        <v>150</v>
      </c>
      <c r="I288" s="494">
        <f>SUBTOTAL(9,I286:I287)</f>
        <v>150</v>
      </c>
      <c r="J288" s="494">
        <f>SUBTOTAL(9,J286:J287)</f>
        <v>0</v>
      </c>
      <c r="K288" s="495">
        <f t="shared" si="13"/>
        <v>-150</v>
      </c>
      <c r="L288" s="496">
        <f t="shared" si="14"/>
        <v>0</v>
      </c>
    </row>
    <row r="289" spans="1:12" ht="12.75">
      <c r="A289" s="334">
        <f t="shared" si="12"/>
        <v>288</v>
      </c>
      <c r="B289" s="376">
        <v>4200</v>
      </c>
      <c r="C289" s="328">
        <v>3632</v>
      </c>
      <c r="D289" s="328" t="s">
        <v>1</v>
      </c>
      <c r="E289" s="328">
        <v>5166</v>
      </c>
      <c r="F289" s="328" t="s">
        <v>318</v>
      </c>
      <c r="G289" s="329"/>
      <c r="H289" s="531">
        <v>577</v>
      </c>
      <c r="I289" s="531">
        <v>571</v>
      </c>
      <c r="J289" s="531">
        <v>304</v>
      </c>
      <c r="K289" s="532">
        <f t="shared" si="13"/>
        <v>-267</v>
      </c>
      <c r="L289" s="533">
        <f t="shared" si="14"/>
        <v>53.239929947460595</v>
      </c>
    </row>
    <row r="290" spans="1:12" ht="12.75">
      <c r="A290" s="334">
        <f t="shared" si="12"/>
        <v>289</v>
      </c>
      <c r="B290" s="376">
        <v>4200</v>
      </c>
      <c r="C290" s="328">
        <v>3632</v>
      </c>
      <c r="D290" s="328" t="s">
        <v>1</v>
      </c>
      <c r="E290" s="328">
        <v>5169</v>
      </c>
      <c r="F290" s="328" t="s">
        <v>321</v>
      </c>
      <c r="G290" s="329"/>
      <c r="H290" s="531">
        <v>110</v>
      </c>
      <c r="I290" s="531">
        <v>110</v>
      </c>
      <c r="J290" s="531">
        <v>0</v>
      </c>
      <c r="K290" s="532">
        <f t="shared" si="13"/>
        <v>-110</v>
      </c>
      <c r="L290" s="533">
        <f t="shared" si="14"/>
        <v>0</v>
      </c>
    </row>
    <row r="291" spans="1:12" ht="12.75">
      <c r="A291" s="334">
        <f t="shared" si="12"/>
        <v>290</v>
      </c>
      <c r="B291" s="376">
        <v>4200</v>
      </c>
      <c r="C291" s="328">
        <v>3632</v>
      </c>
      <c r="D291" s="328" t="s">
        <v>1</v>
      </c>
      <c r="E291" s="328">
        <v>5171</v>
      </c>
      <c r="F291" s="328" t="s">
        <v>402</v>
      </c>
      <c r="G291" s="329"/>
      <c r="H291" s="531">
        <v>740</v>
      </c>
      <c r="I291" s="531">
        <v>740</v>
      </c>
      <c r="J291" s="531">
        <v>149</v>
      </c>
      <c r="K291" s="532">
        <f t="shared" si="13"/>
        <v>-591</v>
      </c>
      <c r="L291" s="533">
        <f t="shared" si="14"/>
        <v>20.135135135135133</v>
      </c>
    </row>
    <row r="292" spans="1:12" ht="12.75">
      <c r="A292" s="334">
        <f t="shared" si="12"/>
        <v>291</v>
      </c>
      <c r="B292" s="376">
        <v>4200</v>
      </c>
      <c r="C292" s="328">
        <v>3632</v>
      </c>
      <c r="D292" s="328" t="s">
        <v>1</v>
      </c>
      <c r="E292" s="328">
        <v>5192</v>
      </c>
      <c r="F292" s="328" t="s">
        <v>342</v>
      </c>
      <c r="G292" s="329"/>
      <c r="H292" s="531"/>
      <c r="I292" s="531">
        <v>6</v>
      </c>
      <c r="J292" s="531">
        <v>5</v>
      </c>
      <c r="K292" s="532">
        <f t="shared" si="13"/>
        <v>-1</v>
      </c>
      <c r="L292" s="533">
        <f t="shared" si="14"/>
        <v>83.33333333333334</v>
      </c>
    </row>
    <row r="293" spans="1:12" ht="12.75">
      <c r="A293" s="334">
        <f t="shared" si="12"/>
        <v>292</v>
      </c>
      <c r="B293" s="376">
        <v>4200</v>
      </c>
      <c r="C293" s="328">
        <v>3632</v>
      </c>
      <c r="D293" s="328" t="s">
        <v>1</v>
      </c>
      <c r="E293" s="328">
        <v>5331</v>
      </c>
      <c r="F293" s="378" t="s">
        <v>345</v>
      </c>
      <c r="G293" s="329" t="s">
        <v>441</v>
      </c>
      <c r="H293" s="531">
        <v>23325</v>
      </c>
      <c r="I293" s="531">
        <v>25231</v>
      </c>
      <c r="J293" s="531">
        <v>25230</v>
      </c>
      <c r="K293" s="532">
        <f t="shared" si="13"/>
        <v>-1</v>
      </c>
      <c r="L293" s="533">
        <f t="shared" si="14"/>
        <v>99.99603662161627</v>
      </c>
    </row>
    <row r="294" spans="1:12" ht="12.75">
      <c r="A294" s="334">
        <f t="shared" si="12"/>
        <v>293</v>
      </c>
      <c r="B294" s="383"/>
      <c r="C294" s="341" t="s">
        <v>442</v>
      </c>
      <c r="D294" s="341"/>
      <c r="E294" s="341"/>
      <c r="F294" s="341"/>
      <c r="G294" s="342"/>
      <c r="H294" s="494">
        <f>SUBTOTAL(9,H289:H293)</f>
        <v>24752</v>
      </c>
      <c r="I294" s="494">
        <f>SUBTOTAL(9,I289:I293)</f>
        <v>26658</v>
      </c>
      <c r="J294" s="494">
        <f>SUBTOTAL(9,J289:J293)</f>
        <v>25688</v>
      </c>
      <c r="K294" s="495">
        <f t="shared" si="13"/>
        <v>-970</v>
      </c>
      <c r="L294" s="496">
        <f t="shared" si="14"/>
        <v>96.36131742816416</v>
      </c>
    </row>
    <row r="295" spans="1:12" ht="12.75">
      <c r="A295" s="334">
        <f t="shared" si="12"/>
        <v>294</v>
      </c>
      <c r="B295" s="376">
        <v>4200</v>
      </c>
      <c r="C295" s="328">
        <v>3716</v>
      </c>
      <c r="D295" s="328" t="s">
        <v>66</v>
      </c>
      <c r="E295" s="328">
        <v>5154</v>
      </c>
      <c r="F295" s="328" t="s">
        <v>356</v>
      </c>
      <c r="G295" s="329"/>
      <c r="H295" s="531">
        <v>50</v>
      </c>
      <c r="I295" s="531">
        <v>50</v>
      </c>
      <c r="J295" s="531">
        <v>13</v>
      </c>
      <c r="K295" s="532">
        <f t="shared" si="13"/>
        <v>-37</v>
      </c>
      <c r="L295" s="533">
        <f t="shared" si="14"/>
        <v>26</v>
      </c>
    </row>
    <row r="296" spans="1:12" ht="12.75">
      <c r="A296" s="334">
        <f t="shared" si="12"/>
        <v>295</v>
      </c>
      <c r="B296" s="376">
        <v>4200</v>
      </c>
      <c r="C296" s="328">
        <v>3716</v>
      </c>
      <c r="D296" s="328" t="s">
        <v>66</v>
      </c>
      <c r="E296" s="328">
        <v>5163</v>
      </c>
      <c r="F296" s="328" t="s">
        <v>326</v>
      </c>
      <c r="G296" s="329"/>
      <c r="H296" s="531">
        <v>14</v>
      </c>
      <c r="I296" s="531">
        <v>14</v>
      </c>
      <c r="J296" s="531">
        <v>11</v>
      </c>
      <c r="K296" s="532">
        <f t="shared" si="13"/>
        <v>-3</v>
      </c>
      <c r="L296" s="533">
        <f t="shared" si="14"/>
        <v>78.57142857142857</v>
      </c>
    </row>
    <row r="297" spans="1:12" ht="12.75">
      <c r="A297" s="334">
        <f t="shared" si="12"/>
        <v>296</v>
      </c>
      <c r="B297" s="376">
        <v>4200</v>
      </c>
      <c r="C297" s="328">
        <v>3716</v>
      </c>
      <c r="D297" s="328" t="s">
        <v>66</v>
      </c>
      <c r="E297" s="328">
        <v>5164</v>
      </c>
      <c r="F297" s="328" t="s">
        <v>357</v>
      </c>
      <c r="G297" s="329"/>
      <c r="H297" s="531">
        <v>11</v>
      </c>
      <c r="I297" s="531">
        <v>11</v>
      </c>
      <c r="J297" s="531">
        <v>7</v>
      </c>
      <c r="K297" s="532">
        <f t="shared" si="13"/>
        <v>-4</v>
      </c>
      <c r="L297" s="533">
        <f t="shared" si="14"/>
        <v>63.63636363636363</v>
      </c>
    </row>
    <row r="298" spans="1:12" ht="12.75">
      <c r="A298" s="334">
        <f t="shared" si="12"/>
        <v>297</v>
      </c>
      <c r="B298" s="376">
        <v>4200</v>
      </c>
      <c r="C298" s="328">
        <v>3716</v>
      </c>
      <c r="D298" s="328" t="s">
        <v>66</v>
      </c>
      <c r="E298" s="328">
        <v>5166</v>
      </c>
      <c r="F298" s="328" t="s">
        <v>318</v>
      </c>
      <c r="G298" s="329"/>
      <c r="H298" s="531">
        <v>550</v>
      </c>
      <c r="I298" s="531">
        <v>550</v>
      </c>
      <c r="J298" s="531">
        <v>520</v>
      </c>
      <c r="K298" s="532">
        <f t="shared" si="13"/>
        <v>-30</v>
      </c>
      <c r="L298" s="533">
        <f t="shared" si="14"/>
        <v>94.54545454545455</v>
      </c>
    </row>
    <row r="299" spans="1:12" ht="12.75">
      <c r="A299" s="334">
        <f t="shared" si="12"/>
        <v>298</v>
      </c>
      <c r="B299" s="376">
        <v>4200</v>
      </c>
      <c r="C299" s="328">
        <v>3716</v>
      </c>
      <c r="D299" s="328" t="s">
        <v>66</v>
      </c>
      <c r="E299" s="328">
        <v>5169</v>
      </c>
      <c r="F299" s="328" t="s">
        <v>321</v>
      </c>
      <c r="G299" s="329"/>
      <c r="H299" s="531">
        <v>2200</v>
      </c>
      <c r="I299" s="531">
        <v>2200</v>
      </c>
      <c r="J299" s="531">
        <v>1892</v>
      </c>
      <c r="K299" s="532">
        <f t="shared" si="13"/>
        <v>-308</v>
      </c>
      <c r="L299" s="533">
        <f t="shared" si="14"/>
        <v>86</v>
      </c>
    </row>
    <row r="300" spans="1:12" ht="12.75">
      <c r="A300" s="334">
        <f t="shared" si="12"/>
        <v>299</v>
      </c>
      <c r="B300" s="383"/>
      <c r="C300" s="341" t="s">
        <v>443</v>
      </c>
      <c r="D300" s="341"/>
      <c r="E300" s="341"/>
      <c r="F300" s="341"/>
      <c r="G300" s="342"/>
      <c r="H300" s="494">
        <f>SUBTOTAL(9,H295:H299)</f>
        <v>2825</v>
      </c>
      <c r="I300" s="494">
        <f>SUBTOTAL(9,I295:I299)</f>
        <v>2825</v>
      </c>
      <c r="J300" s="494">
        <f>SUBTOTAL(9,J295:J299)</f>
        <v>2443</v>
      </c>
      <c r="K300" s="495">
        <f t="shared" si="13"/>
        <v>-382</v>
      </c>
      <c r="L300" s="496">
        <f t="shared" si="14"/>
        <v>86.4778761061947</v>
      </c>
    </row>
    <row r="301" spans="1:12" ht="12.75">
      <c r="A301" s="334">
        <f t="shared" si="12"/>
        <v>300</v>
      </c>
      <c r="B301" s="376">
        <v>4200</v>
      </c>
      <c r="C301" s="328">
        <v>3722</v>
      </c>
      <c r="D301" s="328" t="s">
        <v>67</v>
      </c>
      <c r="E301" s="328">
        <v>5169</v>
      </c>
      <c r="F301" s="328" t="s">
        <v>321</v>
      </c>
      <c r="G301" s="329"/>
      <c r="H301" s="531">
        <v>193226</v>
      </c>
      <c r="I301" s="531">
        <v>188226</v>
      </c>
      <c r="J301" s="531">
        <v>183523</v>
      </c>
      <c r="K301" s="532">
        <f t="shared" si="13"/>
        <v>-4703</v>
      </c>
      <c r="L301" s="533">
        <f t="shared" si="14"/>
        <v>97.50140788201418</v>
      </c>
    </row>
    <row r="302" spans="1:12" ht="12.75">
      <c r="A302" s="334">
        <f t="shared" si="12"/>
        <v>301</v>
      </c>
      <c r="B302" s="383"/>
      <c r="C302" s="341" t="s">
        <v>444</v>
      </c>
      <c r="D302" s="341"/>
      <c r="E302" s="341"/>
      <c r="F302" s="341"/>
      <c r="G302" s="342"/>
      <c r="H302" s="494">
        <f>SUBTOTAL(9,H301:H301)</f>
        <v>193226</v>
      </c>
      <c r="I302" s="494">
        <f>SUBTOTAL(9,I301:I301)</f>
        <v>188226</v>
      </c>
      <c r="J302" s="494">
        <f>SUBTOTAL(9,J301:J301)</f>
        <v>183523</v>
      </c>
      <c r="K302" s="495">
        <f t="shared" si="13"/>
        <v>-4703</v>
      </c>
      <c r="L302" s="496">
        <f t="shared" si="14"/>
        <v>97.50140788201418</v>
      </c>
    </row>
    <row r="303" spans="1:12" ht="12.75">
      <c r="A303" s="334">
        <f t="shared" si="12"/>
        <v>302</v>
      </c>
      <c r="B303" s="524">
        <v>4200</v>
      </c>
      <c r="C303" s="525">
        <v>3725</v>
      </c>
      <c r="D303" s="526" t="s">
        <v>445</v>
      </c>
      <c r="E303" s="328">
        <v>5137</v>
      </c>
      <c r="F303" s="328" t="s">
        <v>353</v>
      </c>
      <c r="G303" s="329"/>
      <c r="H303" s="429">
        <v>1272</v>
      </c>
      <c r="I303" s="429">
        <v>1272</v>
      </c>
      <c r="J303" s="429">
        <v>0</v>
      </c>
      <c r="K303" s="430">
        <f t="shared" si="13"/>
        <v>-1272</v>
      </c>
      <c r="L303" s="431">
        <f t="shared" si="14"/>
        <v>0</v>
      </c>
    </row>
    <row r="304" spans="1:12" ht="12.75">
      <c r="A304" s="334">
        <f t="shared" si="12"/>
        <v>303</v>
      </c>
      <c r="B304" s="524">
        <v>4200</v>
      </c>
      <c r="C304" s="525">
        <v>3725</v>
      </c>
      <c r="D304" s="526" t="s">
        <v>445</v>
      </c>
      <c r="E304" s="525">
        <v>5164</v>
      </c>
      <c r="F304" s="526" t="s">
        <v>357</v>
      </c>
      <c r="G304" s="527"/>
      <c r="H304" s="528">
        <v>220</v>
      </c>
      <c r="I304" s="528">
        <v>220</v>
      </c>
      <c r="J304" s="528">
        <v>21</v>
      </c>
      <c r="K304" s="529">
        <f t="shared" si="13"/>
        <v>-199</v>
      </c>
      <c r="L304" s="530">
        <f t="shared" si="14"/>
        <v>9.545454545454547</v>
      </c>
    </row>
    <row r="305" spans="1:12" ht="12.75">
      <c r="A305" s="334">
        <f t="shared" si="12"/>
        <v>304</v>
      </c>
      <c r="B305" s="524">
        <v>4200</v>
      </c>
      <c r="C305" s="525">
        <v>3725</v>
      </c>
      <c r="D305" s="526" t="s">
        <v>445</v>
      </c>
      <c r="E305" s="525">
        <v>5166</v>
      </c>
      <c r="F305" s="328" t="s">
        <v>318</v>
      </c>
      <c r="G305" s="527"/>
      <c r="H305" s="528">
        <v>500</v>
      </c>
      <c r="I305" s="528">
        <v>360</v>
      </c>
      <c r="J305" s="528">
        <v>0</v>
      </c>
      <c r="K305" s="529">
        <f t="shared" si="13"/>
        <v>-360</v>
      </c>
      <c r="L305" s="530">
        <f t="shared" si="14"/>
        <v>0</v>
      </c>
    </row>
    <row r="306" spans="1:12" ht="12.75">
      <c r="A306" s="334">
        <f t="shared" si="12"/>
        <v>305</v>
      </c>
      <c r="B306" s="376">
        <v>4200</v>
      </c>
      <c r="C306" s="328">
        <v>3725</v>
      </c>
      <c r="D306" s="526" t="s">
        <v>445</v>
      </c>
      <c r="E306" s="328">
        <v>5169</v>
      </c>
      <c r="F306" s="328" t="s">
        <v>321</v>
      </c>
      <c r="G306" s="329"/>
      <c r="H306" s="531">
        <v>135125</v>
      </c>
      <c r="I306" s="531">
        <v>130729</v>
      </c>
      <c r="J306" s="531">
        <v>118055</v>
      </c>
      <c r="K306" s="532">
        <f t="shared" si="13"/>
        <v>-12674</v>
      </c>
      <c r="L306" s="533">
        <f t="shared" si="14"/>
        <v>90.30513505037138</v>
      </c>
    </row>
    <row r="307" spans="1:12" ht="12.75">
      <c r="A307" s="334">
        <f t="shared" si="12"/>
        <v>306</v>
      </c>
      <c r="B307" s="376">
        <v>4200</v>
      </c>
      <c r="C307" s="328">
        <v>3725</v>
      </c>
      <c r="D307" s="526" t="s">
        <v>445</v>
      </c>
      <c r="E307" s="328">
        <v>5365</v>
      </c>
      <c r="F307" s="328" t="s">
        <v>406</v>
      </c>
      <c r="G307" s="329"/>
      <c r="H307" s="531">
        <v>7</v>
      </c>
      <c r="I307" s="531">
        <v>7</v>
      </c>
      <c r="J307" s="531">
        <v>1</v>
      </c>
      <c r="K307" s="532">
        <f t="shared" si="13"/>
        <v>-6</v>
      </c>
      <c r="L307" s="533">
        <f t="shared" si="14"/>
        <v>14.285714285714285</v>
      </c>
    </row>
    <row r="308" spans="1:12" ht="12.75">
      <c r="A308" s="334">
        <f t="shared" si="12"/>
        <v>307</v>
      </c>
      <c r="B308" s="383"/>
      <c r="C308" s="341" t="s">
        <v>446</v>
      </c>
      <c r="D308" s="341"/>
      <c r="E308" s="341"/>
      <c r="F308" s="341"/>
      <c r="G308" s="342"/>
      <c r="H308" s="494">
        <f>SUBTOTAL(9,H303:H307)</f>
        <v>137124</v>
      </c>
      <c r="I308" s="494">
        <f>SUBTOTAL(9,I303:I307)</f>
        <v>132588</v>
      </c>
      <c r="J308" s="494">
        <f>SUBTOTAL(9,J303:J307)</f>
        <v>118077</v>
      </c>
      <c r="K308" s="495">
        <f t="shared" si="13"/>
        <v>-14511</v>
      </c>
      <c r="L308" s="496">
        <f t="shared" si="14"/>
        <v>89.05557063987692</v>
      </c>
    </row>
    <row r="309" spans="1:12" ht="12.75">
      <c r="A309" s="334">
        <f t="shared" si="12"/>
        <v>308</v>
      </c>
      <c r="B309" s="376">
        <v>4200</v>
      </c>
      <c r="C309" s="328">
        <v>3727</v>
      </c>
      <c r="D309" s="328" t="s">
        <v>224</v>
      </c>
      <c r="E309" s="328">
        <v>5139</v>
      </c>
      <c r="F309" s="328" t="s">
        <v>349</v>
      </c>
      <c r="G309" s="329" t="s">
        <v>360</v>
      </c>
      <c r="H309" s="330">
        <v>50</v>
      </c>
      <c r="I309" s="330">
        <v>50</v>
      </c>
      <c r="J309" s="330">
        <v>0</v>
      </c>
      <c r="K309" s="337">
        <f t="shared" si="13"/>
        <v>-50</v>
      </c>
      <c r="L309" s="338">
        <f t="shared" si="14"/>
        <v>0</v>
      </c>
    </row>
    <row r="310" spans="1:12" ht="12.75">
      <c r="A310" s="334">
        <f t="shared" si="12"/>
        <v>309</v>
      </c>
      <c r="B310" s="376">
        <v>4200</v>
      </c>
      <c r="C310" s="328">
        <v>3727</v>
      </c>
      <c r="D310" s="328" t="s">
        <v>224</v>
      </c>
      <c r="E310" s="328">
        <v>5169</v>
      </c>
      <c r="F310" s="328" t="s">
        <v>321</v>
      </c>
      <c r="G310" s="329" t="s">
        <v>360</v>
      </c>
      <c r="H310" s="330">
        <v>200</v>
      </c>
      <c r="I310" s="330">
        <v>200</v>
      </c>
      <c r="J310" s="330">
        <v>50</v>
      </c>
      <c r="K310" s="337">
        <f t="shared" si="13"/>
        <v>-150</v>
      </c>
      <c r="L310" s="338">
        <f t="shared" si="14"/>
        <v>25</v>
      </c>
    </row>
    <row r="311" spans="1:12" ht="12.75">
      <c r="A311" s="334">
        <f t="shared" si="12"/>
        <v>310</v>
      </c>
      <c r="B311" s="376">
        <v>4200</v>
      </c>
      <c r="C311" s="328">
        <v>3727</v>
      </c>
      <c r="D311" s="328" t="s">
        <v>224</v>
      </c>
      <c r="E311" s="328">
        <v>5175</v>
      </c>
      <c r="F311" s="328" t="s">
        <v>341</v>
      </c>
      <c r="G311" s="329" t="s">
        <v>360</v>
      </c>
      <c r="H311" s="330">
        <v>20</v>
      </c>
      <c r="I311" s="330">
        <v>20</v>
      </c>
      <c r="J311" s="330">
        <v>0</v>
      </c>
      <c r="K311" s="337">
        <f t="shared" si="13"/>
        <v>-20</v>
      </c>
      <c r="L311" s="338">
        <f t="shared" si="14"/>
        <v>0</v>
      </c>
    </row>
    <row r="312" spans="1:12" ht="12.75">
      <c r="A312" s="334">
        <f t="shared" si="12"/>
        <v>311</v>
      </c>
      <c r="B312" s="376">
        <v>4200</v>
      </c>
      <c r="C312" s="328">
        <v>3727</v>
      </c>
      <c r="D312" s="328" t="s">
        <v>224</v>
      </c>
      <c r="E312" s="328">
        <v>5229</v>
      </c>
      <c r="F312" s="378" t="s">
        <v>343</v>
      </c>
      <c r="G312" s="329" t="s">
        <v>360</v>
      </c>
      <c r="H312" s="330"/>
      <c r="I312" s="330">
        <v>308</v>
      </c>
      <c r="J312" s="330">
        <v>307</v>
      </c>
      <c r="K312" s="337">
        <f t="shared" si="13"/>
        <v>-1</v>
      </c>
      <c r="L312" s="338">
        <f t="shared" si="14"/>
        <v>99.67532467532467</v>
      </c>
    </row>
    <row r="313" spans="1:12" ht="12.75">
      <c r="A313" s="334">
        <f t="shared" si="12"/>
        <v>312</v>
      </c>
      <c r="B313" s="376">
        <v>4200</v>
      </c>
      <c r="C313" s="328">
        <v>3727</v>
      </c>
      <c r="D313" s="328" t="s">
        <v>224</v>
      </c>
      <c r="E313" s="328">
        <v>5532</v>
      </c>
      <c r="F313" s="378" t="s">
        <v>447</v>
      </c>
      <c r="G313" s="329" t="s">
        <v>360</v>
      </c>
      <c r="H313" s="330"/>
      <c r="I313" s="330">
        <v>883</v>
      </c>
      <c r="J313" s="330">
        <v>882</v>
      </c>
      <c r="K313" s="337">
        <f t="shared" si="13"/>
        <v>-1</v>
      </c>
      <c r="L313" s="338">
        <f t="shared" si="14"/>
        <v>99.88674971687429</v>
      </c>
    </row>
    <row r="314" spans="1:12" ht="12.75">
      <c r="A314" s="334">
        <f t="shared" si="12"/>
        <v>313</v>
      </c>
      <c r="B314" s="383"/>
      <c r="C314" s="341" t="s">
        <v>370</v>
      </c>
      <c r="D314" s="341"/>
      <c r="E314" s="341"/>
      <c r="F314" s="341"/>
      <c r="G314" s="342"/>
      <c r="H314" s="494">
        <f>SUBTOTAL(9,H309:H311)</f>
        <v>270</v>
      </c>
      <c r="I314" s="494">
        <f>SUBTOTAL(9,I309:I313)</f>
        <v>1461</v>
      </c>
      <c r="J314" s="494">
        <f>SUBTOTAL(9,J309:J313)</f>
        <v>1239</v>
      </c>
      <c r="K314" s="495">
        <f t="shared" si="13"/>
        <v>-222</v>
      </c>
      <c r="L314" s="496">
        <f t="shared" si="14"/>
        <v>84.80492813141683</v>
      </c>
    </row>
    <row r="315" spans="1:12" ht="12.75">
      <c r="A315" s="334">
        <f t="shared" si="12"/>
        <v>314</v>
      </c>
      <c r="B315" s="376">
        <v>4200</v>
      </c>
      <c r="C315" s="328">
        <v>3729</v>
      </c>
      <c r="D315" s="328" t="s">
        <v>69</v>
      </c>
      <c r="E315" s="328">
        <v>5169</v>
      </c>
      <c r="F315" s="328" t="s">
        <v>321</v>
      </c>
      <c r="G315" s="329"/>
      <c r="H315" s="330">
        <v>2000</v>
      </c>
      <c r="I315" s="330">
        <v>2000</v>
      </c>
      <c r="J315" s="330">
        <v>755</v>
      </c>
      <c r="K315" s="337">
        <f t="shared" si="13"/>
        <v>-1245</v>
      </c>
      <c r="L315" s="338">
        <f t="shared" si="14"/>
        <v>37.75</v>
      </c>
    </row>
    <row r="316" spans="1:12" ht="12.75">
      <c r="A316" s="334">
        <f t="shared" si="12"/>
        <v>315</v>
      </c>
      <c r="B316" s="383"/>
      <c r="C316" s="341" t="s">
        <v>448</v>
      </c>
      <c r="D316" s="341"/>
      <c r="E316" s="341"/>
      <c r="F316" s="341"/>
      <c r="G316" s="342"/>
      <c r="H316" s="494">
        <f>SUBTOTAL(9,H315)</f>
        <v>2000</v>
      </c>
      <c r="I316" s="494">
        <f>SUBTOTAL(9,I315)</f>
        <v>2000</v>
      </c>
      <c r="J316" s="494">
        <f>SUBTOTAL(9,J315)</f>
        <v>755</v>
      </c>
      <c r="K316" s="495">
        <f t="shared" si="13"/>
        <v>-1245</v>
      </c>
      <c r="L316" s="496">
        <f t="shared" si="14"/>
        <v>37.75</v>
      </c>
    </row>
    <row r="317" spans="1:12" ht="12.75">
      <c r="A317" s="334">
        <f t="shared" si="12"/>
        <v>316</v>
      </c>
      <c r="B317" s="376">
        <v>4200</v>
      </c>
      <c r="C317" s="328">
        <v>3733</v>
      </c>
      <c r="D317" s="328" t="s">
        <v>70</v>
      </c>
      <c r="E317" s="328">
        <v>5166</v>
      </c>
      <c r="F317" s="328" t="s">
        <v>318</v>
      </c>
      <c r="G317" s="329"/>
      <c r="H317" s="330">
        <v>642</v>
      </c>
      <c r="I317" s="330">
        <v>642</v>
      </c>
      <c r="J317" s="330">
        <v>397</v>
      </c>
      <c r="K317" s="337">
        <f t="shared" si="13"/>
        <v>-245</v>
      </c>
      <c r="L317" s="338">
        <f t="shared" si="14"/>
        <v>61.838006230529594</v>
      </c>
    </row>
    <row r="318" spans="1:12" ht="12.75">
      <c r="A318" s="334">
        <f t="shared" si="12"/>
        <v>317</v>
      </c>
      <c r="B318" s="383"/>
      <c r="C318" s="341" t="s">
        <v>449</v>
      </c>
      <c r="D318" s="341"/>
      <c r="E318" s="341"/>
      <c r="F318" s="341"/>
      <c r="G318" s="342"/>
      <c r="H318" s="494">
        <f>SUBTOTAL(9,H317:H317)</f>
        <v>642</v>
      </c>
      <c r="I318" s="494">
        <f>SUBTOTAL(9,I317:I317)</f>
        <v>642</v>
      </c>
      <c r="J318" s="494">
        <f>SUBTOTAL(9,J317:J317)</f>
        <v>397</v>
      </c>
      <c r="K318" s="495">
        <f t="shared" si="13"/>
        <v>-245</v>
      </c>
      <c r="L318" s="496">
        <f t="shared" si="14"/>
        <v>61.838006230529594</v>
      </c>
    </row>
    <row r="319" spans="1:12" ht="12.75">
      <c r="A319" s="334">
        <f t="shared" si="12"/>
        <v>318</v>
      </c>
      <c r="B319" s="376">
        <v>4200</v>
      </c>
      <c r="C319" s="328">
        <v>3739</v>
      </c>
      <c r="D319" s="328" t="s">
        <v>71</v>
      </c>
      <c r="E319" s="328">
        <v>5166</v>
      </c>
      <c r="F319" s="328" t="s">
        <v>318</v>
      </c>
      <c r="G319" s="329"/>
      <c r="H319" s="330">
        <v>650</v>
      </c>
      <c r="I319" s="330">
        <v>650</v>
      </c>
      <c r="J319" s="330">
        <v>263</v>
      </c>
      <c r="K319" s="337">
        <f t="shared" si="13"/>
        <v>-387</v>
      </c>
      <c r="L319" s="338">
        <f t="shared" si="14"/>
        <v>40.46153846153846</v>
      </c>
    </row>
    <row r="320" spans="1:12" ht="12.75">
      <c r="A320" s="334">
        <f t="shared" si="12"/>
        <v>319</v>
      </c>
      <c r="B320" s="376">
        <v>4200</v>
      </c>
      <c r="C320" s="328">
        <v>3739</v>
      </c>
      <c r="D320" s="328" t="s">
        <v>71</v>
      </c>
      <c r="E320" s="328">
        <v>5169</v>
      </c>
      <c r="F320" s="328" t="s">
        <v>321</v>
      </c>
      <c r="G320" s="329"/>
      <c r="H320" s="330">
        <v>250</v>
      </c>
      <c r="I320" s="330">
        <v>250</v>
      </c>
      <c r="J320" s="330">
        <v>0</v>
      </c>
      <c r="K320" s="337">
        <f t="shared" si="13"/>
        <v>-250</v>
      </c>
      <c r="L320" s="338">
        <f t="shared" si="14"/>
        <v>0</v>
      </c>
    </row>
    <row r="321" spans="1:12" ht="12.75">
      <c r="A321" s="334">
        <f t="shared" si="12"/>
        <v>320</v>
      </c>
      <c r="B321" s="376">
        <v>4200</v>
      </c>
      <c r="C321" s="328">
        <v>3739</v>
      </c>
      <c r="D321" s="328" t="s">
        <v>71</v>
      </c>
      <c r="E321" s="328">
        <v>5171</v>
      </c>
      <c r="F321" s="328" t="s">
        <v>402</v>
      </c>
      <c r="G321" s="329"/>
      <c r="H321" s="330">
        <v>10</v>
      </c>
      <c r="I321" s="330">
        <v>10</v>
      </c>
      <c r="J321" s="330"/>
      <c r="K321" s="337">
        <f t="shared" si="13"/>
        <v>-10</v>
      </c>
      <c r="L321" s="338">
        <f t="shared" si="14"/>
        <v>0</v>
      </c>
    </row>
    <row r="322" spans="1:12" ht="12.75">
      <c r="A322" s="334">
        <f t="shared" si="12"/>
        <v>321</v>
      </c>
      <c r="B322" s="383"/>
      <c r="C322" s="341" t="s">
        <v>450</v>
      </c>
      <c r="D322" s="341"/>
      <c r="E322" s="341"/>
      <c r="F322" s="341"/>
      <c r="G322" s="342"/>
      <c r="H322" s="494">
        <f>SUBTOTAL(9,H319:H321)</f>
        <v>910</v>
      </c>
      <c r="I322" s="494">
        <f>SUBTOTAL(9,I319:I321)</f>
        <v>910</v>
      </c>
      <c r="J322" s="494">
        <f>SUBTOTAL(9,J319:J321)</f>
        <v>263</v>
      </c>
      <c r="K322" s="495">
        <f t="shared" si="13"/>
        <v>-647</v>
      </c>
      <c r="L322" s="496">
        <f t="shared" si="14"/>
        <v>28.901098901098898</v>
      </c>
    </row>
    <row r="323" spans="1:12" ht="12.75">
      <c r="A323" s="334">
        <f t="shared" si="12"/>
        <v>322</v>
      </c>
      <c r="B323" s="376">
        <v>4200</v>
      </c>
      <c r="C323" s="328">
        <v>3741</v>
      </c>
      <c r="D323" s="328" t="s">
        <v>6</v>
      </c>
      <c r="E323" s="328">
        <v>5169</v>
      </c>
      <c r="F323" s="328" t="s">
        <v>321</v>
      </c>
      <c r="G323" s="329"/>
      <c r="H323" s="330">
        <v>660</v>
      </c>
      <c r="I323" s="330">
        <v>660</v>
      </c>
      <c r="J323" s="330">
        <v>646</v>
      </c>
      <c r="K323" s="337">
        <f t="shared" si="13"/>
        <v>-14</v>
      </c>
      <c r="L323" s="338">
        <f t="shared" si="14"/>
        <v>97.87878787878788</v>
      </c>
    </row>
    <row r="324" spans="1:12" ht="12.75">
      <c r="A324" s="334">
        <f aca="true" t="shared" si="15" ref="A324:A387">A323+1</f>
        <v>323</v>
      </c>
      <c r="B324" s="376">
        <v>4200</v>
      </c>
      <c r="C324" s="328">
        <v>3741</v>
      </c>
      <c r="D324" s="328" t="s">
        <v>6</v>
      </c>
      <c r="E324" s="328">
        <v>5331</v>
      </c>
      <c r="F324" s="378" t="s">
        <v>345</v>
      </c>
      <c r="G324" s="329" t="s">
        <v>451</v>
      </c>
      <c r="H324" s="330">
        <v>33509</v>
      </c>
      <c r="I324" s="330">
        <v>34840</v>
      </c>
      <c r="J324" s="330">
        <v>34839</v>
      </c>
      <c r="K324" s="337">
        <f aca="true" t="shared" si="16" ref="K324:K387">J324-I324</f>
        <v>-1</v>
      </c>
      <c r="L324" s="338">
        <f aca="true" t="shared" si="17" ref="L324:L387">J324/I324*100</f>
        <v>99.99712973593572</v>
      </c>
    </row>
    <row r="325" spans="1:12" ht="12.75">
      <c r="A325" s="334">
        <f t="shared" si="15"/>
        <v>324</v>
      </c>
      <c r="B325" s="376">
        <v>4200</v>
      </c>
      <c r="C325" s="328">
        <v>3741</v>
      </c>
      <c r="D325" s="328" t="s">
        <v>6</v>
      </c>
      <c r="E325" s="328">
        <v>5336</v>
      </c>
      <c r="F325" s="378" t="s">
        <v>347</v>
      </c>
      <c r="G325" s="329"/>
      <c r="H325" s="330"/>
      <c r="I325" s="330">
        <v>790</v>
      </c>
      <c r="J325" s="330">
        <v>790</v>
      </c>
      <c r="K325" s="337">
        <f t="shared" si="16"/>
        <v>0</v>
      </c>
      <c r="L325" s="338">
        <f t="shared" si="17"/>
        <v>100</v>
      </c>
    </row>
    <row r="326" spans="1:12" ht="12.75">
      <c r="A326" s="334">
        <f t="shared" si="15"/>
        <v>325</v>
      </c>
      <c r="B326" s="383"/>
      <c r="C326" s="341" t="s">
        <v>452</v>
      </c>
      <c r="D326" s="341"/>
      <c r="E326" s="341"/>
      <c r="F326" s="341"/>
      <c r="G326" s="342"/>
      <c r="H326" s="494">
        <f>SUBTOTAL(9,H323:H324)</f>
        <v>34169</v>
      </c>
      <c r="I326" s="494">
        <f>SUBTOTAL(9,I323:I325)</f>
        <v>36290</v>
      </c>
      <c r="J326" s="494">
        <f>SUBTOTAL(9,J323:J325)</f>
        <v>36275</v>
      </c>
      <c r="K326" s="495">
        <f t="shared" si="16"/>
        <v>-15</v>
      </c>
      <c r="L326" s="496">
        <f t="shared" si="17"/>
        <v>99.958666299256</v>
      </c>
    </row>
    <row r="327" spans="1:12" ht="12.75">
      <c r="A327" s="334">
        <f t="shared" si="15"/>
        <v>326</v>
      </c>
      <c r="B327" s="376">
        <v>4200</v>
      </c>
      <c r="C327" s="328">
        <v>3742</v>
      </c>
      <c r="D327" s="328" t="s">
        <v>7</v>
      </c>
      <c r="E327" s="328">
        <v>5137</v>
      </c>
      <c r="F327" s="328" t="s">
        <v>353</v>
      </c>
      <c r="G327" s="329"/>
      <c r="H327" s="412">
        <v>50</v>
      </c>
      <c r="I327" s="412">
        <v>0</v>
      </c>
      <c r="J327" s="412"/>
      <c r="K327" s="413">
        <f t="shared" si="16"/>
        <v>0</v>
      </c>
      <c r="L327" s="414"/>
    </row>
    <row r="328" spans="1:12" ht="12.75">
      <c r="A328" s="334">
        <f t="shared" si="15"/>
        <v>327</v>
      </c>
      <c r="B328" s="376">
        <v>4200</v>
      </c>
      <c r="C328" s="328">
        <v>3742</v>
      </c>
      <c r="D328" s="328" t="s">
        <v>7</v>
      </c>
      <c r="E328" s="328">
        <v>5166</v>
      </c>
      <c r="F328" s="328" t="s">
        <v>318</v>
      </c>
      <c r="G328" s="329"/>
      <c r="H328" s="330">
        <v>100</v>
      </c>
      <c r="I328" s="330">
        <v>100</v>
      </c>
      <c r="J328" s="330">
        <v>71</v>
      </c>
      <c r="K328" s="337">
        <f t="shared" si="16"/>
        <v>-29</v>
      </c>
      <c r="L328" s="338">
        <f t="shared" si="17"/>
        <v>71</v>
      </c>
    </row>
    <row r="329" spans="1:12" ht="12.75">
      <c r="A329" s="334">
        <f t="shared" si="15"/>
        <v>328</v>
      </c>
      <c r="B329" s="376">
        <v>4200</v>
      </c>
      <c r="C329" s="328">
        <v>3742</v>
      </c>
      <c r="D329" s="328" t="s">
        <v>7</v>
      </c>
      <c r="E329" s="328">
        <v>5168</v>
      </c>
      <c r="F329" s="328" t="s">
        <v>453</v>
      </c>
      <c r="G329" s="329"/>
      <c r="H329" s="330">
        <v>80</v>
      </c>
      <c r="I329" s="330">
        <v>60</v>
      </c>
      <c r="J329" s="330">
        <v>29</v>
      </c>
      <c r="K329" s="337">
        <f t="shared" si="16"/>
        <v>-31</v>
      </c>
      <c r="L329" s="338">
        <f t="shared" si="17"/>
        <v>48.333333333333336</v>
      </c>
    </row>
    <row r="330" spans="1:12" ht="12.75">
      <c r="A330" s="334">
        <f t="shared" si="15"/>
        <v>329</v>
      </c>
      <c r="B330" s="376">
        <v>4200</v>
      </c>
      <c r="C330" s="328">
        <v>3742</v>
      </c>
      <c r="D330" s="328" t="s">
        <v>7</v>
      </c>
      <c r="E330" s="328">
        <v>5169</v>
      </c>
      <c r="F330" s="328" t="s">
        <v>321</v>
      </c>
      <c r="G330" s="329"/>
      <c r="H330" s="330">
        <v>500</v>
      </c>
      <c r="I330" s="330">
        <v>570</v>
      </c>
      <c r="J330" s="330">
        <v>548</v>
      </c>
      <c r="K330" s="337">
        <f t="shared" si="16"/>
        <v>-22</v>
      </c>
      <c r="L330" s="338">
        <f t="shared" si="17"/>
        <v>96.14035087719299</v>
      </c>
    </row>
    <row r="331" spans="1:12" ht="12.75">
      <c r="A331" s="334">
        <f t="shared" si="15"/>
        <v>330</v>
      </c>
      <c r="B331" s="383"/>
      <c r="C331" s="341" t="s">
        <v>454</v>
      </c>
      <c r="D331" s="341"/>
      <c r="E331" s="341"/>
      <c r="F331" s="341"/>
      <c r="G331" s="342"/>
      <c r="H331" s="494">
        <f>SUBTOTAL(9,H327:H330)</f>
        <v>730</v>
      </c>
      <c r="I331" s="494">
        <f>SUBTOTAL(9,I327:I330)</f>
        <v>730</v>
      </c>
      <c r="J331" s="494">
        <f>SUBTOTAL(9,J327:J330)</f>
        <v>648</v>
      </c>
      <c r="K331" s="495">
        <f t="shared" si="16"/>
        <v>-82</v>
      </c>
      <c r="L331" s="496">
        <f t="shared" si="17"/>
        <v>88.76712328767124</v>
      </c>
    </row>
    <row r="332" spans="1:12" ht="12.75">
      <c r="A332" s="334">
        <f t="shared" si="15"/>
        <v>331</v>
      </c>
      <c r="B332" s="376">
        <v>4200</v>
      </c>
      <c r="C332" s="328">
        <v>3745</v>
      </c>
      <c r="D332" s="328" t="s">
        <v>2</v>
      </c>
      <c r="E332" s="328">
        <v>5166</v>
      </c>
      <c r="F332" s="328" t="s">
        <v>318</v>
      </c>
      <c r="G332" s="329"/>
      <c r="H332" s="330">
        <v>550</v>
      </c>
      <c r="I332" s="330">
        <v>50</v>
      </c>
      <c r="J332" s="330">
        <v>49</v>
      </c>
      <c r="K332" s="337">
        <f t="shared" si="16"/>
        <v>-1</v>
      </c>
      <c r="L332" s="338">
        <f t="shared" si="17"/>
        <v>98</v>
      </c>
    </row>
    <row r="333" spans="1:12" ht="12.75">
      <c r="A333" s="334">
        <f t="shared" si="15"/>
        <v>332</v>
      </c>
      <c r="B333" s="376">
        <v>4200</v>
      </c>
      <c r="C333" s="328">
        <v>3745</v>
      </c>
      <c r="D333" s="328" t="s">
        <v>2</v>
      </c>
      <c r="E333" s="328">
        <v>5169</v>
      </c>
      <c r="F333" s="328" t="s">
        <v>321</v>
      </c>
      <c r="G333" s="329"/>
      <c r="H333" s="330">
        <v>1750</v>
      </c>
      <c r="I333" s="330">
        <v>2250</v>
      </c>
      <c r="J333" s="330">
        <v>2247</v>
      </c>
      <c r="K333" s="337">
        <f t="shared" si="16"/>
        <v>-3</v>
      </c>
      <c r="L333" s="338">
        <f t="shared" si="17"/>
        <v>99.86666666666667</v>
      </c>
    </row>
    <row r="334" spans="1:12" ht="12.75">
      <c r="A334" s="334">
        <f t="shared" si="15"/>
        <v>333</v>
      </c>
      <c r="B334" s="376">
        <v>4200</v>
      </c>
      <c r="C334" s="328">
        <v>3745</v>
      </c>
      <c r="D334" s="328" t="s">
        <v>2</v>
      </c>
      <c r="E334" s="328">
        <v>5331</v>
      </c>
      <c r="F334" s="378" t="s">
        <v>345</v>
      </c>
      <c r="G334" s="329" t="s">
        <v>455</v>
      </c>
      <c r="H334" s="534">
        <v>25949</v>
      </c>
      <c r="I334" s="534">
        <v>29219</v>
      </c>
      <c r="J334" s="534">
        <v>29219</v>
      </c>
      <c r="K334" s="535">
        <f t="shared" si="16"/>
        <v>0</v>
      </c>
      <c r="L334" s="536">
        <f t="shared" si="17"/>
        <v>100</v>
      </c>
    </row>
    <row r="335" spans="1:12" ht="12.75">
      <c r="A335" s="334">
        <f t="shared" si="15"/>
        <v>334</v>
      </c>
      <c r="B335" s="383"/>
      <c r="C335" s="341" t="s">
        <v>431</v>
      </c>
      <c r="D335" s="341"/>
      <c r="E335" s="341"/>
      <c r="F335" s="341"/>
      <c r="G335" s="342"/>
      <c r="H335" s="494">
        <f>SUBTOTAL(9,H332:H334)</f>
        <v>28249</v>
      </c>
      <c r="I335" s="494">
        <f>SUBTOTAL(9,I332:I334)</f>
        <v>31519</v>
      </c>
      <c r="J335" s="494">
        <f>SUBTOTAL(9,J332:J334)</f>
        <v>31515</v>
      </c>
      <c r="K335" s="495">
        <f t="shared" si="16"/>
        <v>-4</v>
      </c>
      <c r="L335" s="496">
        <f t="shared" si="17"/>
        <v>99.98730924204449</v>
      </c>
    </row>
    <row r="336" spans="1:12" ht="12.75">
      <c r="A336" s="334">
        <f t="shared" si="15"/>
        <v>335</v>
      </c>
      <c r="B336" s="376">
        <v>4200</v>
      </c>
      <c r="C336" s="328">
        <v>3792</v>
      </c>
      <c r="D336" s="328" t="s">
        <v>8</v>
      </c>
      <c r="E336" s="328">
        <v>5169</v>
      </c>
      <c r="F336" s="328" t="s">
        <v>321</v>
      </c>
      <c r="G336" s="329"/>
      <c r="H336" s="534">
        <v>1218</v>
      </c>
      <c r="I336" s="534">
        <v>1218</v>
      </c>
      <c r="J336" s="534">
        <v>1135</v>
      </c>
      <c r="K336" s="535">
        <f t="shared" si="16"/>
        <v>-83</v>
      </c>
      <c r="L336" s="536">
        <f t="shared" si="17"/>
        <v>93.18555008210181</v>
      </c>
    </row>
    <row r="337" spans="1:12" ht="12.75">
      <c r="A337" s="334">
        <f t="shared" si="15"/>
        <v>336</v>
      </c>
      <c r="B337" s="376">
        <v>4200</v>
      </c>
      <c r="C337" s="328">
        <v>3792</v>
      </c>
      <c r="D337" s="328" t="s">
        <v>8</v>
      </c>
      <c r="E337" s="328">
        <v>5221</v>
      </c>
      <c r="F337" s="352" t="s">
        <v>456</v>
      </c>
      <c r="G337" s="329"/>
      <c r="H337" s="534"/>
      <c r="I337" s="534">
        <v>65</v>
      </c>
      <c r="J337" s="534">
        <v>65</v>
      </c>
      <c r="K337" s="535">
        <f t="shared" si="16"/>
        <v>0</v>
      </c>
      <c r="L337" s="536">
        <f t="shared" si="17"/>
        <v>100</v>
      </c>
    </row>
    <row r="338" spans="1:12" ht="12.75">
      <c r="A338" s="334">
        <f t="shared" si="15"/>
        <v>337</v>
      </c>
      <c r="B338" s="376">
        <v>4200</v>
      </c>
      <c r="C338" s="328">
        <v>3792</v>
      </c>
      <c r="D338" s="328" t="s">
        <v>8</v>
      </c>
      <c r="E338" s="328">
        <v>5222</v>
      </c>
      <c r="F338" s="352" t="s">
        <v>433</v>
      </c>
      <c r="G338" s="353"/>
      <c r="H338" s="330">
        <v>800</v>
      </c>
      <c r="I338" s="330">
        <v>599</v>
      </c>
      <c r="J338" s="330">
        <v>599</v>
      </c>
      <c r="K338" s="337">
        <f t="shared" si="16"/>
        <v>0</v>
      </c>
      <c r="L338" s="338">
        <f t="shared" si="17"/>
        <v>100</v>
      </c>
    </row>
    <row r="339" spans="1:12" ht="12.75">
      <c r="A339" s="334">
        <f t="shared" si="15"/>
        <v>338</v>
      </c>
      <c r="B339" s="376">
        <v>4200</v>
      </c>
      <c r="C339" s="328">
        <v>3792</v>
      </c>
      <c r="D339" s="328" t="s">
        <v>8</v>
      </c>
      <c r="E339" s="328">
        <v>5339</v>
      </c>
      <c r="F339" s="349" t="s">
        <v>457</v>
      </c>
      <c r="G339" s="353"/>
      <c r="H339" s="330"/>
      <c r="I339" s="330">
        <v>104</v>
      </c>
      <c r="J339" s="330">
        <v>104</v>
      </c>
      <c r="K339" s="337">
        <f t="shared" si="16"/>
        <v>0</v>
      </c>
      <c r="L339" s="338">
        <f t="shared" si="17"/>
        <v>100</v>
      </c>
    </row>
    <row r="340" spans="1:12" ht="12.75">
      <c r="A340" s="334">
        <f t="shared" si="15"/>
        <v>339</v>
      </c>
      <c r="B340" s="383"/>
      <c r="C340" s="341" t="s">
        <v>432</v>
      </c>
      <c r="D340" s="341"/>
      <c r="E340" s="341"/>
      <c r="F340" s="537"/>
      <c r="G340" s="538"/>
      <c r="H340" s="494">
        <f>SUBTOTAL(9,H336:H338)</f>
        <v>2018</v>
      </c>
      <c r="I340" s="494">
        <f>SUBTOTAL(9,I336:I339)</f>
        <v>1986</v>
      </c>
      <c r="J340" s="494">
        <f>SUBTOTAL(9,J336:J339)</f>
        <v>1903</v>
      </c>
      <c r="K340" s="495">
        <f t="shared" si="16"/>
        <v>-83</v>
      </c>
      <c r="L340" s="496">
        <f t="shared" si="17"/>
        <v>95.82074521651562</v>
      </c>
    </row>
    <row r="341" spans="1:12" ht="12.75">
      <c r="A341" s="334">
        <f t="shared" si="15"/>
        <v>340</v>
      </c>
      <c r="B341" s="376">
        <v>4200</v>
      </c>
      <c r="C341" s="328">
        <v>5319</v>
      </c>
      <c r="D341" s="423" t="s">
        <v>374</v>
      </c>
      <c r="E341" s="328">
        <v>5331</v>
      </c>
      <c r="F341" s="378" t="s">
        <v>345</v>
      </c>
      <c r="G341" s="353" t="s">
        <v>451</v>
      </c>
      <c r="H341" s="330"/>
      <c r="I341" s="330">
        <v>20</v>
      </c>
      <c r="J341" s="330">
        <v>20</v>
      </c>
      <c r="K341" s="337">
        <f t="shared" si="16"/>
        <v>0</v>
      </c>
      <c r="L341" s="338">
        <f t="shared" si="17"/>
        <v>100</v>
      </c>
    </row>
    <row r="342" spans="1:12" ht="12.75">
      <c r="A342" s="334">
        <f t="shared" si="15"/>
        <v>341</v>
      </c>
      <c r="B342" s="383"/>
      <c r="C342" s="341" t="s">
        <v>375</v>
      </c>
      <c r="D342" s="341"/>
      <c r="E342" s="341"/>
      <c r="F342" s="537"/>
      <c r="G342" s="538"/>
      <c r="H342" s="494">
        <f>SUBTOTAL(9,H341)</f>
        <v>0</v>
      </c>
      <c r="I342" s="494">
        <f>SUBTOTAL(9,I341)</f>
        <v>20</v>
      </c>
      <c r="J342" s="494">
        <f>SUBTOTAL(9,J341)</f>
        <v>20</v>
      </c>
      <c r="K342" s="495">
        <f t="shared" si="16"/>
        <v>0</v>
      </c>
      <c r="L342" s="496">
        <f t="shared" si="17"/>
        <v>100</v>
      </c>
    </row>
    <row r="343" spans="1:12" ht="13.5" thickBot="1">
      <c r="A343" s="334">
        <f t="shared" si="15"/>
        <v>342</v>
      </c>
      <c r="B343" s="357" t="s">
        <v>204</v>
      </c>
      <c r="C343" s="358"/>
      <c r="D343" s="358"/>
      <c r="E343" s="358"/>
      <c r="F343" s="358"/>
      <c r="G343" s="359"/>
      <c r="H343" s="360">
        <f>SUBTOTAL(9,H286:H342)</f>
        <v>427065</v>
      </c>
      <c r="I343" s="360">
        <f>SUBTOTAL(9,I286:I342)</f>
        <v>426005</v>
      </c>
      <c r="J343" s="360">
        <f>SUBTOTAL(9,J286:J342)</f>
        <v>402746</v>
      </c>
      <c r="K343" s="361">
        <f t="shared" si="16"/>
        <v>-23259</v>
      </c>
      <c r="L343" s="362">
        <f t="shared" si="17"/>
        <v>94.54020492717221</v>
      </c>
    </row>
    <row r="344" spans="1:12" ht="12.75">
      <c r="A344" s="334">
        <f t="shared" si="15"/>
        <v>343</v>
      </c>
      <c r="B344" s="383"/>
      <c r="C344" s="341"/>
      <c r="D344" s="341"/>
      <c r="E344" s="341"/>
      <c r="F344" s="537"/>
      <c r="G344" s="538"/>
      <c r="H344" s="494"/>
      <c r="I344" s="494"/>
      <c r="J344" s="494"/>
      <c r="K344" s="495">
        <f t="shared" si="16"/>
        <v>0</v>
      </c>
      <c r="L344" s="496"/>
    </row>
    <row r="345" spans="1:12" ht="15.75">
      <c r="A345" s="334">
        <f t="shared" si="15"/>
        <v>344</v>
      </c>
      <c r="B345" s="370" t="s">
        <v>45</v>
      </c>
      <c r="C345" s="349"/>
      <c r="D345" s="349"/>
      <c r="E345" s="349"/>
      <c r="F345" s="349"/>
      <c r="G345" s="476"/>
      <c r="H345" s="534"/>
      <c r="I345" s="534"/>
      <c r="J345" s="534"/>
      <c r="K345" s="535">
        <f t="shared" si="16"/>
        <v>0</v>
      </c>
      <c r="L345" s="536"/>
    </row>
    <row r="346" spans="1:12" ht="12.75">
      <c r="A346" s="334">
        <f t="shared" si="15"/>
        <v>345</v>
      </c>
      <c r="B346" s="539">
        <v>4300</v>
      </c>
      <c r="C346" s="349">
        <v>1014</v>
      </c>
      <c r="D346" s="349" t="s">
        <v>438</v>
      </c>
      <c r="E346" s="349">
        <v>5169</v>
      </c>
      <c r="F346" s="328" t="s">
        <v>321</v>
      </c>
      <c r="G346" s="329"/>
      <c r="H346" s="330">
        <v>50</v>
      </c>
      <c r="I346" s="330">
        <v>50</v>
      </c>
      <c r="J346" s="330"/>
      <c r="K346" s="337">
        <f t="shared" si="16"/>
        <v>-50</v>
      </c>
      <c r="L346" s="338">
        <f t="shared" si="17"/>
        <v>0</v>
      </c>
    </row>
    <row r="347" spans="1:12" ht="12.75">
      <c r="A347" s="334">
        <f t="shared" si="15"/>
        <v>346</v>
      </c>
      <c r="B347" s="540"/>
      <c r="C347" s="371" t="s">
        <v>440</v>
      </c>
      <c r="D347" s="371"/>
      <c r="E347" s="371"/>
      <c r="F347" s="341"/>
      <c r="G347" s="342"/>
      <c r="H347" s="502">
        <f>SUBTOTAL(9,H346)</f>
        <v>50</v>
      </c>
      <c r="I347" s="502">
        <f>SUBTOTAL(9,I346)</f>
        <v>50</v>
      </c>
      <c r="J347" s="502">
        <f>SUBTOTAL(9,J346)</f>
        <v>0</v>
      </c>
      <c r="K347" s="503">
        <f t="shared" si="16"/>
        <v>-50</v>
      </c>
      <c r="L347" s="504">
        <f t="shared" si="17"/>
        <v>0</v>
      </c>
    </row>
    <row r="348" spans="1:12" ht="12.75">
      <c r="A348" s="334">
        <f t="shared" si="15"/>
        <v>347</v>
      </c>
      <c r="B348" s="539">
        <v>4300</v>
      </c>
      <c r="C348" s="349">
        <v>1037</v>
      </c>
      <c r="D348" s="349" t="s">
        <v>458</v>
      </c>
      <c r="E348" s="349">
        <v>5169</v>
      </c>
      <c r="F348" s="328" t="s">
        <v>321</v>
      </c>
      <c r="G348" s="329"/>
      <c r="H348" s="330">
        <v>10</v>
      </c>
      <c r="I348" s="330">
        <v>10</v>
      </c>
      <c r="J348" s="330">
        <v>10</v>
      </c>
      <c r="K348" s="337">
        <f t="shared" si="16"/>
        <v>0</v>
      </c>
      <c r="L348" s="338">
        <f t="shared" si="17"/>
        <v>100</v>
      </c>
    </row>
    <row r="349" spans="1:12" ht="12.75">
      <c r="A349" s="334">
        <f t="shared" si="15"/>
        <v>348</v>
      </c>
      <c r="B349" s="539">
        <v>4300</v>
      </c>
      <c r="C349" s="349">
        <v>1037</v>
      </c>
      <c r="D349" s="349" t="s">
        <v>458</v>
      </c>
      <c r="E349" s="349">
        <v>5192</v>
      </c>
      <c r="F349" s="328" t="s">
        <v>342</v>
      </c>
      <c r="G349" s="329" t="s">
        <v>459</v>
      </c>
      <c r="H349" s="330">
        <v>60</v>
      </c>
      <c r="I349" s="330">
        <v>60</v>
      </c>
      <c r="J349" s="330">
        <v>39</v>
      </c>
      <c r="K349" s="337">
        <f t="shared" si="16"/>
        <v>-21</v>
      </c>
      <c r="L349" s="338">
        <f t="shared" si="17"/>
        <v>65</v>
      </c>
    </row>
    <row r="350" spans="1:12" ht="12.75">
      <c r="A350" s="334">
        <f t="shared" si="15"/>
        <v>349</v>
      </c>
      <c r="B350" s="539">
        <v>4300</v>
      </c>
      <c r="C350" s="349">
        <v>1037</v>
      </c>
      <c r="D350" s="349" t="s">
        <v>458</v>
      </c>
      <c r="E350" s="349">
        <v>5213</v>
      </c>
      <c r="F350" s="541" t="s">
        <v>460</v>
      </c>
      <c r="G350" s="476" t="s">
        <v>461</v>
      </c>
      <c r="H350" s="330">
        <v>0</v>
      </c>
      <c r="I350" s="330">
        <v>18</v>
      </c>
      <c r="J350" s="330">
        <v>18</v>
      </c>
      <c r="K350" s="337">
        <f t="shared" si="16"/>
        <v>0</v>
      </c>
      <c r="L350" s="338">
        <f t="shared" si="17"/>
        <v>100</v>
      </c>
    </row>
    <row r="351" spans="1:12" ht="12.75">
      <c r="A351" s="334">
        <f t="shared" si="15"/>
        <v>350</v>
      </c>
      <c r="B351" s="540"/>
      <c r="C351" s="371" t="s">
        <v>462</v>
      </c>
      <c r="D351" s="371"/>
      <c r="E351" s="371"/>
      <c r="F351" s="371"/>
      <c r="G351" s="397"/>
      <c r="H351" s="519">
        <f>SUBTOTAL(9,H348:H350)</f>
        <v>70</v>
      </c>
      <c r="I351" s="519">
        <f>SUBTOTAL(9,I348:I350)</f>
        <v>88</v>
      </c>
      <c r="J351" s="519">
        <f>SUBTOTAL(9,J348:J350)</f>
        <v>67</v>
      </c>
      <c r="K351" s="520">
        <f t="shared" si="16"/>
        <v>-21</v>
      </c>
      <c r="L351" s="521">
        <f t="shared" si="17"/>
        <v>76.13636363636364</v>
      </c>
    </row>
    <row r="352" spans="1:12" ht="12.75">
      <c r="A352" s="334">
        <f t="shared" si="15"/>
        <v>351</v>
      </c>
      <c r="B352" s="456">
        <v>4300</v>
      </c>
      <c r="C352" s="12">
        <v>1039</v>
      </c>
      <c r="D352" s="12" t="s">
        <v>463</v>
      </c>
      <c r="E352" s="12">
        <v>5169</v>
      </c>
      <c r="F352" s="10" t="s">
        <v>321</v>
      </c>
      <c r="G352" s="10"/>
      <c r="H352" s="542">
        <v>0</v>
      </c>
      <c r="I352" s="331">
        <v>342</v>
      </c>
      <c r="J352" s="542">
        <v>342</v>
      </c>
      <c r="K352" s="543">
        <f t="shared" si="16"/>
        <v>0</v>
      </c>
      <c r="L352" s="338">
        <f t="shared" si="17"/>
        <v>100</v>
      </c>
    </row>
    <row r="353" spans="1:12" ht="12.75">
      <c r="A353" s="334">
        <f t="shared" si="15"/>
        <v>352</v>
      </c>
      <c r="B353" s="540"/>
      <c r="C353" s="371" t="s">
        <v>464</v>
      </c>
      <c r="D353" s="371"/>
      <c r="E353" s="371"/>
      <c r="F353" s="371"/>
      <c r="G353" s="397"/>
      <c r="H353" s="519">
        <f aca="true" t="shared" si="18" ref="H353:J355">SUBTOTAL(9,H352:H352)</f>
        <v>0</v>
      </c>
      <c r="I353" s="519">
        <f t="shared" si="18"/>
        <v>342</v>
      </c>
      <c r="J353" s="519">
        <f t="shared" si="18"/>
        <v>342</v>
      </c>
      <c r="K353" s="520">
        <f t="shared" si="16"/>
        <v>0</v>
      </c>
      <c r="L353" s="521">
        <f t="shared" si="17"/>
        <v>100</v>
      </c>
    </row>
    <row r="354" spans="1:12" ht="12.75">
      <c r="A354" s="334">
        <f t="shared" si="15"/>
        <v>353</v>
      </c>
      <c r="B354" s="539">
        <v>4300</v>
      </c>
      <c r="C354" s="349">
        <v>2310</v>
      </c>
      <c r="D354" s="349" t="s">
        <v>5</v>
      </c>
      <c r="E354" s="349">
        <v>5169</v>
      </c>
      <c r="F354" s="328" t="s">
        <v>321</v>
      </c>
      <c r="G354" s="329"/>
      <c r="H354" s="330">
        <v>100</v>
      </c>
      <c r="I354" s="330">
        <v>100</v>
      </c>
      <c r="J354" s="330"/>
      <c r="K354" s="337">
        <f t="shared" si="16"/>
        <v>-100</v>
      </c>
      <c r="L354" s="338">
        <f t="shared" si="17"/>
        <v>0</v>
      </c>
    </row>
    <row r="355" spans="1:12" ht="12.75">
      <c r="A355" s="334">
        <f t="shared" si="15"/>
        <v>354</v>
      </c>
      <c r="B355" s="540"/>
      <c r="C355" s="371" t="s">
        <v>465</v>
      </c>
      <c r="D355" s="371"/>
      <c r="E355" s="371"/>
      <c r="F355" s="371"/>
      <c r="G355" s="397"/>
      <c r="H355" s="519">
        <f t="shared" si="18"/>
        <v>100</v>
      </c>
      <c r="I355" s="519">
        <f t="shared" si="18"/>
        <v>100</v>
      </c>
      <c r="J355" s="519">
        <f t="shared" si="18"/>
        <v>0</v>
      </c>
      <c r="K355" s="520">
        <f t="shared" si="16"/>
        <v>-100</v>
      </c>
      <c r="L355" s="521">
        <f t="shared" si="17"/>
        <v>0</v>
      </c>
    </row>
    <row r="356" spans="1:12" ht="12.75">
      <c r="A356" s="334">
        <f t="shared" si="15"/>
        <v>355</v>
      </c>
      <c r="B356" s="539">
        <v>4300</v>
      </c>
      <c r="C356" s="349">
        <v>2321</v>
      </c>
      <c r="D356" s="544" t="s">
        <v>269</v>
      </c>
      <c r="E356" s="349">
        <v>5169</v>
      </c>
      <c r="F356" s="328" t="s">
        <v>321</v>
      </c>
      <c r="G356" s="545" t="s">
        <v>466</v>
      </c>
      <c r="H356" s="546">
        <v>48</v>
      </c>
      <c r="I356" s="546">
        <v>48</v>
      </c>
      <c r="J356" s="546">
        <v>46</v>
      </c>
      <c r="K356" s="547">
        <f t="shared" si="16"/>
        <v>-2</v>
      </c>
      <c r="L356" s="548">
        <f t="shared" si="17"/>
        <v>95.83333333333334</v>
      </c>
    </row>
    <row r="357" spans="1:12" ht="12.75">
      <c r="A357" s="334">
        <f t="shared" si="15"/>
        <v>356</v>
      </c>
      <c r="B357" s="539">
        <v>4300</v>
      </c>
      <c r="C357" s="349">
        <v>2321</v>
      </c>
      <c r="D357" s="544" t="s">
        <v>269</v>
      </c>
      <c r="E357" s="349">
        <v>5192</v>
      </c>
      <c r="F357" s="349" t="s">
        <v>342</v>
      </c>
      <c r="G357" s="545" t="s">
        <v>466</v>
      </c>
      <c r="H357" s="546">
        <v>195</v>
      </c>
      <c r="I357" s="546">
        <v>195</v>
      </c>
      <c r="J357" s="546">
        <v>166</v>
      </c>
      <c r="K357" s="547">
        <f t="shared" si="16"/>
        <v>-29</v>
      </c>
      <c r="L357" s="548">
        <f t="shared" si="17"/>
        <v>85.12820512820512</v>
      </c>
    </row>
    <row r="358" spans="1:12" ht="12.75">
      <c r="A358" s="334">
        <f t="shared" si="15"/>
        <v>357</v>
      </c>
      <c r="B358" s="539">
        <v>4300</v>
      </c>
      <c r="C358" s="349">
        <v>2321</v>
      </c>
      <c r="D358" s="544" t="s">
        <v>269</v>
      </c>
      <c r="E358" s="349">
        <v>5909</v>
      </c>
      <c r="F358" s="352" t="s">
        <v>410</v>
      </c>
      <c r="G358" s="545" t="s">
        <v>466</v>
      </c>
      <c r="H358" s="546">
        <v>45</v>
      </c>
      <c r="I358" s="546">
        <v>45</v>
      </c>
      <c r="J358" s="546">
        <v>24</v>
      </c>
      <c r="K358" s="547">
        <f t="shared" si="16"/>
        <v>-21</v>
      </c>
      <c r="L358" s="548">
        <f t="shared" si="17"/>
        <v>53.333333333333336</v>
      </c>
    </row>
    <row r="359" spans="1:12" ht="12.75">
      <c r="A359" s="334">
        <f t="shared" si="15"/>
        <v>358</v>
      </c>
      <c r="B359" s="540"/>
      <c r="C359" s="371" t="s">
        <v>467</v>
      </c>
      <c r="D359" s="371"/>
      <c r="E359" s="371"/>
      <c r="F359" s="371"/>
      <c r="G359" s="397"/>
      <c r="H359" s="549">
        <f>SUBTOTAL(9,H356:H358)</f>
        <v>288</v>
      </c>
      <c r="I359" s="549">
        <f>SUBTOTAL(9,I356:I358)</f>
        <v>288</v>
      </c>
      <c r="J359" s="549">
        <f>SUBTOTAL(9,J356:J358)</f>
        <v>236</v>
      </c>
      <c r="K359" s="550">
        <f t="shared" si="16"/>
        <v>-52</v>
      </c>
      <c r="L359" s="551">
        <f t="shared" si="17"/>
        <v>81.94444444444444</v>
      </c>
    </row>
    <row r="360" spans="1:12" ht="12.75">
      <c r="A360" s="334">
        <f t="shared" si="15"/>
        <v>359</v>
      </c>
      <c r="B360" s="539">
        <v>4300</v>
      </c>
      <c r="C360" s="349">
        <v>2331</v>
      </c>
      <c r="D360" s="349" t="s">
        <v>468</v>
      </c>
      <c r="E360" s="349">
        <v>5219</v>
      </c>
      <c r="F360" s="541" t="s">
        <v>469</v>
      </c>
      <c r="G360" s="329" t="s">
        <v>470</v>
      </c>
      <c r="H360" s="330"/>
      <c r="I360" s="330">
        <v>5680</v>
      </c>
      <c r="J360" s="330">
        <v>1954</v>
      </c>
      <c r="K360" s="337">
        <f t="shared" si="16"/>
        <v>-3726</v>
      </c>
      <c r="L360" s="338">
        <f t="shared" si="17"/>
        <v>34.401408450704224</v>
      </c>
    </row>
    <row r="361" spans="1:12" ht="12.75">
      <c r="A361" s="334">
        <f t="shared" si="15"/>
        <v>360</v>
      </c>
      <c r="B361" s="540"/>
      <c r="C361" s="371" t="s">
        <v>471</v>
      </c>
      <c r="D361" s="371"/>
      <c r="E361" s="371"/>
      <c r="F361" s="371"/>
      <c r="G361" s="397"/>
      <c r="H361" s="519">
        <f>SUBTOTAL(9,H360:H360)</f>
        <v>0</v>
      </c>
      <c r="I361" s="519">
        <f>SUBTOTAL(9,I360:I360)</f>
        <v>5680</v>
      </c>
      <c r="J361" s="519">
        <f>SUBTOTAL(9,J360:J360)</f>
        <v>1954</v>
      </c>
      <c r="K361" s="520">
        <f t="shared" si="16"/>
        <v>-3726</v>
      </c>
      <c r="L361" s="521">
        <f t="shared" si="17"/>
        <v>34.401408450704224</v>
      </c>
    </row>
    <row r="362" spans="1:12" ht="12.75">
      <c r="A362" s="334">
        <f t="shared" si="15"/>
        <v>361</v>
      </c>
      <c r="B362" s="539">
        <v>4300</v>
      </c>
      <c r="C362" s="349">
        <v>2333</v>
      </c>
      <c r="D362" s="349" t="s">
        <v>22</v>
      </c>
      <c r="E362" s="349">
        <v>5169</v>
      </c>
      <c r="F362" s="328" t="s">
        <v>321</v>
      </c>
      <c r="G362" s="329"/>
      <c r="H362" s="330">
        <v>3450</v>
      </c>
      <c r="I362" s="330">
        <v>3450</v>
      </c>
      <c r="J362" s="330">
        <v>3450</v>
      </c>
      <c r="K362" s="337">
        <f t="shared" si="16"/>
        <v>0</v>
      </c>
      <c r="L362" s="338">
        <f t="shared" si="17"/>
        <v>100</v>
      </c>
    </row>
    <row r="363" spans="1:12" ht="12.75">
      <c r="A363" s="334">
        <f t="shared" si="15"/>
        <v>362</v>
      </c>
      <c r="B363" s="539">
        <v>4300</v>
      </c>
      <c r="C363" s="349">
        <v>2333</v>
      </c>
      <c r="D363" s="349" t="s">
        <v>22</v>
      </c>
      <c r="E363" s="349">
        <v>5171</v>
      </c>
      <c r="F363" s="328" t="s">
        <v>402</v>
      </c>
      <c r="G363" s="329"/>
      <c r="H363" s="330">
        <v>150</v>
      </c>
      <c r="I363" s="330">
        <v>150</v>
      </c>
      <c r="J363" s="330">
        <v>149</v>
      </c>
      <c r="K363" s="337">
        <f t="shared" si="16"/>
        <v>-1</v>
      </c>
      <c r="L363" s="338">
        <f t="shared" si="17"/>
        <v>99.33333333333333</v>
      </c>
    </row>
    <row r="364" spans="1:12" ht="12.75">
      <c r="A364" s="334">
        <f t="shared" si="15"/>
        <v>363</v>
      </c>
      <c r="B364" s="540"/>
      <c r="C364" s="371" t="s">
        <v>472</v>
      </c>
      <c r="D364" s="371"/>
      <c r="E364" s="371"/>
      <c r="F364" s="371"/>
      <c r="G364" s="397"/>
      <c r="H364" s="519">
        <f>SUBTOTAL(9,H362:H363)</f>
        <v>3600</v>
      </c>
      <c r="I364" s="519">
        <f>SUBTOTAL(9,I362:I363)</f>
        <v>3600</v>
      </c>
      <c r="J364" s="519">
        <f>SUBTOTAL(9,J362:J363)</f>
        <v>3599</v>
      </c>
      <c r="K364" s="520">
        <f t="shared" si="16"/>
        <v>-1</v>
      </c>
      <c r="L364" s="521">
        <f t="shared" si="17"/>
        <v>99.97222222222221</v>
      </c>
    </row>
    <row r="365" spans="1:12" ht="12.75">
      <c r="A365" s="334">
        <f t="shared" si="15"/>
        <v>364</v>
      </c>
      <c r="B365" s="539">
        <v>4300</v>
      </c>
      <c r="C365" s="349">
        <v>3639</v>
      </c>
      <c r="D365" s="349" t="s">
        <v>42</v>
      </c>
      <c r="E365" s="349">
        <v>5362</v>
      </c>
      <c r="F365" s="328" t="s">
        <v>329</v>
      </c>
      <c r="G365" s="397"/>
      <c r="H365" s="546"/>
      <c r="I365" s="546">
        <v>1400</v>
      </c>
      <c r="J365" s="546">
        <v>768</v>
      </c>
      <c r="K365" s="547">
        <f t="shared" si="16"/>
        <v>-632</v>
      </c>
      <c r="L365" s="548">
        <f t="shared" si="17"/>
        <v>54.85714285714286</v>
      </c>
    </row>
    <row r="366" spans="1:12" ht="12.75">
      <c r="A366" s="334">
        <f t="shared" si="15"/>
        <v>365</v>
      </c>
      <c r="B366" s="540"/>
      <c r="C366" s="371" t="s">
        <v>430</v>
      </c>
      <c r="D366" s="371"/>
      <c r="E366" s="371"/>
      <c r="F366" s="371"/>
      <c r="G366" s="397"/>
      <c r="H366" s="519">
        <f>SUBTOTAL(9,H365:H365)</f>
        <v>0</v>
      </c>
      <c r="I366" s="519">
        <f>SUBTOTAL(9,I365:I365)</f>
        <v>1400</v>
      </c>
      <c r="J366" s="519">
        <f>SUBTOTAL(9,J365:J365)</f>
        <v>768</v>
      </c>
      <c r="K366" s="520">
        <f t="shared" si="16"/>
        <v>-632</v>
      </c>
      <c r="L366" s="521">
        <f t="shared" si="17"/>
        <v>54.85714285714286</v>
      </c>
    </row>
    <row r="367" spans="1:12" ht="12.75">
      <c r="A367" s="334">
        <f t="shared" si="15"/>
        <v>366</v>
      </c>
      <c r="B367" s="539">
        <v>4300</v>
      </c>
      <c r="C367" s="349">
        <v>3739</v>
      </c>
      <c r="D367" s="349" t="s">
        <v>71</v>
      </c>
      <c r="E367" s="349">
        <v>5169</v>
      </c>
      <c r="F367" s="328" t="s">
        <v>321</v>
      </c>
      <c r="G367" s="329"/>
      <c r="H367" s="546">
        <v>250</v>
      </c>
      <c r="I367" s="546">
        <v>250</v>
      </c>
      <c r="J367" s="546"/>
      <c r="K367" s="547">
        <f t="shared" si="16"/>
        <v>-250</v>
      </c>
      <c r="L367" s="548">
        <f t="shared" si="17"/>
        <v>0</v>
      </c>
    </row>
    <row r="368" spans="1:12" ht="12.75">
      <c r="A368" s="334">
        <f t="shared" si="15"/>
        <v>367</v>
      </c>
      <c r="B368" s="540"/>
      <c r="C368" s="371" t="s">
        <v>450</v>
      </c>
      <c r="D368" s="371"/>
      <c r="E368" s="371"/>
      <c r="F368" s="371"/>
      <c r="G368" s="397"/>
      <c r="H368" s="519">
        <f>SUBTOTAL(9,H367:H367)</f>
        <v>250</v>
      </c>
      <c r="I368" s="519">
        <f>SUBTOTAL(9,I367:I367)</f>
        <v>250</v>
      </c>
      <c r="J368" s="519">
        <f>SUBTOTAL(9,J367:J367)</f>
        <v>0</v>
      </c>
      <c r="K368" s="520">
        <f t="shared" si="16"/>
        <v>-250</v>
      </c>
      <c r="L368" s="521">
        <f t="shared" si="17"/>
        <v>0</v>
      </c>
    </row>
    <row r="369" spans="1:12" ht="12.75">
      <c r="A369" s="334">
        <f t="shared" si="15"/>
        <v>368</v>
      </c>
      <c r="B369" s="539">
        <v>4300</v>
      </c>
      <c r="C369" s="349">
        <v>3744</v>
      </c>
      <c r="D369" s="349" t="s">
        <v>473</v>
      </c>
      <c r="E369" s="349">
        <v>5137</v>
      </c>
      <c r="F369" s="328" t="s">
        <v>353</v>
      </c>
      <c r="G369" s="329"/>
      <c r="H369" s="552">
        <v>21</v>
      </c>
      <c r="I369" s="552">
        <v>21</v>
      </c>
      <c r="J369" s="552"/>
      <c r="K369" s="553">
        <f t="shared" si="16"/>
        <v>-21</v>
      </c>
      <c r="L369" s="554">
        <f t="shared" si="17"/>
        <v>0</v>
      </c>
    </row>
    <row r="370" spans="1:12" s="387" customFormat="1" ht="12.75">
      <c r="A370" s="334">
        <f t="shared" si="15"/>
        <v>369</v>
      </c>
      <c r="B370" s="539">
        <v>4300</v>
      </c>
      <c r="C370" s="349">
        <v>3744</v>
      </c>
      <c r="D370" s="349" t="s">
        <v>473</v>
      </c>
      <c r="E370" s="349">
        <v>5139</v>
      </c>
      <c r="F370" s="328" t="s">
        <v>349</v>
      </c>
      <c r="G370" s="329"/>
      <c r="H370" s="552">
        <v>229</v>
      </c>
      <c r="I370" s="552">
        <v>229</v>
      </c>
      <c r="J370" s="552"/>
      <c r="K370" s="553">
        <f t="shared" si="16"/>
        <v>-229</v>
      </c>
      <c r="L370" s="554">
        <f t="shared" si="17"/>
        <v>0</v>
      </c>
    </row>
    <row r="371" spans="1:12" ht="12.75">
      <c r="A371" s="334">
        <f t="shared" si="15"/>
        <v>370</v>
      </c>
      <c r="B371" s="539">
        <v>4300</v>
      </c>
      <c r="C371" s="349">
        <v>3744</v>
      </c>
      <c r="D371" s="349" t="s">
        <v>473</v>
      </c>
      <c r="E371" s="349">
        <v>5169</v>
      </c>
      <c r="F371" s="328" t="s">
        <v>321</v>
      </c>
      <c r="G371" s="329"/>
      <c r="H371" s="534">
        <v>146</v>
      </c>
      <c r="I371" s="534">
        <v>146</v>
      </c>
      <c r="J371" s="534"/>
      <c r="K371" s="535">
        <f t="shared" si="16"/>
        <v>-146</v>
      </c>
      <c r="L371" s="536">
        <f t="shared" si="17"/>
        <v>0</v>
      </c>
    </row>
    <row r="372" spans="1:12" ht="12.75">
      <c r="A372" s="334">
        <f t="shared" si="15"/>
        <v>371</v>
      </c>
      <c r="B372" s="540"/>
      <c r="C372" s="371" t="s">
        <v>474</v>
      </c>
      <c r="D372" s="371"/>
      <c r="E372" s="371"/>
      <c r="F372" s="341"/>
      <c r="G372" s="342"/>
      <c r="H372" s="519">
        <f>SUBTOTAL(9,H369:H371)</f>
        <v>396</v>
      </c>
      <c r="I372" s="519">
        <f>SUBTOTAL(9,I369:I371)</f>
        <v>396</v>
      </c>
      <c r="J372" s="519">
        <f>SUBTOTAL(9,J369:J371)</f>
        <v>0</v>
      </c>
      <c r="K372" s="520">
        <f t="shared" si="16"/>
        <v>-396</v>
      </c>
      <c r="L372" s="521">
        <f t="shared" si="17"/>
        <v>0</v>
      </c>
    </row>
    <row r="373" spans="1:12" ht="12.75">
      <c r="A373" s="334">
        <f t="shared" si="15"/>
        <v>372</v>
      </c>
      <c r="B373" s="539">
        <v>4300</v>
      </c>
      <c r="C373" s="349">
        <v>3745</v>
      </c>
      <c r="D373" s="349" t="s">
        <v>2</v>
      </c>
      <c r="E373" s="349">
        <v>5137</v>
      </c>
      <c r="F373" s="328" t="s">
        <v>353</v>
      </c>
      <c r="G373" s="329"/>
      <c r="H373" s="552">
        <v>48</v>
      </c>
      <c r="I373" s="552">
        <v>48</v>
      </c>
      <c r="J373" s="552">
        <v>48</v>
      </c>
      <c r="K373" s="553">
        <f t="shared" si="16"/>
        <v>0</v>
      </c>
      <c r="L373" s="554">
        <f t="shared" si="17"/>
        <v>100</v>
      </c>
    </row>
    <row r="374" spans="1:12" ht="12.75">
      <c r="A374" s="334">
        <f t="shared" si="15"/>
        <v>373</v>
      </c>
      <c r="B374" s="539">
        <v>4300</v>
      </c>
      <c r="C374" s="349">
        <v>3745</v>
      </c>
      <c r="D374" s="349" t="s">
        <v>2</v>
      </c>
      <c r="E374" s="349">
        <v>5169</v>
      </c>
      <c r="F374" s="328" t="s">
        <v>321</v>
      </c>
      <c r="G374" s="329"/>
      <c r="H374" s="534">
        <v>9207</v>
      </c>
      <c r="I374" s="534">
        <v>9207</v>
      </c>
      <c r="J374" s="534">
        <v>9207</v>
      </c>
      <c r="K374" s="535">
        <f t="shared" si="16"/>
        <v>0</v>
      </c>
      <c r="L374" s="536">
        <f t="shared" si="17"/>
        <v>100</v>
      </c>
    </row>
    <row r="375" spans="1:12" ht="12.75">
      <c r="A375" s="334">
        <f t="shared" si="15"/>
        <v>374</v>
      </c>
      <c r="B375" s="539">
        <v>4300</v>
      </c>
      <c r="C375" s="349">
        <v>3745</v>
      </c>
      <c r="D375" s="349" t="s">
        <v>2</v>
      </c>
      <c r="E375" s="349">
        <v>5171</v>
      </c>
      <c r="F375" s="349" t="s">
        <v>402</v>
      </c>
      <c r="G375" s="476"/>
      <c r="H375" s="330">
        <v>1703</v>
      </c>
      <c r="I375" s="330">
        <v>1703</v>
      </c>
      <c r="J375" s="330">
        <v>1701</v>
      </c>
      <c r="K375" s="337">
        <f t="shared" si="16"/>
        <v>-2</v>
      </c>
      <c r="L375" s="338">
        <f t="shared" si="17"/>
        <v>99.8825601879037</v>
      </c>
    </row>
    <row r="376" spans="1:12" ht="12.75">
      <c r="A376" s="334">
        <f t="shared" si="15"/>
        <v>375</v>
      </c>
      <c r="B376" s="540"/>
      <c r="C376" s="371" t="s">
        <v>431</v>
      </c>
      <c r="D376" s="371"/>
      <c r="E376" s="371"/>
      <c r="F376" s="371"/>
      <c r="G376" s="397"/>
      <c r="H376" s="519">
        <f>SUBTOTAL(9,H373:H375)</f>
        <v>10958</v>
      </c>
      <c r="I376" s="519">
        <f>SUBTOTAL(9,I373:I375)</f>
        <v>10958</v>
      </c>
      <c r="J376" s="519">
        <f>SUBTOTAL(9,J373:J375)</f>
        <v>10956</v>
      </c>
      <c r="K376" s="520">
        <f t="shared" si="16"/>
        <v>-2</v>
      </c>
      <c r="L376" s="521">
        <f t="shared" si="17"/>
        <v>99.98174849425078</v>
      </c>
    </row>
    <row r="377" spans="1:12" ht="13.5" thickBot="1">
      <c r="A377" s="334">
        <f t="shared" si="15"/>
        <v>376</v>
      </c>
      <c r="B377" s="357" t="s">
        <v>206</v>
      </c>
      <c r="C377" s="358"/>
      <c r="D377" s="358"/>
      <c r="E377" s="358"/>
      <c r="F377" s="358"/>
      <c r="G377" s="359"/>
      <c r="H377" s="360">
        <f>SUBTOTAL(9,H346:H376)</f>
        <v>15712</v>
      </c>
      <c r="I377" s="360">
        <f>SUBTOTAL(9,I346:I376)</f>
        <v>23152</v>
      </c>
      <c r="J377" s="360">
        <f>SUBTOTAL(9,J346:J376)</f>
        <v>17922</v>
      </c>
      <c r="K377" s="361">
        <f t="shared" si="16"/>
        <v>-5230</v>
      </c>
      <c r="L377" s="362">
        <f t="shared" si="17"/>
        <v>77.4101589495508</v>
      </c>
    </row>
    <row r="378" spans="1:12" ht="12.75">
      <c r="A378" s="334">
        <f t="shared" si="15"/>
        <v>377</v>
      </c>
      <c r="B378" s="555"/>
      <c r="C378" s="556"/>
      <c r="D378" s="556"/>
      <c r="E378" s="556"/>
      <c r="F378" s="556"/>
      <c r="G378" s="557"/>
      <c r="H378" s="558"/>
      <c r="I378" s="558"/>
      <c r="J378" s="558"/>
      <c r="K378" s="559">
        <f t="shared" si="16"/>
        <v>0</v>
      </c>
      <c r="L378" s="560"/>
    </row>
    <row r="379" spans="1:12" ht="15.75">
      <c r="A379" s="334">
        <f t="shared" si="15"/>
        <v>378</v>
      </c>
      <c r="B379" s="561" t="s">
        <v>38</v>
      </c>
      <c r="C379" s="341"/>
      <c r="D379" s="341"/>
      <c r="E379" s="341"/>
      <c r="F379" s="341"/>
      <c r="G379" s="342"/>
      <c r="H379" s="388"/>
      <c r="I379" s="388"/>
      <c r="J379" s="388"/>
      <c r="K379" s="389">
        <f t="shared" si="16"/>
        <v>0</v>
      </c>
      <c r="L379" s="390"/>
    </row>
    <row r="380" spans="1:12" ht="12.75">
      <c r="A380" s="334">
        <f t="shared" si="15"/>
        <v>379</v>
      </c>
      <c r="B380" s="376">
        <v>5300</v>
      </c>
      <c r="C380" s="328">
        <v>6171</v>
      </c>
      <c r="D380" s="328" t="s">
        <v>9</v>
      </c>
      <c r="E380" s="328">
        <v>5137</v>
      </c>
      <c r="F380" s="349" t="s">
        <v>353</v>
      </c>
      <c r="G380" s="476" t="s">
        <v>475</v>
      </c>
      <c r="H380" s="330">
        <v>7095</v>
      </c>
      <c r="I380" s="330">
        <v>7095</v>
      </c>
      <c r="J380" s="330">
        <v>6973</v>
      </c>
      <c r="K380" s="337">
        <f t="shared" si="16"/>
        <v>-122</v>
      </c>
      <c r="L380" s="338">
        <f t="shared" si="17"/>
        <v>98.28047921071177</v>
      </c>
    </row>
    <row r="381" spans="1:12" ht="12.75">
      <c r="A381" s="334">
        <f t="shared" si="15"/>
        <v>380</v>
      </c>
      <c r="B381" s="376">
        <v>5300</v>
      </c>
      <c r="C381" s="328">
        <v>6171</v>
      </c>
      <c r="D381" s="328" t="s">
        <v>9</v>
      </c>
      <c r="E381" s="328">
        <v>5139</v>
      </c>
      <c r="F381" s="328" t="s">
        <v>349</v>
      </c>
      <c r="G381" s="329"/>
      <c r="H381" s="330">
        <v>1960</v>
      </c>
      <c r="I381" s="330">
        <v>2385</v>
      </c>
      <c r="J381" s="330">
        <v>2294</v>
      </c>
      <c r="K381" s="337">
        <f t="shared" si="16"/>
        <v>-91</v>
      </c>
      <c r="L381" s="338">
        <f t="shared" si="17"/>
        <v>96.18448637316563</v>
      </c>
    </row>
    <row r="382" spans="1:12" ht="12.75">
      <c r="A382" s="334">
        <f t="shared" si="15"/>
        <v>381</v>
      </c>
      <c r="B382" s="376">
        <v>5300</v>
      </c>
      <c r="C382" s="328">
        <v>6171</v>
      </c>
      <c r="D382" s="328" t="s">
        <v>9</v>
      </c>
      <c r="E382" s="328">
        <v>5162</v>
      </c>
      <c r="F382" s="328" t="s">
        <v>400</v>
      </c>
      <c r="G382" s="329"/>
      <c r="H382" s="330">
        <v>7250</v>
      </c>
      <c r="I382" s="330">
        <v>7250</v>
      </c>
      <c r="J382" s="330">
        <v>3874</v>
      </c>
      <c r="K382" s="337">
        <f t="shared" si="16"/>
        <v>-3376</v>
      </c>
      <c r="L382" s="338">
        <f t="shared" si="17"/>
        <v>53.434482758620696</v>
      </c>
    </row>
    <row r="383" spans="1:12" ht="12.75">
      <c r="A383" s="334">
        <f t="shared" si="15"/>
        <v>382</v>
      </c>
      <c r="B383" s="376">
        <v>5300</v>
      </c>
      <c r="C383" s="328">
        <v>6171</v>
      </c>
      <c r="D383" s="328" t="s">
        <v>9</v>
      </c>
      <c r="E383" s="328">
        <v>5166</v>
      </c>
      <c r="F383" s="328" t="s">
        <v>318</v>
      </c>
      <c r="G383" s="329"/>
      <c r="H383" s="330">
        <v>2000</v>
      </c>
      <c r="I383" s="330">
        <v>2000</v>
      </c>
      <c r="J383" s="330">
        <v>1028</v>
      </c>
      <c r="K383" s="337">
        <f t="shared" si="16"/>
        <v>-972</v>
      </c>
      <c r="L383" s="338">
        <f t="shared" si="17"/>
        <v>51.4</v>
      </c>
    </row>
    <row r="384" spans="1:12" ht="12.75">
      <c r="A384" s="334">
        <f t="shared" si="15"/>
        <v>383</v>
      </c>
      <c r="B384" s="376">
        <v>5300</v>
      </c>
      <c r="C384" s="328">
        <v>6171</v>
      </c>
      <c r="D384" s="328" t="s">
        <v>9</v>
      </c>
      <c r="E384" s="328">
        <v>5167</v>
      </c>
      <c r="F384" s="328" t="s">
        <v>401</v>
      </c>
      <c r="G384" s="329"/>
      <c r="H384" s="330">
        <v>3000</v>
      </c>
      <c r="I384" s="330">
        <v>3000</v>
      </c>
      <c r="J384" s="330">
        <v>2168</v>
      </c>
      <c r="K384" s="337">
        <f t="shared" si="16"/>
        <v>-832</v>
      </c>
      <c r="L384" s="338">
        <f t="shared" si="17"/>
        <v>72.26666666666667</v>
      </c>
    </row>
    <row r="385" spans="1:12" ht="12.75">
      <c r="A385" s="334">
        <f t="shared" si="15"/>
        <v>384</v>
      </c>
      <c r="B385" s="376">
        <v>5300</v>
      </c>
      <c r="C385" s="328">
        <v>6171</v>
      </c>
      <c r="D385" s="328" t="s">
        <v>9</v>
      </c>
      <c r="E385" s="328">
        <v>5169</v>
      </c>
      <c r="F385" s="328" t="s">
        <v>321</v>
      </c>
      <c r="G385" s="329"/>
      <c r="H385" s="330">
        <v>172789</v>
      </c>
      <c r="I385" s="330">
        <v>172188</v>
      </c>
      <c r="J385" s="330">
        <v>161829</v>
      </c>
      <c r="K385" s="337">
        <f t="shared" si="16"/>
        <v>-10359</v>
      </c>
      <c r="L385" s="338">
        <f t="shared" si="17"/>
        <v>93.98390131716496</v>
      </c>
    </row>
    <row r="386" spans="1:12" ht="12.75">
      <c r="A386" s="334">
        <f t="shared" si="15"/>
        <v>385</v>
      </c>
      <c r="B386" s="376">
        <v>5300</v>
      </c>
      <c r="C386" s="328">
        <v>6171</v>
      </c>
      <c r="D386" s="328" t="s">
        <v>9</v>
      </c>
      <c r="E386" s="328">
        <v>5171</v>
      </c>
      <c r="F386" s="328" t="s">
        <v>402</v>
      </c>
      <c r="G386" s="329"/>
      <c r="H386" s="330">
        <v>5161</v>
      </c>
      <c r="I386" s="330">
        <v>5326</v>
      </c>
      <c r="J386" s="330">
        <v>5322</v>
      </c>
      <c r="K386" s="337">
        <f t="shared" si="16"/>
        <v>-4</v>
      </c>
      <c r="L386" s="338">
        <f t="shared" si="17"/>
        <v>99.92489673300788</v>
      </c>
    </row>
    <row r="387" spans="1:12" ht="12.75">
      <c r="A387" s="334">
        <f t="shared" si="15"/>
        <v>386</v>
      </c>
      <c r="B387" s="376">
        <v>5300</v>
      </c>
      <c r="C387" s="328">
        <v>6171</v>
      </c>
      <c r="D387" s="328" t="s">
        <v>9</v>
      </c>
      <c r="E387" s="328">
        <v>5172</v>
      </c>
      <c r="F387" s="328" t="s">
        <v>415</v>
      </c>
      <c r="G387" s="329"/>
      <c r="H387" s="330">
        <v>500</v>
      </c>
      <c r="I387" s="330">
        <v>500</v>
      </c>
      <c r="J387" s="330">
        <v>462</v>
      </c>
      <c r="K387" s="337">
        <f t="shared" si="16"/>
        <v>-38</v>
      </c>
      <c r="L387" s="338">
        <f t="shared" si="17"/>
        <v>92.4</v>
      </c>
    </row>
    <row r="388" spans="1:12" ht="12.75">
      <c r="A388" s="334">
        <f aca="true" t="shared" si="19" ref="A388:A451">A387+1</f>
        <v>387</v>
      </c>
      <c r="B388" s="376">
        <v>5300</v>
      </c>
      <c r="C388" s="328">
        <v>6171</v>
      </c>
      <c r="D388" s="328" t="s">
        <v>9</v>
      </c>
      <c r="E388" s="328">
        <v>5362</v>
      </c>
      <c r="F388" s="328" t="s">
        <v>476</v>
      </c>
      <c r="G388" s="329"/>
      <c r="H388" s="330"/>
      <c r="I388" s="330">
        <v>11</v>
      </c>
      <c r="J388" s="330">
        <v>11</v>
      </c>
      <c r="K388" s="337">
        <f aca="true" t="shared" si="20" ref="K388:K451">J388-I388</f>
        <v>0</v>
      </c>
      <c r="L388" s="338">
        <f aca="true" t="shared" si="21" ref="L388:L451">J388/I388*100</f>
        <v>100</v>
      </c>
    </row>
    <row r="389" spans="1:12" ht="12.75">
      <c r="A389" s="334">
        <f t="shared" si="19"/>
        <v>388</v>
      </c>
      <c r="B389" s="383"/>
      <c r="C389" s="341" t="s">
        <v>323</v>
      </c>
      <c r="D389" s="341"/>
      <c r="E389" s="341"/>
      <c r="F389" s="341"/>
      <c r="G389" s="342"/>
      <c r="H389" s="407">
        <f>SUBTOTAL(9,H380:H387)</f>
        <v>199755</v>
      </c>
      <c r="I389" s="407">
        <f>SUBTOTAL(9,I380:I388)</f>
        <v>199755</v>
      </c>
      <c r="J389" s="407">
        <f>SUBTOTAL(9,J380:J388)</f>
        <v>183961</v>
      </c>
      <c r="K389" s="408">
        <f t="shared" si="20"/>
        <v>-15794</v>
      </c>
      <c r="L389" s="409">
        <f t="shared" si="21"/>
        <v>92.09331431002978</v>
      </c>
    </row>
    <row r="390" spans="1:12" ht="13.5" thickBot="1">
      <c r="A390" s="334">
        <f t="shared" si="19"/>
        <v>389</v>
      </c>
      <c r="B390" s="357" t="s">
        <v>43</v>
      </c>
      <c r="C390" s="358"/>
      <c r="D390" s="358"/>
      <c r="E390" s="358"/>
      <c r="F390" s="358"/>
      <c r="G390" s="359"/>
      <c r="H390" s="467">
        <f>SUBTOTAL(9,H380:H389)</f>
        <v>199755</v>
      </c>
      <c r="I390" s="467">
        <f>SUBTOTAL(9,I380:I389)</f>
        <v>199755</v>
      </c>
      <c r="J390" s="467">
        <f>SUBTOTAL(9,J380:J389)</f>
        <v>183961</v>
      </c>
      <c r="K390" s="468">
        <f t="shared" si="20"/>
        <v>-15794</v>
      </c>
      <c r="L390" s="469">
        <f t="shared" si="21"/>
        <v>92.09331431002978</v>
      </c>
    </row>
    <row r="391" spans="1:12" ht="12.75">
      <c r="A391" s="334">
        <f t="shared" si="19"/>
        <v>390</v>
      </c>
      <c r="B391" s="383"/>
      <c r="C391" s="341"/>
      <c r="D391" s="341"/>
      <c r="E391" s="341"/>
      <c r="F391" s="341"/>
      <c r="G391" s="342"/>
      <c r="H391" s="494"/>
      <c r="I391" s="494"/>
      <c r="J391" s="494"/>
      <c r="K391" s="495">
        <f t="shared" si="20"/>
        <v>0</v>
      </c>
      <c r="L391" s="496"/>
    </row>
    <row r="392" spans="1:12" ht="15.75">
      <c r="A392" s="334">
        <f t="shared" si="19"/>
        <v>391</v>
      </c>
      <c r="B392" s="370" t="s">
        <v>17</v>
      </c>
      <c r="C392" s="349"/>
      <c r="D392" s="349"/>
      <c r="E392" s="349"/>
      <c r="F392" s="349"/>
      <c r="G392" s="476"/>
      <c r="H392" s="534"/>
      <c r="I392" s="534"/>
      <c r="J392" s="534"/>
      <c r="K392" s="535">
        <f t="shared" si="20"/>
        <v>0</v>
      </c>
      <c r="L392" s="536"/>
    </row>
    <row r="393" spans="1:12" ht="12.75">
      <c r="A393" s="334">
        <f t="shared" si="19"/>
        <v>392</v>
      </c>
      <c r="B393" s="376">
        <v>5400</v>
      </c>
      <c r="C393" s="328">
        <v>2143</v>
      </c>
      <c r="D393" s="377" t="s">
        <v>193</v>
      </c>
      <c r="E393" s="328">
        <v>5329</v>
      </c>
      <c r="F393" s="328" t="s">
        <v>477</v>
      </c>
      <c r="G393" s="329" t="s">
        <v>478</v>
      </c>
      <c r="H393" s="330">
        <v>1516</v>
      </c>
      <c r="I393" s="330">
        <v>1653</v>
      </c>
      <c r="J393" s="330">
        <v>1653</v>
      </c>
      <c r="K393" s="337">
        <f t="shared" si="20"/>
        <v>0</v>
      </c>
      <c r="L393" s="338">
        <f t="shared" si="21"/>
        <v>100</v>
      </c>
    </row>
    <row r="394" spans="1:12" ht="12.75">
      <c r="A394" s="334">
        <f t="shared" si="19"/>
        <v>393</v>
      </c>
      <c r="B394" s="383"/>
      <c r="C394" s="341" t="s">
        <v>348</v>
      </c>
      <c r="D394" s="341"/>
      <c r="E394" s="341"/>
      <c r="F394" s="341"/>
      <c r="G394" s="342"/>
      <c r="H394" s="494">
        <f>SUBTOTAL(9,H393)</f>
        <v>1516</v>
      </c>
      <c r="I394" s="494">
        <f>SUBTOTAL(9,I393)</f>
        <v>1653</v>
      </c>
      <c r="J394" s="494">
        <f>SUBTOTAL(9,J393)</f>
        <v>1653</v>
      </c>
      <c r="K394" s="495">
        <f t="shared" si="20"/>
        <v>0</v>
      </c>
      <c r="L394" s="496">
        <f t="shared" si="21"/>
        <v>100</v>
      </c>
    </row>
    <row r="395" spans="1:12" ht="12.75">
      <c r="A395" s="334">
        <f t="shared" si="19"/>
        <v>394</v>
      </c>
      <c r="B395" s="539">
        <v>5400</v>
      </c>
      <c r="C395" s="349">
        <v>2212</v>
      </c>
      <c r="D395" s="349" t="s">
        <v>19</v>
      </c>
      <c r="E395" s="349">
        <v>5166</v>
      </c>
      <c r="F395" s="349" t="s">
        <v>318</v>
      </c>
      <c r="G395" s="476"/>
      <c r="H395" s="330">
        <v>2411</v>
      </c>
      <c r="I395" s="330">
        <v>1194</v>
      </c>
      <c r="J395" s="330">
        <v>877</v>
      </c>
      <c r="K395" s="337">
        <f t="shared" si="20"/>
        <v>-317</v>
      </c>
      <c r="L395" s="338">
        <f t="shared" si="21"/>
        <v>73.45058626465661</v>
      </c>
    </row>
    <row r="396" spans="1:12" ht="12.75">
      <c r="A396" s="334">
        <f t="shared" si="19"/>
        <v>395</v>
      </c>
      <c r="B396" s="539">
        <v>5400</v>
      </c>
      <c r="C396" s="349">
        <v>2212</v>
      </c>
      <c r="D396" s="349" t="s">
        <v>19</v>
      </c>
      <c r="E396" s="349">
        <v>5169</v>
      </c>
      <c r="F396" s="328" t="s">
        <v>321</v>
      </c>
      <c r="G396" s="329"/>
      <c r="H396" s="330">
        <v>417029</v>
      </c>
      <c r="I396" s="330">
        <v>432165</v>
      </c>
      <c r="J396" s="330">
        <v>431411</v>
      </c>
      <c r="K396" s="337">
        <f t="shared" si="20"/>
        <v>-754</v>
      </c>
      <c r="L396" s="338">
        <f t="shared" si="21"/>
        <v>99.8255296009626</v>
      </c>
    </row>
    <row r="397" spans="1:12" ht="12.75">
      <c r="A397" s="334">
        <f t="shared" si="19"/>
        <v>396</v>
      </c>
      <c r="B397" s="539">
        <v>5400</v>
      </c>
      <c r="C397" s="349">
        <v>2212</v>
      </c>
      <c r="D397" s="349" t="s">
        <v>19</v>
      </c>
      <c r="E397" s="349">
        <v>5171</v>
      </c>
      <c r="F397" s="349" t="s">
        <v>402</v>
      </c>
      <c r="G397" s="476"/>
      <c r="H397" s="330">
        <v>125852</v>
      </c>
      <c r="I397" s="330">
        <v>123478</v>
      </c>
      <c r="J397" s="330">
        <v>123477</v>
      </c>
      <c r="K397" s="337">
        <f t="shared" si="20"/>
        <v>-1</v>
      </c>
      <c r="L397" s="338">
        <f t="shared" si="21"/>
        <v>99.9991901391341</v>
      </c>
    </row>
    <row r="398" spans="1:12" ht="12.75">
      <c r="A398" s="334">
        <f t="shared" si="19"/>
        <v>397</v>
      </c>
      <c r="B398" s="539">
        <v>5400</v>
      </c>
      <c r="C398" s="349">
        <v>2212</v>
      </c>
      <c r="D398" s="349" t="s">
        <v>19</v>
      </c>
      <c r="E398" s="349">
        <v>5192</v>
      </c>
      <c r="F398" s="328" t="s">
        <v>342</v>
      </c>
      <c r="G398" s="476"/>
      <c r="H398" s="330">
        <v>100</v>
      </c>
      <c r="I398" s="330">
        <v>100</v>
      </c>
      <c r="J398" s="330">
        <v>0</v>
      </c>
      <c r="K398" s="337">
        <f t="shared" si="20"/>
        <v>-100</v>
      </c>
      <c r="L398" s="338">
        <f t="shared" si="21"/>
        <v>0</v>
      </c>
    </row>
    <row r="399" spans="1:12" ht="12.75">
      <c r="A399" s="334">
        <f t="shared" si="19"/>
        <v>398</v>
      </c>
      <c r="B399" s="539">
        <v>5400</v>
      </c>
      <c r="C399" s="349">
        <v>2212</v>
      </c>
      <c r="D399" s="349" t="s">
        <v>19</v>
      </c>
      <c r="E399" s="349">
        <v>5339</v>
      </c>
      <c r="F399" s="349" t="s">
        <v>457</v>
      </c>
      <c r="G399" s="476" t="s">
        <v>479</v>
      </c>
      <c r="H399" s="330">
        <v>4400</v>
      </c>
      <c r="I399" s="330">
        <v>4400</v>
      </c>
      <c r="J399" s="330">
        <v>4400</v>
      </c>
      <c r="K399" s="337">
        <f t="shared" si="20"/>
        <v>0</v>
      </c>
      <c r="L399" s="338">
        <f t="shared" si="21"/>
        <v>100</v>
      </c>
    </row>
    <row r="400" spans="1:12" ht="12.75">
      <c r="A400" s="334">
        <f t="shared" si="19"/>
        <v>399</v>
      </c>
      <c r="B400" s="540"/>
      <c r="C400" s="371" t="s">
        <v>480</v>
      </c>
      <c r="D400" s="371"/>
      <c r="E400" s="371"/>
      <c r="F400" s="350"/>
      <c r="G400" s="351"/>
      <c r="H400" s="519">
        <f>SUBTOTAL(9,H395:H399)</f>
        <v>549792</v>
      </c>
      <c r="I400" s="519">
        <f>SUBTOTAL(9,I395:I399)</f>
        <v>561337</v>
      </c>
      <c r="J400" s="519">
        <f>SUBTOTAL(9,J395:J399)</f>
        <v>560165</v>
      </c>
      <c r="K400" s="520">
        <f t="shared" si="20"/>
        <v>-1172</v>
      </c>
      <c r="L400" s="521">
        <f t="shared" si="21"/>
        <v>99.79121276523728</v>
      </c>
    </row>
    <row r="401" spans="1:12" ht="12.75">
      <c r="A401" s="334">
        <f t="shared" si="19"/>
        <v>400</v>
      </c>
      <c r="B401" s="539">
        <v>5400</v>
      </c>
      <c r="C401" s="349">
        <v>2219</v>
      </c>
      <c r="D401" s="349" t="s">
        <v>54</v>
      </c>
      <c r="E401" s="349">
        <v>5139</v>
      </c>
      <c r="F401" s="352" t="s">
        <v>349</v>
      </c>
      <c r="G401" s="353" t="s">
        <v>360</v>
      </c>
      <c r="H401" s="552"/>
      <c r="I401" s="552">
        <v>104</v>
      </c>
      <c r="J401" s="552">
        <v>103</v>
      </c>
      <c r="K401" s="553">
        <f t="shared" si="20"/>
        <v>-1</v>
      </c>
      <c r="L401" s="554">
        <f t="shared" si="21"/>
        <v>99.03846153846155</v>
      </c>
    </row>
    <row r="402" spans="1:12" ht="12.75">
      <c r="A402" s="334">
        <f t="shared" si="19"/>
        <v>401</v>
      </c>
      <c r="B402" s="539">
        <v>5400</v>
      </c>
      <c r="C402" s="349">
        <v>2219</v>
      </c>
      <c r="D402" s="349" t="s">
        <v>54</v>
      </c>
      <c r="E402" s="349">
        <v>5166</v>
      </c>
      <c r="F402" s="352" t="s">
        <v>318</v>
      </c>
      <c r="G402" s="353" t="s">
        <v>360</v>
      </c>
      <c r="H402" s="552"/>
      <c r="I402" s="552">
        <v>787</v>
      </c>
      <c r="J402" s="552">
        <v>787</v>
      </c>
      <c r="K402" s="553">
        <f t="shared" si="20"/>
        <v>0</v>
      </c>
      <c r="L402" s="554">
        <f t="shared" si="21"/>
        <v>100</v>
      </c>
    </row>
    <row r="403" spans="1:12" ht="12.75">
      <c r="A403" s="334">
        <f t="shared" si="19"/>
        <v>402</v>
      </c>
      <c r="B403" s="539">
        <v>5400</v>
      </c>
      <c r="C403" s="349">
        <v>2219</v>
      </c>
      <c r="D403" s="349" t="s">
        <v>54</v>
      </c>
      <c r="E403" s="349">
        <v>5169</v>
      </c>
      <c r="F403" s="352" t="s">
        <v>321</v>
      </c>
      <c r="G403" s="353"/>
      <c r="H403" s="552"/>
      <c r="I403" s="552">
        <v>461</v>
      </c>
      <c r="J403" s="552">
        <v>460</v>
      </c>
      <c r="K403" s="553">
        <f t="shared" si="20"/>
        <v>-1</v>
      </c>
      <c r="L403" s="554">
        <f t="shared" si="21"/>
        <v>99.78308026030369</v>
      </c>
    </row>
    <row r="404" spans="1:12" ht="12.75">
      <c r="A404" s="334">
        <f t="shared" si="19"/>
        <v>403</v>
      </c>
      <c r="B404" s="539">
        <v>5400</v>
      </c>
      <c r="C404" s="349">
        <v>2219</v>
      </c>
      <c r="D404" s="349" t="s">
        <v>54</v>
      </c>
      <c r="E404" s="349">
        <v>5169</v>
      </c>
      <c r="F404" s="352" t="s">
        <v>321</v>
      </c>
      <c r="G404" s="353" t="s">
        <v>360</v>
      </c>
      <c r="H404" s="552"/>
      <c r="I404" s="552">
        <v>518</v>
      </c>
      <c r="J404" s="552">
        <v>15</v>
      </c>
      <c r="K404" s="553">
        <f t="shared" si="20"/>
        <v>-503</v>
      </c>
      <c r="L404" s="554">
        <f t="shared" si="21"/>
        <v>2.8957528957528957</v>
      </c>
    </row>
    <row r="405" spans="1:12" ht="12.75">
      <c r="A405" s="334">
        <f t="shared" si="19"/>
        <v>404</v>
      </c>
      <c r="B405" s="539">
        <v>5400</v>
      </c>
      <c r="C405" s="349">
        <v>2219</v>
      </c>
      <c r="D405" s="349" t="s">
        <v>54</v>
      </c>
      <c r="E405" s="349">
        <v>5175</v>
      </c>
      <c r="F405" s="352" t="s">
        <v>341</v>
      </c>
      <c r="G405" s="353" t="s">
        <v>360</v>
      </c>
      <c r="H405" s="552"/>
      <c r="I405" s="552">
        <v>15</v>
      </c>
      <c r="J405" s="552">
        <v>3</v>
      </c>
      <c r="K405" s="553">
        <f t="shared" si="20"/>
        <v>-12</v>
      </c>
      <c r="L405" s="554">
        <f t="shared" si="21"/>
        <v>20</v>
      </c>
    </row>
    <row r="406" spans="1:12" ht="12.75">
      <c r="A406" s="334">
        <f t="shared" si="19"/>
        <v>405</v>
      </c>
      <c r="B406" s="539">
        <v>5400</v>
      </c>
      <c r="C406" s="349">
        <v>2219</v>
      </c>
      <c r="D406" s="349" t="s">
        <v>54</v>
      </c>
      <c r="E406" s="349">
        <v>5176</v>
      </c>
      <c r="F406" s="352" t="s">
        <v>403</v>
      </c>
      <c r="G406" s="353" t="s">
        <v>360</v>
      </c>
      <c r="H406" s="552"/>
      <c r="I406" s="552">
        <v>15</v>
      </c>
      <c r="J406" s="552">
        <v>7</v>
      </c>
      <c r="K406" s="553">
        <f t="shared" si="20"/>
        <v>-8</v>
      </c>
      <c r="L406" s="554">
        <f t="shared" si="21"/>
        <v>46.666666666666664</v>
      </c>
    </row>
    <row r="407" spans="1:12" ht="12.75">
      <c r="A407" s="334">
        <f t="shared" si="19"/>
        <v>406</v>
      </c>
      <c r="B407" s="539">
        <v>5400</v>
      </c>
      <c r="C407" s="349">
        <v>2219</v>
      </c>
      <c r="D407" s="349" t="s">
        <v>54</v>
      </c>
      <c r="E407" s="349">
        <v>5192</v>
      </c>
      <c r="F407" s="328" t="s">
        <v>342</v>
      </c>
      <c r="G407" s="476" t="s">
        <v>481</v>
      </c>
      <c r="H407" s="330">
        <v>1500</v>
      </c>
      <c r="I407" s="330">
        <v>1490</v>
      </c>
      <c r="J407" s="330">
        <v>1192</v>
      </c>
      <c r="K407" s="337">
        <f t="shared" si="20"/>
        <v>-298</v>
      </c>
      <c r="L407" s="338">
        <f t="shared" si="21"/>
        <v>80</v>
      </c>
    </row>
    <row r="408" spans="1:12" ht="12.75">
      <c r="A408" s="334">
        <f t="shared" si="19"/>
        <v>407</v>
      </c>
      <c r="B408" s="539">
        <v>5400</v>
      </c>
      <c r="C408" s="349">
        <v>2219</v>
      </c>
      <c r="D408" s="349" t="s">
        <v>54</v>
      </c>
      <c r="E408" s="349">
        <v>5362</v>
      </c>
      <c r="F408" s="328" t="s">
        <v>476</v>
      </c>
      <c r="G408" s="476"/>
      <c r="H408" s="330"/>
      <c r="I408" s="330">
        <v>10</v>
      </c>
      <c r="J408" s="330">
        <v>5</v>
      </c>
      <c r="K408" s="337">
        <f t="shared" si="20"/>
        <v>-5</v>
      </c>
      <c r="L408" s="338">
        <f t="shared" si="21"/>
        <v>50</v>
      </c>
    </row>
    <row r="409" spans="1:12" ht="12.75">
      <c r="A409" s="334">
        <f t="shared" si="19"/>
        <v>408</v>
      </c>
      <c r="B409" s="540"/>
      <c r="C409" s="371" t="s">
        <v>364</v>
      </c>
      <c r="D409" s="371"/>
      <c r="E409" s="371"/>
      <c r="F409" s="371"/>
      <c r="G409" s="397"/>
      <c r="H409" s="519">
        <f>SUBTOTAL(9,H401:H408)</f>
        <v>1500</v>
      </c>
      <c r="I409" s="519">
        <f>SUBTOTAL(9,I401:I408)</f>
        <v>3400</v>
      </c>
      <c r="J409" s="519">
        <f>SUBTOTAL(9,J401:J408)</f>
        <v>2572</v>
      </c>
      <c r="K409" s="520">
        <f t="shared" si="20"/>
        <v>-828</v>
      </c>
      <c r="L409" s="521">
        <f t="shared" si="21"/>
        <v>75.6470588235294</v>
      </c>
    </row>
    <row r="410" spans="1:12" ht="12.75">
      <c r="A410" s="334">
        <f t="shared" si="19"/>
        <v>409</v>
      </c>
      <c r="B410" s="539">
        <v>5400</v>
      </c>
      <c r="C410" s="349">
        <v>2229</v>
      </c>
      <c r="D410" s="349" t="s">
        <v>228</v>
      </c>
      <c r="E410" s="349">
        <v>5213</v>
      </c>
      <c r="F410" s="541" t="s">
        <v>460</v>
      </c>
      <c r="G410" s="476" t="s">
        <v>482</v>
      </c>
      <c r="H410" s="330">
        <v>1741000</v>
      </c>
      <c r="I410" s="330">
        <v>1744296</v>
      </c>
      <c r="J410" s="330">
        <v>1744296</v>
      </c>
      <c r="K410" s="337">
        <f t="shared" si="20"/>
        <v>0</v>
      </c>
      <c r="L410" s="338">
        <f t="shared" si="21"/>
        <v>100</v>
      </c>
    </row>
    <row r="411" spans="1:12" ht="12.75">
      <c r="A411" s="334">
        <f t="shared" si="19"/>
        <v>410</v>
      </c>
      <c r="B411" s="540"/>
      <c r="C411" s="371" t="s">
        <v>419</v>
      </c>
      <c r="D411" s="371"/>
      <c r="E411" s="371"/>
      <c r="F411" s="371"/>
      <c r="G411" s="397"/>
      <c r="H411" s="519">
        <f>SUBTOTAL(9,H410:H410)</f>
        <v>1741000</v>
      </c>
      <c r="I411" s="519">
        <f>SUBTOTAL(9,I410:I410)</f>
        <v>1744296</v>
      </c>
      <c r="J411" s="519">
        <f>SUBTOTAL(9,J410:J410)</f>
        <v>1744296</v>
      </c>
      <c r="K411" s="520">
        <f t="shared" si="20"/>
        <v>0</v>
      </c>
      <c r="L411" s="521">
        <f t="shared" si="21"/>
        <v>100</v>
      </c>
    </row>
    <row r="412" spans="1:12" ht="12.75">
      <c r="A412" s="334">
        <f t="shared" si="19"/>
        <v>411</v>
      </c>
      <c r="B412" s="539">
        <v>5400</v>
      </c>
      <c r="C412" s="349">
        <v>2271</v>
      </c>
      <c r="D412" s="349" t="s">
        <v>20</v>
      </c>
      <c r="E412" s="349">
        <v>5137</v>
      </c>
      <c r="F412" s="349" t="s">
        <v>353</v>
      </c>
      <c r="G412" s="476" t="s">
        <v>360</v>
      </c>
      <c r="H412" s="552"/>
      <c r="I412" s="552">
        <v>29</v>
      </c>
      <c r="J412" s="552">
        <v>28</v>
      </c>
      <c r="K412" s="553">
        <f t="shared" si="20"/>
        <v>-1</v>
      </c>
      <c r="L412" s="554">
        <f t="shared" si="21"/>
        <v>96.55172413793103</v>
      </c>
    </row>
    <row r="413" spans="1:12" ht="12.75">
      <c r="A413" s="334">
        <f t="shared" si="19"/>
        <v>412</v>
      </c>
      <c r="B413" s="539">
        <v>5400</v>
      </c>
      <c r="C413" s="349">
        <v>2271</v>
      </c>
      <c r="D413" s="349" t="s">
        <v>20</v>
      </c>
      <c r="E413" s="349">
        <v>5139</v>
      </c>
      <c r="F413" s="328" t="s">
        <v>349</v>
      </c>
      <c r="G413" s="476" t="s">
        <v>360</v>
      </c>
      <c r="H413" s="546">
        <v>50</v>
      </c>
      <c r="I413" s="546">
        <v>393</v>
      </c>
      <c r="J413" s="546">
        <v>140</v>
      </c>
      <c r="K413" s="547">
        <f t="shared" si="20"/>
        <v>-253</v>
      </c>
      <c r="L413" s="548">
        <f t="shared" si="21"/>
        <v>35.6234096692112</v>
      </c>
    </row>
    <row r="414" spans="1:12" ht="12.75">
      <c r="A414" s="334">
        <f t="shared" si="19"/>
        <v>413</v>
      </c>
      <c r="B414" s="539">
        <v>5400</v>
      </c>
      <c r="C414" s="349">
        <v>2271</v>
      </c>
      <c r="D414" s="349" t="s">
        <v>20</v>
      </c>
      <c r="E414" s="349">
        <v>5166</v>
      </c>
      <c r="F414" s="328" t="s">
        <v>318</v>
      </c>
      <c r="G414" s="476" t="s">
        <v>360</v>
      </c>
      <c r="H414" s="546">
        <v>100</v>
      </c>
      <c r="I414" s="546">
        <v>114</v>
      </c>
      <c r="J414" s="546">
        <v>0</v>
      </c>
      <c r="K414" s="547">
        <f t="shared" si="20"/>
        <v>-114</v>
      </c>
      <c r="L414" s="548">
        <f t="shared" si="21"/>
        <v>0</v>
      </c>
    </row>
    <row r="415" spans="1:12" ht="12.75">
      <c r="A415" s="334">
        <f t="shared" si="19"/>
        <v>414</v>
      </c>
      <c r="B415" s="539">
        <v>5400</v>
      </c>
      <c r="C415" s="349">
        <v>2271</v>
      </c>
      <c r="D415" s="349" t="s">
        <v>20</v>
      </c>
      <c r="E415" s="349">
        <v>5169</v>
      </c>
      <c r="F415" s="349" t="s">
        <v>321</v>
      </c>
      <c r="G415" s="329"/>
      <c r="H415" s="546">
        <v>1020</v>
      </c>
      <c r="I415" s="546">
        <v>937</v>
      </c>
      <c r="J415" s="546">
        <v>936</v>
      </c>
      <c r="K415" s="547">
        <f t="shared" si="20"/>
        <v>-1</v>
      </c>
      <c r="L415" s="548">
        <f t="shared" si="21"/>
        <v>99.89327641408752</v>
      </c>
    </row>
    <row r="416" spans="1:12" ht="12.75">
      <c r="A416" s="334">
        <f t="shared" si="19"/>
        <v>415</v>
      </c>
      <c r="B416" s="539">
        <v>5400</v>
      </c>
      <c r="C416" s="349">
        <v>2271</v>
      </c>
      <c r="D416" s="349" t="s">
        <v>20</v>
      </c>
      <c r="E416" s="349">
        <v>5169</v>
      </c>
      <c r="F416" s="349" t="s">
        <v>321</v>
      </c>
      <c r="G416" s="476" t="s">
        <v>360</v>
      </c>
      <c r="H416" s="546">
        <v>150</v>
      </c>
      <c r="I416" s="546">
        <v>487</v>
      </c>
      <c r="J416" s="546">
        <v>473</v>
      </c>
      <c r="K416" s="547">
        <f t="shared" si="20"/>
        <v>-14</v>
      </c>
      <c r="L416" s="548">
        <f t="shared" si="21"/>
        <v>97.1252566735113</v>
      </c>
    </row>
    <row r="417" spans="1:12" ht="12.75">
      <c r="A417" s="334">
        <f t="shared" si="19"/>
        <v>416</v>
      </c>
      <c r="B417" s="539">
        <v>5400</v>
      </c>
      <c r="C417" s="349">
        <v>2271</v>
      </c>
      <c r="D417" s="349" t="s">
        <v>20</v>
      </c>
      <c r="E417" s="349">
        <v>5171</v>
      </c>
      <c r="F417" s="349" t="s">
        <v>402</v>
      </c>
      <c r="G417" s="476" t="s">
        <v>483</v>
      </c>
      <c r="H417" s="562">
        <v>2880</v>
      </c>
      <c r="I417" s="562">
        <v>3186</v>
      </c>
      <c r="J417" s="562">
        <v>3166</v>
      </c>
      <c r="K417" s="563">
        <f t="shared" si="20"/>
        <v>-20</v>
      </c>
      <c r="L417" s="564">
        <f t="shared" si="21"/>
        <v>99.37225360954174</v>
      </c>
    </row>
    <row r="418" spans="1:12" ht="12.75">
      <c r="A418" s="334">
        <f t="shared" si="19"/>
        <v>417</v>
      </c>
      <c r="B418" s="539">
        <v>5400</v>
      </c>
      <c r="C418" s="349">
        <v>2271</v>
      </c>
      <c r="D418" s="349" t="s">
        <v>20</v>
      </c>
      <c r="E418" s="349">
        <v>5175</v>
      </c>
      <c r="F418" s="349" t="s">
        <v>341</v>
      </c>
      <c r="G418" s="476" t="s">
        <v>360</v>
      </c>
      <c r="H418" s="562">
        <v>50</v>
      </c>
      <c r="I418" s="562">
        <v>7</v>
      </c>
      <c r="J418" s="562"/>
      <c r="K418" s="563">
        <f t="shared" si="20"/>
        <v>-7</v>
      </c>
      <c r="L418" s="564">
        <f t="shared" si="21"/>
        <v>0</v>
      </c>
    </row>
    <row r="419" spans="1:12" ht="12.75">
      <c r="A419" s="334">
        <f t="shared" si="19"/>
        <v>418</v>
      </c>
      <c r="B419" s="540"/>
      <c r="C419" s="371" t="s">
        <v>366</v>
      </c>
      <c r="D419" s="371"/>
      <c r="E419" s="371"/>
      <c r="F419" s="371"/>
      <c r="G419" s="397"/>
      <c r="H419" s="519">
        <f>SUBTOTAL(9,H412:H418)</f>
        <v>4250</v>
      </c>
      <c r="I419" s="519">
        <f>SUBTOTAL(9,I412:I418)</f>
        <v>5153</v>
      </c>
      <c r="J419" s="519">
        <f>SUBTOTAL(9,J412:J418)</f>
        <v>4743</v>
      </c>
      <c r="K419" s="520">
        <f t="shared" si="20"/>
        <v>-410</v>
      </c>
      <c r="L419" s="521">
        <f t="shared" si="21"/>
        <v>92.04346982340384</v>
      </c>
    </row>
    <row r="420" spans="1:12" ht="12.75">
      <c r="A420" s="334">
        <f t="shared" si="19"/>
        <v>419</v>
      </c>
      <c r="B420" s="539">
        <v>5400</v>
      </c>
      <c r="C420" s="349">
        <v>2299</v>
      </c>
      <c r="D420" s="349" t="s">
        <v>484</v>
      </c>
      <c r="E420" s="349">
        <v>5166</v>
      </c>
      <c r="F420" s="349" t="s">
        <v>318</v>
      </c>
      <c r="G420" s="476" t="s">
        <v>485</v>
      </c>
      <c r="H420" s="562">
        <v>1690</v>
      </c>
      <c r="I420" s="562">
        <v>1690</v>
      </c>
      <c r="J420" s="562">
        <v>1690</v>
      </c>
      <c r="K420" s="563">
        <f t="shared" si="20"/>
        <v>0</v>
      </c>
      <c r="L420" s="564">
        <f t="shared" si="21"/>
        <v>100</v>
      </c>
    </row>
    <row r="421" spans="1:12" ht="12.75">
      <c r="A421" s="334">
        <f t="shared" si="19"/>
        <v>420</v>
      </c>
      <c r="B421" s="539">
        <v>5400</v>
      </c>
      <c r="C421" s="349">
        <v>2299</v>
      </c>
      <c r="D421" s="349" t="s">
        <v>484</v>
      </c>
      <c r="E421" s="349">
        <v>5169</v>
      </c>
      <c r="F421" s="349" t="s">
        <v>321</v>
      </c>
      <c r="G421" s="476"/>
      <c r="H421" s="562"/>
      <c r="I421" s="562">
        <v>150</v>
      </c>
      <c r="J421" s="562">
        <v>44</v>
      </c>
      <c r="K421" s="563">
        <f t="shared" si="20"/>
        <v>-106</v>
      </c>
      <c r="L421" s="564">
        <f t="shared" si="21"/>
        <v>29.333333333333332</v>
      </c>
    </row>
    <row r="422" spans="1:12" ht="12.75">
      <c r="A422" s="334">
        <f t="shared" si="19"/>
        <v>421</v>
      </c>
      <c r="B422" s="539">
        <v>5400</v>
      </c>
      <c r="C422" s="349">
        <v>2299</v>
      </c>
      <c r="D422" s="349" t="s">
        <v>484</v>
      </c>
      <c r="E422" s="349">
        <v>5213</v>
      </c>
      <c r="F422" s="541" t="s">
        <v>460</v>
      </c>
      <c r="G422" s="476" t="s">
        <v>485</v>
      </c>
      <c r="H422" s="562">
        <v>3850</v>
      </c>
      <c r="I422" s="562">
        <v>3850</v>
      </c>
      <c r="J422" s="562">
        <v>3850</v>
      </c>
      <c r="K422" s="563">
        <f t="shared" si="20"/>
        <v>0</v>
      </c>
      <c r="L422" s="564">
        <f t="shared" si="21"/>
        <v>100</v>
      </c>
    </row>
    <row r="423" spans="1:12" ht="12.75">
      <c r="A423" s="334">
        <f t="shared" si="19"/>
        <v>422</v>
      </c>
      <c r="B423" s="539">
        <v>5400</v>
      </c>
      <c r="C423" s="349">
        <v>2299</v>
      </c>
      <c r="D423" s="349" t="s">
        <v>484</v>
      </c>
      <c r="E423" s="349">
        <v>5229</v>
      </c>
      <c r="F423" s="378" t="s">
        <v>343</v>
      </c>
      <c r="G423" s="476"/>
      <c r="H423" s="562"/>
      <c r="I423" s="562">
        <v>20</v>
      </c>
      <c r="J423" s="562">
        <v>20</v>
      </c>
      <c r="K423" s="563">
        <f t="shared" si="20"/>
        <v>0</v>
      </c>
      <c r="L423" s="564">
        <f t="shared" si="21"/>
        <v>100</v>
      </c>
    </row>
    <row r="424" spans="1:12" ht="12.75">
      <c r="A424" s="334">
        <f t="shared" si="19"/>
        <v>423</v>
      </c>
      <c r="B424" s="539">
        <v>5400</v>
      </c>
      <c r="C424" s="349">
        <v>2299</v>
      </c>
      <c r="D424" s="349" t="s">
        <v>484</v>
      </c>
      <c r="E424" s="349">
        <v>5901</v>
      </c>
      <c r="F424" s="336" t="s">
        <v>486</v>
      </c>
      <c r="G424" s="476"/>
      <c r="H424" s="562">
        <v>500</v>
      </c>
      <c r="I424" s="562">
        <v>0</v>
      </c>
      <c r="J424" s="562">
        <v>0</v>
      </c>
      <c r="K424" s="563">
        <f t="shared" si="20"/>
        <v>0</v>
      </c>
      <c r="L424" s="564"/>
    </row>
    <row r="425" spans="1:12" ht="12.75">
      <c r="A425" s="334">
        <f t="shared" si="19"/>
        <v>424</v>
      </c>
      <c r="B425" s="540"/>
      <c r="C425" s="371" t="s">
        <v>487</v>
      </c>
      <c r="D425" s="371"/>
      <c r="E425" s="371"/>
      <c r="F425" s="371"/>
      <c r="G425" s="397"/>
      <c r="H425" s="343">
        <f>SUBTOTAL(9,H420:H424)</f>
        <v>6040</v>
      </c>
      <c r="I425" s="343">
        <f>SUBTOTAL(9,I420:I424)</f>
        <v>5710</v>
      </c>
      <c r="J425" s="343">
        <f>SUBTOTAL(9,J420:J424)</f>
        <v>5604</v>
      </c>
      <c r="K425" s="344">
        <f t="shared" si="20"/>
        <v>-106</v>
      </c>
      <c r="L425" s="345">
        <f t="shared" si="21"/>
        <v>98.14360770577933</v>
      </c>
    </row>
    <row r="426" spans="1:12" ht="12.75">
      <c r="A426" s="334">
        <f t="shared" si="19"/>
        <v>425</v>
      </c>
      <c r="B426" s="539">
        <v>5400</v>
      </c>
      <c r="C426" s="565">
        <v>3636</v>
      </c>
      <c r="D426" s="565" t="s">
        <v>171</v>
      </c>
      <c r="E426" s="565">
        <v>5166</v>
      </c>
      <c r="F426" s="565" t="s">
        <v>318</v>
      </c>
      <c r="G426" s="476"/>
      <c r="H426" s="562">
        <v>3200</v>
      </c>
      <c r="I426" s="562">
        <v>3200</v>
      </c>
      <c r="J426" s="562">
        <v>3176</v>
      </c>
      <c r="K426" s="563">
        <f t="shared" si="20"/>
        <v>-24</v>
      </c>
      <c r="L426" s="564">
        <f t="shared" si="21"/>
        <v>99.25</v>
      </c>
    </row>
    <row r="427" spans="1:12" ht="12.75">
      <c r="A427" s="334">
        <f t="shared" si="19"/>
        <v>426</v>
      </c>
      <c r="B427" s="540"/>
      <c r="C427" s="750" t="s">
        <v>358</v>
      </c>
      <c r="D427" s="751"/>
      <c r="E427" s="566"/>
      <c r="F427" s="566"/>
      <c r="G427" s="397"/>
      <c r="H427" s="519">
        <f>SUBTOTAL(9,H426:H426)</f>
        <v>3200</v>
      </c>
      <c r="I427" s="519">
        <f>SUBTOTAL(9,I426:I426)</f>
        <v>3200</v>
      </c>
      <c r="J427" s="519">
        <f>SUBTOTAL(9,J426:J426)</f>
        <v>3176</v>
      </c>
      <c r="K427" s="520">
        <f t="shared" si="20"/>
        <v>-24</v>
      </c>
      <c r="L427" s="521">
        <f t="shared" si="21"/>
        <v>99.25</v>
      </c>
    </row>
    <row r="428" spans="1:12" ht="13.5" thickBot="1">
      <c r="A428" s="334">
        <f t="shared" si="19"/>
        <v>427</v>
      </c>
      <c r="B428" s="357" t="s">
        <v>15</v>
      </c>
      <c r="C428" s="358"/>
      <c r="D428" s="358"/>
      <c r="E428" s="358"/>
      <c r="F428" s="358"/>
      <c r="G428" s="359"/>
      <c r="H428" s="360">
        <f>SUBTOTAL(9,H393:H427)</f>
        <v>2307298</v>
      </c>
      <c r="I428" s="360">
        <f>SUBTOTAL(9,I393:I427)</f>
        <v>2324749</v>
      </c>
      <c r="J428" s="360">
        <f>SUBTOTAL(9,J393:J427)</f>
        <v>2322209</v>
      </c>
      <c r="K428" s="361">
        <f t="shared" si="20"/>
        <v>-2540</v>
      </c>
      <c r="L428" s="362">
        <f t="shared" si="21"/>
        <v>99.89074089288779</v>
      </c>
    </row>
    <row r="429" spans="1:12" ht="12.75">
      <c r="A429" s="334">
        <f t="shared" si="19"/>
        <v>428</v>
      </c>
      <c r="B429" s="540"/>
      <c r="C429" s="371"/>
      <c r="D429" s="371"/>
      <c r="E429" s="371"/>
      <c r="F429" s="371"/>
      <c r="G429" s="397"/>
      <c r="H429" s="519"/>
      <c r="I429" s="519"/>
      <c r="J429" s="519"/>
      <c r="K429" s="520">
        <f t="shared" si="20"/>
        <v>0</v>
      </c>
      <c r="L429" s="521"/>
    </row>
    <row r="430" spans="1:12" ht="15.75">
      <c r="A430" s="334">
        <f t="shared" si="19"/>
        <v>429</v>
      </c>
      <c r="B430" s="370" t="s">
        <v>18</v>
      </c>
      <c r="C430" s="371"/>
      <c r="D430" s="371"/>
      <c r="E430" s="371"/>
      <c r="F430" s="371"/>
      <c r="G430" s="397"/>
      <c r="H430" s="562"/>
      <c r="I430" s="562"/>
      <c r="J430" s="562"/>
      <c r="K430" s="563">
        <f t="shared" si="20"/>
        <v>0</v>
      </c>
      <c r="L430" s="564"/>
    </row>
    <row r="431" spans="1:12" ht="12.75">
      <c r="A431" s="334">
        <f t="shared" si="19"/>
        <v>430</v>
      </c>
      <c r="B431" s="539">
        <v>5600</v>
      </c>
      <c r="C431" s="349">
        <v>3636</v>
      </c>
      <c r="D431" s="565" t="s">
        <v>171</v>
      </c>
      <c r="E431" s="349">
        <v>5169</v>
      </c>
      <c r="F431" s="328" t="s">
        <v>321</v>
      </c>
      <c r="G431" s="476"/>
      <c r="H431" s="567">
        <v>180</v>
      </c>
      <c r="I431" s="567">
        <v>180</v>
      </c>
      <c r="J431" s="567">
        <v>166</v>
      </c>
      <c r="K431" s="568">
        <f t="shared" si="20"/>
        <v>-14</v>
      </c>
      <c r="L431" s="569">
        <f t="shared" si="21"/>
        <v>92.22222222222223</v>
      </c>
    </row>
    <row r="432" spans="1:12" ht="12.75">
      <c r="A432" s="334">
        <f t="shared" si="19"/>
        <v>431</v>
      </c>
      <c r="B432" s="539"/>
      <c r="C432" s="371" t="s">
        <v>358</v>
      </c>
      <c r="D432" s="371"/>
      <c r="E432" s="371"/>
      <c r="F432" s="371"/>
      <c r="G432" s="397"/>
      <c r="H432" s="570">
        <f>SUBTOTAL(9,H431:H431)</f>
        <v>180</v>
      </c>
      <c r="I432" s="570">
        <f>SUBTOTAL(9,I431:I431)</f>
        <v>180</v>
      </c>
      <c r="J432" s="570">
        <f>SUBTOTAL(9,J431:J431)</f>
        <v>166</v>
      </c>
      <c r="K432" s="571">
        <f t="shared" si="20"/>
        <v>-14</v>
      </c>
      <c r="L432" s="572">
        <f t="shared" si="21"/>
        <v>92.22222222222223</v>
      </c>
    </row>
    <row r="433" spans="1:12" ht="12.75">
      <c r="A433" s="334">
        <f t="shared" si="19"/>
        <v>432</v>
      </c>
      <c r="B433" s="539">
        <v>5600</v>
      </c>
      <c r="C433" s="349">
        <v>3639</v>
      </c>
      <c r="D433" s="349" t="s">
        <v>42</v>
      </c>
      <c r="E433" s="349">
        <v>5151</v>
      </c>
      <c r="F433" s="349" t="s">
        <v>354</v>
      </c>
      <c r="G433" s="397"/>
      <c r="H433" s="570"/>
      <c r="I433" s="567">
        <v>1</v>
      </c>
      <c r="J433" s="570"/>
      <c r="K433" s="571">
        <f t="shared" si="20"/>
        <v>-1</v>
      </c>
      <c r="L433" s="572">
        <f t="shared" si="21"/>
        <v>0</v>
      </c>
    </row>
    <row r="434" spans="1:12" ht="12.75">
      <c r="A434" s="334">
        <f t="shared" si="19"/>
        <v>433</v>
      </c>
      <c r="B434" s="539">
        <v>5600</v>
      </c>
      <c r="C434" s="349">
        <v>3639</v>
      </c>
      <c r="D434" s="349" t="s">
        <v>42</v>
      </c>
      <c r="E434" s="349">
        <v>5164</v>
      </c>
      <c r="F434" s="349" t="s">
        <v>357</v>
      </c>
      <c r="G434" s="397"/>
      <c r="H434" s="570"/>
      <c r="I434" s="567">
        <v>1</v>
      </c>
      <c r="J434" s="567">
        <v>1</v>
      </c>
      <c r="K434" s="568">
        <f t="shared" si="20"/>
        <v>0</v>
      </c>
      <c r="L434" s="569">
        <f t="shared" si="21"/>
        <v>100</v>
      </c>
    </row>
    <row r="435" spans="1:12" ht="12.75">
      <c r="A435" s="334">
        <f t="shared" si="19"/>
        <v>434</v>
      </c>
      <c r="B435" s="539">
        <v>5600</v>
      </c>
      <c r="C435" s="349">
        <v>3639</v>
      </c>
      <c r="D435" s="349" t="s">
        <v>42</v>
      </c>
      <c r="E435" s="349">
        <v>5166</v>
      </c>
      <c r="F435" s="349" t="s">
        <v>318</v>
      </c>
      <c r="G435" s="476"/>
      <c r="H435" s="330">
        <v>950</v>
      </c>
      <c r="I435" s="330">
        <v>956</v>
      </c>
      <c r="J435" s="330">
        <v>881</v>
      </c>
      <c r="K435" s="337">
        <f t="shared" si="20"/>
        <v>-75</v>
      </c>
      <c r="L435" s="338">
        <f t="shared" si="21"/>
        <v>92.15481171548117</v>
      </c>
    </row>
    <row r="436" spans="1:12" ht="12.75">
      <c r="A436" s="334">
        <f t="shared" si="19"/>
        <v>435</v>
      </c>
      <c r="B436" s="539">
        <v>5600</v>
      </c>
      <c r="C436" s="349">
        <v>3639</v>
      </c>
      <c r="D436" s="349" t="s">
        <v>42</v>
      </c>
      <c r="E436" s="349">
        <v>5169</v>
      </c>
      <c r="F436" s="328" t="s">
        <v>321</v>
      </c>
      <c r="G436" s="329"/>
      <c r="H436" s="330">
        <v>700</v>
      </c>
      <c r="I436" s="330">
        <v>107</v>
      </c>
      <c r="J436" s="330">
        <v>8</v>
      </c>
      <c r="K436" s="337">
        <f t="shared" si="20"/>
        <v>-99</v>
      </c>
      <c r="L436" s="338">
        <f t="shared" si="21"/>
        <v>7.476635514018691</v>
      </c>
    </row>
    <row r="437" spans="1:12" ht="12.75">
      <c r="A437" s="334">
        <f t="shared" si="19"/>
        <v>436</v>
      </c>
      <c r="B437" s="539">
        <v>5600</v>
      </c>
      <c r="C437" s="349">
        <v>3639</v>
      </c>
      <c r="D437" s="349" t="s">
        <v>42</v>
      </c>
      <c r="E437" s="349">
        <v>5171</v>
      </c>
      <c r="F437" s="349" t="s">
        <v>402</v>
      </c>
      <c r="G437" s="329"/>
      <c r="H437" s="330">
        <v>50</v>
      </c>
      <c r="I437" s="330">
        <v>50</v>
      </c>
      <c r="J437" s="330"/>
      <c r="K437" s="337">
        <f t="shared" si="20"/>
        <v>-50</v>
      </c>
      <c r="L437" s="338">
        <f t="shared" si="21"/>
        <v>0</v>
      </c>
    </row>
    <row r="438" spans="1:12" ht="12.75">
      <c r="A438" s="334">
        <f t="shared" si="19"/>
        <v>437</v>
      </c>
      <c r="B438" s="539">
        <v>5600</v>
      </c>
      <c r="C438" s="349">
        <v>3639</v>
      </c>
      <c r="D438" s="349" t="s">
        <v>42</v>
      </c>
      <c r="E438" s="349">
        <v>5173</v>
      </c>
      <c r="F438" s="378" t="s">
        <v>363</v>
      </c>
      <c r="G438" s="329"/>
      <c r="H438" s="330">
        <v>50</v>
      </c>
      <c r="I438" s="330"/>
      <c r="J438" s="330"/>
      <c r="K438" s="337">
        <f t="shared" si="20"/>
        <v>0</v>
      </c>
      <c r="L438" s="338"/>
    </row>
    <row r="439" spans="1:12" ht="12.75">
      <c r="A439" s="334">
        <f t="shared" si="19"/>
        <v>438</v>
      </c>
      <c r="B439" s="539">
        <v>5600</v>
      </c>
      <c r="C439" s="349">
        <v>3639</v>
      </c>
      <c r="D439" s="349" t="s">
        <v>42</v>
      </c>
      <c r="E439" s="349">
        <v>5192</v>
      </c>
      <c r="F439" s="328" t="s">
        <v>342</v>
      </c>
      <c r="G439" s="476"/>
      <c r="H439" s="573">
        <v>400</v>
      </c>
      <c r="I439" s="573">
        <v>715</v>
      </c>
      <c r="J439" s="573">
        <v>715</v>
      </c>
      <c r="K439" s="574">
        <f t="shared" si="20"/>
        <v>0</v>
      </c>
      <c r="L439" s="575">
        <f t="shared" si="21"/>
        <v>100</v>
      </c>
    </row>
    <row r="440" spans="1:12" ht="12.75">
      <c r="A440" s="334">
        <f t="shared" si="19"/>
        <v>439</v>
      </c>
      <c r="B440" s="539">
        <v>5600</v>
      </c>
      <c r="C440" s="349">
        <v>3639</v>
      </c>
      <c r="D440" s="349" t="s">
        <v>42</v>
      </c>
      <c r="E440" s="349">
        <v>5362</v>
      </c>
      <c r="F440" s="328" t="s">
        <v>329</v>
      </c>
      <c r="G440" s="476"/>
      <c r="H440" s="573">
        <v>50</v>
      </c>
      <c r="I440" s="573">
        <v>320</v>
      </c>
      <c r="J440" s="573">
        <v>266</v>
      </c>
      <c r="K440" s="574">
        <f t="shared" si="20"/>
        <v>-54</v>
      </c>
      <c r="L440" s="575">
        <f t="shared" si="21"/>
        <v>83.125</v>
      </c>
    </row>
    <row r="441" spans="1:12" ht="12.75">
      <c r="A441" s="334">
        <f t="shared" si="19"/>
        <v>440</v>
      </c>
      <c r="B441" s="539">
        <v>5600</v>
      </c>
      <c r="C441" s="349">
        <v>3639</v>
      </c>
      <c r="D441" s="349" t="s">
        <v>42</v>
      </c>
      <c r="E441" s="349">
        <v>5363</v>
      </c>
      <c r="F441" s="328" t="s">
        <v>322</v>
      </c>
      <c r="G441" s="476"/>
      <c r="H441" s="573"/>
      <c r="I441" s="573">
        <v>50</v>
      </c>
      <c r="J441" s="573">
        <v>31</v>
      </c>
      <c r="K441" s="574">
        <f t="shared" si="20"/>
        <v>-19</v>
      </c>
      <c r="L441" s="575">
        <f t="shared" si="21"/>
        <v>62</v>
      </c>
    </row>
    <row r="442" spans="1:12" ht="12.75">
      <c r="A442" s="334">
        <f t="shared" si="19"/>
        <v>441</v>
      </c>
      <c r="B442" s="539"/>
      <c r="C442" s="371" t="s">
        <v>430</v>
      </c>
      <c r="D442" s="349"/>
      <c r="E442" s="349"/>
      <c r="F442" s="349"/>
      <c r="G442" s="476"/>
      <c r="H442" s="519">
        <f>SUBTOTAL(9,H433:H441)</f>
        <v>2200</v>
      </c>
      <c r="I442" s="519">
        <f>SUBTOTAL(9,I433:I441)</f>
        <v>2200</v>
      </c>
      <c r="J442" s="519">
        <f>SUBTOTAL(9,J433:J441)</f>
        <v>1902</v>
      </c>
      <c r="K442" s="520">
        <f t="shared" si="20"/>
        <v>-298</v>
      </c>
      <c r="L442" s="521">
        <f t="shared" si="21"/>
        <v>86.45454545454545</v>
      </c>
    </row>
    <row r="443" spans="1:12" ht="12.75">
      <c r="A443" s="334">
        <f t="shared" si="19"/>
        <v>442</v>
      </c>
      <c r="B443" s="539">
        <v>5600</v>
      </c>
      <c r="C443" s="349">
        <v>3745</v>
      </c>
      <c r="D443" s="328" t="s">
        <v>2</v>
      </c>
      <c r="E443" s="349">
        <v>5169</v>
      </c>
      <c r="F443" s="328" t="s">
        <v>321</v>
      </c>
      <c r="G443" s="476" t="s">
        <v>360</v>
      </c>
      <c r="H443" s="567">
        <v>600</v>
      </c>
      <c r="I443" s="567">
        <v>600</v>
      </c>
      <c r="J443" s="567"/>
      <c r="K443" s="568">
        <f t="shared" si="20"/>
        <v>-600</v>
      </c>
      <c r="L443" s="569">
        <f t="shared" si="21"/>
        <v>0</v>
      </c>
    </row>
    <row r="444" spans="1:12" ht="12.75">
      <c r="A444" s="334">
        <f t="shared" si="19"/>
        <v>443</v>
      </c>
      <c r="B444" s="539"/>
      <c r="C444" s="371" t="s">
        <v>431</v>
      </c>
      <c r="D444" s="371"/>
      <c r="E444" s="371"/>
      <c r="F444" s="371"/>
      <c r="G444" s="397"/>
      <c r="H444" s="570">
        <f>SUBTOTAL(9,H442:H443)</f>
        <v>600</v>
      </c>
      <c r="I444" s="570">
        <f>SUBTOTAL(9,I442:I443)</f>
        <v>600</v>
      </c>
      <c r="J444" s="570">
        <v>187</v>
      </c>
      <c r="K444" s="571">
        <f t="shared" si="20"/>
        <v>-413</v>
      </c>
      <c r="L444" s="572">
        <f t="shared" si="21"/>
        <v>31.166666666666664</v>
      </c>
    </row>
    <row r="445" spans="1:12" ht="13.5" thickBot="1">
      <c r="A445" s="334">
        <f t="shared" si="19"/>
        <v>444</v>
      </c>
      <c r="B445" s="357" t="s">
        <v>16</v>
      </c>
      <c r="C445" s="358"/>
      <c r="D445" s="358"/>
      <c r="E445" s="358"/>
      <c r="F445" s="358"/>
      <c r="G445" s="359"/>
      <c r="H445" s="360">
        <f>SUBTOTAL(9,H431:H444)</f>
        <v>2980</v>
      </c>
      <c r="I445" s="360">
        <f>SUBTOTAL(9,I431:I444)</f>
        <v>2980</v>
      </c>
      <c r="J445" s="360">
        <f>SUBTOTAL(9,J431:J444)</f>
        <v>2255</v>
      </c>
      <c r="K445" s="361">
        <f t="shared" si="20"/>
        <v>-725</v>
      </c>
      <c r="L445" s="362">
        <f t="shared" si="21"/>
        <v>75.67114093959731</v>
      </c>
    </row>
    <row r="446" spans="1:12" ht="12.75">
      <c r="A446" s="334">
        <f t="shared" si="19"/>
        <v>445</v>
      </c>
      <c r="B446" s="540"/>
      <c r="C446" s="371"/>
      <c r="D446" s="371"/>
      <c r="E446" s="371"/>
      <c r="F446" s="371"/>
      <c r="G446" s="397"/>
      <c r="H446" s="519"/>
      <c r="I446" s="519"/>
      <c r="J446" s="519"/>
      <c r="K446" s="520">
        <f t="shared" si="20"/>
        <v>0</v>
      </c>
      <c r="L446" s="521"/>
    </row>
    <row r="447" spans="1:12" ht="15.75">
      <c r="A447" s="334">
        <f t="shared" si="19"/>
        <v>446</v>
      </c>
      <c r="B447" s="370" t="s">
        <v>46</v>
      </c>
      <c r="C447" s="371"/>
      <c r="D447" s="371"/>
      <c r="E447" s="371"/>
      <c r="F447" s="371"/>
      <c r="G447" s="397"/>
      <c r="H447" s="573"/>
      <c r="I447" s="573"/>
      <c r="J447" s="573"/>
      <c r="K447" s="574">
        <f t="shared" si="20"/>
        <v>0</v>
      </c>
      <c r="L447" s="575"/>
    </row>
    <row r="448" spans="1:12" ht="12.75">
      <c r="A448" s="334">
        <f t="shared" si="19"/>
        <v>447</v>
      </c>
      <c r="B448" s="539">
        <v>5700</v>
      </c>
      <c r="C448" s="349">
        <v>2310</v>
      </c>
      <c r="D448" s="349" t="s">
        <v>5</v>
      </c>
      <c r="E448" s="349">
        <v>5166</v>
      </c>
      <c r="F448" s="349" t="s">
        <v>318</v>
      </c>
      <c r="G448" s="476"/>
      <c r="H448" s="573">
        <v>200</v>
      </c>
      <c r="I448" s="573">
        <v>200</v>
      </c>
      <c r="J448" s="573">
        <v>91</v>
      </c>
      <c r="K448" s="574">
        <f t="shared" si="20"/>
        <v>-109</v>
      </c>
      <c r="L448" s="575">
        <f t="shared" si="21"/>
        <v>45.5</v>
      </c>
    </row>
    <row r="449" spans="1:12" ht="12.75">
      <c r="A449" s="334">
        <f t="shared" si="19"/>
        <v>448</v>
      </c>
      <c r="B449" s="539">
        <v>5700</v>
      </c>
      <c r="C449" s="349">
        <v>2310</v>
      </c>
      <c r="D449" s="349" t="s">
        <v>5</v>
      </c>
      <c r="E449" s="349">
        <v>5169</v>
      </c>
      <c r="F449" s="328" t="s">
        <v>321</v>
      </c>
      <c r="G449" s="329"/>
      <c r="H449" s="573">
        <v>392</v>
      </c>
      <c r="I449" s="573">
        <v>392</v>
      </c>
      <c r="J449" s="573"/>
      <c r="K449" s="574">
        <f t="shared" si="20"/>
        <v>-392</v>
      </c>
      <c r="L449" s="575">
        <f t="shared" si="21"/>
        <v>0</v>
      </c>
    </row>
    <row r="450" spans="1:12" ht="12.75">
      <c r="A450" s="334">
        <f t="shared" si="19"/>
        <v>449</v>
      </c>
      <c r="B450" s="540"/>
      <c r="C450" s="371" t="s">
        <v>465</v>
      </c>
      <c r="D450" s="371"/>
      <c r="E450" s="371"/>
      <c r="F450" s="341"/>
      <c r="G450" s="342"/>
      <c r="H450" s="519">
        <f>SUBTOTAL(9,H448:H449)</f>
        <v>592</v>
      </c>
      <c r="I450" s="519">
        <f>SUBTOTAL(9,I448:I449)</f>
        <v>592</v>
      </c>
      <c r="J450" s="519">
        <f>SUBTOTAL(9,J448:J449)</f>
        <v>91</v>
      </c>
      <c r="K450" s="520">
        <f t="shared" si="20"/>
        <v>-501</v>
      </c>
      <c r="L450" s="521">
        <f t="shared" si="21"/>
        <v>15.371621621621623</v>
      </c>
    </row>
    <row r="451" spans="1:12" ht="12.75">
      <c r="A451" s="334">
        <f t="shared" si="19"/>
        <v>450</v>
      </c>
      <c r="B451" s="539">
        <v>5700</v>
      </c>
      <c r="C451" s="349">
        <v>2321</v>
      </c>
      <c r="D451" s="349" t="s">
        <v>488</v>
      </c>
      <c r="E451" s="349">
        <v>5166</v>
      </c>
      <c r="F451" s="349" t="s">
        <v>318</v>
      </c>
      <c r="G451" s="476"/>
      <c r="H451" s="330">
        <v>400</v>
      </c>
      <c r="I451" s="330">
        <v>850</v>
      </c>
      <c r="J451" s="330">
        <v>825</v>
      </c>
      <c r="K451" s="337">
        <f t="shared" si="20"/>
        <v>-25</v>
      </c>
      <c r="L451" s="338">
        <f t="shared" si="21"/>
        <v>97.05882352941177</v>
      </c>
    </row>
    <row r="452" spans="1:12" ht="12.75">
      <c r="A452" s="334">
        <f aca="true" t="shared" si="22" ref="A452:A515">A451+1</f>
        <v>451</v>
      </c>
      <c r="B452" s="539">
        <v>5700</v>
      </c>
      <c r="C452" s="349">
        <v>2321</v>
      </c>
      <c r="D452" s="349" t="s">
        <v>488</v>
      </c>
      <c r="E452" s="349">
        <v>5169</v>
      </c>
      <c r="F452" s="328" t="s">
        <v>321</v>
      </c>
      <c r="G452" s="329"/>
      <c r="H452" s="573">
        <v>400</v>
      </c>
      <c r="I452" s="573">
        <v>350</v>
      </c>
      <c r="J452" s="573">
        <v>126</v>
      </c>
      <c r="K452" s="574">
        <f aca="true" t="shared" si="23" ref="K452:K515">J452-I452</f>
        <v>-224</v>
      </c>
      <c r="L452" s="575">
        <f aca="true" t="shared" si="24" ref="L452:L515">J452/I452*100</f>
        <v>36</v>
      </c>
    </row>
    <row r="453" spans="1:12" ht="12.75">
      <c r="A453" s="334">
        <f t="shared" si="22"/>
        <v>452</v>
      </c>
      <c r="B453" s="539">
        <v>5700</v>
      </c>
      <c r="C453" s="349">
        <v>2321</v>
      </c>
      <c r="D453" s="349" t="s">
        <v>488</v>
      </c>
      <c r="E453" s="349">
        <v>5171</v>
      </c>
      <c r="F453" s="349" t="s">
        <v>402</v>
      </c>
      <c r="G453" s="329"/>
      <c r="H453" s="573">
        <v>100</v>
      </c>
      <c r="I453" s="573">
        <v>100</v>
      </c>
      <c r="J453" s="573"/>
      <c r="K453" s="574">
        <f t="shared" si="23"/>
        <v>-100</v>
      </c>
      <c r="L453" s="575">
        <f t="shared" si="24"/>
        <v>0</v>
      </c>
    </row>
    <row r="454" spans="1:12" ht="12.75">
      <c r="A454" s="334">
        <f t="shared" si="22"/>
        <v>453</v>
      </c>
      <c r="B454" s="539">
        <v>5700</v>
      </c>
      <c r="C454" s="349">
        <v>2321</v>
      </c>
      <c r="D454" s="349" t="s">
        <v>488</v>
      </c>
      <c r="E454" s="349">
        <v>5192</v>
      </c>
      <c r="F454" s="328" t="s">
        <v>342</v>
      </c>
      <c r="G454" s="329"/>
      <c r="H454" s="573">
        <v>20</v>
      </c>
      <c r="I454" s="573">
        <v>20</v>
      </c>
      <c r="J454" s="573">
        <v>13</v>
      </c>
      <c r="K454" s="574">
        <f t="shared" si="23"/>
        <v>-7</v>
      </c>
      <c r="L454" s="575">
        <f t="shared" si="24"/>
        <v>65</v>
      </c>
    </row>
    <row r="455" spans="1:12" ht="12.75">
      <c r="A455" s="334">
        <f t="shared" si="22"/>
        <v>454</v>
      </c>
      <c r="B455" s="540"/>
      <c r="C455" s="371" t="s">
        <v>467</v>
      </c>
      <c r="D455" s="371"/>
      <c r="E455" s="371"/>
      <c r="F455" s="341"/>
      <c r="G455" s="342"/>
      <c r="H455" s="519">
        <f>SUBTOTAL(9,H451:H454)</f>
        <v>920</v>
      </c>
      <c r="I455" s="519">
        <f>SUBTOTAL(9,I451:I454)</f>
        <v>1320</v>
      </c>
      <c r="J455" s="519">
        <f>SUBTOTAL(9,J451:J454)</f>
        <v>964</v>
      </c>
      <c r="K455" s="520">
        <f t="shared" si="23"/>
        <v>-356</v>
      </c>
      <c r="L455" s="521">
        <f t="shared" si="24"/>
        <v>73.03030303030303</v>
      </c>
    </row>
    <row r="456" spans="1:12" ht="12.75">
      <c r="A456" s="334">
        <f t="shared" si="22"/>
        <v>455</v>
      </c>
      <c r="B456" s="456">
        <v>5700</v>
      </c>
      <c r="C456" s="435">
        <v>3319</v>
      </c>
      <c r="D456" s="522" t="s">
        <v>489</v>
      </c>
      <c r="E456" s="435">
        <v>5213</v>
      </c>
      <c r="F456" s="576" t="s">
        <v>490</v>
      </c>
      <c r="G456" s="435" t="s">
        <v>491</v>
      </c>
      <c r="H456" s="542">
        <v>0</v>
      </c>
      <c r="I456" s="331">
        <v>1500</v>
      </c>
      <c r="J456" s="542">
        <v>1500</v>
      </c>
      <c r="K456" s="543">
        <f t="shared" si="23"/>
        <v>0</v>
      </c>
      <c r="L456" s="338">
        <f t="shared" si="24"/>
        <v>100</v>
      </c>
    </row>
    <row r="457" spans="1:12" ht="12.75">
      <c r="A457" s="334">
        <f t="shared" si="22"/>
        <v>456</v>
      </c>
      <c r="B457" s="577"/>
      <c r="C457" s="578" t="s">
        <v>423</v>
      </c>
      <c r="D457" s="578"/>
      <c r="E457" s="578"/>
      <c r="F457" s="579"/>
      <c r="G457" s="578"/>
      <c r="H457" s="580">
        <f>SUBTOTAL(9,H456)</f>
        <v>0</v>
      </c>
      <c r="I457" s="581">
        <f>SUBTOTAL(9,I456)</f>
        <v>1500</v>
      </c>
      <c r="J457" s="580">
        <f>SUBTOTAL(9,J456)</f>
        <v>1500</v>
      </c>
      <c r="K457" s="582">
        <f t="shared" si="23"/>
        <v>0</v>
      </c>
      <c r="L457" s="521">
        <f t="shared" si="24"/>
        <v>100</v>
      </c>
    </row>
    <row r="458" spans="1:12" ht="12.75">
      <c r="A458" s="334">
        <f t="shared" si="22"/>
        <v>457</v>
      </c>
      <c r="B458" s="539">
        <v>5700</v>
      </c>
      <c r="C458" s="349">
        <v>3631</v>
      </c>
      <c r="D458" s="349" t="s">
        <v>10</v>
      </c>
      <c r="E458" s="349">
        <v>5166</v>
      </c>
      <c r="F458" s="349" t="s">
        <v>318</v>
      </c>
      <c r="G458" s="476"/>
      <c r="H458" s="552">
        <v>100</v>
      </c>
      <c r="I458" s="552">
        <v>100</v>
      </c>
      <c r="J458" s="552"/>
      <c r="K458" s="553">
        <f t="shared" si="23"/>
        <v>-100</v>
      </c>
      <c r="L458" s="554">
        <f t="shared" si="24"/>
        <v>0</v>
      </c>
    </row>
    <row r="459" spans="1:12" ht="12.75">
      <c r="A459" s="334">
        <f t="shared" si="22"/>
        <v>458</v>
      </c>
      <c r="B459" s="539">
        <v>5700</v>
      </c>
      <c r="C459" s="349">
        <v>3631</v>
      </c>
      <c r="D459" s="349" t="s">
        <v>10</v>
      </c>
      <c r="E459" s="349">
        <v>5169</v>
      </c>
      <c r="F459" s="328" t="s">
        <v>321</v>
      </c>
      <c r="G459" s="329"/>
      <c r="H459" s="573">
        <v>138742</v>
      </c>
      <c r="I459" s="573">
        <v>139242</v>
      </c>
      <c r="J459" s="573">
        <v>138317</v>
      </c>
      <c r="K459" s="574">
        <f t="shared" si="23"/>
        <v>-925</v>
      </c>
      <c r="L459" s="575">
        <f t="shared" si="24"/>
        <v>99.33568894442769</v>
      </c>
    </row>
    <row r="460" spans="1:12" ht="12.75">
      <c r="A460" s="334">
        <f t="shared" si="22"/>
        <v>459</v>
      </c>
      <c r="B460" s="539">
        <v>5700</v>
      </c>
      <c r="C460" s="349">
        <v>3631</v>
      </c>
      <c r="D460" s="349" t="s">
        <v>10</v>
      </c>
      <c r="E460" s="349">
        <v>5171</v>
      </c>
      <c r="F460" s="328" t="s">
        <v>402</v>
      </c>
      <c r="G460" s="329"/>
      <c r="H460" s="573">
        <v>100</v>
      </c>
      <c r="I460" s="573">
        <v>100</v>
      </c>
      <c r="J460" s="573">
        <v>20</v>
      </c>
      <c r="K460" s="574">
        <f t="shared" si="23"/>
        <v>-80</v>
      </c>
      <c r="L460" s="575">
        <f t="shared" si="24"/>
        <v>20</v>
      </c>
    </row>
    <row r="461" spans="1:12" ht="12.75">
      <c r="A461" s="334">
        <f t="shared" si="22"/>
        <v>460</v>
      </c>
      <c r="B461" s="540"/>
      <c r="C461" s="371" t="s">
        <v>492</v>
      </c>
      <c r="D461" s="371"/>
      <c r="E461" s="371"/>
      <c r="F461" s="341"/>
      <c r="G461" s="342"/>
      <c r="H461" s="519">
        <f>SUBTOTAL(9,H458:H460)</f>
        <v>138942</v>
      </c>
      <c r="I461" s="519">
        <f>SUBTOTAL(9,I458:I460)</f>
        <v>139442</v>
      </c>
      <c r="J461" s="519">
        <f>SUBTOTAL(9,J458:J460)</f>
        <v>138337</v>
      </c>
      <c r="K461" s="520">
        <f t="shared" si="23"/>
        <v>-1105</v>
      </c>
      <c r="L461" s="521">
        <f t="shared" si="24"/>
        <v>99.20755582966395</v>
      </c>
    </row>
    <row r="462" spans="1:12" ht="12.75">
      <c r="A462" s="334">
        <f t="shared" si="22"/>
        <v>461</v>
      </c>
      <c r="B462" s="539">
        <v>5700</v>
      </c>
      <c r="C462" s="349">
        <v>3633</v>
      </c>
      <c r="D462" s="349" t="s">
        <v>493</v>
      </c>
      <c r="E462" s="349">
        <v>5166</v>
      </c>
      <c r="F462" s="349" t="s">
        <v>318</v>
      </c>
      <c r="G462" s="476"/>
      <c r="H462" s="330">
        <v>400</v>
      </c>
      <c r="I462" s="330">
        <v>401</v>
      </c>
      <c r="J462" s="330">
        <v>400</v>
      </c>
      <c r="K462" s="337">
        <f t="shared" si="23"/>
        <v>-1</v>
      </c>
      <c r="L462" s="338">
        <f t="shared" si="24"/>
        <v>99.75062344139651</v>
      </c>
    </row>
    <row r="463" spans="1:12" ht="12.75">
      <c r="A463" s="334">
        <f t="shared" si="22"/>
        <v>462</v>
      </c>
      <c r="B463" s="539">
        <v>5700</v>
      </c>
      <c r="C463" s="349">
        <v>3633</v>
      </c>
      <c r="D463" s="349" t="s">
        <v>493</v>
      </c>
      <c r="E463" s="349">
        <v>5168</v>
      </c>
      <c r="F463" s="349" t="s">
        <v>453</v>
      </c>
      <c r="G463" s="476"/>
      <c r="H463" s="330">
        <v>100</v>
      </c>
      <c r="I463" s="330">
        <v>20</v>
      </c>
      <c r="J463" s="330">
        <v>15</v>
      </c>
      <c r="K463" s="337">
        <f t="shared" si="23"/>
        <v>-5</v>
      </c>
      <c r="L463" s="338">
        <f t="shared" si="24"/>
        <v>75</v>
      </c>
    </row>
    <row r="464" spans="1:12" ht="12.75">
      <c r="A464" s="334">
        <f t="shared" si="22"/>
        <v>463</v>
      </c>
      <c r="B464" s="539">
        <v>5700</v>
      </c>
      <c r="C464" s="349">
        <v>3633</v>
      </c>
      <c r="D464" s="349" t="s">
        <v>493</v>
      </c>
      <c r="E464" s="349">
        <v>5169</v>
      </c>
      <c r="F464" s="328" t="s">
        <v>321</v>
      </c>
      <c r="G464" s="329"/>
      <c r="H464" s="330">
        <v>3922</v>
      </c>
      <c r="I464" s="330">
        <v>3862</v>
      </c>
      <c r="J464" s="330">
        <v>3862</v>
      </c>
      <c r="K464" s="337">
        <f t="shared" si="23"/>
        <v>0</v>
      </c>
      <c r="L464" s="338">
        <f t="shared" si="24"/>
        <v>100</v>
      </c>
    </row>
    <row r="465" spans="1:12" ht="12.75">
      <c r="A465" s="334">
        <f t="shared" si="22"/>
        <v>464</v>
      </c>
      <c r="B465" s="539">
        <v>5700</v>
      </c>
      <c r="C465" s="349">
        <v>3633</v>
      </c>
      <c r="D465" s="349" t="s">
        <v>493</v>
      </c>
      <c r="E465" s="349">
        <v>5171</v>
      </c>
      <c r="F465" s="328" t="s">
        <v>402</v>
      </c>
      <c r="G465" s="329"/>
      <c r="H465" s="330">
        <v>200</v>
      </c>
      <c r="I465" s="330">
        <v>142</v>
      </c>
      <c r="J465" s="330">
        <v>141</v>
      </c>
      <c r="K465" s="337">
        <f t="shared" si="23"/>
        <v>-1</v>
      </c>
      <c r="L465" s="338">
        <f t="shared" si="24"/>
        <v>99.29577464788733</v>
      </c>
    </row>
    <row r="466" spans="1:12" ht="12.75">
      <c r="A466" s="334">
        <f t="shared" si="22"/>
        <v>465</v>
      </c>
      <c r="B466" s="539">
        <v>5700</v>
      </c>
      <c r="C466" s="349">
        <v>3633</v>
      </c>
      <c r="D466" s="349" t="s">
        <v>493</v>
      </c>
      <c r="E466" s="349">
        <v>5192</v>
      </c>
      <c r="F466" s="328" t="s">
        <v>342</v>
      </c>
      <c r="G466" s="329"/>
      <c r="H466" s="330"/>
      <c r="I466" s="330">
        <v>222</v>
      </c>
      <c r="J466" s="330">
        <v>222</v>
      </c>
      <c r="K466" s="337">
        <f t="shared" si="23"/>
        <v>0</v>
      </c>
      <c r="L466" s="338">
        <f t="shared" si="24"/>
        <v>100</v>
      </c>
    </row>
    <row r="467" spans="1:12" ht="12.75">
      <c r="A467" s="334">
        <f t="shared" si="22"/>
        <v>466</v>
      </c>
      <c r="B467" s="539">
        <v>5700</v>
      </c>
      <c r="C467" s="349">
        <v>3633</v>
      </c>
      <c r="D467" s="349" t="s">
        <v>493</v>
      </c>
      <c r="E467" s="349">
        <v>5213</v>
      </c>
      <c r="F467" s="541" t="s">
        <v>460</v>
      </c>
      <c r="G467" s="329" t="s">
        <v>491</v>
      </c>
      <c r="H467" s="573">
        <v>14169</v>
      </c>
      <c r="I467" s="573">
        <v>14169</v>
      </c>
      <c r="J467" s="573">
        <v>13947</v>
      </c>
      <c r="K467" s="574">
        <f t="shared" si="23"/>
        <v>-222</v>
      </c>
      <c r="L467" s="575">
        <f t="shared" si="24"/>
        <v>98.43319923777261</v>
      </c>
    </row>
    <row r="468" spans="1:12" ht="12.75">
      <c r="A468" s="334">
        <f t="shared" si="22"/>
        <v>467</v>
      </c>
      <c r="B468" s="540"/>
      <c r="C468" s="371" t="s">
        <v>494</v>
      </c>
      <c r="D468" s="371"/>
      <c r="E468" s="371"/>
      <c r="F468" s="371"/>
      <c r="G468" s="397"/>
      <c r="H468" s="519">
        <f>SUBTOTAL(9,H462:H467)</f>
        <v>18791</v>
      </c>
      <c r="I468" s="519">
        <f>SUBTOTAL(9,I462:I467)</f>
        <v>18816</v>
      </c>
      <c r="J468" s="519">
        <f>SUBTOTAL(9,J462:J467)</f>
        <v>18587</v>
      </c>
      <c r="K468" s="520">
        <f t="shared" si="23"/>
        <v>-229</v>
      </c>
      <c r="L468" s="521">
        <f t="shared" si="24"/>
        <v>98.78295068027211</v>
      </c>
    </row>
    <row r="469" spans="1:12" ht="12.75">
      <c r="A469" s="334">
        <f t="shared" si="22"/>
        <v>468</v>
      </c>
      <c r="B469" s="539">
        <v>5700</v>
      </c>
      <c r="C469" s="349">
        <v>3699</v>
      </c>
      <c r="D469" s="349" t="s">
        <v>495</v>
      </c>
      <c r="E469" s="349">
        <v>5166</v>
      </c>
      <c r="F469" s="349" t="s">
        <v>318</v>
      </c>
      <c r="G469" s="476"/>
      <c r="H469" s="552">
        <v>100</v>
      </c>
      <c r="I469" s="552">
        <v>100</v>
      </c>
      <c r="J469" s="552">
        <v>32</v>
      </c>
      <c r="K469" s="553">
        <f t="shared" si="23"/>
        <v>-68</v>
      </c>
      <c r="L469" s="554">
        <f t="shared" si="24"/>
        <v>32</v>
      </c>
    </row>
    <row r="470" spans="1:12" ht="12.75">
      <c r="A470" s="334">
        <f t="shared" si="22"/>
        <v>469</v>
      </c>
      <c r="B470" s="539">
        <v>5700</v>
      </c>
      <c r="C470" s="349">
        <v>3699</v>
      </c>
      <c r="D470" s="349" t="s">
        <v>495</v>
      </c>
      <c r="E470" s="349">
        <v>5168</v>
      </c>
      <c r="F470" s="349" t="s">
        <v>453</v>
      </c>
      <c r="G470" s="476"/>
      <c r="H470" s="330">
        <v>60</v>
      </c>
      <c r="I470" s="330">
        <v>60</v>
      </c>
      <c r="J470" s="330"/>
      <c r="K470" s="337">
        <f t="shared" si="23"/>
        <v>-60</v>
      </c>
      <c r="L470" s="338">
        <f t="shared" si="24"/>
        <v>0</v>
      </c>
    </row>
    <row r="471" spans="1:12" ht="12.75">
      <c r="A471" s="334">
        <f t="shared" si="22"/>
        <v>470</v>
      </c>
      <c r="B471" s="539">
        <v>5700</v>
      </c>
      <c r="C471" s="349">
        <v>3699</v>
      </c>
      <c r="D471" s="349" t="s">
        <v>495</v>
      </c>
      <c r="E471" s="349">
        <v>5169</v>
      </c>
      <c r="F471" s="328" t="s">
        <v>321</v>
      </c>
      <c r="G471" s="329"/>
      <c r="H471" s="330">
        <v>4000</v>
      </c>
      <c r="I471" s="330">
        <v>3475</v>
      </c>
      <c r="J471" s="330">
        <v>2135</v>
      </c>
      <c r="K471" s="337">
        <f t="shared" si="23"/>
        <v>-1340</v>
      </c>
      <c r="L471" s="338">
        <f t="shared" si="24"/>
        <v>61.43884892086331</v>
      </c>
    </row>
    <row r="472" spans="1:12" ht="12.75">
      <c r="A472" s="334">
        <f t="shared" si="22"/>
        <v>471</v>
      </c>
      <c r="B472" s="540"/>
      <c r="C472" s="371" t="s">
        <v>496</v>
      </c>
      <c r="D472" s="371"/>
      <c r="E472" s="371"/>
      <c r="F472" s="341"/>
      <c r="G472" s="342"/>
      <c r="H472" s="519">
        <f>SUBTOTAL(9,H469:H471)</f>
        <v>4160</v>
      </c>
      <c r="I472" s="519">
        <f>SUBTOTAL(9,I469:I471)</f>
        <v>3635</v>
      </c>
      <c r="J472" s="519">
        <f>SUBTOTAL(9,J469:J471)</f>
        <v>2167</v>
      </c>
      <c r="K472" s="520">
        <f t="shared" si="23"/>
        <v>-1468</v>
      </c>
      <c r="L472" s="521">
        <f t="shared" si="24"/>
        <v>59.61485557083906</v>
      </c>
    </row>
    <row r="473" spans="1:12" ht="13.5" thickBot="1">
      <c r="A473" s="334">
        <f t="shared" si="22"/>
        <v>472</v>
      </c>
      <c r="B473" s="357" t="s">
        <v>11</v>
      </c>
      <c r="C473" s="358"/>
      <c r="D473" s="358"/>
      <c r="E473" s="358"/>
      <c r="F473" s="358"/>
      <c r="G473" s="359"/>
      <c r="H473" s="360">
        <f>SUBTOTAL(9,H448:H472)</f>
        <v>163405</v>
      </c>
      <c r="I473" s="360">
        <f>SUBTOTAL(9,I448:I472)</f>
        <v>165305</v>
      </c>
      <c r="J473" s="360">
        <f>SUBTOTAL(9,J448:J472)</f>
        <v>161646</v>
      </c>
      <c r="K473" s="361">
        <f t="shared" si="23"/>
        <v>-3659</v>
      </c>
      <c r="L473" s="362">
        <f t="shared" si="24"/>
        <v>97.78651583436677</v>
      </c>
    </row>
    <row r="474" spans="1:12" ht="12.75">
      <c r="A474" s="334">
        <f t="shared" si="22"/>
        <v>473</v>
      </c>
      <c r="B474" s="583"/>
      <c r="C474" s="584"/>
      <c r="D474" s="584"/>
      <c r="E474" s="584"/>
      <c r="F474" s="584"/>
      <c r="G474" s="585"/>
      <c r="H474" s="586"/>
      <c r="I474" s="586"/>
      <c r="J474" s="586"/>
      <c r="K474" s="587">
        <f t="shared" si="23"/>
        <v>0</v>
      </c>
      <c r="L474" s="588"/>
    </row>
    <row r="475" spans="1:12" ht="15.75">
      <c r="A475" s="334">
        <f t="shared" si="22"/>
        <v>474</v>
      </c>
      <c r="B475" s="752" t="s">
        <v>230</v>
      </c>
      <c r="C475" s="753"/>
      <c r="D475" s="753"/>
      <c r="E475" s="423"/>
      <c r="F475" s="378"/>
      <c r="G475" s="591"/>
      <c r="H475" s="502"/>
      <c r="I475" s="502"/>
      <c r="J475" s="502"/>
      <c r="K475" s="503">
        <f t="shared" si="23"/>
        <v>0</v>
      </c>
      <c r="L475" s="504"/>
    </row>
    <row r="476" spans="1:12" ht="12.75">
      <c r="A476" s="334">
        <f t="shared" si="22"/>
        <v>475</v>
      </c>
      <c r="B476" s="592">
        <v>6200</v>
      </c>
      <c r="C476" s="349">
        <v>3612</v>
      </c>
      <c r="D476" s="349" t="s">
        <v>12</v>
      </c>
      <c r="E476" s="349">
        <v>5161</v>
      </c>
      <c r="F476" s="349" t="s">
        <v>387</v>
      </c>
      <c r="G476" s="476" t="s">
        <v>338</v>
      </c>
      <c r="H476" s="330">
        <v>50</v>
      </c>
      <c r="I476" s="330">
        <v>50</v>
      </c>
      <c r="J476" s="330">
        <v>0</v>
      </c>
      <c r="K476" s="337">
        <f t="shared" si="23"/>
        <v>-50</v>
      </c>
      <c r="L476" s="338">
        <f t="shared" si="24"/>
        <v>0</v>
      </c>
    </row>
    <row r="477" spans="1:12" ht="12.75">
      <c r="A477" s="334">
        <f t="shared" si="22"/>
        <v>476</v>
      </c>
      <c r="B477" s="592">
        <v>6200</v>
      </c>
      <c r="C477" s="349">
        <v>3612</v>
      </c>
      <c r="D477" s="349" t="s">
        <v>12</v>
      </c>
      <c r="E477" s="349">
        <v>5164</v>
      </c>
      <c r="F477" s="349" t="s">
        <v>357</v>
      </c>
      <c r="G477" s="476" t="s">
        <v>338</v>
      </c>
      <c r="H477" s="330">
        <v>120</v>
      </c>
      <c r="I477" s="330">
        <v>120</v>
      </c>
      <c r="J477" s="330">
        <v>91</v>
      </c>
      <c r="K477" s="337">
        <f t="shared" si="23"/>
        <v>-29</v>
      </c>
      <c r="L477" s="338">
        <f t="shared" si="24"/>
        <v>75.83333333333333</v>
      </c>
    </row>
    <row r="478" spans="1:12" ht="12.75">
      <c r="A478" s="334">
        <f t="shared" si="22"/>
        <v>477</v>
      </c>
      <c r="B478" s="592">
        <v>6200</v>
      </c>
      <c r="C478" s="349">
        <v>3612</v>
      </c>
      <c r="D478" s="349" t="s">
        <v>12</v>
      </c>
      <c r="E478" s="349">
        <v>5166</v>
      </c>
      <c r="F478" s="349" t="s">
        <v>318</v>
      </c>
      <c r="G478" s="476" t="s">
        <v>338</v>
      </c>
      <c r="H478" s="562">
        <v>5000</v>
      </c>
      <c r="I478" s="562">
        <v>5000</v>
      </c>
      <c r="J478" s="562">
        <v>2279</v>
      </c>
      <c r="K478" s="563">
        <f t="shared" si="23"/>
        <v>-2721</v>
      </c>
      <c r="L478" s="564">
        <f t="shared" si="24"/>
        <v>45.58</v>
      </c>
    </row>
    <row r="479" spans="1:12" ht="12.75">
      <c r="A479" s="334">
        <f t="shared" si="22"/>
        <v>478</v>
      </c>
      <c r="B479" s="592">
        <v>6200</v>
      </c>
      <c r="C479" s="349">
        <v>3612</v>
      </c>
      <c r="D479" s="349" t="s">
        <v>12</v>
      </c>
      <c r="E479" s="349">
        <v>5169</v>
      </c>
      <c r="F479" s="328" t="s">
        <v>321</v>
      </c>
      <c r="G479" s="329" t="s">
        <v>338</v>
      </c>
      <c r="H479" s="562">
        <v>2500</v>
      </c>
      <c r="I479" s="562">
        <v>3250</v>
      </c>
      <c r="J479" s="562">
        <v>1018</v>
      </c>
      <c r="K479" s="563">
        <f t="shared" si="23"/>
        <v>-2232</v>
      </c>
      <c r="L479" s="564">
        <f t="shared" si="24"/>
        <v>31.323076923076925</v>
      </c>
    </row>
    <row r="480" spans="1:12" ht="12.75">
      <c r="A480" s="334">
        <f t="shared" si="22"/>
        <v>479</v>
      </c>
      <c r="B480" s="592">
        <v>6200</v>
      </c>
      <c r="C480" s="349">
        <v>3612</v>
      </c>
      <c r="D480" s="349" t="s">
        <v>12</v>
      </c>
      <c r="E480" s="349">
        <v>5192</v>
      </c>
      <c r="F480" s="328" t="s">
        <v>342</v>
      </c>
      <c r="G480" s="329" t="s">
        <v>338</v>
      </c>
      <c r="H480" s="562">
        <v>50</v>
      </c>
      <c r="I480" s="562">
        <v>300</v>
      </c>
      <c r="J480" s="562">
        <v>45</v>
      </c>
      <c r="K480" s="563">
        <f t="shared" si="23"/>
        <v>-255</v>
      </c>
      <c r="L480" s="564">
        <f t="shared" si="24"/>
        <v>15</v>
      </c>
    </row>
    <row r="481" spans="1:12" ht="12.75">
      <c r="A481" s="334">
        <f t="shared" si="22"/>
        <v>480</v>
      </c>
      <c r="B481" s="592">
        <v>6200</v>
      </c>
      <c r="C481" s="349">
        <v>3612</v>
      </c>
      <c r="D481" s="349" t="s">
        <v>12</v>
      </c>
      <c r="E481" s="349">
        <v>5213</v>
      </c>
      <c r="F481" s="541" t="s">
        <v>460</v>
      </c>
      <c r="G481" s="476" t="s">
        <v>338</v>
      </c>
      <c r="H481" s="562">
        <v>50000</v>
      </c>
      <c r="I481" s="562">
        <v>50000</v>
      </c>
      <c r="J481" s="562">
        <v>11584</v>
      </c>
      <c r="K481" s="563">
        <f t="shared" si="23"/>
        <v>-38416</v>
      </c>
      <c r="L481" s="564">
        <f t="shared" si="24"/>
        <v>23.168</v>
      </c>
    </row>
    <row r="482" spans="1:12" ht="12.75">
      <c r="A482" s="334">
        <f t="shared" si="22"/>
        <v>481</v>
      </c>
      <c r="B482" s="592">
        <v>6200</v>
      </c>
      <c r="C482" s="349">
        <v>3612</v>
      </c>
      <c r="D482" s="349" t="s">
        <v>12</v>
      </c>
      <c r="E482" s="349">
        <v>5222</v>
      </c>
      <c r="F482" s="352" t="s">
        <v>433</v>
      </c>
      <c r="G482" s="476" t="s">
        <v>338</v>
      </c>
      <c r="H482" s="562">
        <v>9930</v>
      </c>
      <c r="I482" s="562">
        <v>9930</v>
      </c>
      <c r="J482" s="562"/>
      <c r="K482" s="563">
        <f t="shared" si="23"/>
        <v>-9930</v>
      </c>
      <c r="L482" s="564">
        <f t="shared" si="24"/>
        <v>0</v>
      </c>
    </row>
    <row r="483" spans="1:12" ht="12.75">
      <c r="A483" s="334">
        <f t="shared" si="22"/>
        <v>482</v>
      </c>
      <c r="B483" s="592">
        <v>6200</v>
      </c>
      <c r="C483" s="349">
        <v>3612</v>
      </c>
      <c r="D483" s="349" t="s">
        <v>12</v>
      </c>
      <c r="E483" s="349">
        <v>5225</v>
      </c>
      <c r="F483" s="328" t="s">
        <v>497</v>
      </c>
      <c r="G483" s="476" t="s">
        <v>338</v>
      </c>
      <c r="H483" s="562">
        <v>250000</v>
      </c>
      <c r="I483" s="562">
        <v>350000</v>
      </c>
      <c r="J483" s="562">
        <v>199890</v>
      </c>
      <c r="K483" s="563">
        <f t="shared" si="23"/>
        <v>-150110</v>
      </c>
      <c r="L483" s="564">
        <f t="shared" si="24"/>
        <v>57.11142857142857</v>
      </c>
    </row>
    <row r="484" spans="1:12" ht="12.75">
      <c r="A484" s="334">
        <f t="shared" si="22"/>
        <v>483</v>
      </c>
      <c r="B484" s="592">
        <v>6200</v>
      </c>
      <c r="C484" s="349">
        <v>3612</v>
      </c>
      <c r="D484" s="349" t="s">
        <v>12</v>
      </c>
      <c r="E484" s="349">
        <v>5341</v>
      </c>
      <c r="F484" s="349" t="s">
        <v>498</v>
      </c>
      <c r="G484" s="476" t="s">
        <v>338</v>
      </c>
      <c r="H484" s="562">
        <v>50</v>
      </c>
      <c r="I484" s="562">
        <v>50</v>
      </c>
      <c r="J484" s="562"/>
      <c r="K484" s="563">
        <f t="shared" si="23"/>
        <v>-50</v>
      </c>
      <c r="L484" s="564">
        <f t="shared" si="24"/>
        <v>0</v>
      </c>
    </row>
    <row r="485" spans="1:12" ht="12.75">
      <c r="A485" s="334">
        <f t="shared" si="22"/>
        <v>484</v>
      </c>
      <c r="B485" s="592">
        <v>6200</v>
      </c>
      <c r="C485" s="349">
        <v>3612</v>
      </c>
      <c r="D485" s="349" t="s">
        <v>12</v>
      </c>
      <c r="E485" s="349">
        <v>5341</v>
      </c>
      <c r="F485" s="349" t="s">
        <v>498</v>
      </c>
      <c r="G485" s="476" t="s">
        <v>499</v>
      </c>
      <c r="H485" s="562">
        <v>27000</v>
      </c>
      <c r="I485" s="562">
        <v>27000</v>
      </c>
      <c r="J485" s="562"/>
      <c r="K485" s="563">
        <f t="shared" si="23"/>
        <v>-27000</v>
      </c>
      <c r="L485" s="564">
        <f t="shared" si="24"/>
        <v>0</v>
      </c>
    </row>
    <row r="486" spans="1:12" ht="12.75">
      <c r="A486" s="334">
        <f t="shared" si="22"/>
        <v>485</v>
      </c>
      <c r="B486" s="592">
        <v>6200</v>
      </c>
      <c r="C486" s="349">
        <v>3612</v>
      </c>
      <c r="D486" s="349" t="s">
        <v>12</v>
      </c>
      <c r="E486" s="349">
        <v>5361</v>
      </c>
      <c r="F486" s="349" t="s">
        <v>405</v>
      </c>
      <c r="G486" s="476" t="s">
        <v>338</v>
      </c>
      <c r="H486" s="562">
        <v>400</v>
      </c>
      <c r="I486" s="562">
        <v>400</v>
      </c>
      <c r="J486" s="562">
        <v>130</v>
      </c>
      <c r="K486" s="563">
        <f t="shared" si="23"/>
        <v>-270</v>
      </c>
      <c r="L486" s="564">
        <f t="shared" si="24"/>
        <v>32.5</v>
      </c>
    </row>
    <row r="487" spans="1:12" ht="12.75">
      <c r="A487" s="334">
        <f t="shared" si="22"/>
        <v>486</v>
      </c>
      <c r="B487" s="592">
        <v>6200</v>
      </c>
      <c r="C487" s="349">
        <v>3612</v>
      </c>
      <c r="D487" s="349" t="s">
        <v>12</v>
      </c>
      <c r="E487" s="349">
        <v>5362</v>
      </c>
      <c r="F487" s="328" t="s">
        <v>329</v>
      </c>
      <c r="G487" s="476" t="s">
        <v>338</v>
      </c>
      <c r="H487" s="562">
        <v>20000</v>
      </c>
      <c r="I487" s="562">
        <v>30000</v>
      </c>
      <c r="J487" s="562">
        <v>25142</v>
      </c>
      <c r="K487" s="563">
        <f t="shared" si="23"/>
        <v>-4858</v>
      </c>
      <c r="L487" s="564">
        <f t="shared" si="24"/>
        <v>83.80666666666666</v>
      </c>
    </row>
    <row r="488" spans="1:12" ht="12.75">
      <c r="A488" s="334">
        <f t="shared" si="22"/>
        <v>487</v>
      </c>
      <c r="B488" s="592">
        <v>6200</v>
      </c>
      <c r="C488" s="349">
        <v>3612</v>
      </c>
      <c r="D488" s="349" t="s">
        <v>12</v>
      </c>
      <c r="E488" s="349">
        <v>5499</v>
      </c>
      <c r="F488" s="328" t="s">
        <v>409</v>
      </c>
      <c r="G488" s="476" t="s">
        <v>338</v>
      </c>
      <c r="H488" s="562">
        <v>10000</v>
      </c>
      <c r="I488" s="562">
        <v>10000</v>
      </c>
      <c r="J488" s="562">
        <v>2456</v>
      </c>
      <c r="K488" s="563">
        <f t="shared" si="23"/>
        <v>-7544</v>
      </c>
      <c r="L488" s="564">
        <f t="shared" si="24"/>
        <v>24.560000000000002</v>
      </c>
    </row>
    <row r="489" spans="1:12" ht="12.75">
      <c r="A489" s="334">
        <f t="shared" si="22"/>
        <v>488</v>
      </c>
      <c r="B489" s="540"/>
      <c r="C489" s="371" t="s">
        <v>500</v>
      </c>
      <c r="D489" s="371"/>
      <c r="E489" s="371"/>
      <c r="F489" s="341"/>
      <c r="G489" s="342"/>
      <c r="H489" s="519">
        <f>SUBTOTAL(9,H476:H488)</f>
        <v>375100</v>
      </c>
      <c r="I489" s="519">
        <f>SUBTOTAL(9,I476:I488)</f>
        <v>486100</v>
      </c>
      <c r="J489" s="519">
        <f>SUBTOTAL(9,J476:J488)</f>
        <v>242635</v>
      </c>
      <c r="K489" s="520">
        <f t="shared" si="23"/>
        <v>-243465</v>
      </c>
      <c r="L489" s="521">
        <f t="shared" si="24"/>
        <v>49.914626620037026</v>
      </c>
    </row>
    <row r="490" spans="1:12" ht="12.75">
      <c r="A490" s="334">
        <f t="shared" si="22"/>
        <v>489</v>
      </c>
      <c r="B490" s="592">
        <v>6200</v>
      </c>
      <c r="C490" s="349">
        <v>3619</v>
      </c>
      <c r="D490" s="349" t="s">
        <v>501</v>
      </c>
      <c r="E490" s="349">
        <v>5163</v>
      </c>
      <c r="F490" s="328" t="s">
        <v>326</v>
      </c>
      <c r="G490" s="476" t="s">
        <v>499</v>
      </c>
      <c r="H490" s="552">
        <v>850</v>
      </c>
      <c r="I490" s="552">
        <v>850</v>
      </c>
      <c r="J490" s="552">
        <v>259</v>
      </c>
      <c r="K490" s="553">
        <f t="shared" si="23"/>
        <v>-591</v>
      </c>
      <c r="L490" s="554">
        <f t="shared" si="24"/>
        <v>30.470588235294116</v>
      </c>
    </row>
    <row r="491" spans="1:12" ht="12.75">
      <c r="A491" s="334">
        <f t="shared" si="22"/>
        <v>490</v>
      </c>
      <c r="B491" s="592">
        <v>6200</v>
      </c>
      <c r="C491" s="349">
        <v>3619</v>
      </c>
      <c r="D491" s="349" t="s">
        <v>501</v>
      </c>
      <c r="E491" s="349">
        <v>5613</v>
      </c>
      <c r="F491" s="349" t="s">
        <v>502</v>
      </c>
      <c r="G491" s="476" t="s">
        <v>499</v>
      </c>
      <c r="H491" s="562">
        <v>21343</v>
      </c>
      <c r="I491" s="562">
        <v>9241</v>
      </c>
      <c r="J491" s="562"/>
      <c r="K491" s="563">
        <f t="shared" si="23"/>
        <v>-9241</v>
      </c>
      <c r="L491" s="564">
        <f t="shared" si="24"/>
        <v>0</v>
      </c>
    </row>
    <row r="492" spans="1:12" ht="12.75">
      <c r="A492" s="334">
        <f t="shared" si="22"/>
        <v>491</v>
      </c>
      <c r="B492" s="592">
        <v>6200</v>
      </c>
      <c r="C492" s="349">
        <v>3619</v>
      </c>
      <c r="D492" s="349" t="s">
        <v>501</v>
      </c>
      <c r="E492" s="349">
        <v>5660</v>
      </c>
      <c r="F492" s="349" t="s">
        <v>503</v>
      </c>
      <c r="G492" s="476" t="s">
        <v>499</v>
      </c>
      <c r="H492" s="562">
        <v>25000</v>
      </c>
      <c r="I492" s="562">
        <v>25000</v>
      </c>
      <c r="J492" s="562">
        <v>9058</v>
      </c>
      <c r="K492" s="563">
        <f t="shared" si="23"/>
        <v>-15942</v>
      </c>
      <c r="L492" s="564">
        <f t="shared" si="24"/>
        <v>36.232</v>
      </c>
    </row>
    <row r="493" spans="1:12" ht="12.75">
      <c r="A493" s="334">
        <f t="shared" si="22"/>
        <v>492</v>
      </c>
      <c r="B493" s="540"/>
      <c r="C493" s="371" t="s">
        <v>504</v>
      </c>
      <c r="D493" s="371"/>
      <c r="E493" s="371"/>
      <c r="F493" s="341"/>
      <c r="G493" s="342"/>
      <c r="H493" s="519">
        <f>SUBTOTAL(9,H490:H492)</f>
        <v>47193</v>
      </c>
      <c r="I493" s="519">
        <f>SUBTOTAL(9,I490:I492)</f>
        <v>35091</v>
      </c>
      <c r="J493" s="519">
        <f>SUBTOTAL(9,J490:J492)</f>
        <v>9317</v>
      </c>
      <c r="K493" s="520">
        <f t="shared" si="23"/>
        <v>-25774</v>
      </c>
      <c r="L493" s="521">
        <f t="shared" si="24"/>
        <v>26.550967484540195</v>
      </c>
    </row>
    <row r="494" spans="1:12" ht="13.5" thickBot="1">
      <c r="A494" s="334">
        <f t="shared" si="22"/>
        <v>493</v>
      </c>
      <c r="B494" s="357" t="s">
        <v>80</v>
      </c>
      <c r="C494" s="358"/>
      <c r="D494" s="358"/>
      <c r="E494" s="358"/>
      <c r="F494" s="358"/>
      <c r="G494" s="359"/>
      <c r="H494" s="360">
        <f>SUBTOTAL(9,H476:H493)</f>
        <v>422293</v>
      </c>
      <c r="I494" s="360">
        <f>SUBTOTAL(9,I476:I493)</f>
        <v>521191</v>
      </c>
      <c r="J494" s="360">
        <f>SUBTOTAL(9,J476:J493)</f>
        <v>251952</v>
      </c>
      <c r="K494" s="361">
        <f t="shared" si="23"/>
        <v>-269239</v>
      </c>
      <c r="L494" s="362">
        <f t="shared" si="24"/>
        <v>48.34158686546775</v>
      </c>
    </row>
    <row r="495" spans="1:12" ht="12.75">
      <c r="A495" s="334">
        <f t="shared" si="22"/>
        <v>494</v>
      </c>
      <c r="B495" s="540"/>
      <c r="C495" s="371"/>
      <c r="D495" s="371"/>
      <c r="E495" s="371"/>
      <c r="F495" s="371"/>
      <c r="G495" s="397"/>
      <c r="H495" s="593"/>
      <c r="I495" s="593"/>
      <c r="J495" s="593"/>
      <c r="K495" s="594">
        <f t="shared" si="23"/>
        <v>0</v>
      </c>
      <c r="L495" s="595"/>
    </row>
    <row r="496" spans="1:12" ht="15.75">
      <c r="A496" s="334">
        <f t="shared" si="22"/>
        <v>495</v>
      </c>
      <c r="B496" s="752" t="s">
        <v>215</v>
      </c>
      <c r="C496" s="753"/>
      <c r="D496" s="753"/>
      <c r="E496" s="423"/>
      <c r="F496" s="378"/>
      <c r="G496" s="591"/>
      <c r="H496" s="502"/>
      <c r="I496" s="502"/>
      <c r="J496" s="502"/>
      <c r="K496" s="503">
        <f t="shared" si="23"/>
        <v>0</v>
      </c>
      <c r="L496" s="504"/>
    </row>
    <row r="497" spans="1:12" ht="12.75">
      <c r="A497" s="334">
        <f t="shared" si="22"/>
        <v>496</v>
      </c>
      <c r="B497" s="592">
        <v>6300</v>
      </c>
      <c r="C497" s="423">
        <v>3639</v>
      </c>
      <c r="D497" s="349" t="s">
        <v>42</v>
      </c>
      <c r="E497" s="423">
        <v>5166</v>
      </c>
      <c r="F497" s="328" t="s">
        <v>318</v>
      </c>
      <c r="G497" s="329"/>
      <c r="H497" s="562">
        <v>5000</v>
      </c>
      <c r="I497" s="562">
        <v>4100</v>
      </c>
      <c r="J497" s="562">
        <v>2816</v>
      </c>
      <c r="K497" s="563">
        <f t="shared" si="23"/>
        <v>-1284</v>
      </c>
      <c r="L497" s="564">
        <f t="shared" si="24"/>
        <v>68.6829268292683</v>
      </c>
    </row>
    <row r="498" spans="1:12" ht="12.75">
      <c r="A498" s="334">
        <f t="shared" si="22"/>
        <v>497</v>
      </c>
      <c r="B498" s="592">
        <v>6300</v>
      </c>
      <c r="C498" s="423">
        <v>3639</v>
      </c>
      <c r="D498" s="349" t="s">
        <v>42</v>
      </c>
      <c r="E498" s="423">
        <v>5169</v>
      </c>
      <c r="F498" s="328" t="s">
        <v>321</v>
      </c>
      <c r="G498" s="329"/>
      <c r="H498" s="562">
        <v>4000</v>
      </c>
      <c r="I498" s="562">
        <v>4000</v>
      </c>
      <c r="J498" s="562">
        <v>2890</v>
      </c>
      <c r="K498" s="563">
        <f t="shared" si="23"/>
        <v>-1110</v>
      </c>
      <c r="L498" s="564">
        <f t="shared" si="24"/>
        <v>72.25</v>
      </c>
    </row>
    <row r="499" spans="1:12" ht="25.5" customHeight="1">
      <c r="A499" s="334">
        <f t="shared" si="22"/>
        <v>498</v>
      </c>
      <c r="B499" s="592">
        <v>6300</v>
      </c>
      <c r="C499" s="423">
        <v>3639</v>
      </c>
      <c r="D499" s="349" t="s">
        <v>42</v>
      </c>
      <c r="E499" s="423">
        <v>5192</v>
      </c>
      <c r="F499" s="328" t="s">
        <v>342</v>
      </c>
      <c r="G499" s="591"/>
      <c r="H499" s="562">
        <v>5000</v>
      </c>
      <c r="I499" s="562">
        <v>4000</v>
      </c>
      <c r="J499" s="562">
        <v>2469</v>
      </c>
      <c r="K499" s="563">
        <f t="shared" si="23"/>
        <v>-1531</v>
      </c>
      <c r="L499" s="564">
        <f t="shared" si="24"/>
        <v>61.724999999999994</v>
      </c>
    </row>
    <row r="500" spans="1:12" ht="12.75">
      <c r="A500" s="334">
        <f t="shared" si="22"/>
        <v>499</v>
      </c>
      <c r="B500" s="592">
        <v>6300</v>
      </c>
      <c r="C500" s="423">
        <v>3639</v>
      </c>
      <c r="D500" s="349" t="s">
        <v>42</v>
      </c>
      <c r="E500" s="423">
        <v>5361</v>
      </c>
      <c r="F500" s="596" t="s">
        <v>405</v>
      </c>
      <c r="G500" s="597"/>
      <c r="H500" s="562">
        <v>220</v>
      </c>
      <c r="I500" s="562">
        <v>220</v>
      </c>
      <c r="J500" s="562">
        <v>157</v>
      </c>
      <c r="K500" s="563">
        <f t="shared" si="23"/>
        <v>-63</v>
      </c>
      <c r="L500" s="564">
        <f t="shared" si="24"/>
        <v>71.36363636363636</v>
      </c>
    </row>
    <row r="501" spans="1:12" ht="25.5">
      <c r="A501" s="334">
        <f t="shared" si="22"/>
        <v>500</v>
      </c>
      <c r="B501" s="592">
        <v>6300</v>
      </c>
      <c r="C501" s="423">
        <v>3639</v>
      </c>
      <c r="D501" s="349" t="s">
        <v>42</v>
      </c>
      <c r="E501" s="423">
        <v>5362</v>
      </c>
      <c r="F501" s="328" t="s">
        <v>329</v>
      </c>
      <c r="G501" s="591" t="s">
        <v>505</v>
      </c>
      <c r="H501" s="562">
        <v>10521</v>
      </c>
      <c r="I501" s="562">
        <v>12521</v>
      </c>
      <c r="J501" s="562">
        <v>12249</v>
      </c>
      <c r="K501" s="563">
        <f t="shared" si="23"/>
        <v>-272</v>
      </c>
      <c r="L501" s="564">
        <f t="shared" si="24"/>
        <v>97.82764954875809</v>
      </c>
    </row>
    <row r="502" spans="1:12" ht="12.75">
      <c r="A502" s="334">
        <f t="shared" si="22"/>
        <v>501</v>
      </c>
      <c r="B502" s="592">
        <v>6300</v>
      </c>
      <c r="C502" s="423">
        <v>3639</v>
      </c>
      <c r="D502" s="349" t="s">
        <v>42</v>
      </c>
      <c r="E502" s="423">
        <v>5429</v>
      </c>
      <c r="F502" s="328" t="s">
        <v>319</v>
      </c>
      <c r="G502" s="591"/>
      <c r="H502" s="562">
        <v>200</v>
      </c>
      <c r="I502" s="562">
        <v>100</v>
      </c>
      <c r="J502" s="562">
        <v>0</v>
      </c>
      <c r="K502" s="563">
        <f t="shared" si="23"/>
        <v>-100</v>
      </c>
      <c r="L502" s="564">
        <f t="shared" si="24"/>
        <v>0</v>
      </c>
    </row>
    <row r="503" spans="1:12" ht="12.75">
      <c r="A503" s="334">
        <f t="shared" si="22"/>
        <v>502</v>
      </c>
      <c r="B503" s="592">
        <v>6300</v>
      </c>
      <c r="C503" s="423">
        <v>3639</v>
      </c>
      <c r="D503" s="349" t="s">
        <v>42</v>
      </c>
      <c r="E503" s="423">
        <v>5909</v>
      </c>
      <c r="F503" s="596" t="s">
        <v>410</v>
      </c>
      <c r="G503" s="597"/>
      <c r="H503" s="562">
        <v>400</v>
      </c>
      <c r="I503" s="562">
        <v>4082</v>
      </c>
      <c r="J503" s="562">
        <v>3786</v>
      </c>
      <c r="K503" s="563">
        <f t="shared" si="23"/>
        <v>-296</v>
      </c>
      <c r="L503" s="564">
        <f t="shared" si="24"/>
        <v>92.74865262126409</v>
      </c>
    </row>
    <row r="504" spans="1:12" ht="12.75">
      <c r="A504" s="334">
        <f t="shared" si="22"/>
        <v>503</v>
      </c>
      <c r="B504" s="484"/>
      <c r="C504" s="485" t="s">
        <v>430</v>
      </c>
      <c r="D504" s="371"/>
      <c r="E504" s="485"/>
      <c r="F504" s="598"/>
      <c r="G504" s="599"/>
      <c r="H504" s="488">
        <f>SUBTOTAL(9,H497:H503)</f>
        <v>25341</v>
      </c>
      <c r="I504" s="488">
        <f>SUBTOTAL(9,I497:I503)</f>
        <v>29023</v>
      </c>
      <c r="J504" s="488">
        <f>SUBTOTAL(9,J497:J503)</f>
        <v>24367</v>
      </c>
      <c r="K504" s="489">
        <f t="shared" si="23"/>
        <v>-4656</v>
      </c>
      <c r="L504" s="490">
        <f t="shared" si="24"/>
        <v>83.95755090790064</v>
      </c>
    </row>
    <row r="505" spans="1:12" ht="13.5" thickBot="1">
      <c r="A505" s="334">
        <f t="shared" si="22"/>
        <v>504</v>
      </c>
      <c r="B505" s="357" t="s">
        <v>216</v>
      </c>
      <c r="C505" s="358"/>
      <c r="D505" s="358"/>
      <c r="E505" s="358"/>
      <c r="F505" s="358"/>
      <c r="G505" s="359"/>
      <c r="H505" s="360">
        <f>SUBTOTAL(9,H497:H504)</f>
        <v>25341</v>
      </c>
      <c r="I505" s="360">
        <f>SUBTOTAL(9,I497:I504)</f>
        <v>29023</v>
      </c>
      <c r="J505" s="360">
        <f>SUBTOTAL(9,J497:J504)</f>
        <v>24367</v>
      </c>
      <c r="K505" s="361">
        <f t="shared" si="23"/>
        <v>-4656</v>
      </c>
      <c r="L505" s="362">
        <f t="shared" si="24"/>
        <v>83.95755090790064</v>
      </c>
    </row>
    <row r="506" spans="1:12" ht="12.75">
      <c r="A506" s="334">
        <f t="shared" si="22"/>
        <v>505</v>
      </c>
      <c r="B506" s="540"/>
      <c r="C506" s="371"/>
      <c r="D506" s="371"/>
      <c r="E506" s="371"/>
      <c r="F506" s="371"/>
      <c r="G506" s="397"/>
      <c r="H506" s="593"/>
      <c r="I506" s="593"/>
      <c r="J506" s="593"/>
      <c r="K506" s="594">
        <f t="shared" si="23"/>
        <v>0</v>
      </c>
      <c r="L506" s="595"/>
    </row>
    <row r="507" spans="1:12" ht="15.75">
      <c r="A507" s="334">
        <f t="shared" si="22"/>
        <v>506</v>
      </c>
      <c r="B507" s="589" t="s">
        <v>234</v>
      </c>
      <c r="C507" s="590"/>
      <c r="D507" s="590"/>
      <c r="E507" s="423"/>
      <c r="F507" s="378"/>
      <c r="G507" s="591"/>
      <c r="H507" s="562"/>
      <c r="I507" s="562"/>
      <c r="J507" s="562"/>
      <c r="K507" s="563">
        <f t="shared" si="23"/>
        <v>0</v>
      </c>
      <c r="L507" s="564"/>
    </row>
    <row r="508" spans="1:12" ht="12.75">
      <c r="A508" s="334">
        <f t="shared" si="22"/>
        <v>507</v>
      </c>
      <c r="B508" s="592">
        <v>6600</v>
      </c>
      <c r="C508" s="423">
        <v>2333</v>
      </c>
      <c r="D508" s="349" t="s">
        <v>22</v>
      </c>
      <c r="E508" s="328">
        <v>5169</v>
      </c>
      <c r="F508" s="328" t="s">
        <v>321</v>
      </c>
      <c r="G508" s="329"/>
      <c r="H508" s="429">
        <v>500</v>
      </c>
      <c r="I508" s="429">
        <v>500</v>
      </c>
      <c r="J508" s="429">
        <v>269</v>
      </c>
      <c r="K508" s="430">
        <f t="shared" si="23"/>
        <v>-231</v>
      </c>
      <c r="L508" s="431">
        <f t="shared" si="24"/>
        <v>53.800000000000004</v>
      </c>
    </row>
    <row r="509" spans="1:12" ht="12.75">
      <c r="A509" s="334">
        <f t="shared" si="22"/>
        <v>508</v>
      </c>
      <c r="B509" s="484"/>
      <c r="C509" s="485" t="s">
        <v>472</v>
      </c>
      <c r="D509" s="371"/>
      <c r="E509" s="341"/>
      <c r="F509" s="486"/>
      <c r="G509" s="487"/>
      <c r="H509" s="494">
        <f>SUBTOTAL(9,H508:H508)</f>
        <v>500</v>
      </c>
      <c r="I509" s="494">
        <f>SUBTOTAL(9,I508:I508)</f>
        <v>500</v>
      </c>
      <c r="J509" s="494">
        <f>SUBTOTAL(9,J508:J508)</f>
        <v>269</v>
      </c>
      <c r="K509" s="495">
        <f t="shared" si="23"/>
        <v>-231</v>
      </c>
      <c r="L509" s="496">
        <f t="shared" si="24"/>
        <v>53.800000000000004</v>
      </c>
    </row>
    <row r="510" spans="1:12" ht="12.75">
      <c r="A510" s="334">
        <f t="shared" si="22"/>
        <v>509</v>
      </c>
      <c r="B510" s="592">
        <v>6600</v>
      </c>
      <c r="C510" s="423">
        <v>3322</v>
      </c>
      <c r="D510" s="349" t="s">
        <v>28</v>
      </c>
      <c r="E510" s="328">
        <v>5171</v>
      </c>
      <c r="F510" s="378" t="s">
        <v>402</v>
      </c>
      <c r="G510" s="591"/>
      <c r="H510" s="429">
        <v>500</v>
      </c>
      <c r="I510" s="429">
        <v>600</v>
      </c>
      <c r="J510" s="429">
        <v>524</v>
      </c>
      <c r="K510" s="430">
        <f t="shared" si="23"/>
        <v>-76</v>
      </c>
      <c r="L510" s="431">
        <f t="shared" si="24"/>
        <v>87.33333333333333</v>
      </c>
    </row>
    <row r="511" spans="1:12" ht="12.75">
      <c r="A511" s="334">
        <f t="shared" si="22"/>
        <v>510</v>
      </c>
      <c r="B511" s="484"/>
      <c r="C511" s="485" t="s">
        <v>424</v>
      </c>
      <c r="D511" s="371"/>
      <c r="E511" s="341"/>
      <c r="F511" s="486"/>
      <c r="G511" s="487"/>
      <c r="H511" s="494">
        <f>SUBTOTAL(9,H510:H510)</f>
        <v>500</v>
      </c>
      <c r="I511" s="494">
        <f>SUBTOTAL(9,I510:I510)</f>
        <v>600</v>
      </c>
      <c r="J511" s="494">
        <f>SUBTOTAL(9,J510:J510)</f>
        <v>524</v>
      </c>
      <c r="K511" s="495">
        <f t="shared" si="23"/>
        <v>-76</v>
      </c>
      <c r="L511" s="496">
        <f t="shared" si="24"/>
        <v>87.33333333333333</v>
      </c>
    </row>
    <row r="512" spans="1:12" ht="12.75">
      <c r="A512" s="334">
        <f t="shared" si="22"/>
        <v>511</v>
      </c>
      <c r="B512" s="592">
        <v>6600</v>
      </c>
      <c r="C512" s="423">
        <v>3612</v>
      </c>
      <c r="D512" s="349" t="s">
        <v>12</v>
      </c>
      <c r="E512" s="328">
        <v>5139</v>
      </c>
      <c r="F512" s="328" t="s">
        <v>349</v>
      </c>
      <c r="G512" s="487"/>
      <c r="H512" s="412">
        <v>10</v>
      </c>
      <c r="I512" s="412">
        <v>13</v>
      </c>
      <c r="J512" s="412">
        <v>10</v>
      </c>
      <c r="K512" s="413">
        <f t="shared" si="23"/>
        <v>-3</v>
      </c>
      <c r="L512" s="414">
        <f t="shared" si="24"/>
        <v>76.92307692307693</v>
      </c>
    </row>
    <row r="513" spans="1:12" ht="12.75">
      <c r="A513" s="334">
        <f t="shared" si="22"/>
        <v>512</v>
      </c>
      <c r="B513" s="592">
        <v>6600</v>
      </c>
      <c r="C513" s="423">
        <v>3612</v>
      </c>
      <c r="D513" s="349" t="s">
        <v>12</v>
      </c>
      <c r="E513" s="328">
        <v>5151</v>
      </c>
      <c r="F513" s="378" t="s">
        <v>354</v>
      </c>
      <c r="G513" s="487"/>
      <c r="H513" s="412">
        <v>500</v>
      </c>
      <c r="I513" s="412">
        <v>500</v>
      </c>
      <c r="J513" s="412">
        <v>-730</v>
      </c>
      <c r="K513" s="413">
        <f t="shared" si="23"/>
        <v>-1230</v>
      </c>
      <c r="L513" s="414">
        <f t="shared" si="24"/>
        <v>-146</v>
      </c>
    </row>
    <row r="514" spans="1:12" ht="12.75">
      <c r="A514" s="334">
        <f t="shared" si="22"/>
        <v>513</v>
      </c>
      <c r="B514" s="592">
        <v>6600</v>
      </c>
      <c r="C514" s="423">
        <v>3612</v>
      </c>
      <c r="D514" s="349" t="s">
        <v>12</v>
      </c>
      <c r="E514" s="423">
        <v>5152</v>
      </c>
      <c r="F514" s="378" t="s">
        <v>355</v>
      </c>
      <c r="G514" s="487"/>
      <c r="H514" s="412">
        <v>1000</v>
      </c>
      <c r="I514" s="412">
        <v>400</v>
      </c>
      <c r="J514" s="412">
        <v>-177</v>
      </c>
      <c r="K514" s="413">
        <f t="shared" si="23"/>
        <v>-577</v>
      </c>
      <c r="L514" s="414">
        <f t="shared" si="24"/>
        <v>-44.25</v>
      </c>
    </row>
    <row r="515" spans="1:12" ht="12.75">
      <c r="A515" s="334">
        <f t="shared" si="22"/>
        <v>514</v>
      </c>
      <c r="B515" s="592">
        <v>6600</v>
      </c>
      <c r="C515" s="423">
        <v>3612</v>
      </c>
      <c r="D515" s="349" t="s">
        <v>12</v>
      </c>
      <c r="E515" s="423">
        <v>5153</v>
      </c>
      <c r="F515" s="378" t="s">
        <v>399</v>
      </c>
      <c r="G515" s="487"/>
      <c r="H515" s="412">
        <v>200</v>
      </c>
      <c r="I515" s="412">
        <v>200</v>
      </c>
      <c r="J515" s="412">
        <v>24</v>
      </c>
      <c r="K515" s="413">
        <f t="shared" si="23"/>
        <v>-176</v>
      </c>
      <c r="L515" s="414">
        <f t="shared" si="24"/>
        <v>12</v>
      </c>
    </row>
    <row r="516" spans="1:12" ht="12.75">
      <c r="A516" s="334">
        <f aca="true" t="shared" si="25" ref="A516:A579">A515+1</f>
        <v>515</v>
      </c>
      <c r="B516" s="592">
        <v>6600</v>
      </c>
      <c r="C516" s="423">
        <v>3612</v>
      </c>
      <c r="D516" s="349" t="s">
        <v>12</v>
      </c>
      <c r="E516" s="423">
        <v>5154</v>
      </c>
      <c r="F516" s="378" t="s">
        <v>356</v>
      </c>
      <c r="G516" s="487"/>
      <c r="H516" s="412">
        <v>500</v>
      </c>
      <c r="I516" s="412">
        <v>500</v>
      </c>
      <c r="J516" s="412">
        <v>371</v>
      </c>
      <c r="K516" s="413">
        <f aca="true" t="shared" si="26" ref="K516:K579">J516-I516</f>
        <v>-129</v>
      </c>
      <c r="L516" s="414">
        <f aca="true" t="shared" si="27" ref="L516:L579">J516/I516*100</f>
        <v>74.2</v>
      </c>
    </row>
    <row r="517" spans="1:12" ht="12.75">
      <c r="A517" s="334">
        <f t="shared" si="25"/>
        <v>516</v>
      </c>
      <c r="B517" s="592">
        <v>6600</v>
      </c>
      <c r="C517" s="423">
        <v>3612</v>
      </c>
      <c r="D517" s="349" t="s">
        <v>12</v>
      </c>
      <c r="E517" s="328">
        <v>5162</v>
      </c>
      <c r="F517" s="328" t="s">
        <v>400</v>
      </c>
      <c r="G517" s="487"/>
      <c r="H517" s="412"/>
      <c r="I517" s="412">
        <v>22</v>
      </c>
      <c r="J517" s="412">
        <v>22</v>
      </c>
      <c r="K517" s="413">
        <f t="shared" si="26"/>
        <v>0</v>
      </c>
      <c r="L517" s="414">
        <f t="shared" si="27"/>
        <v>100</v>
      </c>
    </row>
    <row r="518" spans="1:12" ht="12.75">
      <c r="A518" s="334">
        <f t="shared" si="25"/>
        <v>517</v>
      </c>
      <c r="B518" s="592">
        <v>6600</v>
      </c>
      <c r="C518" s="423">
        <v>3612</v>
      </c>
      <c r="D518" s="349" t="s">
        <v>12</v>
      </c>
      <c r="E518" s="423">
        <v>5166</v>
      </c>
      <c r="F518" s="328" t="s">
        <v>318</v>
      </c>
      <c r="G518" s="487"/>
      <c r="H518" s="412"/>
      <c r="I518" s="412">
        <v>20</v>
      </c>
      <c r="J518" s="412">
        <v>18</v>
      </c>
      <c r="K518" s="413">
        <f t="shared" si="26"/>
        <v>-2</v>
      </c>
      <c r="L518" s="414">
        <f t="shared" si="27"/>
        <v>90</v>
      </c>
    </row>
    <row r="519" spans="1:12" ht="12.75">
      <c r="A519" s="334">
        <f t="shared" si="25"/>
        <v>518</v>
      </c>
      <c r="B519" s="592">
        <v>6600</v>
      </c>
      <c r="C519" s="423">
        <v>3612</v>
      </c>
      <c r="D519" s="349" t="s">
        <v>12</v>
      </c>
      <c r="E519" s="328">
        <v>5169</v>
      </c>
      <c r="F519" s="328" t="s">
        <v>321</v>
      </c>
      <c r="G519" s="329"/>
      <c r="H519" s="412">
        <v>2000</v>
      </c>
      <c r="I519" s="412">
        <v>2000</v>
      </c>
      <c r="J519" s="412">
        <v>1597</v>
      </c>
      <c r="K519" s="413">
        <f t="shared" si="26"/>
        <v>-403</v>
      </c>
      <c r="L519" s="414">
        <f t="shared" si="27"/>
        <v>79.85</v>
      </c>
    </row>
    <row r="520" spans="1:12" ht="12.75">
      <c r="A520" s="334">
        <f t="shared" si="25"/>
        <v>519</v>
      </c>
      <c r="B520" s="592">
        <v>6600</v>
      </c>
      <c r="C520" s="423">
        <v>3612</v>
      </c>
      <c r="D520" s="349" t="s">
        <v>12</v>
      </c>
      <c r="E520" s="328">
        <v>5171</v>
      </c>
      <c r="F520" s="378" t="s">
        <v>402</v>
      </c>
      <c r="G520" s="487"/>
      <c r="H520" s="412">
        <v>7800</v>
      </c>
      <c r="I520" s="412">
        <v>7505</v>
      </c>
      <c r="J520" s="412">
        <v>6643</v>
      </c>
      <c r="K520" s="413">
        <f t="shared" si="26"/>
        <v>-862</v>
      </c>
      <c r="L520" s="414">
        <f t="shared" si="27"/>
        <v>88.5143237841439</v>
      </c>
    </row>
    <row r="521" spans="1:12" ht="12.75">
      <c r="A521" s="334">
        <f t="shared" si="25"/>
        <v>520</v>
      </c>
      <c r="B521" s="592">
        <v>6600</v>
      </c>
      <c r="C521" s="423">
        <v>3612</v>
      </c>
      <c r="D521" s="349" t="s">
        <v>12</v>
      </c>
      <c r="E521" s="328">
        <v>5171</v>
      </c>
      <c r="F521" s="378" t="s">
        <v>402</v>
      </c>
      <c r="G521" s="591" t="s">
        <v>338</v>
      </c>
      <c r="H521" s="412">
        <v>7000</v>
      </c>
      <c r="I521" s="412">
        <v>30695</v>
      </c>
      <c r="J521" s="412">
        <v>11181</v>
      </c>
      <c r="K521" s="413">
        <f t="shared" si="26"/>
        <v>-19514</v>
      </c>
      <c r="L521" s="414">
        <f t="shared" si="27"/>
        <v>36.42612803388174</v>
      </c>
    </row>
    <row r="522" spans="1:12" ht="12.75">
      <c r="A522" s="334">
        <f t="shared" si="25"/>
        <v>521</v>
      </c>
      <c r="B522" s="592">
        <v>6600</v>
      </c>
      <c r="C522" s="423">
        <v>3612</v>
      </c>
      <c r="D522" s="349" t="s">
        <v>12</v>
      </c>
      <c r="E522" s="328">
        <v>5909</v>
      </c>
      <c r="F522" s="596" t="s">
        <v>410</v>
      </c>
      <c r="G522" s="487"/>
      <c r="H522" s="412">
        <v>1100</v>
      </c>
      <c r="I522" s="412">
        <v>1650</v>
      </c>
      <c r="J522" s="412">
        <v>1544</v>
      </c>
      <c r="K522" s="413">
        <f t="shared" si="26"/>
        <v>-106</v>
      </c>
      <c r="L522" s="414">
        <f t="shared" si="27"/>
        <v>93.57575757575758</v>
      </c>
    </row>
    <row r="523" spans="1:12" ht="12.75">
      <c r="A523" s="334">
        <f t="shared" si="25"/>
        <v>522</v>
      </c>
      <c r="B523" s="484"/>
      <c r="C523" s="485" t="s">
        <v>500</v>
      </c>
      <c r="D523" s="371"/>
      <c r="E523" s="341"/>
      <c r="F523" s="486"/>
      <c r="G523" s="487"/>
      <c r="H523" s="494">
        <f>SUBTOTAL(9,H512:H522)</f>
        <v>20110</v>
      </c>
      <c r="I523" s="494">
        <f>SUBTOTAL(9,I512:I522)</f>
        <v>43505</v>
      </c>
      <c r="J523" s="494">
        <f>SUBTOTAL(9,J512:J522)</f>
        <v>20503</v>
      </c>
      <c r="K523" s="495">
        <f t="shared" si="26"/>
        <v>-23002</v>
      </c>
      <c r="L523" s="496">
        <f t="shared" si="27"/>
        <v>47.127916331456156</v>
      </c>
    </row>
    <row r="524" spans="1:12" ht="12.75">
      <c r="A524" s="334">
        <f t="shared" si="25"/>
        <v>523</v>
      </c>
      <c r="B524" s="592">
        <v>6600</v>
      </c>
      <c r="C524" s="423">
        <v>3639</v>
      </c>
      <c r="D524" s="349" t="s">
        <v>42</v>
      </c>
      <c r="E524" s="423">
        <v>5139</v>
      </c>
      <c r="F524" s="328" t="s">
        <v>349</v>
      </c>
      <c r="G524" s="329"/>
      <c r="H524" s="562">
        <v>50</v>
      </c>
      <c r="I524" s="562">
        <v>50</v>
      </c>
      <c r="J524" s="562">
        <v>29</v>
      </c>
      <c r="K524" s="563">
        <f t="shared" si="26"/>
        <v>-21</v>
      </c>
      <c r="L524" s="564">
        <f t="shared" si="27"/>
        <v>57.99999999999999</v>
      </c>
    </row>
    <row r="525" spans="1:12" ht="12.75">
      <c r="A525" s="334">
        <f t="shared" si="25"/>
        <v>524</v>
      </c>
      <c r="B525" s="592">
        <v>6600</v>
      </c>
      <c r="C525" s="423">
        <v>3639</v>
      </c>
      <c r="D525" s="349" t="s">
        <v>42</v>
      </c>
      <c r="E525" s="423">
        <v>5151</v>
      </c>
      <c r="F525" s="378" t="s">
        <v>354</v>
      </c>
      <c r="G525" s="591"/>
      <c r="H525" s="562">
        <v>1550</v>
      </c>
      <c r="I525" s="562">
        <v>1000</v>
      </c>
      <c r="J525" s="562">
        <v>746</v>
      </c>
      <c r="K525" s="563">
        <f t="shared" si="26"/>
        <v>-254</v>
      </c>
      <c r="L525" s="564">
        <f t="shared" si="27"/>
        <v>74.6</v>
      </c>
    </row>
    <row r="526" spans="1:12" ht="12.75">
      <c r="A526" s="334">
        <f t="shared" si="25"/>
        <v>525</v>
      </c>
      <c r="B526" s="592">
        <v>6600</v>
      </c>
      <c r="C526" s="423">
        <v>3639</v>
      </c>
      <c r="D526" s="349" t="s">
        <v>42</v>
      </c>
      <c r="E526" s="423">
        <v>5152</v>
      </c>
      <c r="F526" s="378" t="s">
        <v>355</v>
      </c>
      <c r="G526" s="591"/>
      <c r="H526" s="562">
        <v>1945</v>
      </c>
      <c r="I526" s="562">
        <v>2245</v>
      </c>
      <c r="J526" s="562">
        <v>2217</v>
      </c>
      <c r="K526" s="563">
        <f t="shared" si="26"/>
        <v>-28</v>
      </c>
      <c r="L526" s="564">
        <f t="shared" si="27"/>
        <v>98.75278396436525</v>
      </c>
    </row>
    <row r="527" spans="1:12" ht="12.75">
      <c r="A527" s="334">
        <f t="shared" si="25"/>
        <v>526</v>
      </c>
      <c r="B527" s="592">
        <v>6600</v>
      </c>
      <c r="C527" s="423">
        <v>3639</v>
      </c>
      <c r="D527" s="349" t="s">
        <v>42</v>
      </c>
      <c r="E527" s="423">
        <v>5153</v>
      </c>
      <c r="F527" s="378" t="s">
        <v>399</v>
      </c>
      <c r="G527" s="591"/>
      <c r="H527" s="562">
        <v>1248</v>
      </c>
      <c r="I527" s="562">
        <v>1046</v>
      </c>
      <c r="J527" s="562">
        <v>-154</v>
      </c>
      <c r="K527" s="563">
        <f t="shared" si="26"/>
        <v>-1200</v>
      </c>
      <c r="L527" s="564">
        <f t="shared" si="27"/>
        <v>-14.722753346080305</v>
      </c>
    </row>
    <row r="528" spans="1:12" ht="12.75">
      <c r="A528" s="334">
        <f t="shared" si="25"/>
        <v>527</v>
      </c>
      <c r="B528" s="592">
        <v>6600</v>
      </c>
      <c r="C528" s="423">
        <v>3639</v>
      </c>
      <c r="D528" s="349" t="s">
        <v>42</v>
      </c>
      <c r="E528" s="423">
        <v>5154</v>
      </c>
      <c r="F528" s="378" t="s">
        <v>356</v>
      </c>
      <c r="G528" s="591"/>
      <c r="H528" s="330">
        <v>710</v>
      </c>
      <c r="I528" s="330">
        <v>710</v>
      </c>
      <c r="J528" s="330">
        <v>-317</v>
      </c>
      <c r="K528" s="337">
        <f t="shared" si="26"/>
        <v>-1027</v>
      </c>
      <c r="L528" s="338">
        <f t="shared" si="27"/>
        <v>-44.647887323943664</v>
      </c>
    </row>
    <row r="529" spans="1:12" ht="12.75">
      <c r="A529" s="334">
        <f t="shared" si="25"/>
        <v>528</v>
      </c>
      <c r="B529" s="592">
        <v>6600</v>
      </c>
      <c r="C529" s="423">
        <v>3639</v>
      </c>
      <c r="D529" s="349" t="s">
        <v>42</v>
      </c>
      <c r="E529" s="328">
        <v>5162</v>
      </c>
      <c r="F529" s="328" t="s">
        <v>400</v>
      </c>
      <c r="G529" s="591"/>
      <c r="H529" s="330"/>
      <c r="I529" s="330">
        <v>12</v>
      </c>
      <c r="J529" s="330">
        <v>12</v>
      </c>
      <c r="K529" s="337">
        <f t="shared" si="26"/>
        <v>0</v>
      </c>
      <c r="L529" s="338">
        <f t="shared" si="27"/>
        <v>100</v>
      </c>
    </row>
    <row r="530" spans="1:12" ht="12.75">
      <c r="A530" s="334">
        <f t="shared" si="25"/>
        <v>529</v>
      </c>
      <c r="B530" s="592">
        <v>6600</v>
      </c>
      <c r="C530" s="423">
        <v>3639</v>
      </c>
      <c r="D530" s="349" t="s">
        <v>42</v>
      </c>
      <c r="E530" s="328">
        <v>5164</v>
      </c>
      <c r="F530" s="328" t="s">
        <v>357</v>
      </c>
      <c r="G530" s="600"/>
      <c r="H530" s="562">
        <v>100</v>
      </c>
      <c r="I530" s="562">
        <v>90</v>
      </c>
      <c r="J530" s="562">
        <v>13</v>
      </c>
      <c r="K530" s="563">
        <f t="shared" si="26"/>
        <v>-77</v>
      </c>
      <c r="L530" s="564">
        <f t="shared" si="27"/>
        <v>14.444444444444443</v>
      </c>
    </row>
    <row r="531" spans="1:12" ht="12.75">
      <c r="A531" s="334">
        <f t="shared" si="25"/>
        <v>530</v>
      </c>
      <c r="B531" s="592">
        <v>6600</v>
      </c>
      <c r="C531" s="423">
        <v>3639</v>
      </c>
      <c r="D531" s="349" t="s">
        <v>42</v>
      </c>
      <c r="E531" s="328">
        <v>5166</v>
      </c>
      <c r="F531" s="328" t="s">
        <v>318</v>
      </c>
      <c r="G531" s="600"/>
      <c r="H531" s="562">
        <v>200</v>
      </c>
      <c r="I531" s="562">
        <v>200</v>
      </c>
      <c r="J531" s="562">
        <v>80</v>
      </c>
      <c r="K531" s="563">
        <f t="shared" si="26"/>
        <v>-120</v>
      </c>
      <c r="L531" s="564">
        <f t="shared" si="27"/>
        <v>40</v>
      </c>
    </row>
    <row r="532" spans="1:12" ht="12.75">
      <c r="A532" s="334">
        <f t="shared" si="25"/>
        <v>531</v>
      </c>
      <c r="B532" s="592">
        <v>6600</v>
      </c>
      <c r="C532" s="423">
        <v>3639</v>
      </c>
      <c r="D532" s="349" t="s">
        <v>42</v>
      </c>
      <c r="E532" s="328">
        <v>5169</v>
      </c>
      <c r="F532" s="328" t="s">
        <v>321</v>
      </c>
      <c r="G532" s="329"/>
      <c r="H532" s="562">
        <v>21876</v>
      </c>
      <c r="I532" s="562">
        <v>19926</v>
      </c>
      <c r="J532" s="562">
        <v>17230</v>
      </c>
      <c r="K532" s="563">
        <f t="shared" si="26"/>
        <v>-2696</v>
      </c>
      <c r="L532" s="564">
        <f t="shared" si="27"/>
        <v>86.4699387734618</v>
      </c>
    </row>
    <row r="533" spans="1:12" ht="12.75">
      <c r="A533" s="334">
        <f t="shared" si="25"/>
        <v>532</v>
      </c>
      <c r="B533" s="592">
        <v>6600</v>
      </c>
      <c r="C533" s="423">
        <v>3639</v>
      </c>
      <c r="D533" s="349" t="s">
        <v>42</v>
      </c>
      <c r="E533" s="328">
        <v>5171</v>
      </c>
      <c r="F533" s="378" t="s">
        <v>402</v>
      </c>
      <c r="G533" s="591"/>
      <c r="H533" s="330">
        <v>22480</v>
      </c>
      <c r="I533" s="330">
        <v>22936</v>
      </c>
      <c r="J533" s="330">
        <v>20293</v>
      </c>
      <c r="K533" s="337">
        <f t="shared" si="26"/>
        <v>-2643</v>
      </c>
      <c r="L533" s="338">
        <f t="shared" si="27"/>
        <v>88.47663062434601</v>
      </c>
    </row>
    <row r="534" spans="1:12" ht="12.75">
      <c r="A534" s="334">
        <f t="shared" si="25"/>
        <v>533</v>
      </c>
      <c r="B534" s="592">
        <v>6600</v>
      </c>
      <c r="C534" s="423">
        <v>3639</v>
      </c>
      <c r="D534" s="349" t="s">
        <v>42</v>
      </c>
      <c r="E534" s="328">
        <v>5192</v>
      </c>
      <c r="F534" s="378" t="s">
        <v>342</v>
      </c>
      <c r="G534" s="591"/>
      <c r="H534" s="330">
        <v>1730</v>
      </c>
      <c r="I534" s="330">
        <v>1150</v>
      </c>
      <c r="J534" s="330">
        <v>408</v>
      </c>
      <c r="K534" s="337">
        <f t="shared" si="26"/>
        <v>-742</v>
      </c>
      <c r="L534" s="338">
        <f t="shared" si="27"/>
        <v>35.47826086956521</v>
      </c>
    </row>
    <row r="535" spans="1:12" ht="12.75">
      <c r="A535" s="334">
        <f t="shared" si="25"/>
        <v>534</v>
      </c>
      <c r="B535" s="592">
        <v>6600</v>
      </c>
      <c r="C535" s="423">
        <v>3639</v>
      </c>
      <c r="D535" s="349" t="s">
        <v>42</v>
      </c>
      <c r="E535" s="328">
        <v>5363</v>
      </c>
      <c r="F535" s="378" t="s">
        <v>322</v>
      </c>
      <c r="G535" s="591"/>
      <c r="H535" s="330"/>
      <c r="I535" s="330">
        <v>1</v>
      </c>
      <c r="J535" s="330"/>
      <c r="K535" s="337">
        <f t="shared" si="26"/>
        <v>-1</v>
      </c>
      <c r="L535" s="338">
        <f t="shared" si="27"/>
        <v>0</v>
      </c>
    </row>
    <row r="536" spans="1:12" ht="12.75">
      <c r="A536" s="334">
        <f t="shared" si="25"/>
        <v>535</v>
      </c>
      <c r="B536" s="592">
        <v>6600</v>
      </c>
      <c r="C536" s="423">
        <v>3639</v>
      </c>
      <c r="D536" s="349" t="s">
        <v>42</v>
      </c>
      <c r="E536" s="328">
        <v>5909</v>
      </c>
      <c r="F536" s="596" t="s">
        <v>410</v>
      </c>
      <c r="G536" s="591"/>
      <c r="H536" s="330">
        <v>190</v>
      </c>
      <c r="I536" s="330">
        <v>1369</v>
      </c>
      <c r="J536" s="330">
        <v>1358</v>
      </c>
      <c r="K536" s="337">
        <f t="shared" si="26"/>
        <v>-11</v>
      </c>
      <c r="L536" s="338">
        <f t="shared" si="27"/>
        <v>99.19649379108839</v>
      </c>
    </row>
    <row r="537" spans="1:12" ht="12.75">
      <c r="A537" s="334">
        <f t="shared" si="25"/>
        <v>536</v>
      </c>
      <c r="B537" s="484"/>
      <c r="C537" s="485" t="s">
        <v>430</v>
      </c>
      <c r="D537" s="371"/>
      <c r="E537" s="341"/>
      <c r="F537" s="486"/>
      <c r="G537" s="487"/>
      <c r="H537" s="494">
        <f>SUBTOTAL(9,H524:H536)</f>
        <v>52079</v>
      </c>
      <c r="I537" s="494">
        <f>SUBTOTAL(9,I524:I536)</f>
        <v>50735</v>
      </c>
      <c r="J537" s="494">
        <f>SUBTOTAL(9,J524:J536)</f>
        <v>41915</v>
      </c>
      <c r="K537" s="495">
        <f t="shared" si="26"/>
        <v>-8820</v>
      </c>
      <c r="L537" s="496">
        <f t="shared" si="27"/>
        <v>82.61555139450084</v>
      </c>
    </row>
    <row r="538" spans="1:12" ht="12.75">
      <c r="A538" s="334">
        <f t="shared" si="25"/>
        <v>537</v>
      </c>
      <c r="B538" s="592">
        <v>6600</v>
      </c>
      <c r="C538" s="423">
        <v>4341</v>
      </c>
      <c r="D538" s="423" t="s">
        <v>506</v>
      </c>
      <c r="E538" s="423">
        <v>5139</v>
      </c>
      <c r="F538" s="378" t="s">
        <v>349</v>
      </c>
      <c r="G538" s="591"/>
      <c r="H538" s="562">
        <v>12</v>
      </c>
      <c r="I538" s="562">
        <v>18</v>
      </c>
      <c r="J538" s="562">
        <v>17</v>
      </c>
      <c r="K538" s="563">
        <f t="shared" si="26"/>
        <v>-1</v>
      </c>
      <c r="L538" s="564">
        <f t="shared" si="27"/>
        <v>94.44444444444444</v>
      </c>
    </row>
    <row r="539" spans="1:12" ht="12.75">
      <c r="A539" s="334">
        <f t="shared" si="25"/>
        <v>538</v>
      </c>
      <c r="B539" s="592">
        <v>6600</v>
      </c>
      <c r="C539" s="423">
        <v>4341</v>
      </c>
      <c r="D539" s="423" t="s">
        <v>506</v>
      </c>
      <c r="E539" s="423">
        <v>5151</v>
      </c>
      <c r="F539" s="378" t="s">
        <v>354</v>
      </c>
      <c r="G539" s="591"/>
      <c r="H539" s="562">
        <v>200</v>
      </c>
      <c r="I539" s="562">
        <v>294</v>
      </c>
      <c r="J539" s="562">
        <v>279</v>
      </c>
      <c r="K539" s="563">
        <f t="shared" si="26"/>
        <v>-15</v>
      </c>
      <c r="L539" s="564">
        <f t="shared" si="27"/>
        <v>94.89795918367348</v>
      </c>
    </row>
    <row r="540" spans="1:12" ht="12.75">
      <c r="A540" s="334">
        <f t="shared" si="25"/>
        <v>539</v>
      </c>
      <c r="B540" s="592">
        <v>6600</v>
      </c>
      <c r="C540" s="423">
        <v>4341</v>
      </c>
      <c r="D540" s="423" t="s">
        <v>506</v>
      </c>
      <c r="E540" s="423">
        <v>5153</v>
      </c>
      <c r="F540" s="378" t="s">
        <v>399</v>
      </c>
      <c r="G540" s="591"/>
      <c r="H540" s="562">
        <v>1240</v>
      </c>
      <c r="I540" s="562">
        <v>806</v>
      </c>
      <c r="J540" s="562">
        <v>457</v>
      </c>
      <c r="K540" s="563">
        <f t="shared" si="26"/>
        <v>-349</v>
      </c>
      <c r="L540" s="564">
        <f t="shared" si="27"/>
        <v>56.69975186104218</v>
      </c>
    </row>
    <row r="541" spans="1:12" ht="12.75">
      <c r="A541" s="334">
        <f t="shared" si="25"/>
        <v>540</v>
      </c>
      <c r="B541" s="592">
        <v>6600</v>
      </c>
      <c r="C541" s="423">
        <v>4341</v>
      </c>
      <c r="D541" s="423" t="s">
        <v>506</v>
      </c>
      <c r="E541" s="423">
        <v>5154</v>
      </c>
      <c r="F541" s="378" t="s">
        <v>356</v>
      </c>
      <c r="G541" s="591"/>
      <c r="H541" s="330">
        <v>397</v>
      </c>
      <c r="I541" s="330">
        <v>429</v>
      </c>
      <c r="J541" s="330">
        <v>428</v>
      </c>
      <c r="K541" s="337">
        <f t="shared" si="26"/>
        <v>-1</v>
      </c>
      <c r="L541" s="338">
        <f t="shared" si="27"/>
        <v>99.76689976689977</v>
      </c>
    </row>
    <row r="542" spans="1:12" ht="12.75">
      <c r="A542" s="334">
        <f t="shared" si="25"/>
        <v>541</v>
      </c>
      <c r="B542" s="592">
        <v>6600</v>
      </c>
      <c r="C542" s="423">
        <v>4341</v>
      </c>
      <c r="D542" s="423" t="s">
        <v>506</v>
      </c>
      <c r="E542" s="328">
        <v>5169</v>
      </c>
      <c r="F542" s="328" t="s">
        <v>321</v>
      </c>
      <c r="G542" s="329"/>
      <c r="H542" s="562">
        <v>204</v>
      </c>
      <c r="I542" s="562">
        <v>256</v>
      </c>
      <c r="J542" s="562">
        <v>212</v>
      </c>
      <c r="K542" s="563">
        <f t="shared" si="26"/>
        <v>-44</v>
      </c>
      <c r="L542" s="564">
        <f t="shared" si="27"/>
        <v>82.8125</v>
      </c>
    </row>
    <row r="543" spans="1:12" ht="12.75">
      <c r="A543" s="334">
        <f t="shared" si="25"/>
        <v>542</v>
      </c>
      <c r="B543" s="592">
        <v>6600</v>
      </c>
      <c r="C543" s="423">
        <v>4341</v>
      </c>
      <c r="D543" s="423" t="s">
        <v>506</v>
      </c>
      <c r="E543" s="328">
        <v>5171</v>
      </c>
      <c r="F543" s="378" t="s">
        <v>402</v>
      </c>
      <c r="G543" s="591"/>
      <c r="H543" s="330">
        <v>1220</v>
      </c>
      <c r="I543" s="330">
        <v>1470</v>
      </c>
      <c r="J543" s="330">
        <v>1395</v>
      </c>
      <c r="K543" s="337">
        <f t="shared" si="26"/>
        <v>-75</v>
      </c>
      <c r="L543" s="338">
        <f t="shared" si="27"/>
        <v>94.89795918367348</v>
      </c>
    </row>
    <row r="544" spans="1:12" ht="12.75">
      <c r="A544" s="334">
        <f t="shared" si="25"/>
        <v>543</v>
      </c>
      <c r="B544" s="484"/>
      <c r="C544" s="485" t="s">
        <v>436</v>
      </c>
      <c r="D544" s="371"/>
      <c r="E544" s="341"/>
      <c r="F544" s="486"/>
      <c r="G544" s="487"/>
      <c r="H544" s="494">
        <f>SUBTOTAL(9,H538:H543)</f>
        <v>3273</v>
      </c>
      <c r="I544" s="494">
        <f>SUBTOTAL(9,I538:I543)</f>
        <v>3273</v>
      </c>
      <c r="J544" s="494">
        <f>SUBTOTAL(9,J538:J543)</f>
        <v>2788</v>
      </c>
      <c r="K544" s="495">
        <f t="shared" si="26"/>
        <v>-485</v>
      </c>
      <c r="L544" s="496">
        <f t="shared" si="27"/>
        <v>85.18179040635503</v>
      </c>
    </row>
    <row r="545" spans="1:12" ht="12.75">
      <c r="A545" s="334">
        <f t="shared" si="25"/>
        <v>544</v>
      </c>
      <c r="B545" s="592">
        <v>6600</v>
      </c>
      <c r="C545" s="423">
        <v>6171</v>
      </c>
      <c r="D545" s="423" t="s">
        <v>9</v>
      </c>
      <c r="E545" s="601">
        <v>5137</v>
      </c>
      <c r="F545" s="328" t="s">
        <v>353</v>
      </c>
      <c r="G545" s="487"/>
      <c r="H545" s="412"/>
      <c r="I545" s="412">
        <v>30</v>
      </c>
      <c r="J545" s="412">
        <v>29</v>
      </c>
      <c r="K545" s="413">
        <f t="shared" si="26"/>
        <v>-1</v>
      </c>
      <c r="L545" s="414">
        <f t="shared" si="27"/>
        <v>96.66666666666667</v>
      </c>
    </row>
    <row r="546" spans="1:12" ht="12.75">
      <c r="A546" s="334">
        <f t="shared" si="25"/>
        <v>545</v>
      </c>
      <c r="B546" s="592">
        <v>6600</v>
      </c>
      <c r="C546" s="423">
        <v>6171</v>
      </c>
      <c r="D546" s="423" t="s">
        <v>9</v>
      </c>
      <c r="E546" s="328">
        <v>5139</v>
      </c>
      <c r="F546" s="378" t="s">
        <v>349</v>
      </c>
      <c r="G546" s="591"/>
      <c r="H546" s="330">
        <v>1846</v>
      </c>
      <c r="I546" s="330">
        <v>1230</v>
      </c>
      <c r="J546" s="330">
        <v>903</v>
      </c>
      <c r="K546" s="337">
        <f t="shared" si="26"/>
        <v>-327</v>
      </c>
      <c r="L546" s="338">
        <f t="shared" si="27"/>
        <v>73.41463414634146</v>
      </c>
    </row>
    <row r="547" spans="1:12" ht="12.75">
      <c r="A547" s="334">
        <f t="shared" si="25"/>
        <v>546</v>
      </c>
      <c r="B547" s="592">
        <v>6600</v>
      </c>
      <c r="C547" s="423">
        <v>6171</v>
      </c>
      <c r="D547" s="423" t="s">
        <v>9</v>
      </c>
      <c r="E547" s="423">
        <v>5151</v>
      </c>
      <c r="F547" s="378" t="s">
        <v>354</v>
      </c>
      <c r="G547" s="591"/>
      <c r="H547" s="330">
        <v>1441</v>
      </c>
      <c r="I547" s="330">
        <v>1654</v>
      </c>
      <c r="J547" s="330">
        <v>1499</v>
      </c>
      <c r="K547" s="337">
        <f t="shared" si="26"/>
        <v>-155</v>
      </c>
      <c r="L547" s="338">
        <f t="shared" si="27"/>
        <v>90.62877871825876</v>
      </c>
    </row>
    <row r="548" spans="1:12" ht="12.75">
      <c r="A548" s="334">
        <f t="shared" si="25"/>
        <v>547</v>
      </c>
      <c r="B548" s="592">
        <v>6600</v>
      </c>
      <c r="C548" s="423">
        <v>6171</v>
      </c>
      <c r="D548" s="423" t="s">
        <v>9</v>
      </c>
      <c r="E548" s="423">
        <v>5152</v>
      </c>
      <c r="F548" s="378" t="s">
        <v>355</v>
      </c>
      <c r="G548" s="591"/>
      <c r="H548" s="330">
        <v>10006</v>
      </c>
      <c r="I548" s="330">
        <v>10981</v>
      </c>
      <c r="J548" s="330">
        <v>10931</v>
      </c>
      <c r="K548" s="337">
        <f t="shared" si="26"/>
        <v>-50</v>
      </c>
      <c r="L548" s="338">
        <f t="shared" si="27"/>
        <v>99.54466806301794</v>
      </c>
    </row>
    <row r="549" spans="1:12" ht="12.75">
      <c r="A549" s="334">
        <f t="shared" si="25"/>
        <v>548</v>
      </c>
      <c r="B549" s="592">
        <v>6600</v>
      </c>
      <c r="C549" s="423">
        <v>6171</v>
      </c>
      <c r="D549" s="423" t="s">
        <v>9</v>
      </c>
      <c r="E549" s="423">
        <v>5153</v>
      </c>
      <c r="F549" s="378" t="s">
        <v>399</v>
      </c>
      <c r="G549" s="591"/>
      <c r="H549" s="330">
        <v>376</v>
      </c>
      <c r="I549" s="330">
        <v>376</v>
      </c>
      <c r="J549" s="330">
        <v>5</v>
      </c>
      <c r="K549" s="337">
        <f t="shared" si="26"/>
        <v>-371</v>
      </c>
      <c r="L549" s="338">
        <f t="shared" si="27"/>
        <v>1.3297872340425532</v>
      </c>
    </row>
    <row r="550" spans="1:12" ht="12.75">
      <c r="A550" s="334">
        <f t="shared" si="25"/>
        <v>549</v>
      </c>
      <c r="B550" s="592">
        <v>6600</v>
      </c>
      <c r="C550" s="423">
        <v>6171</v>
      </c>
      <c r="D550" s="423" t="s">
        <v>9</v>
      </c>
      <c r="E550" s="423">
        <v>5154</v>
      </c>
      <c r="F550" s="378" t="s">
        <v>356</v>
      </c>
      <c r="G550" s="591"/>
      <c r="H550" s="330">
        <v>9026</v>
      </c>
      <c r="I550" s="330">
        <v>9246</v>
      </c>
      <c r="J550" s="330">
        <v>8919</v>
      </c>
      <c r="K550" s="337">
        <f t="shared" si="26"/>
        <v>-327</v>
      </c>
      <c r="L550" s="338">
        <f t="shared" si="27"/>
        <v>96.46333549643089</v>
      </c>
    </row>
    <row r="551" spans="1:12" ht="12.75">
      <c r="A551" s="334">
        <f t="shared" si="25"/>
        <v>550</v>
      </c>
      <c r="B551" s="592">
        <v>6600</v>
      </c>
      <c r="C551" s="423">
        <v>6171</v>
      </c>
      <c r="D551" s="423" t="s">
        <v>9</v>
      </c>
      <c r="E551" s="423">
        <v>5161</v>
      </c>
      <c r="F551" s="378" t="s">
        <v>387</v>
      </c>
      <c r="G551" s="591"/>
      <c r="H551" s="330"/>
      <c r="I551" s="330">
        <v>1</v>
      </c>
      <c r="J551" s="330">
        <v>1</v>
      </c>
      <c r="K551" s="337">
        <f t="shared" si="26"/>
        <v>0</v>
      </c>
      <c r="L551" s="338">
        <f t="shared" si="27"/>
        <v>100</v>
      </c>
    </row>
    <row r="552" spans="1:12" ht="12.75">
      <c r="A552" s="334">
        <f t="shared" si="25"/>
        <v>551</v>
      </c>
      <c r="B552" s="592">
        <v>6600</v>
      </c>
      <c r="C552" s="423">
        <v>6171</v>
      </c>
      <c r="D552" s="423" t="s">
        <v>9</v>
      </c>
      <c r="E552" s="328">
        <v>5162</v>
      </c>
      <c r="F552" s="328" t="s">
        <v>400</v>
      </c>
      <c r="G552" s="591"/>
      <c r="H552" s="330"/>
      <c r="I552" s="330"/>
      <c r="J552" s="330">
        <v>-3</v>
      </c>
      <c r="K552" s="337">
        <f t="shared" si="26"/>
        <v>-3</v>
      </c>
      <c r="L552" s="338"/>
    </row>
    <row r="553" spans="1:12" ht="12.75">
      <c r="A553" s="334">
        <f t="shared" si="25"/>
        <v>552</v>
      </c>
      <c r="B553" s="592">
        <v>6600</v>
      </c>
      <c r="C553" s="423">
        <v>6171</v>
      </c>
      <c r="D553" s="423" t="s">
        <v>9</v>
      </c>
      <c r="E553" s="423">
        <v>5163</v>
      </c>
      <c r="F553" s="328" t="s">
        <v>326</v>
      </c>
      <c r="G553" s="591"/>
      <c r="H553" s="330">
        <v>196</v>
      </c>
      <c r="I553" s="330">
        <v>175</v>
      </c>
      <c r="J553" s="330">
        <v>171</v>
      </c>
      <c r="K553" s="337">
        <f t="shared" si="26"/>
        <v>-4</v>
      </c>
      <c r="L553" s="338">
        <f t="shared" si="27"/>
        <v>97.71428571428571</v>
      </c>
    </row>
    <row r="554" spans="1:12" ht="12.75">
      <c r="A554" s="334">
        <f t="shared" si="25"/>
        <v>553</v>
      </c>
      <c r="B554" s="592">
        <v>6600</v>
      </c>
      <c r="C554" s="423">
        <v>6171</v>
      </c>
      <c r="D554" s="423" t="s">
        <v>9</v>
      </c>
      <c r="E554" s="423">
        <v>5164</v>
      </c>
      <c r="F554" s="378" t="s">
        <v>357</v>
      </c>
      <c r="G554" s="591"/>
      <c r="H554" s="330">
        <v>1209</v>
      </c>
      <c r="I554" s="330">
        <v>3035</v>
      </c>
      <c r="J554" s="330">
        <v>3035</v>
      </c>
      <c r="K554" s="337">
        <f t="shared" si="26"/>
        <v>0</v>
      </c>
      <c r="L554" s="338">
        <f t="shared" si="27"/>
        <v>100</v>
      </c>
    </row>
    <row r="555" spans="1:12" ht="12.75">
      <c r="A555" s="334">
        <f t="shared" si="25"/>
        <v>554</v>
      </c>
      <c r="B555" s="592">
        <v>6600</v>
      </c>
      <c r="C555" s="423">
        <v>6171</v>
      </c>
      <c r="D555" s="423" t="s">
        <v>9</v>
      </c>
      <c r="E555" s="423">
        <v>5166</v>
      </c>
      <c r="F555" s="378" t="s">
        <v>318</v>
      </c>
      <c r="G555" s="591"/>
      <c r="H555" s="330">
        <v>150</v>
      </c>
      <c r="I555" s="330">
        <v>150</v>
      </c>
      <c r="J555" s="330">
        <v>90</v>
      </c>
      <c r="K555" s="337">
        <f t="shared" si="26"/>
        <v>-60</v>
      </c>
      <c r="L555" s="338">
        <f t="shared" si="27"/>
        <v>60</v>
      </c>
    </row>
    <row r="556" spans="1:12" ht="12.75">
      <c r="A556" s="334">
        <f t="shared" si="25"/>
        <v>555</v>
      </c>
      <c r="B556" s="592">
        <v>6600</v>
      </c>
      <c r="C556" s="423">
        <v>6171</v>
      </c>
      <c r="D556" s="423" t="s">
        <v>9</v>
      </c>
      <c r="E556" s="328">
        <v>5167</v>
      </c>
      <c r="F556" s="328" t="s">
        <v>401</v>
      </c>
      <c r="G556" s="591"/>
      <c r="H556" s="330"/>
      <c r="I556" s="330">
        <v>12</v>
      </c>
      <c r="J556" s="330">
        <v>12</v>
      </c>
      <c r="K556" s="337">
        <f t="shared" si="26"/>
        <v>0</v>
      </c>
      <c r="L556" s="338">
        <f t="shared" si="27"/>
        <v>100</v>
      </c>
    </row>
    <row r="557" spans="1:12" ht="12.75">
      <c r="A557" s="334">
        <f t="shared" si="25"/>
        <v>556</v>
      </c>
      <c r="B557" s="592">
        <v>6600</v>
      </c>
      <c r="C557" s="423">
        <v>6171</v>
      </c>
      <c r="D557" s="423" t="s">
        <v>9</v>
      </c>
      <c r="E557" s="423">
        <v>5169</v>
      </c>
      <c r="F557" s="328" t="s">
        <v>321</v>
      </c>
      <c r="G557" s="329"/>
      <c r="H557" s="330">
        <v>26528</v>
      </c>
      <c r="I557" s="330">
        <v>21940</v>
      </c>
      <c r="J557" s="330">
        <v>17833</v>
      </c>
      <c r="K557" s="337">
        <f t="shared" si="26"/>
        <v>-4107</v>
      </c>
      <c r="L557" s="338">
        <f t="shared" si="27"/>
        <v>81.28076572470374</v>
      </c>
    </row>
    <row r="558" spans="1:12" ht="12.75">
      <c r="A558" s="334">
        <f t="shared" si="25"/>
        <v>557</v>
      </c>
      <c r="B558" s="592">
        <v>6600</v>
      </c>
      <c r="C558" s="423">
        <v>6171</v>
      </c>
      <c r="D558" s="423" t="s">
        <v>9</v>
      </c>
      <c r="E558" s="423">
        <v>5171</v>
      </c>
      <c r="F558" s="378" t="s">
        <v>402</v>
      </c>
      <c r="G558" s="591"/>
      <c r="H558" s="330">
        <v>21308</v>
      </c>
      <c r="I558" s="330">
        <v>17808</v>
      </c>
      <c r="J558" s="330">
        <v>14973</v>
      </c>
      <c r="K558" s="337">
        <f t="shared" si="26"/>
        <v>-2835</v>
      </c>
      <c r="L558" s="338">
        <f t="shared" si="27"/>
        <v>84.08018867924528</v>
      </c>
    </row>
    <row r="559" spans="1:12" ht="12.75">
      <c r="A559" s="334">
        <f t="shared" si="25"/>
        <v>558</v>
      </c>
      <c r="B559" s="484"/>
      <c r="C559" s="485" t="s">
        <v>323</v>
      </c>
      <c r="D559" s="485"/>
      <c r="E559" s="485"/>
      <c r="F559" s="486"/>
      <c r="G559" s="487"/>
      <c r="H559" s="488">
        <f>SUBTOTAL(9,H545:H558)</f>
        <v>72086</v>
      </c>
      <c r="I559" s="488">
        <f>SUBTOTAL(9,I545:I558)</f>
        <v>66638</v>
      </c>
      <c r="J559" s="488">
        <f>SUBTOTAL(9,J545:J558)</f>
        <v>58398</v>
      </c>
      <c r="K559" s="489">
        <f t="shared" si="26"/>
        <v>-8240</v>
      </c>
      <c r="L559" s="490">
        <f t="shared" si="27"/>
        <v>87.63468291365287</v>
      </c>
    </row>
    <row r="560" spans="1:12" ht="12.75">
      <c r="A560" s="334">
        <f t="shared" si="25"/>
        <v>559</v>
      </c>
      <c r="B560" s="592">
        <v>6600</v>
      </c>
      <c r="C560" s="423">
        <v>6211</v>
      </c>
      <c r="D560" s="349" t="s">
        <v>57</v>
      </c>
      <c r="E560" s="423">
        <v>5139</v>
      </c>
      <c r="F560" s="378" t="s">
        <v>349</v>
      </c>
      <c r="G560" s="602"/>
      <c r="H560" s="603">
        <v>20</v>
      </c>
      <c r="I560" s="603">
        <v>20</v>
      </c>
      <c r="J560" s="603">
        <v>19</v>
      </c>
      <c r="K560" s="604">
        <f t="shared" si="26"/>
        <v>-1</v>
      </c>
      <c r="L560" s="605">
        <f t="shared" si="27"/>
        <v>95</v>
      </c>
    </row>
    <row r="561" spans="1:12" ht="12.75">
      <c r="A561" s="334">
        <f t="shared" si="25"/>
        <v>560</v>
      </c>
      <c r="B561" s="592">
        <v>6600</v>
      </c>
      <c r="C561" s="423">
        <v>6211</v>
      </c>
      <c r="D561" s="349" t="s">
        <v>57</v>
      </c>
      <c r="E561" s="423">
        <v>5151</v>
      </c>
      <c r="F561" s="378" t="s">
        <v>354</v>
      </c>
      <c r="G561" s="602"/>
      <c r="H561" s="603">
        <v>150</v>
      </c>
      <c r="I561" s="603">
        <v>150</v>
      </c>
      <c r="J561" s="603">
        <v>136</v>
      </c>
      <c r="K561" s="604">
        <f t="shared" si="26"/>
        <v>-14</v>
      </c>
      <c r="L561" s="605">
        <f t="shared" si="27"/>
        <v>90.66666666666666</v>
      </c>
    </row>
    <row r="562" spans="1:12" ht="12.75">
      <c r="A562" s="334">
        <f t="shared" si="25"/>
        <v>561</v>
      </c>
      <c r="B562" s="592">
        <v>6600</v>
      </c>
      <c r="C562" s="423">
        <v>6211</v>
      </c>
      <c r="D562" s="349" t="s">
        <v>57</v>
      </c>
      <c r="E562" s="423">
        <v>5152</v>
      </c>
      <c r="F562" s="378" t="s">
        <v>355</v>
      </c>
      <c r="G562" s="602"/>
      <c r="H562" s="603">
        <v>708</v>
      </c>
      <c r="I562" s="603">
        <v>708</v>
      </c>
      <c r="J562" s="603">
        <v>708</v>
      </c>
      <c r="K562" s="604">
        <f t="shared" si="26"/>
        <v>0</v>
      </c>
      <c r="L562" s="605">
        <f t="shared" si="27"/>
        <v>100</v>
      </c>
    </row>
    <row r="563" spans="1:12" ht="12.75">
      <c r="A563" s="334">
        <f t="shared" si="25"/>
        <v>562</v>
      </c>
      <c r="B563" s="592">
        <v>6600</v>
      </c>
      <c r="C563" s="423">
        <v>6211</v>
      </c>
      <c r="D563" s="349" t="s">
        <v>57</v>
      </c>
      <c r="E563" s="423">
        <v>5154</v>
      </c>
      <c r="F563" s="378" t="s">
        <v>356</v>
      </c>
      <c r="G563" s="602"/>
      <c r="H563" s="603">
        <v>1295</v>
      </c>
      <c r="I563" s="603">
        <v>1295</v>
      </c>
      <c r="J563" s="603">
        <v>474</v>
      </c>
      <c r="K563" s="604">
        <f t="shared" si="26"/>
        <v>-821</v>
      </c>
      <c r="L563" s="605">
        <f t="shared" si="27"/>
        <v>36.602316602316606</v>
      </c>
    </row>
    <row r="564" spans="1:12" ht="12.75">
      <c r="A564" s="334">
        <f t="shared" si="25"/>
        <v>563</v>
      </c>
      <c r="B564" s="592">
        <v>6600</v>
      </c>
      <c r="C564" s="423">
        <v>6211</v>
      </c>
      <c r="D564" s="349" t="s">
        <v>57</v>
      </c>
      <c r="E564" s="328">
        <v>5169</v>
      </c>
      <c r="F564" s="328" t="s">
        <v>321</v>
      </c>
      <c r="G564" s="329"/>
      <c r="H564" s="603">
        <v>1797</v>
      </c>
      <c r="I564" s="603">
        <v>1797</v>
      </c>
      <c r="J564" s="603">
        <v>994</v>
      </c>
      <c r="K564" s="604">
        <f t="shared" si="26"/>
        <v>-803</v>
      </c>
      <c r="L564" s="605">
        <f t="shared" si="27"/>
        <v>55.31441291040623</v>
      </c>
    </row>
    <row r="565" spans="1:12" ht="12.75">
      <c r="A565" s="334">
        <f t="shared" si="25"/>
        <v>564</v>
      </c>
      <c r="B565" s="592">
        <v>6600</v>
      </c>
      <c r="C565" s="423">
        <v>6211</v>
      </c>
      <c r="D565" s="349" t="s">
        <v>57</v>
      </c>
      <c r="E565" s="328">
        <v>5171</v>
      </c>
      <c r="F565" s="378" t="s">
        <v>402</v>
      </c>
      <c r="G565" s="602"/>
      <c r="H565" s="603">
        <v>620</v>
      </c>
      <c r="I565" s="603">
        <v>620</v>
      </c>
      <c r="J565" s="603">
        <v>424</v>
      </c>
      <c r="K565" s="604">
        <f t="shared" si="26"/>
        <v>-196</v>
      </c>
      <c r="L565" s="605">
        <f t="shared" si="27"/>
        <v>68.38709677419355</v>
      </c>
    </row>
    <row r="566" spans="1:12" ht="12.75">
      <c r="A566" s="334">
        <f t="shared" si="25"/>
        <v>565</v>
      </c>
      <c r="B566" s="484"/>
      <c r="C566" s="485" t="s">
        <v>418</v>
      </c>
      <c r="D566" s="371"/>
      <c r="E566" s="341"/>
      <c r="F566" s="486"/>
      <c r="G566" s="602"/>
      <c r="H566" s="488">
        <f>SUBTOTAL(9,H560:H565)</f>
        <v>4590</v>
      </c>
      <c r="I566" s="488">
        <f>SUBTOTAL(9,I560:I565)</f>
        <v>4590</v>
      </c>
      <c r="J566" s="488">
        <f>SUBTOTAL(9,J560:J565)</f>
        <v>2755</v>
      </c>
      <c r="K566" s="489">
        <f t="shared" si="26"/>
        <v>-1835</v>
      </c>
      <c r="L566" s="490">
        <f t="shared" si="27"/>
        <v>60.02178649237473</v>
      </c>
    </row>
    <row r="567" spans="1:12" ht="13.5" thickBot="1">
      <c r="A567" s="334">
        <f t="shared" si="25"/>
        <v>566</v>
      </c>
      <c r="B567" s="357" t="s">
        <v>84</v>
      </c>
      <c r="C567" s="358"/>
      <c r="D567" s="358"/>
      <c r="E567" s="358"/>
      <c r="F567" s="358"/>
      <c r="G567" s="359"/>
      <c r="H567" s="360">
        <f>SUBTOTAL(9,H508:H566)</f>
        <v>153138</v>
      </c>
      <c r="I567" s="360">
        <f>SUBTOTAL(9,I508:I566)</f>
        <v>169841</v>
      </c>
      <c r="J567" s="360">
        <f>SUBTOTAL(9,J508:J566)</f>
        <v>127152</v>
      </c>
      <c r="K567" s="361">
        <f t="shared" si="26"/>
        <v>-42689</v>
      </c>
      <c r="L567" s="362">
        <f t="shared" si="27"/>
        <v>74.86531520657557</v>
      </c>
    </row>
    <row r="568" spans="1:12" ht="12.75">
      <c r="A568" s="334">
        <f t="shared" si="25"/>
        <v>567</v>
      </c>
      <c r="B568" s="484"/>
      <c r="C568" s="485"/>
      <c r="D568" s="485"/>
      <c r="E568" s="485"/>
      <c r="F568" s="486"/>
      <c r="G568" s="487"/>
      <c r="H568" s="488"/>
      <c r="I568" s="488"/>
      <c r="J568" s="488"/>
      <c r="K568" s="489">
        <f t="shared" si="26"/>
        <v>0</v>
      </c>
      <c r="L568" s="490"/>
    </row>
    <row r="569" spans="1:12" ht="15.75">
      <c r="A569" s="334">
        <f t="shared" si="25"/>
        <v>568</v>
      </c>
      <c r="B569" s="370" t="s">
        <v>199</v>
      </c>
      <c r="C569" s="349"/>
      <c r="D569" s="349"/>
      <c r="E569" s="601"/>
      <c r="F569" s="541"/>
      <c r="G569" s="606"/>
      <c r="H569" s="502"/>
      <c r="I569" s="502"/>
      <c r="J569" s="502"/>
      <c r="K569" s="503">
        <f t="shared" si="26"/>
        <v>0</v>
      </c>
      <c r="L569" s="504"/>
    </row>
    <row r="570" spans="1:12" ht="12.75">
      <c r="A570" s="334">
        <f t="shared" si="25"/>
        <v>569</v>
      </c>
      <c r="B570" s="539">
        <v>7100</v>
      </c>
      <c r="C570" s="349">
        <v>3511</v>
      </c>
      <c r="D570" s="349" t="s">
        <v>13</v>
      </c>
      <c r="E570" s="601">
        <v>5331</v>
      </c>
      <c r="F570" s="378" t="s">
        <v>345</v>
      </c>
      <c r="G570" s="607" t="s">
        <v>507</v>
      </c>
      <c r="H570" s="562">
        <v>2775</v>
      </c>
      <c r="I570" s="562">
        <v>2786</v>
      </c>
      <c r="J570" s="562">
        <v>2786</v>
      </c>
      <c r="K570" s="563">
        <f t="shared" si="26"/>
        <v>0</v>
      </c>
      <c r="L570" s="564">
        <f t="shared" si="27"/>
        <v>100</v>
      </c>
    </row>
    <row r="571" spans="1:12" ht="12.75">
      <c r="A571" s="334">
        <f t="shared" si="25"/>
        <v>570</v>
      </c>
      <c r="B571" s="539">
        <v>7100</v>
      </c>
      <c r="C571" s="349">
        <v>3511</v>
      </c>
      <c r="D571" s="349" t="s">
        <v>13</v>
      </c>
      <c r="E571" s="601">
        <v>5331</v>
      </c>
      <c r="F571" s="378" t="s">
        <v>345</v>
      </c>
      <c r="G571" s="329" t="s">
        <v>508</v>
      </c>
      <c r="H571" s="562">
        <v>5341</v>
      </c>
      <c r="I571" s="562">
        <v>7596</v>
      </c>
      <c r="J571" s="562">
        <v>7596</v>
      </c>
      <c r="K571" s="563">
        <f t="shared" si="26"/>
        <v>0</v>
      </c>
      <c r="L571" s="564">
        <f t="shared" si="27"/>
        <v>100</v>
      </c>
    </row>
    <row r="572" spans="1:12" ht="12.75">
      <c r="A572" s="334">
        <f t="shared" si="25"/>
        <v>571</v>
      </c>
      <c r="B572" s="539">
        <v>7100</v>
      </c>
      <c r="C572" s="349">
        <v>3511</v>
      </c>
      <c r="D572" s="349" t="s">
        <v>13</v>
      </c>
      <c r="E572" s="601">
        <v>5336</v>
      </c>
      <c r="F572" s="378" t="s">
        <v>509</v>
      </c>
      <c r="G572" s="329" t="s">
        <v>508</v>
      </c>
      <c r="H572" s="562"/>
      <c r="I572" s="562">
        <v>979</v>
      </c>
      <c r="J572" s="562">
        <v>979</v>
      </c>
      <c r="K572" s="563">
        <f t="shared" si="26"/>
        <v>0</v>
      </c>
      <c r="L572" s="564">
        <f t="shared" si="27"/>
        <v>100</v>
      </c>
    </row>
    <row r="573" spans="1:12" ht="12.75">
      <c r="A573" s="334">
        <f t="shared" si="25"/>
        <v>572</v>
      </c>
      <c r="B573" s="540"/>
      <c r="C573" s="371" t="s">
        <v>320</v>
      </c>
      <c r="D573" s="371"/>
      <c r="E573" s="608"/>
      <c r="F573" s="341"/>
      <c r="G573" s="342"/>
      <c r="H573" s="609">
        <f>SUBTOTAL(9,H570:H572)</f>
        <v>8116</v>
      </c>
      <c r="I573" s="609">
        <f>SUBTOTAL(9,I570:I572)</f>
        <v>11361</v>
      </c>
      <c r="J573" s="609">
        <f>SUBTOTAL(9,J570:J572)</f>
        <v>11361</v>
      </c>
      <c r="K573" s="610">
        <f t="shared" si="26"/>
        <v>0</v>
      </c>
      <c r="L573" s="611">
        <f t="shared" si="27"/>
        <v>100</v>
      </c>
    </row>
    <row r="574" spans="1:12" ht="12.75">
      <c r="A574" s="334">
        <f t="shared" si="25"/>
        <v>573</v>
      </c>
      <c r="B574" s="539">
        <v>7100</v>
      </c>
      <c r="C574" s="349">
        <v>3522</v>
      </c>
      <c r="D574" s="349" t="s">
        <v>219</v>
      </c>
      <c r="E574" s="601">
        <v>5331</v>
      </c>
      <c r="F574" s="378" t="s">
        <v>345</v>
      </c>
      <c r="G574" s="329" t="s">
        <v>510</v>
      </c>
      <c r="H574" s="567">
        <v>33512</v>
      </c>
      <c r="I574" s="567">
        <v>17512</v>
      </c>
      <c r="J574" s="567">
        <v>17512</v>
      </c>
      <c r="K574" s="568">
        <f t="shared" si="26"/>
        <v>0</v>
      </c>
      <c r="L574" s="569">
        <f t="shared" si="27"/>
        <v>100</v>
      </c>
    </row>
    <row r="575" spans="1:12" ht="12.75">
      <c r="A575" s="334">
        <f t="shared" si="25"/>
        <v>574</v>
      </c>
      <c r="B575" s="539">
        <v>7100</v>
      </c>
      <c r="C575" s="349">
        <v>3522</v>
      </c>
      <c r="D575" s="349" t="s">
        <v>219</v>
      </c>
      <c r="E575" s="601">
        <v>5331</v>
      </c>
      <c r="F575" s="378" t="s">
        <v>345</v>
      </c>
      <c r="G575" s="329" t="s">
        <v>511</v>
      </c>
      <c r="H575" s="567">
        <v>0</v>
      </c>
      <c r="I575" s="567">
        <v>20000</v>
      </c>
      <c r="J575" s="567">
        <v>20000</v>
      </c>
      <c r="K575" s="568">
        <f t="shared" si="26"/>
        <v>0</v>
      </c>
      <c r="L575" s="569">
        <f t="shared" si="27"/>
        <v>100</v>
      </c>
    </row>
    <row r="576" spans="1:12" ht="12.75">
      <c r="A576" s="334">
        <f t="shared" si="25"/>
        <v>575</v>
      </c>
      <c r="B576" s="539">
        <v>7100</v>
      </c>
      <c r="C576" s="349">
        <v>3522</v>
      </c>
      <c r="D576" s="349" t="s">
        <v>219</v>
      </c>
      <c r="E576" s="601">
        <v>5336</v>
      </c>
      <c r="F576" s="378" t="s">
        <v>509</v>
      </c>
      <c r="G576" s="329" t="s">
        <v>510</v>
      </c>
      <c r="H576" s="567">
        <v>0</v>
      </c>
      <c r="I576" s="567">
        <v>126</v>
      </c>
      <c r="J576" s="567">
        <v>126</v>
      </c>
      <c r="K576" s="568">
        <f t="shared" si="26"/>
        <v>0</v>
      </c>
      <c r="L576" s="569">
        <f t="shared" si="27"/>
        <v>100</v>
      </c>
    </row>
    <row r="577" spans="1:12" ht="12.75">
      <c r="A577" s="334">
        <f t="shared" si="25"/>
        <v>576</v>
      </c>
      <c r="B577" s="539">
        <v>7100</v>
      </c>
      <c r="C577" s="349">
        <v>3522</v>
      </c>
      <c r="D577" s="349" t="s">
        <v>219</v>
      </c>
      <c r="E577" s="601">
        <v>5336</v>
      </c>
      <c r="F577" s="378" t="s">
        <v>509</v>
      </c>
      <c r="G577" s="329" t="s">
        <v>511</v>
      </c>
      <c r="H577" s="567">
        <v>0</v>
      </c>
      <c r="I577" s="567">
        <v>370</v>
      </c>
      <c r="J577" s="567">
        <v>370</v>
      </c>
      <c r="K577" s="568">
        <f t="shared" si="26"/>
        <v>0</v>
      </c>
      <c r="L577" s="569">
        <f t="shared" si="27"/>
        <v>100</v>
      </c>
    </row>
    <row r="578" spans="1:12" ht="12.75">
      <c r="A578" s="334">
        <f t="shared" si="25"/>
        <v>577</v>
      </c>
      <c r="B578" s="539">
        <v>7100</v>
      </c>
      <c r="C578" s="349">
        <v>3522</v>
      </c>
      <c r="D578" s="349" t="s">
        <v>219</v>
      </c>
      <c r="E578" s="601">
        <v>5651</v>
      </c>
      <c r="F578" s="328" t="s">
        <v>512</v>
      </c>
      <c r="G578" s="329" t="s">
        <v>511</v>
      </c>
      <c r="H578" s="612">
        <v>20000</v>
      </c>
      <c r="I578" s="612">
        <v>20000</v>
      </c>
      <c r="J578" s="612">
        <v>20000</v>
      </c>
      <c r="K578" s="613">
        <f t="shared" si="26"/>
        <v>0</v>
      </c>
      <c r="L578" s="614">
        <f t="shared" si="27"/>
        <v>100</v>
      </c>
    </row>
    <row r="579" spans="1:12" ht="12.75">
      <c r="A579" s="334">
        <f t="shared" si="25"/>
        <v>578</v>
      </c>
      <c r="B579" s="540"/>
      <c r="C579" s="371" t="s">
        <v>513</v>
      </c>
      <c r="D579" s="371"/>
      <c r="E579" s="608"/>
      <c r="F579" s="341"/>
      <c r="G579" s="342"/>
      <c r="H579" s="615">
        <f>SUBTOTAL(9,H574:H578)</f>
        <v>53512</v>
      </c>
      <c r="I579" s="615">
        <f>SUBTOTAL(9,I574:I578)</f>
        <v>58008</v>
      </c>
      <c r="J579" s="615">
        <f>SUBTOTAL(9,J574:J578)</f>
        <v>58008</v>
      </c>
      <c r="K579" s="616">
        <f t="shared" si="26"/>
        <v>0</v>
      </c>
      <c r="L579" s="617">
        <f t="shared" si="27"/>
        <v>100</v>
      </c>
    </row>
    <row r="580" spans="1:12" ht="12.75">
      <c r="A580" s="334">
        <f aca="true" t="shared" si="28" ref="A580:A643">A579+1</f>
        <v>579</v>
      </c>
      <c r="B580" s="539">
        <v>7100</v>
      </c>
      <c r="C580" s="349">
        <v>3523</v>
      </c>
      <c r="D580" s="349" t="s">
        <v>86</v>
      </c>
      <c r="E580" s="601">
        <v>5331</v>
      </c>
      <c r="F580" s="378" t="s">
        <v>345</v>
      </c>
      <c r="G580" s="607" t="s">
        <v>514</v>
      </c>
      <c r="H580" s="562">
        <v>10881</v>
      </c>
      <c r="I580" s="562">
        <v>10881</v>
      </c>
      <c r="J580" s="562">
        <v>10881</v>
      </c>
      <c r="K580" s="563">
        <f aca="true" t="shared" si="29" ref="K580:K643">J580-I580</f>
        <v>0</v>
      </c>
      <c r="L580" s="564">
        <f aca="true" t="shared" si="30" ref="L580:L643">J580/I580*100</f>
        <v>100</v>
      </c>
    </row>
    <row r="581" spans="1:12" ht="12.75">
      <c r="A581" s="334">
        <f t="shared" si="28"/>
        <v>580</v>
      </c>
      <c r="B581" s="540"/>
      <c r="C581" s="371" t="s">
        <v>515</v>
      </c>
      <c r="D581" s="371"/>
      <c r="E581" s="608"/>
      <c r="F581" s="341"/>
      <c r="G581" s="342"/>
      <c r="H581" s="519">
        <f>SUBTOTAL(9,H580:H580)</f>
        <v>10881</v>
      </c>
      <c r="I581" s="519">
        <f>SUBTOTAL(9,I580:I580)</f>
        <v>10881</v>
      </c>
      <c r="J581" s="519">
        <f>SUBTOTAL(9,J580:J580)</f>
        <v>10881</v>
      </c>
      <c r="K581" s="520">
        <f t="shared" si="29"/>
        <v>0</v>
      </c>
      <c r="L581" s="521">
        <f t="shared" si="30"/>
        <v>100</v>
      </c>
    </row>
    <row r="582" spans="1:12" ht="12.75">
      <c r="A582" s="334">
        <f t="shared" si="28"/>
        <v>581</v>
      </c>
      <c r="B582" s="539">
        <v>7100</v>
      </c>
      <c r="C582" s="349">
        <v>3529</v>
      </c>
      <c r="D582" s="349" t="s">
        <v>516</v>
      </c>
      <c r="E582" s="601">
        <v>5331</v>
      </c>
      <c r="F582" s="378" t="s">
        <v>345</v>
      </c>
      <c r="G582" s="607" t="s">
        <v>517</v>
      </c>
      <c r="H582" s="562">
        <v>40044</v>
      </c>
      <c r="I582" s="562">
        <v>40044</v>
      </c>
      <c r="J582" s="562">
        <v>40044</v>
      </c>
      <c r="K582" s="563">
        <f t="shared" si="29"/>
        <v>0</v>
      </c>
      <c r="L582" s="564">
        <f t="shared" si="30"/>
        <v>100</v>
      </c>
    </row>
    <row r="583" spans="1:12" ht="12.75">
      <c r="A583" s="334">
        <f t="shared" si="28"/>
        <v>582</v>
      </c>
      <c r="B583" s="540"/>
      <c r="C583" s="371" t="s">
        <v>518</v>
      </c>
      <c r="D583" s="371"/>
      <c r="E583" s="608"/>
      <c r="F583" s="371"/>
      <c r="G583" s="397"/>
      <c r="H583" s="519">
        <f>SUBTOTAL(9,H582:H582)</f>
        <v>40044</v>
      </c>
      <c r="I583" s="519">
        <f>SUBTOTAL(9,I582:I582)</f>
        <v>40044</v>
      </c>
      <c r="J583" s="519">
        <f>SUBTOTAL(9,J582:J582)</f>
        <v>40044</v>
      </c>
      <c r="K583" s="520">
        <f t="shared" si="29"/>
        <v>0</v>
      </c>
      <c r="L583" s="521">
        <f t="shared" si="30"/>
        <v>100</v>
      </c>
    </row>
    <row r="584" spans="1:12" ht="12.75">
      <c r="A584" s="334">
        <f t="shared" si="28"/>
        <v>583</v>
      </c>
      <c r="B584" s="539">
        <v>7100</v>
      </c>
      <c r="C584" s="349">
        <v>3599</v>
      </c>
      <c r="D584" s="349" t="s">
        <v>519</v>
      </c>
      <c r="E584" s="601">
        <v>5136</v>
      </c>
      <c r="F584" s="618" t="s">
        <v>396</v>
      </c>
      <c r="G584" s="329"/>
      <c r="H584" s="562">
        <v>128</v>
      </c>
      <c r="I584" s="562">
        <v>2</v>
      </c>
      <c r="J584" s="562">
        <v>2</v>
      </c>
      <c r="K584" s="563">
        <f t="shared" si="29"/>
        <v>0</v>
      </c>
      <c r="L584" s="564">
        <f t="shared" si="30"/>
        <v>100</v>
      </c>
    </row>
    <row r="585" spans="1:12" ht="12.75">
      <c r="A585" s="334">
        <f t="shared" si="28"/>
        <v>584</v>
      </c>
      <c r="B585" s="539">
        <v>7100</v>
      </c>
      <c r="C585" s="349">
        <v>3599</v>
      </c>
      <c r="D585" s="349" t="s">
        <v>519</v>
      </c>
      <c r="E585" s="601">
        <v>5137</v>
      </c>
      <c r="F585" s="328" t="s">
        <v>353</v>
      </c>
      <c r="G585" s="329"/>
      <c r="H585" s="562">
        <v>0</v>
      </c>
      <c r="I585" s="562">
        <v>439</v>
      </c>
      <c r="J585" s="562">
        <v>438</v>
      </c>
      <c r="K585" s="563">
        <f t="shared" si="29"/>
        <v>-1</v>
      </c>
      <c r="L585" s="564">
        <f t="shared" si="30"/>
        <v>99.77220956719817</v>
      </c>
    </row>
    <row r="586" spans="1:12" ht="12.75">
      <c r="A586" s="334">
        <f t="shared" si="28"/>
        <v>585</v>
      </c>
      <c r="B586" s="539">
        <v>7100</v>
      </c>
      <c r="C586" s="349">
        <v>3599</v>
      </c>
      <c r="D586" s="349" t="s">
        <v>519</v>
      </c>
      <c r="E586" s="601">
        <v>5139</v>
      </c>
      <c r="F586" s="328" t="s">
        <v>349</v>
      </c>
      <c r="G586" s="329"/>
      <c r="H586" s="562">
        <v>23</v>
      </c>
      <c r="I586" s="562">
        <v>515</v>
      </c>
      <c r="J586" s="562">
        <v>494</v>
      </c>
      <c r="K586" s="563">
        <f t="shared" si="29"/>
        <v>-21</v>
      </c>
      <c r="L586" s="564">
        <f t="shared" si="30"/>
        <v>95.92233009708738</v>
      </c>
    </row>
    <row r="587" spans="1:12" ht="12.75">
      <c r="A587" s="334">
        <f t="shared" si="28"/>
        <v>586</v>
      </c>
      <c r="B587" s="539">
        <v>7100</v>
      </c>
      <c r="C587" s="349">
        <v>3599</v>
      </c>
      <c r="D587" s="349" t="s">
        <v>519</v>
      </c>
      <c r="E587" s="601">
        <v>5154</v>
      </c>
      <c r="F587" s="541" t="s">
        <v>356</v>
      </c>
      <c r="G587" s="606"/>
      <c r="H587" s="562">
        <v>1</v>
      </c>
      <c r="I587" s="562">
        <v>8</v>
      </c>
      <c r="J587" s="562">
        <v>6</v>
      </c>
      <c r="K587" s="563">
        <f t="shared" si="29"/>
        <v>-2</v>
      </c>
      <c r="L587" s="564">
        <f t="shared" si="30"/>
        <v>75</v>
      </c>
    </row>
    <row r="588" spans="1:12" ht="12.75">
      <c r="A588" s="334">
        <f t="shared" si="28"/>
        <v>587</v>
      </c>
      <c r="B588" s="539">
        <v>7100</v>
      </c>
      <c r="C588" s="349">
        <v>3599</v>
      </c>
      <c r="D588" s="349" t="s">
        <v>519</v>
      </c>
      <c r="E588" s="601">
        <v>5163</v>
      </c>
      <c r="F588" s="541" t="s">
        <v>326</v>
      </c>
      <c r="G588" s="606"/>
      <c r="H588" s="562">
        <v>0</v>
      </c>
      <c r="I588" s="562">
        <v>11</v>
      </c>
      <c r="J588" s="562">
        <v>10</v>
      </c>
      <c r="K588" s="563">
        <f t="shared" si="29"/>
        <v>-1</v>
      </c>
      <c r="L588" s="564">
        <f t="shared" si="30"/>
        <v>90.9090909090909</v>
      </c>
    </row>
    <row r="589" spans="1:12" ht="12.75">
      <c r="A589" s="334">
        <f t="shared" si="28"/>
        <v>588</v>
      </c>
      <c r="B589" s="539">
        <v>7100</v>
      </c>
      <c r="C589" s="349">
        <v>3599</v>
      </c>
      <c r="D589" s="349" t="s">
        <v>519</v>
      </c>
      <c r="E589" s="601">
        <v>5164</v>
      </c>
      <c r="F589" s="541" t="s">
        <v>357</v>
      </c>
      <c r="G589" s="606"/>
      <c r="H589" s="562">
        <v>15</v>
      </c>
      <c r="I589" s="562">
        <v>10</v>
      </c>
      <c r="J589" s="562">
        <v>9</v>
      </c>
      <c r="K589" s="563">
        <f t="shared" si="29"/>
        <v>-1</v>
      </c>
      <c r="L589" s="564">
        <f t="shared" si="30"/>
        <v>90</v>
      </c>
    </row>
    <row r="590" spans="1:12" ht="12.75">
      <c r="A590" s="334">
        <f t="shared" si="28"/>
        <v>589</v>
      </c>
      <c r="B590" s="539">
        <v>7100</v>
      </c>
      <c r="C590" s="349">
        <v>3599</v>
      </c>
      <c r="D590" s="349" t="s">
        <v>519</v>
      </c>
      <c r="E590" s="601">
        <v>5166</v>
      </c>
      <c r="F590" s="328" t="s">
        <v>318</v>
      </c>
      <c r="G590" s="329"/>
      <c r="H590" s="562">
        <v>134</v>
      </c>
      <c r="I590" s="562">
        <v>42</v>
      </c>
      <c r="J590" s="562">
        <v>28</v>
      </c>
      <c r="K590" s="563">
        <f t="shared" si="29"/>
        <v>-14</v>
      </c>
      <c r="L590" s="564">
        <f t="shared" si="30"/>
        <v>66.66666666666666</v>
      </c>
    </row>
    <row r="591" spans="1:12" ht="12.75">
      <c r="A591" s="334">
        <f t="shared" si="28"/>
        <v>590</v>
      </c>
      <c r="B591" s="539">
        <v>7100</v>
      </c>
      <c r="C591" s="349">
        <v>3599</v>
      </c>
      <c r="D591" s="349" t="s">
        <v>519</v>
      </c>
      <c r="E591" s="601">
        <v>5169</v>
      </c>
      <c r="F591" s="328" t="s">
        <v>321</v>
      </c>
      <c r="G591" s="329"/>
      <c r="H591" s="562">
        <v>1643</v>
      </c>
      <c r="I591" s="562">
        <v>1447</v>
      </c>
      <c r="J591" s="562">
        <v>1433</v>
      </c>
      <c r="K591" s="563">
        <f t="shared" si="29"/>
        <v>-14</v>
      </c>
      <c r="L591" s="564">
        <f t="shared" si="30"/>
        <v>99.0324809951624</v>
      </c>
    </row>
    <row r="592" spans="1:12" ht="12.75">
      <c r="A592" s="334">
        <f t="shared" si="28"/>
        <v>591</v>
      </c>
      <c r="B592" s="539">
        <v>7100</v>
      </c>
      <c r="C592" s="349">
        <v>3599</v>
      </c>
      <c r="D592" s="349" t="s">
        <v>519</v>
      </c>
      <c r="E592" s="601">
        <v>5171</v>
      </c>
      <c r="F592" s="541" t="s">
        <v>402</v>
      </c>
      <c r="G592" s="606"/>
      <c r="H592" s="562">
        <v>20</v>
      </c>
      <c r="I592" s="562">
        <v>0</v>
      </c>
      <c r="J592" s="562">
        <v>0</v>
      </c>
      <c r="K592" s="563">
        <f t="shared" si="29"/>
        <v>0</v>
      </c>
      <c r="L592" s="564"/>
    </row>
    <row r="593" spans="1:12" ht="12.75">
      <c r="A593" s="334">
        <f t="shared" si="28"/>
        <v>592</v>
      </c>
      <c r="B593" s="539">
        <v>7100</v>
      </c>
      <c r="C593" s="349">
        <v>3599</v>
      </c>
      <c r="D593" s="349" t="s">
        <v>519</v>
      </c>
      <c r="E593" s="601">
        <v>5175</v>
      </c>
      <c r="F593" s="541" t="s">
        <v>341</v>
      </c>
      <c r="G593" s="606"/>
      <c r="H593" s="562">
        <v>38</v>
      </c>
      <c r="I593" s="562">
        <v>15</v>
      </c>
      <c r="J593" s="562">
        <v>15</v>
      </c>
      <c r="K593" s="563">
        <f t="shared" si="29"/>
        <v>0</v>
      </c>
      <c r="L593" s="564">
        <f t="shared" si="30"/>
        <v>100</v>
      </c>
    </row>
    <row r="594" spans="1:12" ht="12.75">
      <c r="A594" s="334">
        <f t="shared" si="28"/>
        <v>593</v>
      </c>
      <c r="B594" s="539">
        <v>7100</v>
      </c>
      <c r="C594" s="349">
        <v>3599</v>
      </c>
      <c r="D594" s="349" t="s">
        <v>519</v>
      </c>
      <c r="E594" s="601">
        <v>5212</v>
      </c>
      <c r="F594" s="541" t="s">
        <v>520</v>
      </c>
      <c r="G594" s="353"/>
      <c r="H594" s="562"/>
      <c r="I594" s="562">
        <v>10</v>
      </c>
      <c r="J594" s="562">
        <v>10</v>
      </c>
      <c r="K594" s="563">
        <f t="shared" si="29"/>
        <v>0</v>
      </c>
      <c r="L594" s="564">
        <f t="shared" si="30"/>
        <v>100</v>
      </c>
    </row>
    <row r="595" spans="1:12" ht="12.75">
      <c r="A595" s="334">
        <f t="shared" si="28"/>
        <v>594</v>
      </c>
      <c r="B595" s="539">
        <v>7100</v>
      </c>
      <c r="C595" s="349">
        <v>3599</v>
      </c>
      <c r="D595" s="349" t="s">
        <v>519</v>
      </c>
      <c r="E595" s="601">
        <v>5221</v>
      </c>
      <c r="F595" s="352" t="s">
        <v>456</v>
      </c>
      <c r="G595" s="353"/>
      <c r="H595" s="562"/>
      <c r="I595" s="562">
        <v>122</v>
      </c>
      <c r="J595" s="562">
        <v>122</v>
      </c>
      <c r="K595" s="563">
        <f t="shared" si="29"/>
        <v>0</v>
      </c>
      <c r="L595" s="564">
        <f t="shared" si="30"/>
        <v>100</v>
      </c>
    </row>
    <row r="596" spans="1:12" ht="12.75">
      <c r="A596" s="334">
        <f t="shared" si="28"/>
        <v>595</v>
      </c>
      <c r="B596" s="539">
        <v>7100</v>
      </c>
      <c r="C596" s="349">
        <v>3599</v>
      </c>
      <c r="D596" s="349" t="s">
        <v>519</v>
      </c>
      <c r="E596" s="601">
        <v>5222</v>
      </c>
      <c r="F596" s="352" t="s">
        <v>433</v>
      </c>
      <c r="G596" s="353" t="s">
        <v>521</v>
      </c>
      <c r="H596" s="562">
        <v>1378</v>
      </c>
      <c r="I596" s="562">
        <v>2483</v>
      </c>
      <c r="J596" s="562">
        <v>2483</v>
      </c>
      <c r="K596" s="563">
        <f t="shared" si="29"/>
        <v>0</v>
      </c>
      <c r="L596" s="564">
        <f t="shared" si="30"/>
        <v>100</v>
      </c>
    </row>
    <row r="597" spans="1:12" ht="12.75">
      <c r="A597" s="334">
        <f t="shared" si="28"/>
        <v>596</v>
      </c>
      <c r="B597" s="539">
        <v>7100</v>
      </c>
      <c r="C597" s="349">
        <v>3599</v>
      </c>
      <c r="D597" s="349" t="s">
        <v>519</v>
      </c>
      <c r="E597" s="601">
        <v>5223</v>
      </c>
      <c r="F597" s="328" t="s">
        <v>522</v>
      </c>
      <c r="G597" s="353" t="s">
        <v>521</v>
      </c>
      <c r="H597" s="562">
        <v>2565</v>
      </c>
      <c r="I597" s="562">
        <v>2695</v>
      </c>
      <c r="J597" s="562">
        <v>2695</v>
      </c>
      <c r="K597" s="563">
        <f t="shared" si="29"/>
        <v>0</v>
      </c>
      <c r="L597" s="564">
        <f t="shared" si="30"/>
        <v>100</v>
      </c>
    </row>
    <row r="598" spans="1:12" ht="12.75">
      <c r="A598" s="334">
        <f t="shared" si="28"/>
        <v>597</v>
      </c>
      <c r="B598" s="539">
        <v>7100</v>
      </c>
      <c r="C598" s="349">
        <v>3599</v>
      </c>
      <c r="D598" s="349" t="s">
        <v>519</v>
      </c>
      <c r="E598" s="601">
        <v>5229</v>
      </c>
      <c r="F598" s="378" t="s">
        <v>343</v>
      </c>
      <c r="G598" s="353" t="s">
        <v>523</v>
      </c>
      <c r="H598" s="562">
        <v>1500</v>
      </c>
      <c r="I598" s="562">
        <v>0</v>
      </c>
      <c r="J598" s="562">
        <v>0</v>
      </c>
      <c r="K598" s="563">
        <f t="shared" si="29"/>
        <v>0</v>
      </c>
      <c r="L598" s="564"/>
    </row>
    <row r="599" spans="1:12" ht="12.75">
      <c r="A599" s="334">
        <f t="shared" si="28"/>
        <v>598</v>
      </c>
      <c r="B599" s="539">
        <v>7100</v>
      </c>
      <c r="C599" s="349">
        <v>3599</v>
      </c>
      <c r="D599" s="349" t="s">
        <v>519</v>
      </c>
      <c r="E599" s="601">
        <v>5332</v>
      </c>
      <c r="F599" s="328" t="s">
        <v>524</v>
      </c>
      <c r="G599" s="353"/>
      <c r="H599" s="562"/>
      <c r="I599" s="562">
        <v>15</v>
      </c>
      <c r="J599" s="562">
        <v>15</v>
      </c>
      <c r="K599" s="563">
        <f t="shared" si="29"/>
        <v>0</v>
      </c>
      <c r="L599" s="564">
        <f t="shared" si="30"/>
        <v>100</v>
      </c>
    </row>
    <row r="600" spans="1:12" ht="12.75">
      <c r="A600" s="334">
        <f t="shared" si="28"/>
        <v>599</v>
      </c>
      <c r="B600" s="539">
        <v>7100</v>
      </c>
      <c r="C600" s="349">
        <v>3599</v>
      </c>
      <c r="D600" s="349" t="s">
        <v>519</v>
      </c>
      <c r="E600" s="601">
        <v>5339</v>
      </c>
      <c r="F600" s="349" t="s">
        <v>457</v>
      </c>
      <c r="G600" s="353"/>
      <c r="H600" s="562"/>
      <c r="I600" s="562">
        <v>155</v>
      </c>
      <c r="J600" s="562">
        <v>155</v>
      </c>
      <c r="K600" s="563">
        <f t="shared" si="29"/>
        <v>0</v>
      </c>
      <c r="L600" s="564">
        <f t="shared" si="30"/>
        <v>100</v>
      </c>
    </row>
    <row r="601" spans="1:12" ht="12.75">
      <c r="A601" s="334">
        <f t="shared" si="28"/>
        <v>600</v>
      </c>
      <c r="B601" s="540"/>
      <c r="C601" s="371" t="s">
        <v>525</v>
      </c>
      <c r="D601" s="371"/>
      <c r="E601" s="608"/>
      <c r="F601" s="371"/>
      <c r="G601" s="351"/>
      <c r="H601" s="519">
        <f>SUBTOTAL(9,H584:H600)</f>
        <v>7445</v>
      </c>
      <c r="I601" s="519">
        <f>SUBTOTAL(9,I584:I600)</f>
        <v>7969</v>
      </c>
      <c r="J601" s="519">
        <f>SUBTOTAL(9,J584:J600)</f>
        <v>7915</v>
      </c>
      <c r="K601" s="520">
        <f t="shared" si="29"/>
        <v>-54</v>
      </c>
      <c r="L601" s="521">
        <f t="shared" si="30"/>
        <v>99.3223742000251</v>
      </c>
    </row>
    <row r="602" spans="1:12" ht="12.75">
      <c r="A602" s="334">
        <f t="shared" si="28"/>
        <v>601</v>
      </c>
      <c r="B602" s="539">
        <v>7100</v>
      </c>
      <c r="C602" s="349">
        <v>3900</v>
      </c>
      <c r="D602" s="349" t="s">
        <v>526</v>
      </c>
      <c r="E602" s="601">
        <v>5331</v>
      </c>
      <c r="F602" s="378" t="s">
        <v>345</v>
      </c>
      <c r="G602" s="329" t="s">
        <v>527</v>
      </c>
      <c r="H602" s="562">
        <v>8381</v>
      </c>
      <c r="I602" s="562">
        <v>8381</v>
      </c>
      <c r="J602" s="562">
        <v>8381</v>
      </c>
      <c r="K602" s="563">
        <f t="shared" si="29"/>
        <v>0</v>
      </c>
      <c r="L602" s="564">
        <f t="shared" si="30"/>
        <v>100</v>
      </c>
    </row>
    <row r="603" spans="1:12" ht="12.75">
      <c r="A603" s="334">
        <f t="shared" si="28"/>
        <v>602</v>
      </c>
      <c r="B603" s="540"/>
      <c r="C603" s="371" t="s">
        <v>214</v>
      </c>
      <c r="D603" s="371"/>
      <c r="E603" s="608"/>
      <c r="F603" s="371"/>
      <c r="G603" s="351"/>
      <c r="H603" s="519">
        <f>SUBTOTAL(9,H602:H602)</f>
        <v>8381</v>
      </c>
      <c r="I603" s="519">
        <f>SUBTOTAL(9,I602:I602)</f>
        <v>8381</v>
      </c>
      <c r="J603" s="519">
        <f>SUBTOTAL(9,J602:J602)</f>
        <v>8381</v>
      </c>
      <c r="K603" s="520">
        <f t="shared" si="29"/>
        <v>0</v>
      </c>
      <c r="L603" s="521">
        <f t="shared" si="30"/>
        <v>100</v>
      </c>
    </row>
    <row r="604" spans="1:12" ht="13.5" thickBot="1">
      <c r="A604" s="334">
        <f t="shared" si="28"/>
        <v>603</v>
      </c>
      <c r="B604" s="357" t="s">
        <v>14</v>
      </c>
      <c r="C604" s="358"/>
      <c r="D604" s="358"/>
      <c r="E604" s="358"/>
      <c r="F604" s="358"/>
      <c r="G604" s="359"/>
      <c r="H604" s="360">
        <f>SUBTOTAL(9,H570:H603)</f>
        <v>128379</v>
      </c>
      <c r="I604" s="360">
        <f>SUBTOTAL(9,I570:I603)</f>
        <v>136644</v>
      </c>
      <c r="J604" s="360">
        <f>SUBTOTAL(9,J570:J603)</f>
        <v>136590</v>
      </c>
      <c r="K604" s="361">
        <f t="shared" si="29"/>
        <v>-54</v>
      </c>
      <c r="L604" s="362">
        <f t="shared" si="30"/>
        <v>99.96048125054887</v>
      </c>
    </row>
    <row r="605" spans="1:12" ht="12.75">
      <c r="A605" s="334">
        <f t="shared" si="28"/>
        <v>604</v>
      </c>
      <c r="B605" s="363"/>
      <c r="C605" s="364"/>
      <c r="D605" s="364"/>
      <c r="E605" s="364"/>
      <c r="F605" s="365"/>
      <c r="G605" s="366"/>
      <c r="H605" s="367"/>
      <c r="I605" s="367"/>
      <c r="J605" s="367"/>
      <c r="K605" s="368">
        <f t="shared" si="29"/>
        <v>0</v>
      </c>
      <c r="L605" s="369"/>
    </row>
    <row r="606" spans="1:12" ht="15.75">
      <c r="A606" s="334">
        <f t="shared" si="28"/>
        <v>605</v>
      </c>
      <c r="B606" s="589" t="s">
        <v>40</v>
      </c>
      <c r="C606" s="590"/>
      <c r="D606" s="590"/>
      <c r="E606" s="423"/>
      <c r="F606" s="378"/>
      <c r="G606" s="591"/>
      <c r="H606" s="562"/>
      <c r="I606" s="562"/>
      <c r="J606" s="562"/>
      <c r="K606" s="563">
        <f t="shared" si="29"/>
        <v>0</v>
      </c>
      <c r="L606" s="564"/>
    </row>
    <row r="607" spans="1:12" ht="12.75">
      <c r="A607" s="334">
        <f t="shared" si="28"/>
        <v>606</v>
      </c>
      <c r="B607" s="539">
        <v>7200</v>
      </c>
      <c r="C607" s="349">
        <v>3541</v>
      </c>
      <c r="D607" s="349" t="s">
        <v>528</v>
      </c>
      <c r="E607" s="601">
        <v>5221</v>
      </c>
      <c r="F607" s="352" t="s">
        <v>456</v>
      </c>
      <c r="G607" s="353"/>
      <c r="H607" s="562"/>
      <c r="I607" s="562">
        <v>158</v>
      </c>
      <c r="J607" s="562">
        <v>158</v>
      </c>
      <c r="K607" s="563">
        <f t="shared" si="29"/>
        <v>0</v>
      </c>
      <c r="L607" s="564">
        <f t="shared" si="30"/>
        <v>100</v>
      </c>
    </row>
    <row r="608" spans="1:12" ht="12.75">
      <c r="A608" s="334">
        <f t="shared" si="28"/>
        <v>607</v>
      </c>
      <c r="B608" s="539">
        <v>7200</v>
      </c>
      <c r="C608" s="349">
        <v>3541</v>
      </c>
      <c r="D608" s="349" t="s">
        <v>528</v>
      </c>
      <c r="E608" s="601">
        <v>5222</v>
      </c>
      <c r="F608" s="352" t="s">
        <v>433</v>
      </c>
      <c r="G608" s="353" t="s">
        <v>529</v>
      </c>
      <c r="H608" s="562">
        <v>3973</v>
      </c>
      <c r="I608" s="562">
        <v>3745</v>
      </c>
      <c r="J608" s="562">
        <v>3745</v>
      </c>
      <c r="K608" s="563">
        <f t="shared" si="29"/>
        <v>0</v>
      </c>
      <c r="L608" s="564">
        <f t="shared" si="30"/>
        <v>100</v>
      </c>
    </row>
    <row r="609" spans="1:12" ht="12.75">
      <c r="A609" s="334">
        <f t="shared" si="28"/>
        <v>608</v>
      </c>
      <c r="B609" s="539">
        <v>7200</v>
      </c>
      <c r="C609" s="349">
        <v>3541</v>
      </c>
      <c r="D609" s="349" t="s">
        <v>528</v>
      </c>
      <c r="E609" s="601">
        <v>5223</v>
      </c>
      <c r="F609" s="328" t="s">
        <v>522</v>
      </c>
      <c r="G609" s="353"/>
      <c r="H609" s="562"/>
      <c r="I609" s="562">
        <v>70</v>
      </c>
      <c r="J609" s="562">
        <v>70</v>
      </c>
      <c r="K609" s="563">
        <f t="shared" si="29"/>
        <v>0</v>
      </c>
      <c r="L609" s="564">
        <f t="shared" si="30"/>
        <v>100</v>
      </c>
    </row>
    <row r="610" spans="1:12" ht="12.75">
      <c r="A610" s="334">
        <f t="shared" si="28"/>
        <v>609</v>
      </c>
      <c r="B610" s="539">
        <v>7200</v>
      </c>
      <c r="C610" s="349">
        <v>3541</v>
      </c>
      <c r="D610" s="349" t="s">
        <v>528</v>
      </c>
      <c r="E610" s="601">
        <v>5339</v>
      </c>
      <c r="F610" s="349" t="s">
        <v>457</v>
      </c>
      <c r="G610" s="476" t="s">
        <v>530</v>
      </c>
      <c r="H610" s="562">
        <v>1882</v>
      </c>
      <c r="I610" s="562">
        <v>1882</v>
      </c>
      <c r="J610" s="562">
        <v>1882</v>
      </c>
      <c r="K610" s="563">
        <f t="shared" si="29"/>
        <v>0</v>
      </c>
      <c r="L610" s="564">
        <f t="shared" si="30"/>
        <v>100</v>
      </c>
    </row>
    <row r="611" spans="1:12" ht="12.75">
      <c r="A611" s="334">
        <f t="shared" si="28"/>
        <v>610</v>
      </c>
      <c r="B611" s="540"/>
      <c r="C611" s="371" t="s">
        <v>531</v>
      </c>
      <c r="D611" s="371"/>
      <c r="E611" s="608"/>
      <c r="F611" s="371"/>
      <c r="G611" s="397"/>
      <c r="H611" s="519">
        <f>SUBTOTAL(9,H607:H610)</f>
        <v>5855</v>
      </c>
      <c r="I611" s="519">
        <f>SUBTOTAL(9,I607:I610)</f>
        <v>5855</v>
      </c>
      <c r="J611" s="519">
        <f>SUBTOTAL(9,J607:J610)</f>
        <v>5855</v>
      </c>
      <c r="K611" s="520">
        <f t="shared" si="29"/>
        <v>0</v>
      </c>
      <c r="L611" s="521">
        <f t="shared" si="30"/>
        <v>100</v>
      </c>
    </row>
    <row r="612" spans="1:12" ht="12.75">
      <c r="A612" s="334">
        <f t="shared" si="28"/>
        <v>611</v>
      </c>
      <c r="B612" s="539">
        <v>7200</v>
      </c>
      <c r="C612" s="349">
        <v>3691</v>
      </c>
      <c r="D612" s="349" t="s">
        <v>532</v>
      </c>
      <c r="E612" s="601">
        <v>5169</v>
      </c>
      <c r="F612" s="328" t="s">
        <v>321</v>
      </c>
      <c r="G612" s="476" t="s">
        <v>533</v>
      </c>
      <c r="H612" s="562"/>
      <c r="I612" s="562">
        <v>153</v>
      </c>
      <c r="J612" s="562">
        <v>130</v>
      </c>
      <c r="K612" s="563">
        <f t="shared" si="29"/>
        <v>-23</v>
      </c>
      <c r="L612" s="564">
        <f t="shared" si="30"/>
        <v>84.9673202614379</v>
      </c>
    </row>
    <row r="613" spans="1:12" ht="12.75">
      <c r="A613" s="334">
        <f t="shared" si="28"/>
        <v>612</v>
      </c>
      <c r="B613" s="540"/>
      <c r="C613" s="371" t="s">
        <v>534</v>
      </c>
      <c r="D613" s="371"/>
      <c r="E613" s="608"/>
      <c r="F613" s="371"/>
      <c r="G613" s="397"/>
      <c r="H613" s="519">
        <f>SUBTOTAL(9,H612)</f>
        <v>0</v>
      </c>
      <c r="I613" s="519">
        <f>SUBTOTAL(9,I612)</f>
        <v>153</v>
      </c>
      <c r="J613" s="519">
        <f>SUBTOTAL(9,J612)</f>
        <v>130</v>
      </c>
      <c r="K613" s="520">
        <f t="shared" si="29"/>
        <v>-23</v>
      </c>
      <c r="L613" s="521">
        <f t="shared" si="30"/>
        <v>84.9673202614379</v>
      </c>
    </row>
    <row r="614" spans="1:12" ht="12.75">
      <c r="A614" s="334">
        <f t="shared" si="28"/>
        <v>613</v>
      </c>
      <c r="B614" s="539">
        <v>7200</v>
      </c>
      <c r="C614" s="349">
        <v>4312</v>
      </c>
      <c r="D614" s="349" t="s">
        <v>271</v>
      </c>
      <c r="E614" s="601">
        <v>5221</v>
      </c>
      <c r="F614" s="352" t="s">
        <v>456</v>
      </c>
      <c r="G614" s="353"/>
      <c r="H614" s="562"/>
      <c r="I614" s="562">
        <v>110</v>
      </c>
      <c r="J614" s="562">
        <v>110</v>
      </c>
      <c r="K614" s="563">
        <f t="shared" si="29"/>
        <v>0</v>
      </c>
      <c r="L614" s="564">
        <f t="shared" si="30"/>
        <v>100</v>
      </c>
    </row>
    <row r="615" spans="1:12" ht="12.75">
      <c r="A615" s="334">
        <f t="shared" si="28"/>
        <v>614</v>
      </c>
      <c r="B615" s="539">
        <v>7200</v>
      </c>
      <c r="C615" s="349">
        <v>4312</v>
      </c>
      <c r="D615" s="349" t="s">
        <v>271</v>
      </c>
      <c r="E615" s="601">
        <v>5222</v>
      </c>
      <c r="F615" s="352" t="s">
        <v>433</v>
      </c>
      <c r="G615" s="353"/>
      <c r="H615" s="562"/>
      <c r="I615" s="562">
        <v>1340</v>
      </c>
      <c r="J615" s="562">
        <v>1340</v>
      </c>
      <c r="K615" s="563">
        <f t="shared" si="29"/>
        <v>0</v>
      </c>
      <c r="L615" s="564">
        <f t="shared" si="30"/>
        <v>100</v>
      </c>
    </row>
    <row r="616" spans="1:12" ht="12.75">
      <c r="A616" s="334">
        <f t="shared" si="28"/>
        <v>615</v>
      </c>
      <c r="B616" s="539">
        <v>7200</v>
      </c>
      <c r="C616" s="349">
        <v>4312</v>
      </c>
      <c r="D616" s="349" t="s">
        <v>271</v>
      </c>
      <c r="E616" s="601">
        <v>5223</v>
      </c>
      <c r="F616" s="328" t="s">
        <v>522</v>
      </c>
      <c r="G616" s="476"/>
      <c r="H616" s="562"/>
      <c r="I616" s="562">
        <v>50</v>
      </c>
      <c r="J616" s="562">
        <v>50</v>
      </c>
      <c r="K616" s="563">
        <f t="shared" si="29"/>
        <v>0</v>
      </c>
      <c r="L616" s="564">
        <f t="shared" si="30"/>
        <v>100</v>
      </c>
    </row>
    <row r="617" spans="1:12" ht="12.75">
      <c r="A617" s="334">
        <f t="shared" si="28"/>
        <v>616</v>
      </c>
      <c r="B617" s="540"/>
      <c r="C617" s="371" t="s">
        <v>535</v>
      </c>
      <c r="D617" s="371"/>
      <c r="E617" s="608"/>
      <c r="F617" s="371"/>
      <c r="G617" s="397"/>
      <c r="H617" s="519">
        <f>SUBTOTAL(9,H613:H616)</f>
        <v>0</v>
      </c>
      <c r="I617" s="519">
        <f>SUBTOTAL(9,I614:I616)</f>
        <v>1500</v>
      </c>
      <c r="J617" s="519">
        <f>SUBTOTAL(9,J614:J616)</f>
        <v>1500</v>
      </c>
      <c r="K617" s="520">
        <f t="shared" si="29"/>
        <v>0</v>
      </c>
      <c r="L617" s="521">
        <f t="shared" si="30"/>
        <v>100</v>
      </c>
    </row>
    <row r="618" spans="1:12" ht="12.75">
      <c r="A618" s="334">
        <f t="shared" si="28"/>
        <v>617</v>
      </c>
      <c r="B618" s="592">
        <v>7200</v>
      </c>
      <c r="C618" s="423">
        <v>4324</v>
      </c>
      <c r="D618" s="423" t="s">
        <v>284</v>
      </c>
      <c r="E618" s="423">
        <v>5136</v>
      </c>
      <c r="F618" s="378" t="s">
        <v>396</v>
      </c>
      <c r="G618" s="591" t="s">
        <v>536</v>
      </c>
      <c r="H618" s="562"/>
      <c r="I618" s="562">
        <v>18</v>
      </c>
      <c r="J618" s="562">
        <v>18</v>
      </c>
      <c r="K618" s="563">
        <f t="shared" si="29"/>
        <v>0</v>
      </c>
      <c r="L618" s="564">
        <f t="shared" si="30"/>
        <v>100</v>
      </c>
    </row>
    <row r="619" spans="1:12" ht="12.75">
      <c r="A619" s="334">
        <f t="shared" si="28"/>
        <v>618</v>
      </c>
      <c r="B619" s="592">
        <v>7200</v>
      </c>
      <c r="C619" s="423">
        <v>4324</v>
      </c>
      <c r="D619" s="423" t="s">
        <v>284</v>
      </c>
      <c r="E619" s="423">
        <v>5137</v>
      </c>
      <c r="F619" s="328" t="s">
        <v>353</v>
      </c>
      <c r="G619" s="591" t="s">
        <v>536</v>
      </c>
      <c r="H619" s="562"/>
      <c r="I619" s="562">
        <v>27</v>
      </c>
      <c r="J619" s="562">
        <v>19</v>
      </c>
      <c r="K619" s="563">
        <f t="shared" si="29"/>
        <v>-8</v>
      </c>
      <c r="L619" s="564">
        <f t="shared" si="30"/>
        <v>70.37037037037037</v>
      </c>
    </row>
    <row r="620" spans="1:12" ht="12.75">
      <c r="A620" s="334">
        <f t="shared" si="28"/>
        <v>619</v>
      </c>
      <c r="B620" s="592">
        <v>7200</v>
      </c>
      <c r="C620" s="423">
        <v>4324</v>
      </c>
      <c r="D620" s="423" t="s">
        <v>284</v>
      </c>
      <c r="E620" s="423">
        <v>5139</v>
      </c>
      <c r="F620" s="328" t="s">
        <v>349</v>
      </c>
      <c r="G620" s="591" t="s">
        <v>536</v>
      </c>
      <c r="H620" s="562"/>
      <c r="I620" s="562">
        <v>65</v>
      </c>
      <c r="J620" s="562">
        <v>65</v>
      </c>
      <c r="K620" s="563">
        <f t="shared" si="29"/>
        <v>0</v>
      </c>
      <c r="L620" s="564">
        <f t="shared" si="30"/>
        <v>100</v>
      </c>
    </row>
    <row r="621" spans="1:12" ht="12.75">
      <c r="A621" s="334">
        <f t="shared" si="28"/>
        <v>620</v>
      </c>
      <c r="B621" s="592">
        <v>7200</v>
      </c>
      <c r="C621" s="423">
        <v>4324</v>
      </c>
      <c r="D621" s="423" t="s">
        <v>284</v>
      </c>
      <c r="E621" s="423">
        <v>5162</v>
      </c>
      <c r="F621" s="328" t="s">
        <v>400</v>
      </c>
      <c r="G621" s="591" t="s">
        <v>536</v>
      </c>
      <c r="H621" s="562"/>
      <c r="I621" s="562">
        <v>80</v>
      </c>
      <c r="J621" s="562">
        <v>80</v>
      </c>
      <c r="K621" s="563">
        <f t="shared" si="29"/>
        <v>0</v>
      </c>
      <c r="L621" s="564">
        <f t="shared" si="30"/>
        <v>100</v>
      </c>
    </row>
    <row r="622" spans="1:12" ht="12.75">
      <c r="A622" s="334">
        <f t="shared" si="28"/>
        <v>621</v>
      </c>
      <c r="B622" s="592">
        <v>7200</v>
      </c>
      <c r="C622" s="423">
        <v>4324</v>
      </c>
      <c r="D622" s="423" t="s">
        <v>284</v>
      </c>
      <c r="E622" s="423">
        <v>5167</v>
      </c>
      <c r="F622" s="378" t="s">
        <v>401</v>
      </c>
      <c r="G622" s="591" t="s">
        <v>536</v>
      </c>
      <c r="H622" s="330"/>
      <c r="I622" s="330">
        <v>59</v>
      </c>
      <c r="J622" s="330">
        <v>41</v>
      </c>
      <c r="K622" s="337">
        <f t="shared" si="29"/>
        <v>-18</v>
      </c>
      <c r="L622" s="338">
        <f t="shared" si="30"/>
        <v>69.49152542372882</v>
      </c>
    </row>
    <row r="623" spans="1:12" ht="12.75">
      <c r="A623" s="334">
        <f t="shared" si="28"/>
        <v>622</v>
      </c>
      <c r="B623" s="592">
        <v>7200</v>
      </c>
      <c r="C623" s="423">
        <v>4324</v>
      </c>
      <c r="D623" s="423" t="s">
        <v>284</v>
      </c>
      <c r="E623" s="423">
        <v>5169</v>
      </c>
      <c r="F623" s="328" t="s">
        <v>321</v>
      </c>
      <c r="G623" s="591" t="s">
        <v>536</v>
      </c>
      <c r="H623" s="562"/>
      <c r="I623" s="562">
        <v>10</v>
      </c>
      <c r="J623" s="562">
        <v>2</v>
      </c>
      <c r="K623" s="563">
        <f t="shared" si="29"/>
        <v>-8</v>
      </c>
      <c r="L623" s="564">
        <f t="shared" si="30"/>
        <v>20</v>
      </c>
    </row>
    <row r="624" spans="1:12" ht="12.75">
      <c r="A624" s="334">
        <f t="shared" si="28"/>
        <v>623</v>
      </c>
      <c r="B624" s="592">
        <v>7200</v>
      </c>
      <c r="C624" s="423">
        <v>4324</v>
      </c>
      <c r="D624" s="423" t="s">
        <v>284</v>
      </c>
      <c r="E624" s="423">
        <v>5171</v>
      </c>
      <c r="F624" s="378" t="s">
        <v>402</v>
      </c>
      <c r="G624" s="591" t="s">
        <v>536</v>
      </c>
      <c r="H624" s="562"/>
      <c r="I624" s="562">
        <v>7</v>
      </c>
      <c r="J624" s="562">
        <v>3</v>
      </c>
      <c r="K624" s="563">
        <f t="shared" si="29"/>
        <v>-4</v>
      </c>
      <c r="L624" s="564">
        <f t="shared" si="30"/>
        <v>42.857142857142854</v>
      </c>
    </row>
    <row r="625" spans="1:12" ht="12.75">
      <c r="A625" s="334">
        <f t="shared" si="28"/>
        <v>624</v>
      </c>
      <c r="B625" s="592">
        <v>7200</v>
      </c>
      <c r="C625" s="423">
        <v>4324</v>
      </c>
      <c r="D625" s="423" t="s">
        <v>284</v>
      </c>
      <c r="E625" s="423">
        <v>5194</v>
      </c>
      <c r="F625" s="378" t="s">
        <v>350</v>
      </c>
      <c r="G625" s="591" t="s">
        <v>536</v>
      </c>
      <c r="H625" s="562"/>
      <c r="I625" s="562">
        <v>8</v>
      </c>
      <c r="J625" s="562">
        <v>8</v>
      </c>
      <c r="K625" s="563">
        <f t="shared" si="29"/>
        <v>0</v>
      </c>
      <c r="L625" s="564">
        <f t="shared" si="30"/>
        <v>100</v>
      </c>
    </row>
    <row r="626" spans="1:12" ht="12.75">
      <c r="A626" s="334">
        <f t="shared" si="28"/>
        <v>625</v>
      </c>
      <c r="B626" s="484"/>
      <c r="C626" s="485" t="s">
        <v>537</v>
      </c>
      <c r="D626" s="485"/>
      <c r="E626" s="485"/>
      <c r="F626" s="486"/>
      <c r="G626" s="487"/>
      <c r="H626" s="488">
        <f>SUBTOTAL(9,H618:H625)</f>
        <v>0</v>
      </c>
      <c r="I626" s="488">
        <f>SUBTOTAL(9,I618:I625)</f>
        <v>274</v>
      </c>
      <c r="J626" s="488">
        <f>SUBTOTAL(9,J618:J625)</f>
        <v>236</v>
      </c>
      <c r="K626" s="489">
        <f t="shared" si="29"/>
        <v>-38</v>
      </c>
      <c r="L626" s="490">
        <f t="shared" si="30"/>
        <v>86.13138686131386</v>
      </c>
    </row>
    <row r="627" spans="1:12" ht="12.75">
      <c r="A627" s="334">
        <f t="shared" si="28"/>
        <v>626</v>
      </c>
      <c r="B627" s="592">
        <v>7200</v>
      </c>
      <c r="C627" s="423">
        <v>4341</v>
      </c>
      <c r="D627" s="423" t="s">
        <v>506</v>
      </c>
      <c r="E627" s="423">
        <v>5133</v>
      </c>
      <c r="F627" s="378" t="s">
        <v>395</v>
      </c>
      <c r="G627" s="342"/>
      <c r="H627" s="619">
        <v>6</v>
      </c>
      <c r="I627" s="619">
        <v>6</v>
      </c>
      <c r="J627" s="619">
        <v>5</v>
      </c>
      <c r="K627" s="620">
        <f t="shared" si="29"/>
        <v>-1</v>
      </c>
      <c r="L627" s="621">
        <f t="shared" si="30"/>
        <v>83.33333333333334</v>
      </c>
    </row>
    <row r="628" spans="1:12" ht="12.75">
      <c r="A628" s="334">
        <f t="shared" si="28"/>
        <v>627</v>
      </c>
      <c r="B628" s="592">
        <v>7200</v>
      </c>
      <c r="C628" s="423">
        <v>4341</v>
      </c>
      <c r="D628" s="423" t="s">
        <v>506</v>
      </c>
      <c r="E628" s="423">
        <v>5134</v>
      </c>
      <c r="F628" s="378" t="s">
        <v>538</v>
      </c>
      <c r="G628" s="591"/>
      <c r="H628" s="23">
        <v>5</v>
      </c>
      <c r="I628" s="23">
        <v>40</v>
      </c>
      <c r="J628" s="23">
        <v>31</v>
      </c>
      <c r="K628" s="622">
        <f t="shared" si="29"/>
        <v>-9</v>
      </c>
      <c r="L628" s="49">
        <f t="shared" si="30"/>
        <v>77.5</v>
      </c>
    </row>
    <row r="629" spans="1:12" ht="12.75">
      <c r="A629" s="334">
        <f t="shared" si="28"/>
        <v>628</v>
      </c>
      <c r="B629" s="592">
        <v>7200</v>
      </c>
      <c r="C629" s="423">
        <v>4341</v>
      </c>
      <c r="D629" s="423" t="s">
        <v>506</v>
      </c>
      <c r="E629" s="423">
        <v>5136</v>
      </c>
      <c r="F629" s="378" t="s">
        <v>396</v>
      </c>
      <c r="G629" s="591"/>
      <c r="H629" s="562">
        <v>25</v>
      </c>
      <c r="I629" s="562">
        <v>25</v>
      </c>
      <c r="J629" s="562">
        <v>18</v>
      </c>
      <c r="K629" s="563">
        <f t="shared" si="29"/>
        <v>-7</v>
      </c>
      <c r="L629" s="564">
        <f t="shared" si="30"/>
        <v>72</v>
      </c>
    </row>
    <row r="630" spans="1:12" ht="12.75">
      <c r="A630" s="334">
        <f t="shared" si="28"/>
        <v>629</v>
      </c>
      <c r="B630" s="592">
        <v>7200</v>
      </c>
      <c r="C630" s="423">
        <v>4341</v>
      </c>
      <c r="D630" s="423" t="s">
        <v>506</v>
      </c>
      <c r="E630" s="423">
        <v>5137</v>
      </c>
      <c r="F630" s="328" t="s">
        <v>353</v>
      </c>
      <c r="G630" s="476"/>
      <c r="H630" s="562">
        <v>1095</v>
      </c>
      <c r="I630" s="562">
        <v>982</v>
      </c>
      <c r="J630" s="562">
        <v>931</v>
      </c>
      <c r="K630" s="563">
        <f t="shared" si="29"/>
        <v>-51</v>
      </c>
      <c r="L630" s="564">
        <f t="shared" si="30"/>
        <v>94.80651731160896</v>
      </c>
    </row>
    <row r="631" spans="1:12" ht="12.75">
      <c r="A631" s="334">
        <f t="shared" si="28"/>
        <v>630</v>
      </c>
      <c r="B631" s="592">
        <v>7200</v>
      </c>
      <c r="C631" s="423">
        <v>4341</v>
      </c>
      <c r="D631" s="423" t="s">
        <v>506</v>
      </c>
      <c r="E631" s="423">
        <v>5139</v>
      </c>
      <c r="F631" s="328" t="s">
        <v>349</v>
      </c>
      <c r="G631" s="329"/>
      <c r="H631" s="562">
        <v>955</v>
      </c>
      <c r="I631" s="562">
        <v>845</v>
      </c>
      <c r="J631" s="562">
        <v>512</v>
      </c>
      <c r="K631" s="563">
        <f t="shared" si="29"/>
        <v>-333</v>
      </c>
      <c r="L631" s="564">
        <f t="shared" si="30"/>
        <v>60.591715976331365</v>
      </c>
    </row>
    <row r="632" spans="1:12" ht="12.75">
      <c r="A632" s="334">
        <f t="shared" si="28"/>
        <v>631</v>
      </c>
      <c r="B632" s="592">
        <v>7200</v>
      </c>
      <c r="C632" s="423">
        <v>4341</v>
      </c>
      <c r="D632" s="423" t="s">
        <v>506</v>
      </c>
      <c r="E632" s="423">
        <v>5151</v>
      </c>
      <c r="F632" s="328" t="s">
        <v>354</v>
      </c>
      <c r="G632" s="329"/>
      <c r="H632" s="562">
        <v>10</v>
      </c>
      <c r="I632" s="562">
        <v>10</v>
      </c>
      <c r="J632" s="562">
        <v>6</v>
      </c>
      <c r="K632" s="563">
        <f t="shared" si="29"/>
        <v>-4</v>
      </c>
      <c r="L632" s="564">
        <f t="shared" si="30"/>
        <v>60</v>
      </c>
    </row>
    <row r="633" spans="1:12" ht="12.75">
      <c r="A633" s="334">
        <f t="shared" si="28"/>
        <v>632</v>
      </c>
      <c r="B633" s="592">
        <v>7200</v>
      </c>
      <c r="C633" s="423">
        <v>4341</v>
      </c>
      <c r="D633" s="423" t="s">
        <v>506</v>
      </c>
      <c r="E633" s="423">
        <v>5152</v>
      </c>
      <c r="F633" s="328" t="s">
        <v>355</v>
      </c>
      <c r="G633" s="329"/>
      <c r="H633" s="562">
        <v>20</v>
      </c>
      <c r="I633" s="562">
        <v>20</v>
      </c>
      <c r="J633" s="562">
        <v>16</v>
      </c>
      <c r="K633" s="563">
        <f t="shared" si="29"/>
        <v>-4</v>
      </c>
      <c r="L633" s="564">
        <f t="shared" si="30"/>
        <v>80</v>
      </c>
    </row>
    <row r="634" spans="1:12" ht="12.75">
      <c r="A634" s="334">
        <f t="shared" si="28"/>
        <v>633</v>
      </c>
      <c r="B634" s="592">
        <v>7200</v>
      </c>
      <c r="C634" s="423">
        <v>4341</v>
      </c>
      <c r="D634" s="423" t="s">
        <v>506</v>
      </c>
      <c r="E634" s="423">
        <v>5154</v>
      </c>
      <c r="F634" s="378" t="s">
        <v>356</v>
      </c>
      <c r="G634" s="591"/>
      <c r="H634" s="562">
        <v>30</v>
      </c>
      <c r="I634" s="562">
        <v>30</v>
      </c>
      <c r="J634" s="562">
        <v>16</v>
      </c>
      <c r="K634" s="563">
        <f t="shared" si="29"/>
        <v>-14</v>
      </c>
      <c r="L634" s="564">
        <f t="shared" si="30"/>
        <v>53.333333333333336</v>
      </c>
    </row>
    <row r="635" spans="1:12" ht="12.75">
      <c r="A635" s="334">
        <f t="shared" si="28"/>
        <v>634</v>
      </c>
      <c r="B635" s="592">
        <v>7200</v>
      </c>
      <c r="C635" s="423">
        <v>4341</v>
      </c>
      <c r="D635" s="423" t="s">
        <v>506</v>
      </c>
      <c r="E635" s="423">
        <v>5156</v>
      </c>
      <c r="F635" s="378" t="s">
        <v>386</v>
      </c>
      <c r="G635" s="591"/>
      <c r="H635" s="562">
        <v>178</v>
      </c>
      <c r="I635" s="562">
        <v>178</v>
      </c>
      <c r="J635" s="562">
        <v>87</v>
      </c>
      <c r="K635" s="563">
        <f t="shared" si="29"/>
        <v>-91</v>
      </c>
      <c r="L635" s="564">
        <f t="shared" si="30"/>
        <v>48.87640449438202</v>
      </c>
    </row>
    <row r="636" spans="1:12" ht="12.75">
      <c r="A636" s="334">
        <f t="shared" si="28"/>
        <v>635</v>
      </c>
      <c r="B636" s="592">
        <v>7200</v>
      </c>
      <c r="C636" s="423">
        <v>4341</v>
      </c>
      <c r="D636" s="423" t="s">
        <v>506</v>
      </c>
      <c r="E636" s="423">
        <v>5157</v>
      </c>
      <c r="F636" s="378" t="s">
        <v>539</v>
      </c>
      <c r="G636" s="591"/>
      <c r="H636" s="562">
        <v>10</v>
      </c>
      <c r="I636" s="562">
        <v>10</v>
      </c>
      <c r="J636" s="562">
        <v>9</v>
      </c>
      <c r="K636" s="563">
        <f t="shared" si="29"/>
        <v>-1</v>
      </c>
      <c r="L636" s="564">
        <f t="shared" si="30"/>
        <v>90</v>
      </c>
    </row>
    <row r="637" spans="1:12" ht="12.75">
      <c r="A637" s="334">
        <f t="shared" si="28"/>
        <v>636</v>
      </c>
      <c r="B637" s="592">
        <v>7200</v>
      </c>
      <c r="C637" s="423">
        <v>4341</v>
      </c>
      <c r="D637" s="423" t="s">
        <v>506</v>
      </c>
      <c r="E637" s="423">
        <v>5162</v>
      </c>
      <c r="F637" s="328" t="s">
        <v>400</v>
      </c>
      <c r="G637" s="591"/>
      <c r="H637" s="562">
        <v>337</v>
      </c>
      <c r="I637" s="562">
        <v>337</v>
      </c>
      <c r="J637" s="562">
        <v>199</v>
      </c>
      <c r="K637" s="563">
        <f t="shared" si="29"/>
        <v>-138</v>
      </c>
      <c r="L637" s="564">
        <f t="shared" si="30"/>
        <v>59.05044510385756</v>
      </c>
    </row>
    <row r="638" spans="1:12" ht="12.75">
      <c r="A638" s="334">
        <f t="shared" si="28"/>
        <v>637</v>
      </c>
      <c r="B638" s="592">
        <v>7200</v>
      </c>
      <c r="C638" s="423">
        <v>4341</v>
      </c>
      <c r="D638" s="423" t="s">
        <v>506</v>
      </c>
      <c r="E638" s="423">
        <v>5163</v>
      </c>
      <c r="F638" s="378" t="s">
        <v>326</v>
      </c>
      <c r="G638" s="591"/>
      <c r="H638" s="562">
        <v>149</v>
      </c>
      <c r="I638" s="562">
        <v>149</v>
      </c>
      <c r="J638" s="562">
        <v>97</v>
      </c>
      <c r="K638" s="563">
        <f t="shared" si="29"/>
        <v>-52</v>
      </c>
      <c r="L638" s="564">
        <f t="shared" si="30"/>
        <v>65.1006711409396</v>
      </c>
    </row>
    <row r="639" spans="1:12" ht="12.75">
      <c r="A639" s="334">
        <f t="shared" si="28"/>
        <v>638</v>
      </c>
      <c r="B639" s="592">
        <v>7200</v>
      </c>
      <c r="C639" s="423">
        <v>4341</v>
      </c>
      <c r="D639" s="423" t="s">
        <v>506</v>
      </c>
      <c r="E639" s="423">
        <v>5164</v>
      </c>
      <c r="F639" s="378" t="s">
        <v>357</v>
      </c>
      <c r="G639" s="591"/>
      <c r="H639" s="562">
        <v>59</v>
      </c>
      <c r="I639" s="562">
        <v>79</v>
      </c>
      <c r="J639" s="562">
        <v>58</v>
      </c>
      <c r="K639" s="563">
        <f t="shared" si="29"/>
        <v>-21</v>
      </c>
      <c r="L639" s="564">
        <f t="shared" si="30"/>
        <v>73.41772151898735</v>
      </c>
    </row>
    <row r="640" spans="1:12" ht="12.75">
      <c r="A640" s="334">
        <f t="shared" si="28"/>
        <v>639</v>
      </c>
      <c r="B640" s="592">
        <v>7200</v>
      </c>
      <c r="C640" s="423">
        <v>4341</v>
      </c>
      <c r="D640" s="423" t="s">
        <v>506</v>
      </c>
      <c r="E640" s="423">
        <v>5167</v>
      </c>
      <c r="F640" s="378" t="s">
        <v>401</v>
      </c>
      <c r="G640" s="591"/>
      <c r="H640" s="562">
        <v>40</v>
      </c>
      <c r="I640" s="562">
        <v>40</v>
      </c>
      <c r="J640" s="562">
        <v>13</v>
      </c>
      <c r="K640" s="563">
        <f t="shared" si="29"/>
        <v>-27</v>
      </c>
      <c r="L640" s="564">
        <f t="shared" si="30"/>
        <v>32.5</v>
      </c>
    </row>
    <row r="641" spans="1:12" ht="12.75">
      <c r="A641" s="334">
        <f t="shared" si="28"/>
        <v>640</v>
      </c>
      <c r="B641" s="592">
        <v>7200</v>
      </c>
      <c r="C641" s="423">
        <v>4341</v>
      </c>
      <c r="D641" s="423" t="s">
        <v>506</v>
      </c>
      <c r="E641" s="423">
        <v>5169</v>
      </c>
      <c r="F641" s="328" t="s">
        <v>321</v>
      </c>
      <c r="G641" s="329"/>
      <c r="H641" s="562">
        <v>633</v>
      </c>
      <c r="I641" s="562">
        <v>409</v>
      </c>
      <c r="J641" s="562">
        <v>227</v>
      </c>
      <c r="K641" s="563">
        <f t="shared" si="29"/>
        <v>-182</v>
      </c>
      <c r="L641" s="564">
        <f t="shared" si="30"/>
        <v>55.501222493887525</v>
      </c>
    </row>
    <row r="642" spans="1:12" ht="12.75">
      <c r="A642" s="334">
        <f t="shared" si="28"/>
        <v>641</v>
      </c>
      <c r="B642" s="592">
        <v>7200</v>
      </c>
      <c r="C642" s="423">
        <v>4341</v>
      </c>
      <c r="D642" s="423" t="s">
        <v>506</v>
      </c>
      <c r="E642" s="423">
        <v>5171</v>
      </c>
      <c r="F642" s="378" t="s">
        <v>402</v>
      </c>
      <c r="G642" s="591"/>
      <c r="H642" s="562">
        <v>444</v>
      </c>
      <c r="I642" s="562">
        <v>251</v>
      </c>
      <c r="J642" s="562">
        <v>104</v>
      </c>
      <c r="K642" s="563">
        <f t="shared" si="29"/>
        <v>-147</v>
      </c>
      <c r="L642" s="564">
        <f t="shared" si="30"/>
        <v>41.43426294820717</v>
      </c>
    </row>
    <row r="643" spans="1:12" ht="12.75">
      <c r="A643" s="334">
        <f t="shared" si="28"/>
        <v>642</v>
      </c>
      <c r="B643" s="592">
        <v>7200</v>
      </c>
      <c r="C643" s="423">
        <v>4341</v>
      </c>
      <c r="D643" s="423" t="s">
        <v>506</v>
      </c>
      <c r="E643" s="423">
        <v>5172</v>
      </c>
      <c r="F643" s="378" t="s">
        <v>415</v>
      </c>
      <c r="G643" s="591"/>
      <c r="H643" s="330">
        <v>50</v>
      </c>
      <c r="I643" s="330">
        <v>30</v>
      </c>
      <c r="J643" s="330"/>
      <c r="K643" s="337">
        <f t="shared" si="29"/>
        <v>-30</v>
      </c>
      <c r="L643" s="338">
        <f t="shared" si="30"/>
        <v>0</v>
      </c>
    </row>
    <row r="644" spans="1:12" ht="12.75">
      <c r="A644" s="334">
        <f aca="true" t="shared" si="31" ref="A644:A707">A643+1</f>
        <v>643</v>
      </c>
      <c r="B644" s="592">
        <v>7200</v>
      </c>
      <c r="C644" s="423">
        <v>4341</v>
      </c>
      <c r="D644" s="423" t="s">
        <v>506</v>
      </c>
      <c r="E644" s="423">
        <v>5173</v>
      </c>
      <c r="F644" s="378" t="s">
        <v>363</v>
      </c>
      <c r="G644" s="591"/>
      <c r="H644" s="562">
        <v>59</v>
      </c>
      <c r="I644" s="562">
        <v>130</v>
      </c>
      <c r="J644" s="562">
        <v>111</v>
      </c>
      <c r="K644" s="563">
        <f aca="true" t="shared" si="32" ref="K644:K707">J644-I644</f>
        <v>-19</v>
      </c>
      <c r="L644" s="564">
        <f aca="true" t="shared" si="33" ref="L644:L707">J644/I644*100</f>
        <v>85.38461538461539</v>
      </c>
    </row>
    <row r="645" spans="1:12" ht="12.75">
      <c r="A645" s="334">
        <f t="shared" si="31"/>
        <v>644</v>
      </c>
      <c r="B645" s="592">
        <v>7200</v>
      </c>
      <c r="C645" s="423">
        <v>4341</v>
      </c>
      <c r="D645" s="423" t="s">
        <v>506</v>
      </c>
      <c r="E645" s="423">
        <v>5175</v>
      </c>
      <c r="F645" s="378" t="s">
        <v>341</v>
      </c>
      <c r="G645" s="591"/>
      <c r="H645" s="330"/>
      <c r="I645" s="330">
        <v>7</v>
      </c>
      <c r="J645" s="330">
        <v>6</v>
      </c>
      <c r="K645" s="337">
        <f t="shared" si="32"/>
        <v>-1</v>
      </c>
      <c r="L645" s="338">
        <f t="shared" si="33"/>
        <v>85.71428571428571</v>
      </c>
    </row>
    <row r="646" spans="1:12" ht="12.75">
      <c r="A646" s="334">
        <f t="shared" si="31"/>
        <v>645</v>
      </c>
      <c r="B646" s="592">
        <v>7200</v>
      </c>
      <c r="C646" s="423">
        <v>4341</v>
      </c>
      <c r="D646" s="423" t="s">
        <v>506</v>
      </c>
      <c r="E646" s="423">
        <v>5192</v>
      </c>
      <c r="F646" s="328" t="s">
        <v>342</v>
      </c>
      <c r="G646" s="591"/>
      <c r="H646" s="562"/>
      <c r="I646" s="562">
        <v>4</v>
      </c>
      <c r="J646" s="562">
        <v>4</v>
      </c>
      <c r="K646" s="563">
        <f t="shared" si="32"/>
        <v>0</v>
      </c>
      <c r="L646" s="564">
        <f t="shared" si="33"/>
        <v>100</v>
      </c>
    </row>
    <row r="647" spans="1:12" ht="12.75">
      <c r="A647" s="334">
        <f t="shared" si="31"/>
        <v>646</v>
      </c>
      <c r="B647" s="592">
        <v>7200</v>
      </c>
      <c r="C647" s="423">
        <v>4341</v>
      </c>
      <c r="D647" s="423" t="s">
        <v>506</v>
      </c>
      <c r="E647" s="423">
        <v>5194</v>
      </c>
      <c r="F647" s="378" t="s">
        <v>350</v>
      </c>
      <c r="G647" s="591"/>
      <c r="H647" s="562">
        <v>10</v>
      </c>
      <c r="I647" s="562">
        <v>10</v>
      </c>
      <c r="J647" s="562">
        <v>10</v>
      </c>
      <c r="K647" s="563">
        <f t="shared" si="32"/>
        <v>0</v>
      </c>
      <c r="L647" s="564">
        <f t="shared" si="33"/>
        <v>100</v>
      </c>
    </row>
    <row r="648" spans="1:12" ht="12.75">
      <c r="A648" s="334">
        <f t="shared" si="31"/>
        <v>647</v>
      </c>
      <c r="B648" s="592">
        <v>7200</v>
      </c>
      <c r="C648" s="423">
        <v>4341</v>
      </c>
      <c r="D648" s="423" t="s">
        <v>506</v>
      </c>
      <c r="E648" s="423">
        <v>5362</v>
      </c>
      <c r="F648" s="328" t="s">
        <v>329</v>
      </c>
      <c r="G648" s="591"/>
      <c r="H648" s="562">
        <v>4</v>
      </c>
      <c r="I648" s="562">
        <v>4</v>
      </c>
      <c r="J648" s="562">
        <v>3</v>
      </c>
      <c r="K648" s="563">
        <f t="shared" si="32"/>
        <v>-1</v>
      </c>
      <c r="L648" s="564">
        <f t="shared" si="33"/>
        <v>75</v>
      </c>
    </row>
    <row r="649" spans="1:12" ht="12.75">
      <c r="A649" s="334">
        <f t="shared" si="31"/>
        <v>648</v>
      </c>
      <c r="B649" s="592">
        <v>7200</v>
      </c>
      <c r="C649" s="423">
        <v>4341</v>
      </c>
      <c r="D649" s="423" t="s">
        <v>506</v>
      </c>
      <c r="E649" s="423">
        <v>5909</v>
      </c>
      <c r="F649" s="596" t="s">
        <v>410</v>
      </c>
      <c r="G649" s="591"/>
      <c r="H649" s="562"/>
      <c r="I649" s="562">
        <v>43</v>
      </c>
      <c r="J649" s="562">
        <v>15</v>
      </c>
      <c r="K649" s="563">
        <f t="shared" si="32"/>
        <v>-28</v>
      </c>
      <c r="L649" s="564">
        <f t="shared" si="33"/>
        <v>34.883720930232556</v>
      </c>
    </row>
    <row r="650" spans="1:12" ht="12.75">
      <c r="A650" s="334">
        <f t="shared" si="31"/>
        <v>649</v>
      </c>
      <c r="B650" s="484"/>
      <c r="C650" s="485" t="s">
        <v>436</v>
      </c>
      <c r="D650" s="485"/>
      <c r="E650" s="485"/>
      <c r="F650" s="486"/>
      <c r="G650" s="487"/>
      <c r="H650" s="488">
        <f>SUBTOTAL(9,H627:H649)</f>
        <v>4119</v>
      </c>
      <c r="I650" s="488">
        <f>SUBTOTAL(9,I627:I649)</f>
        <v>3639</v>
      </c>
      <c r="J650" s="488">
        <f>SUBTOTAL(9,J627:J649)</f>
        <v>2478</v>
      </c>
      <c r="K650" s="489">
        <f t="shared" si="32"/>
        <v>-1161</v>
      </c>
      <c r="L650" s="490">
        <f t="shared" si="33"/>
        <v>68.09563066776587</v>
      </c>
    </row>
    <row r="651" spans="1:12" ht="12.75">
      <c r="A651" s="334">
        <f t="shared" si="31"/>
        <v>650</v>
      </c>
      <c r="B651" s="592">
        <v>7200</v>
      </c>
      <c r="C651" s="423">
        <v>4342</v>
      </c>
      <c r="D651" s="328" t="s">
        <v>540</v>
      </c>
      <c r="E651" s="423">
        <v>5164</v>
      </c>
      <c r="F651" s="328" t="s">
        <v>357</v>
      </c>
      <c r="G651" s="353"/>
      <c r="H651" s="562"/>
      <c r="I651" s="562">
        <v>120</v>
      </c>
      <c r="J651" s="562">
        <v>120</v>
      </c>
      <c r="K651" s="563">
        <f t="shared" si="32"/>
        <v>0</v>
      </c>
      <c r="L651" s="564">
        <f t="shared" si="33"/>
        <v>100</v>
      </c>
    </row>
    <row r="652" spans="1:12" ht="12.75">
      <c r="A652" s="334">
        <f t="shared" si="31"/>
        <v>651</v>
      </c>
      <c r="B652" s="592">
        <v>7200</v>
      </c>
      <c r="C652" s="423">
        <v>4342</v>
      </c>
      <c r="D652" s="328" t="s">
        <v>540</v>
      </c>
      <c r="E652" s="423">
        <v>5222</v>
      </c>
      <c r="F652" s="352" t="s">
        <v>433</v>
      </c>
      <c r="G652" s="353" t="s">
        <v>541</v>
      </c>
      <c r="H652" s="562">
        <v>950</v>
      </c>
      <c r="I652" s="562">
        <v>950</v>
      </c>
      <c r="J652" s="562">
        <v>950</v>
      </c>
      <c r="K652" s="563">
        <f t="shared" si="32"/>
        <v>0</v>
      </c>
      <c r="L652" s="564">
        <f t="shared" si="33"/>
        <v>100</v>
      </c>
    </row>
    <row r="653" spans="1:12" ht="12.75">
      <c r="A653" s="334">
        <f t="shared" si="31"/>
        <v>652</v>
      </c>
      <c r="B653" s="484"/>
      <c r="C653" s="485" t="s">
        <v>542</v>
      </c>
      <c r="D653" s="341"/>
      <c r="E653" s="485"/>
      <c r="F653" s="350"/>
      <c r="G653" s="351"/>
      <c r="H653" s="488">
        <f>SUBTOTAL(9,H651:H652)</f>
        <v>950</v>
      </c>
      <c r="I653" s="488">
        <f>SUBTOTAL(9,I651:I652)</f>
        <v>1070</v>
      </c>
      <c r="J653" s="488">
        <f>SUBTOTAL(9,J651:J652)</f>
        <v>1070</v>
      </c>
      <c r="K653" s="489">
        <f t="shared" si="32"/>
        <v>0</v>
      </c>
      <c r="L653" s="490">
        <f t="shared" si="33"/>
        <v>100</v>
      </c>
    </row>
    <row r="654" spans="1:12" ht="12.75">
      <c r="A654" s="334">
        <f t="shared" si="31"/>
        <v>653</v>
      </c>
      <c r="B654" s="592">
        <v>7200</v>
      </c>
      <c r="C654" s="423">
        <v>4344</v>
      </c>
      <c r="D654" s="328" t="s">
        <v>225</v>
      </c>
      <c r="E654" s="423">
        <v>5221</v>
      </c>
      <c r="F654" s="352" t="s">
        <v>456</v>
      </c>
      <c r="G654" s="351"/>
      <c r="H654" s="619">
        <v>0</v>
      </c>
      <c r="I654" s="619">
        <v>100</v>
      </c>
      <c r="J654" s="619">
        <v>100</v>
      </c>
      <c r="K654" s="620">
        <f t="shared" si="32"/>
        <v>0</v>
      </c>
      <c r="L654" s="621">
        <f t="shared" si="33"/>
        <v>100</v>
      </c>
    </row>
    <row r="655" spans="1:12" ht="12.75">
      <c r="A655" s="334">
        <f t="shared" si="31"/>
        <v>654</v>
      </c>
      <c r="B655" s="484"/>
      <c r="C655" s="485" t="s">
        <v>543</v>
      </c>
      <c r="D655" s="341"/>
      <c r="E655" s="485"/>
      <c r="F655" s="350"/>
      <c r="G655" s="350"/>
      <c r="H655" s="488">
        <f>SUBTOTAL(9,H654:H654)</f>
        <v>0</v>
      </c>
      <c r="I655" s="488">
        <f>SUBTOTAL(9,I654:I654)</f>
        <v>100</v>
      </c>
      <c r="J655" s="488">
        <f>SUBTOTAL(9,J654:J654)</f>
        <v>100</v>
      </c>
      <c r="K655" s="489">
        <f t="shared" si="32"/>
        <v>0</v>
      </c>
      <c r="L655" s="490">
        <f t="shared" si="33"/>
        <v>100</v>
      </c>
    </row>
    <row r="656" spans="1:12" ht="12.75">
      <c r="A656" s="334">
        <f t="shared" si="31"/>
        <v>655</v>
      </c>
      <c r="B656" s="592">
        <v>7200</v>
      </c>
      <c r="C656" s="423">
        <v>4351</v>
      </c>
      <c r="D656" s="423" t="s">
        <v>544</v>
      </c>
      <c r="E656" s="423">
        <v>5221</v>
      </c>
      <c r="F656" s="352" t="s">
        <v>456</v>
      </c>
      <c r="G656" s="328"/>
      <c r="H656" s="623">
        <v>0</v>
      </c>
      <c r="I656" s="623">
        <v>375</v>
      </c>
      <c r="J656" s="623">
        <v>375</v>
      </c>
      <c r="K656" s="624">
        <f t="shared" si="32"/>
        <v>0</v>
      </c>
      <c r="L656" s="625">
        <f t="shared" si="33"/>
        <v>100</v>
      </c>
    </row>
    <row r="657" spans="1:12" ht="12.75">
      <c r="A657" s="334">
        <f t="shared" si="31"/>
        <v>656</v>
      </c>
      <c r="B657" s="592">
        <v>7200</v>
      </c>
      <c r="C657" s="423">
        <v>4351</v>
      </c>
      <c r="D657" s="423" t="s">
        <v>544</v>
      </c>
      <c r="E657" s="423">
        <v>5222</v>
      </c>
      <c r="F657" s="328" t="s">
        <v>433</v>
      </c>
      <c r="G657" s="328"/>
      <c r="H657" s="626">
        <v>0</v>
      </c>
      <c r="I657" s="626">
        <v>5770</v>
      </c>
      <c r="J657" s="627">
        <v>5770</v>
      </c>
      <c r="K657" s="628">
        <f t="shared" si="32"/>
        <v>0</v>
      </c>
      <c r="L657" s="629">
        <f t="shared" si="33"/>
        <v>100</v>
      </c>
    </row>
    <row r="658" spans="1:12" ht="12.75">
      <c r="A658" s="334">
        <f t="shared" si="31"/>
        <v>657</v>
      </c>
      <c r="B658" s="592">
        <v>7200</v>
      </c>
      <c r="C658" s="423">
        <v>4351</v>
      </c>
      <c r="D658" s="423" t="s">
        <v>544</v>
      </c>
      <c r="E658" s="423">
        <v>5223</v>
      </c>
      <c r="F658" s="328" t="s">
        <v>522</v>
      </c>
      <c r="G658" s="328"/>
      <c r="H658" s="626">
        <v>0</v>
      </c>
      <c r="I658" s="626">
        <v>3230</v>
      </c>
      <c r="J658" s="627">
        <v>3230</v>
      </c>
      <c r="K658" s="628">
        <f t="shared" si="32"/>
        <v>0</v>
      </c>
      <c r="L658" s="629">
        <f t="shared" si="33"/>
        <v>100</v>
      </c>
    </row>
    <row r="659" spans="1:12" ht="12.75">
      <c r="A659" s="334">
        <f t="shared" si="31"/>
        <v>658</v>
      </c>
      <c r="B659" s="484"/>
      <c r="C659" s="485" t="s">
        <v>545</v>
      </c>
      <c r="D659" s="485"/>
      <c r="E659" s="485"/>
      <c r="F659" s="341"/>
      <c r="G659" s="341"/>
      <c r="H659" s="630">
        <f>SUBTOTAL(9,H656:H658)</f>
        <v>0</v>
      </c>
      <c r="I659" s="630">
        <f>SUBTOTAL(9,I656:I658)</f>
        <v>9375</v>
      </c>
      <c r="J659" s="488">
        <f>SUBTOTAL(9,J656:J658)</f>
        <v>9375</v>
      </c>
      <c r="K659" s="489">
        <f t="shared" si="32"/>
        <v>0</v>
      </c>
      <c r="L659" s="490">
        <f t="shared" si="33"/>
        <v>100</v>
      </c>
    </row>
    <row r="660" spans="1:12" ht="12.75">
      <c r="A660" s="334">
        <f t="shared" si="31"/>
        <v>659</v>
      </c>
      <c r="B660" s="592">
        <v>7200</v>
      </c>
      <c r="C660" s="423">
        <v>4353</v>
      </c>
      <c r="D660" s="423" t="s">
        <v>207</v>
      </c>
      <c r="E660" s="423">
        <v>5221</v>
      </c>
      <c r="F660" s="352" t="s">
        <v>456</v>
      </c>
      <c r="G660" s="341"/>
      <c r="H660" s="631"/>
      <c r="I660" s="631">
        <v>100</v>
      </c>
      <c r="J660" s="619">
        <v>100</v>
      </c>
      <c r="K660" s="620">
        <f t="shared" si="32"/>
        <v>0</v>
      </c>
      <c r="L660" s="621">
        <f t="shared" si="33"/>
        <v>100</v>
      </c>
    </row>
    <row r="661" spans="1:12" ht="12.75">
      <c r="A661" s="334">
        <f t="shared" si="31"/>
        <v>660</v>
      </c>
      <c r="B661" s="484"/>
      <c r="C661" s="485" t="s">
        <v>546</v>
      </c>
      <c r="D661" s="485"/>
      <c r="E661" s="485"/>
      <c r="F661" s="341"/>
      <c r="G661" s="341"/>
      <c r="H661" s="630">
        <f>SUBTOTAL(9,H660:H660)</f>
        <v>0</v>
      </c>
      <c r="I661" s="630">
        <f>SUBTOTAL(9,I660:I660)</f>
        <v>100</v>
      </c>
      <c r="J661" s="488">
        <f>SUBTOTAL(9,J660:J660)</f>
        <v>100</v>
      </c>
      <c r="K661" s="489">
        <f t="shared" si="32"/>
        <v>0</v>
      </c>
      <c r="L661" s="490">
        <f t="shared" si="33"/>
        <v>100</v>
      </c>
    </row>
    <row r="662" spans="1:12" ht="12.75">
      <c r="A662" s="334">
        <f t="shared" si="31"/>
        <v>661</v>
      </c>
      <c r="B662" s="592">
        <v>7200</v>
      </c>
      <c r="C662" s="423">
        <v>4354</v>
      </c>
      <c r="D662" s="423" t="s">
        <v>200</v>
      </c>
      <c r="E662" s="423">
        <v>5222</v>
      </c>
      <c r="F662" s="328" t="s">
        <v>433</v>
      </c>
      <c r="G662" s="328"/>
      <c r="H662" s="632">
        <v>0</v>
      </c>
      <c r="I662" s="632">
        <v>250</v>
      </c>
      <c r="J662" s="623">
        <v>250</v>
      </c>
      <c r="K662" s="624">
        <f t="shared" si="32"/>
        <v>0</v>
      </c>
      <c r="L662" s="625">
        <f t="shared" si="33"/>
        <v>100</v>
      </c>
    </row>
    <row r="663" spans="1:12" ht="12.75">
      <c r="A663" s="334">
        <f t="shared" si="31"/>
        <v>662</v>
      </c>
      <c r="B663" s="592">
        <v>7200</v>
      </c>
      <c r="C663" s="423">
        <v>4354</v>
      </c>
      <c r="D663" s="423" t="s">
        <v>200</v>
      </c>
      <c r="E663" s="423">
        <v>5223</v>
      </c>
      <c r="F663" s="328" t="s">
        <v>522</v>
      </c>
      <c r="G663" s="328"/>
      <c r="H663" s="626">
        <v>0</v>
      </c>
      <c r="I663" s="626">
        <v>2585</v>
      </c>
      <c r="J663" s="627">
        <v>2585</v>
      </c>
      <c r="K663" s="628">
        <f t="shared" si="32"/>
        <v>0</v>
      </c>
      <c r="L663" s="629">
        <f t="shared" si="33"/>
        <v>100</v>
      </c>
    </row>
    <row r="664" spans="1:12" ht="12.75">
      <c r="A664" s="334">
        <f t="shared" si="31"/>
        <v>663</v>
      </c>
      <c r="B664" s="484"/>
      <c r="C664" s="485" t="s">
        <v>547</v>
      </c>
      <c r="D664" s="485"/>
      <c r="E664" s="485"/>
      <c r="F664" s="341"/>
      <c r="G664" s="341"/>
      <c r="H664" s="630">
        <f>SUBTOTAL(9,H662:H663)</f>
        <v>0</v>
      </c>
      <c r="I664" s="630">
        <f>SUBTOTAL(9,I662:I663)</f>
        <v>2835</v>
      </c>
      <c r="J664" s="488">
        <f>SUBTOTAL(9,J662:J663)</f>
        <v>2835</v>
      </c>
      <c r="K664" s="489">
        <f t="shared" si="32"/>
        <v>0</v>
      </c>
      <c r="L664" s="490">
        <f t="shared" si="33"/>
        <v>100</v>
      </c>
    </row>
    <row r="665" spans="1:12" ht="12.75">
      <c r="A665" s="334">
        <f t="shared" si="31"/>
        <v>664</v>
      </c>
      <c r="B665" s="592">
        <v>7200</v>
      </c>
      <c r="C665" s="423">
        <v>4356</v>
      </c>
      <c r="D665" s="423" t="s">
        <v>201</v>
      </c>
      <c r="E665" s="423">
        <v>5222</v>
      </c>
      <c r="F665" s="328" t="s">
        <v>433</v>
      </c>
      <c r="G665" s="328"/>
      <c r="H665" s="626">
        <v>0</v>
      </c>
      <c r="I665" s="626">
        <v>1495</v>
      </c>
      <c r="J665" s="627">
        <v>1495</v>
      </c>
      <c r="K665" s="628">
        <f t="shared" si="32"/>
        <v>0</v>
      </c>
      <c r="L665" s="629">
        <f t="shared" si="33"/>
        <v>100</v>
      </c>
    </row>
    <row r="666" spans="1:12" ht="12.75">
      <c r="A666" s="334">
        <f t="shared" si="31"/>
        <v>665</v>
      </c>
      <c r="B666" s="592">
        <v>7200</v>
      </c>
      <c r="C666" s="423">
        <v>4356</v>
      </c>
      <c r="D666" s="423" t="s">
        <v>201</v>
      </c>
      <c r="E666" s="423">
        <v>5223</v>
      </c>
      <c r="F666" s="328" t="s">
        <v>522</v>
      </c>
      <c r="G666" s="328"/>
      <c r="H666" s="626">
        <v>0</v>
      </c>
      <c r="I666" s="626">
        <v>2950</v>
      </c>
      <c r="J666" s="627">
        <v>2950</v>
      </c>
      <c r="K666" s="628">
        <f t="shared" si="32"/>
        <v>0</v>
      </c>
      <c r="L666" s="629">
        <f t="shared" si="33"/>
        <v>100</v>
      </c>
    </row>
    <row r="667" spans="1:12" ht="12.75">
      <c r="A667" s="334">
        <f t="shared" si="31"/>
        <v>666</v>
      </c>
      <c r="B667" s="592"/>
      <c r="C667" s="485" t="s">
        <v>548</v>
      </c>
      <c r="D667" s="423"/>
      <c r="E667" s="423"/>
      <c r="F667" s="328"/>
      <c r="G667" s="328"/>
      <c r="H667" s="630">
        <f>SUBTOTAL(9,H665:H666)</f>
        <v>0</v>
      </c>
      <c r="I667" s="630">
        <f>SUBTOTAL(9,I665:I666)</f>
        <v>4445</v>
      </c>
      <c r="J667" s="488">
        <f>SUBTOTAL(9,J665:J666)</f>
        <v>4445</v>
      </c>
      <c r="K667" s="489">
        <f t="shared" si="32"/>
        <v>0</v>
      </c>
      <c r="L667" s="490">
        <f t="shared" si="33"/>
        <v>100</v>
      </c>
    </row>
    <row r="668" spans="1:12" ht="12.75">
      <c r="A668" s="334">
        <f t="shared" si="31"/>
        <v>667</v>
      </c>
      <c r="B668" s="592">
        <v>7200</v>
      </c>
      <c r="C668" s="423">
        <v>4357</v>
      </c>
      <c r="D668" s="423" t="s">
        <v>549</v>
      </c>
      <c r="E668" s="423">
        <v>5222</v>
      </c>
      <c r="F668" s="328" t="s">
        <v>433</v>
      </c>
      <c r="G668" s="328"/>
      <c r="H668" s="626">
        <v>0</v>
      </c>
      <c r="I668" s="626">
        <v>17050</v>
      </c>
      <c r="J668" s="627">
        <v>17050</v>
      </c>
      <c r="K668" s="628">
        <f t="shared" si="32"/>
        <v>0</v>
      </c>
      <c r="L668" s="629">
        <f t="shared" si="33"/>
        <v>100</v>
      </c>
    </row>
    <row r="669" spans="1:12" ht="12.75">
      <c r="A669" s="334">
        <f t="shared" si="31"/>
        <v>668</v>
      </c>
      <c r="B669" s="592">
        <v>7200</v>
      </c>
      <c r="C669" s="423">
        <v>4357</v>
      </c>
      <c r="D669" s="423" t="s">
        <v>549</v>
      </c>
      <c r="E669" s="423">
        <v>5223</v>
      </c>
      <c r="F669" s="328" t="s">
        <v>522</v>
      </c>
      <c r="G669" s="328"/>
      <c r="H669" s="623">
        <v>0</v>
      </c>
      <c r="I669" s="623">
        <v>2900</v>
      </c>
      <c r="J669" s="623">
        <v>2900</v>
      </c>
      <c r="K669" s="624">
        <f t="shared" si="32"/>
        <v>0</v>
      </c>
      <c r="L669" s="625">
        <f t="shared" si="33"/>
        <v>100</v>
      </c>
    </row>
    <row r="670" spans="1:12" ht="12.75">
      <c r="A670" s="334">
        <f t="shared" si="31"/>
        <v>669</v>
      </c>
      <c r="B670" s="592">
        <v>7200</v>
      </c>
      <c r="C670" s="423">
        <v>4357</v>
      </c>
      <c r="D670" s="423" t="s">
        <v>549</v>
      </c>
      <c r="E670" s="423">
        <v>5331</v>
      </c>
      <c r="F670" s="378" t="s">
        <v>345</v>
      </c>
      <c r="G670" s="328" t="s">
        <v>550</v>
      </c>
      <c r="H670" s="623">
        <v>27870</v>
      </c>
      <c r="I670" s="623">
        <v>27870</v>
      </c>
      <c r="J670" s="623">
        <v>27870</v>
      </c>
      <c r="K670" s="624">
        <f t="shared" si="32"/>
        <v>0</v>
      </c>
      <c r="L670" s="625">
        <f t="shared" si="33"/>
        <v>100</v>
      </c>
    </row>
    <row r="671" spans="1:12" ht="12.75">
      <c r="A671" s="334">
        <f t="shared" si="31"/>
        <v>670</v>
      </c>
      <c r="B671" s="592">
        <v>7200</v>
      </c>
      <c r="C671" s="423">
        <v>4357</v>
      </c>
      <c r="D671" s="423" t="s">
        <v>549</v>
      </c>
      <c r="E671" s="423">
        <v>5331</v>
      </c>
      <c r="F671" s="378" t="s">
        <v>345</v>
      </c>
      <c r="G671" s="328" t="s">
        <v>551</v>
      </c>
      <c r="H671" s="623">
        <v>17621</v>
      </c>
      <c r="I671" s="623">
        <v>17621</v>
      </c>
      <c r="J671" s="623">
        <v>17621</v>
      </c>
      <c r="K671" s="624">
        <f t="shared" si="32"/>
        <v>0</v>
      </c>
      <c r="L671" s="625">
        <f t="shared" si="33"/>
        <v>100</v>
      </c>
    </row>
    <row r="672" spans="1:12" ht="12.75">
      <c r="A672" s="334">
        <f t="shared" si="31"/>
        <v>671</v>
      </c>
      <c r="B672" s="592">
        <v>7200</v>
      </c>
      <c r="C672" s="423">
        <v>4357</v>
      </c>
      <c r="D672" s="423" t="s">
        <v>549</v>
      </c>
      <c r="E672" s="423">
        <v>5331</v>
      </c>
      <c r="F672" s="378" t="s">
        <v>345</v>
      </c>
      <c r="G672" s="328" t="s">
        <v>552</v>
      </c>
      <c r="H672" s="623">
        <v>9024</v>
      </c>
      <c r="I672" s="623">
        <v>9024</v>
      </c>
      <c r="J672" s="623">
        <v>9024</v>
      </c>
      <c r="K672" s="624">
        <f t="shared" si="32"/>
        <v>0</v>
      </c>
      <c r="L672" s="625">
        <f t="shared" si="33"/>
        <v>100</v>
      </c>
    </row>
    <row r="673" spans="1:12" ht="12.75">
      <c r="A673" s="334">
        <f t="shared" si="31"/>
        <v>672</v>
      </c>
      <c r="B673" s="592">
        <v>7200</v>
      </c>
      <c r="C673" s="423">
        <v>4357</v>
      </c>
      <c r="D673" s="423" t="s">
        <v>549</v>
      </c>
      <c r="E673" s="423">
        <v>5331</v>
      </c>
      <c r="F673" s="378" t="s">
        <v>345</v>
      </c>
      <c r="G673" s="328" t="s">
        <v>553</v>
      </c>
      <c r="H673" s="623">
        <v>21516</v>
      </c>
      <c r="I673" s="623">
        <v>22016</v>
      </c>
      <c r="J673" s="623">
        <v>22016</v>
      </c>
      <c r="K673" s="624">
        <f t="shared" si="32"/>
        <v>0</v>
      </c>
      <c r="L673" s="625">
        <f t="shared" si="33"/>
        <v>100</v>
      </c>
    </row>
    <row r="674" spans="1:12" ht="12.75">
      <c r="A674" s="334">
        <f t="shared" si="31"/>
        <v>673</v>
      </c>
      <c r="B674" s="592">
        <v>7200</v>
      </c>
      <c r="C674" s="423">
        <v>4357</v>
      </c>
      <c r="D674" s="423" t="s">
        <v>549</v>
      </c>
      <c r="E674" s="423">
        <v>5331</v>
      </c>
      <c r="F674" s="378" t="s">
        <v>345</v>
      </c>
      <c r="G674" s="328" t="s">
        <v>554</v>
      </c>
      <c r="H674" s="623">
        <v>13834</v>
      </c>
      <c r="I674" s="623">
        <v>13834</v>
      </c>
      <c r="J674" s="623">
        <v>13834</v>
      </c>
      <c r="K674" s="624">
        <f t="shared" si="32"/>
        <v>0</v>
      </c>
      <c r="L674" s="625">
        <f t="shared" si="33"/>
        <v>100</v>
      </c>
    </row>
    <row r="675" spans="1:12" ht="12.75">
      <c r="A675" s="334">
        <f t="shared" si="31"/>
        <v>674</v>
      </c>
      <c r="B675" s="592">
        <v>7200</v>
      </c>
      <c r="C675" s="423">
        <v>4357</v>
      </c>
      <c r="D675" s="423" t="s">
        <v>549</v>
      </c>
      <c r="E675" s="423">
        <v>5331</v>
      </c>
      <c r="F675" s="378" t="s">
        <v>345</v>
      </c>
      <c r="G675" s="328" t="s">
        <v>555</v>
      </c>
      <c r="H675" s="623">
        <v>15636</v>
      </c>
      <c r="I675" s="623">
        <v>15636</v>
      </c>
      <c r="J675" s="623">
        <v>15636</v>
      </c>
      <c r="K675" s="624">
        <f t="shared" si="32"/>
        <v>0</v>
      </c>
      <c r="L675" s="625">
        <f t="shared" si="33"/>
        <v>100</v>
      </c>
    </row>
    <row r="676" spans="1:12" ht="12.75">
      <c r="A676" s="334">
        <f t="shared" si="31"/>
        <v>675</v>
      </c>
      <c r="B676" s="592">
        <v>7200</v>
      </c>
      <c r="C676" s="423">
        <v>4357</v>
      </c>
      <c r="D676" s="423" t="s">
        <v>549</v>
      </c>
      <c r="E676" s="423">
        <v>5331</v>
      </c>
      <c r="F676" s="378" t="s">
        <v>345</v>
      </c>
      <c r="G676" s="328" t="s">
        <v>556</v>
      </c>
      <c r="H676" s="623">
        <v>7175</v>
      </c>
      <c r="I676" s="623">
        <v>7175</v>
      </c>
      <c r="J676" s="623">
        <v>7175</v>
      </c>
      <c r="K676" s="624">
        <f t="shared" si="32"/>
        <v>0</v>
      </c>
      <c r="L676" s="625">
        <f t="shared" si="33"/>
        <v>100</v>
      </c>
    </row>
    <row r="677" spans="1:12" ht="12.75">
      <c r="A677" s="334">
        <f t="shared" si="31"/>
        <v>676</v>
      </c>
      <c r="B677" s="592">
        <v>7200</v>
      </c>
      <c r="C677" s="423">
        <v>4357</v>
      </c>
      <c r="D677" s="423" t="s">
        <v>549</v>
      </c>
      <c r="E677" s="423">
        <v>5331</v>
      </c>
      <c r="F677" s="378" t="s">
        <v>345</v>
      </c>
      <c r="G677" s="328" t="s">
        <v>557</v>
      </c>
      <c r="H677" s="623">
        <v>6729</v>
      </c>
      <c r="I677" s="623">
        <v>6729</v>
      </c>
      <c r="J677" s="623">
        <v>6729</v>
      </c>
      <c r="K677" s="624">
        <f t="shared" si="32"/>
        <v>0</v>
      </c>
      <c r="L677" s="625">
        <f t="shared" si="33"/>
        <v>100</v>
      </c>
    </row>
    <row r="678" spans="1:12" ht="12.75">
      <c r="A678" s="334">
        <f t="shared" si="31"/>
        <v>677</v>
      </c>
      <c r="B678" s="592">
        <v>7200</v>
      </c>
      <c r="C678" s="423">
        <v>4357</v>
      </c>
      <c r="D678" s="423" t="s">
        <v>549</v>
      </c>
      <c r="E678" s="423">
        <v>5331</v>
      </c>
      <c r="F678" s="378" t="s">
        <v>345</v>
      </c>
      <c r="G678" s="328" t="s">
        <v>558</v>
      </c>
      <c r="H678" s="623">
        <v>7259</v>
      </c>
      <c r="I678" s="623">
        <v>6759</v>
      </c>
      <c r="J678" s="623">
        <v>6759</v>
      </c>
      <c r="K678" s="624">
        <f t="shared" si="32"/>
        <v>0</v>
      </c>
      <c r="L678" s="625">
        <f t="shared" si="33"/>
        <v>100</v>
      </c>
    </row>
    <row r="679" spans="1:12" ht="12.75">
      <c r="A679" s="334">
        <f t="shared" si="31"/>
        <v>678</v>
      </c>
      <c r="B679" s="592">
        <v>7200</v>
      </c>
      <c r="C679" s="423">
        <v>4357</v>
      </c>
      <c r="D679" s="423" t="s">
        <v>549</v>
      </c>
      <c r="E679" s="423">
        <v>5331</v>
      </c>
      <c r="F679" s="378" t="s">
        <v>345</v>
      </c>
      <c r="G679" s="328" t="s">
        <v>559</v>
      </c>
      <c r="H679" s="623">
        <v>17291</v>
      </c>
      <c r="I679" s="623">
        <v>19391</v>
      </c>
      <c r="J679" s="623">
        <v>19391</v>
      </c>
      <c r="K679" s="624">
        <f t="shared" si="32"/>
        <v>0</v>
      </c>
      <c r="L679" s="625">
        <f t="shared" si="33"/>
        <v>100</v>
      </c>
    </row>
    <row r="680" spans="1:12" ht="12.75">
      <c r="A680" s="334">
        <f t="shared" si="31"/>
        <v>679</v>
      </c>
      <c r="B680" s="592">
        <v>7200</v>
      </c>
      <c r="C680" s="423">
        <v>4357</v>
      </c>
      <c r="D680" s="423" t="s">
        <v>549</v>
      </c>
      <c r="E680" s="423">
        <v>5331</v>
      </c>
      <c r="F680" s="378" t="s">
        <v>345</v>
      </c>
      <c r="G680" s="328" t="s">
        <v>560</v>
      </c>
      <c r="H680" s="623">
        <v>13823</v>
      </c>
      <c r="I680" s="623">
        <v>13323</v>
      </c>
      <c r="J680" s="623">
        <v>13323</v>
      </c>
      <c r="K680" s="624">
        <f t="shared" si="32"/>
        <v>0</v>
      </c>
      <c r="L680" s="625">
        <f t="shared" si="33"/>
        <v>100</v>
      </c>
    </row>
    <row r="681" spans="1:12" ht="12.75">
      <c r="A681" s="334">
        <f t="shared" si="31"/>
        <v>680</v>
      </c>
      <c r="B681" s="592">
        <v>7200</v>
      </c>
      <c r="C681" s="423">
        <v>4357</v>
      </c>
      <c r="D681" s="423" t="s">
        <v>549</v>
      </c>
      <c r="E681" s="423">
        <v>5331</v>
      </c>
      <c r="F681" s="378" t="s">
        <v>345</v>
      </c>
      <c r="G681" s="328" t="s">
        <v>561</v>
      </c>
      <c r="H681" s="623">
        <v>63348</v>
      </c>
      <c r="I681" s="623">
        <v>66348</v>
      </c>
      <c r="J681" s="623">
        <v>66348</v>
      </c>
      <c r="K681" s="624">
        <f t="shared" si="32"/>
        <v>0</v>
      </c>
      <c r="L681" s="625">
        <f t="shared" si="33"/>
        <v>100</v>
      </c>
    </row>
    <row r="682" spans="1:12" ht="12.75">
      <c r="A682" s="334">
        <f t="shared" si="31"/>
        <v>681</v>
      </c>
      <c r="B682" s="484"/>
      <c r="C682" s="485" t="s">
        <v>562</v>
      </c>
      <c r="D682" s="485"/>
      <c r="E682" s="485"/>
      <c r="F682" s="341"/>
      <c r="G682" s="341"/>
      <c r="H682" s="488">
        <f>SUBTOTAL(9,H668:H681)</f>
        <v>221126</v>
      </c>
      <c r="I682" s="488">
        <f>SUBTOTAL(9,I668:I681)</f>
        <v>245676</v>
      </c>
      <c r="J682" s="488">
        <f>SUBTOTAL(9,J668:J681)</f>
        <v>245676</v>
      </c>
      <c r="K682" s="489">
        <f t="shared" si="32"/>
        <v>0</v>
      </c>
      <c r="L682" s="490">
        <f t="shared" si="33"/>
        <v>100</v>
      </c>
    </row>
    <row r="683" spans="1:12" ht="12.75">
      <c r="A683" s="334">
        <f t="shared" si="31"/>
        <v>682</v>
      </c>
      <c r="B683" s="592">
        <v>7200</v>
      </c>
      <c r="C683" s="423">
        <v>4359</v>
      </c>
      <c r="D683" s="423" t="s">
        <v>563</v>
      </c>
      <c r="E683" s="423">
        <v>5222</v>
      </c>
      <c r="F683" s="328" t="s">
        <v>433</v>
      </c>
      <c r="G683" s="328" t="s">
        <v>564</v>
      </c>
      <c r="H683" s="623">
        <v>44200</v>
      </c>
      <c r="I683" s="623">
        <v>674</v>
      </c>
      <c r="J683" s="623">
        <v>674</v>
      </c>
      <c r="K683" s="624">
        <f t="shared" si="32"/>
        <v>0</v>
      </c>
      <c r="L683" s="625">
        <f t="shared" si="33"/>
        <v>100</v>
      </c>
    </row>
    <row r="684" spans="1:12" ht="12.75">
      <c r="A684" s="334">
        <f t="shared" si="31"/>
        <v>683</v>
      </c>
      <c r="B684" s="592">
        <v>7200</v>
      </c>
      <c r="C684" s="423">
        <v>4359</v>
      </c>
      <c r="D684" s="423" t="s">
        <v>563</v>
      </c>
      <c r="E684" s="423">
        <v>5223</v>
      </c>
      <c r="F684" s="328" t="s">
        <v>522</v>
      </c>
      <c r="G684" s="328"/>
      <c r="H684" s="623">
        <v>0</v>
      </c>
      <c r="I684" s="623">
        <v>1376</v>
      </c>
      <c r="J684" s="623">
        <v>1376</v>
      </c>
      <c r="K684" s="624">
        <f t="shared" si="32"/>
        <v>0</v>
      </c>
      <c r="L684" s="625">
        <f t="shared" si="33"/>
        <v>100</v>
      </c>
    </row>
    <row r="685" spans="1:12" ht="12.75">
      <c r="A685" s="334">
        <f t="shared" si="31"/>
        <v>684</v>
      </c>
      <c r="B685" s="484"/>
      <c r="C685" s="485" t="s">
        <v>565</v>
      </c>
      <c r="D685" s="485"/>
      <c r="E685" s="485"/>
      <c r="F685" s="341"/>
      <c r="G685" s="341"/>
      <c r="H685" s="488">
        <f>SUBTOTAL(9,H683:H684)</f>
        <v>44200</v>
      </c>
      <c r="I685" s="488">
        <f>SUBTOTAL(9,I683:I684)</f>
        <v>2050</v>
      </c>
      <c r="J685" s="488">
        <f>SUBTOTAL(9,J683:J684)</f>
        <v>2050</v>
      </c>
      <c r="K685" s="489">
        <f t="shared" si="32"/>
        <v>0</v>
      </c>
      <c r="L685" s="490">
        <f t="shared" si="33"/>
        <v>100</v>
      </c>
    </row>
    <row r="686" spans="1:12" ht="12.75">
      <c r="A686" s="334">
        <f t="shared" si="31"/>
        <v>685</v>
      </c>
      <c r="B686" s="592">
        <v>7200</v>
      </c>
      <c r="C686" s="423">
        <v>4371</v>
      </c>
      <c r="D686" s="423" t="s">
        <v>566</v>
      </c>
      <c r="E686" s="423">
        <v>5222</v>
      </c>
      <c r="F686" s="328" t="s">
        <v>433</v>
      </c>
      <c r="G686" s="328"/>
      <c r="H686" s="623">
        <v>0</v>
      </c>
      <c r="I686" s="623">
        <v>640</v>
      </c>
      <c r="J686" s="623">
        <v>640</v>
      </c>
      <c r="K686" s="624">
        <f t="shared" si="32"/>
        <v>0</v>
      </c>
      <c r="L686" s="625">
        <f t="shared" si="33"/>
        <v>100</v>
      </c>
    </row>
    <row r="687" spans="1:12" ht="12.75">
      <c r="A687" s="334">
        <f t="shared" si="31"/>
        <v>686</v>
      </c>
      <c r="B687" s="592">
        <v>7200</v>
      </c>
      <c r="C687" s="423">
        <v>4371</v>
      </c>
      <c r="D687" s="423" t="s">
        <v>566</v>
      </c>
      <c r="E687" s="423">
        <v>5223</v>
      </c>
      <c r="F687" s="328" t="s">
        <v>522</v>
      </c>
      <c r="G687" s="328"/>
      <c r="H687" s="623">
        <v>0</v>
      </c>
      <c r="I687" s="623">
        <v>225</v>
      </c>
      <c r="J687" s="623">
        <v>225</v>
      </c>
      <c r="K687" s="624">
        <f t="shared" si="32"/>
        <v>0</v>
      </c>
      <c r="L687" s="625">
        <f t="shared" si="33"/>
        <v>100</v>
      </c>
    </row>
    <row r="688" spans="1:12" ht="12.75">
      <c r="A688" s="334">
        <f t="shared" si="31"/>
        <v>687</v>
      </c>
      <c r="B688" s="484"/>
      <c r="C688" s="485" t="s">
        <v>567</v>
      </c>
      <c r="D688" s="485"/>
      <c r="E688" s="485"/>
      <c r="F688" s="341"/>
      <c r="G688" s="341"/>
      <c r="H688" s="488">
        <f>SUBTOTAL(9,H686:H687)</f>
        <v>0</v>
      </c>
      <c r="I688" s="488">
        <f>SUBTOTAL(9,I686:I687)</f>
        <v>865</v>
      </c>
      <c r="J688" s="488">
        <f>SUBTOTAL(9,J686:J687)</f>
        <v>865</v>
      </c>
      <c r="K688" s="489">
        <f t="shared" si="32"/>
        <v>0</v>
      </c>
      <c r="L688" s="490">
        <f t="shared" si="33"/>
        <v>100</v>
      </c>
    </row>
    <row r="689" spans="1:12" ht="12.75">
      <c r="A689" s="334">
        <f t="shared" si="31"/>
        <v>688</v>
      </c>
      <c r="B689" s="592">
        <v>7200</v>
      </c>
      <c r="C689" s="423">
        <v>4372</v>
      </c>
      <c r="D689" s="423" t="s">
        <v>194</v>
      </c>
      <c r="E689" s="423">
        <v>5221</v>
      </c>
      <c r="F689" s="352" t="s">
        <v>456</v>
      </c>
      <c r="G689" s="328"/>
      <c r="H689" s="623">
        <v>0</v>
      </c>
      <c r="I689" s="623">
        <v>220</v>
      </c>
      <c r="J689" s="623">
        <v>220</v>
      </c>
      <c r="K689" s="624">
        <f t="shared" si="32"/>
        <v>0</v>
      </c>
      <c r="L689" s="625">
        <f t="shared" si="33"/>
        <v>100</v>
      </c>
    </row>
    <row r="690" spans="1:12" ht="12.75">
      <c r="A690" s="334">
        <f t="shared" si="31"/>
        <v>689</v>
      </c>
      <c r="B690" s="484"/>
      <c r="C690" s="485" t="s">
        <v>568</v>
      </c>
      <c r="D690" s="485"/>
      <c r="E690" s="485"/>
      <c r="F690" s="341"/>
      <c r="G690" s="341"/>
      <c r="H690" s="488">
        <f>SUBTOTAL(9,H689:H689)</f>
        <v>0</v>
      </c>
      <c r="I690" s="488">
        <f>SUBTOTAL(9,I689:I689)</f>
        <v>220</v>
      </c>
      <c r="J690" s="488">
        <f>SUBTOTAL(9,J689:J689)</f>
        <v>220</v>
      </c>
      <c r="K690" s="489">
        <f t="shared" si="32"/>
        <v>0</v>
      </c>
      <c r="L690" s="490">
        <f t="shared" si="33"/>
        <v>100</v>
      </c>
    </row>
    <row r="691" spans="1:12" ht="12.75">
      <c r="A691" s="334">
        <f t="shared" si="31"/>
        <v>690</v>
      </c>
      <c r="B691" s="592">
        <v>7200</v>
      </c>
      <c r="C691" s="423">
        <v>4374</v>
      </c>
      <c r="D691" s="423" t="s">
        <v>569</v>
      </c>
      <c r="E691" s="423">
        <v>5222</v>
      </c>
      <c r="F691" s="328" t="s">
        <v>433</v>
      </c>
      <c r="G691" s="328"/>
      <c r="H691" s="626">
        <v>0</v>
      </c>
      <c r="I691" s="626">
        <v>680</v>
      </c>
      <c r="J691" s="627">
        <v>680</v>
      </c>
      <c r="K691" s="628">
        <f t="shared" si="32"/>
        <v>0</v>
      </c>
      <c r="L691" s="629">
        <f t="shared" si="33"/>
        <v>100</v>
      </c>
    </row>
    <row r="692" spans="1:12" ht="12.75">
      <c r="A692" s="334">
        <f t="shared" si="31"/>
        <v>691</v>
      </c>
      <c r="B692" s="592">
        <v>7200</v>
      </c>
      <c r="C692" s="423">
        <v>4374</v>
      </c>
      <c r="D692" s="423" t="s">
        <v>569</v>
      </c>
      <c r="E692" s="423">
        <v>5223</v>
      </c>
      <c r="F692" s="328" t="s">
        <v>522</v>
      </c>
      <c r="G692" s="328"/>
      <c r="H692" s="623">
        <v>0</v>
      </c>
      <c r="I692" s="623">
        <v>330</v>
      </c>
      <c r="J692" s="623">
        <v>330</v>
      </c>
      <c r="K692" s="624">
        <f t="shared" si="32"/>
        <v>0</v>
      </c>
      <c r="L692" s="625">
        <f t="shared" si="33"/>
        <v>100</v>
      </c>
    </row>
    <row r="693" spans="1:12" ht="12.75">
      <c r="A693" s="334">
        <f t="shared" si="31"/>
        <v>692</v>
      </c>
      <c r="B693" s="592"/>
      <c r="C693" s="485" t="s">
        <v>570</v>
      </c>
      <c r="D693" s="423"/>
      <c r="E693" s="423"/>
      <c r="F693" s="328"/>
      <c r="G693" s="328"/>
      <c r="H693" s="488">
        <f>SUBTOTAL(9,H691:H692)</f>
        <v>0</v>
      </c>
      <c r="I693" s="488">
        <f>SUBTOTAL(9,I691:I692)</f>
        <v>1010</v>
      </c>
      <c r="J693" s="488">
        <f>SUBTOTAL(9,J691:J692)</f>
        <v>1010</v>
      </c>
      <c r="K693" s="489">
        <f t="shared" si="32"/>
        <v>0</v>
      </c>
      <c r="L693" s="490">
        <f t="shared" si="33"/>
        <v>100</v>
      </c>
    </row>
    <row r="694" spans="1:12" ht="12.75">
      <c r="A694" s="334">
        <f t="shared" si="31"/>
        <v>693</v>
      </c>
      <c r="B694" s="592">
        <v>7200</v>
      </c>
      <c r="C694" s="423">
        <v>4375</v>
      </c>
      <c r="D694" s="423" t="s">
        <v>208</v>
      </c>
      <c r="E694" s="423">
        <v>5222</v>
      </c>
      <c r="F694" s="328" t="s">
        <v>433</v>
      </c>
      <c r="G694" s="328"/>
      <c r="H694" s="623">
        <v>0</v>
      </c>
      <c r="I694" s="623">
        <v>430</v>
      </c>
      <c r="J694" s="623">
        <v>430</v>
      </c>
      <c r="K694" s="624">
        <f t="shared" si="32"/>
        <v>0</v>
      </c>
      <c r="L694" s="625">
        <f t="shared" si="33"/>
        <v>100</v>
      </c>
    </row>
    <row r="695" spans="1:12" ht="12.75">
      <c r="A695" s="334">
        <f t="shared" si="31"/>
        <v>694</v>
      </c>
      <c r="B695" s="592">
        <v>7200</v>
      </c>
      <c r="C695" s="423">
        <v>4375</v>
      </c>
      <c r="D695" s="423" t="s">
        <v>208</v>
      </c>
      <c r="E695" s="423">
        <v>5223</v>
      </c>
      <c r="F695" s="328" t="s">
        <v>522</v>
      </c>
      <c r="G695" s="328"/>
      <c r="H695" s="623">
        <v>0</v>
      </c>
      <c r="I695" s="623">
        <v>80</v>
      </c>
      <c r="J695" s="623">
        <v>80</v>
      </c>
      <c r="K695" s="624">
        <f t="shared" si="32"/>
        <v>0</v>
      </c>
      <c r="L695" s="625">
        <f t="shared" si="33"/>
        <v>100</v>
      </c>
    </row>
    <row r="696" spans="1:12" ht="12.75">
      <c r="A696" s="334">
        <f t="shared" si="31"/>
        <v>695</v>
      </c>
      <c r="B696" s="592"/>
      <c r="C696" s="485" t="s">
        <v>571</v>
      </c>
      <c r="D696" s="423"/>
      <c r="E696" s="423"/>
      <c r="F696" s="328"/>
      <c r="G696" s="328"/>
      <c r="H696" s="488">
        <f>SUBTOTAL(9,H694:H695)</f>
        <v>0</v>
      </c>
      <c r="I696" s="488">
        <f>SUBTOTAL(9,I694:I695)</f>
        <v>510</v>
      </c>
      <c r="J696" s="488">
        <f>SUBTOTAL(9,J694:J695)</f>
        <v>510</v>
      </c>
      <c r="K696" s="489">
        <f t="shared" si="32"/>
        <v>0</v>
      </c>
      <c r="L696" s="490">
        <f t="shared" si="33"/>
        <v>100</v>
      </c>
    </row>
    <row r="697" spans="1:12" ht="12.75">
      <c r="A697" s="334">
        <f t="shared" si="31"/>
        <v>696</v>
      </c>
      <c r="B697" s="592">
        <v>7200</v>
      </c>
      <c r="C697" s="423">
        <v>4376</v>
      </c>
      <c r="D697" s="423" t="s">
        <v>572</v>
      </c>
      <c r="E697" s="423">
        <v>5221</v>
      </c>
      <c r="F697" s="352" t="s">
        <v>456</v>
      </c>
      <c r="G697" s="328"/>
      <c r="H697" s="619">
        <v>0</v>
      </c>
      <c r="I697" s="619">
        <v>170</v>
      </c>
      <c r="J697" s="619">
        <v>170</v>
      </c>
      <c r="K697" s="620">
        <f t="shared" si="32"/>
        <v>0</v>
      </c>
      <c r="L697" s="621">
        <f t="shared" si="33"/>
        <v>100</v>
      </c>
    </row>
    <row r="698" spans="1:12" ht="12.75">
      <c r="A698" s="334">
        <f t="shared" si="31"/>
        <v>697</v>
      </c>
      <c r="B698" s="592">
        <v>7200</v>
      </c>
      <c r="C698" s="423">
        <v>4376</v>
      </c>
      <c r="D698" s="423" t="s">
        <v>572</v>
      </c>
      <c r="E698" s="423">
        <v>5222</v>
      </c>
      <c r="F698" s="328" t="s">
        <v>433</v>
      </c>
      <c r="G698" s="328"/>
      <c r="H698" s="619">
        <v>0</v>
      </c>
      <c r="I698" s="619">
        <v>270</v>
      </c>
      <c r="J698" s="619">
        <v>270</v>
      </c>
      <c r="K698" s="620">
        <f t="shared" si="32"/>
        <v>0</v>
      </c>
      <c r="L698" s="621">
        <f t="shared" si="33"/>
        <v>100</v>
      </c>
    </row>
    <row r="699" spans="1:12" ht="12.75">
      <c r="A699" s="334">
        <f t="shared" si="31"/>
        <v>698</v>
      </c>
      <c r="B699" s="592"/>
      <c r="C699" s="485" t="s">
        <v>573</v>
      </c>
      <c r="D699" s="423"/>
      <c r="E699" s="423"/>
      <c r="F699" s="328"/>
      <c r="G699" s="328"/>
      <c r="H699" s="488">
        <f>SUBTOTAL(9,H697:H698)</f>
        <v>0</v>
      </c>
      <c r="I699" s="488">
        <f>SUBTOTAL(9,I697:I698)</f>
        <v>440</v>
      </c>
      <c r="J699" s="488">
        <f>SUBTOTAL(9,J697:J698)</f>
        <v>440</v>
      </c>
      <c r="K699" s="489">
        <f t="shared" si="32"/>
        <v>0</v>
      </c>
      <c r="L699" s="490">
        <f t="shared" si="33"/>
        <v>100</v>
      </c>
    </row>
    <row r="700" spans="1:12" ht="12.75">
      <c r="A700" s="334">
        <f t="shared" si="31"/>
        <v>699</v>
      </c>
      <c r="B700" s="592">
        <v>7200</v>
      </c>
      <c r="C700" s="423">
        <v>4378</v>
      </c>
      <c r="D700" s="423" t="s">
        <v>209</v>
      </c>
      <c r="E700" s="423">
        <v>5222</v>
      </c>
      <c r="F700" s="328" t="s">
        <v>433</v>
      </c>
      <c r="G700" s="328"/>
      <c r="H700" s="623">
        <v>0</v>
      </c>
      <c r="I700" s="623">
        <v>130</v>
      </c>
      <c r="J700" s="623">
        <v>130</v>
      </c>
      <c r="K700" s="624">
        <f t="shared" si="32"/>
        <v>0</v>
      </c>
      <c r="L700" s="625">
        <f t="shared" si="33"/>
        <v>100</v>
      </c>
    </row>
    <row r="701" spans="1:12" ht="12.75">
      <c r="A701" s="334">
        <f t="shared" si="31"/>
        <v>700</v>
      </c>
      <c r="B701" s="592"/>
      <c r="C701" s="485" t="s">
        <v>574</v>
      </c>
      <c r="D701" s="423"/>
      <c r="E701" s="423"/>
      <c r="F701" s="328"/>
      <c r="G701" s="328"/>
      <c r="H701" s="488">
        <f>SUBTOTAL(9,H700:H700)</f>
        <v>0</v>
      </c>
      <c r="I701" s="488">
        <f>SUBTOTAL(9,I700:I700)</f>
        <v>130</v>
      </c>
      <c r="J701" s="488">
        <f>SUBTOTAL(9,J700:J700)</f>
        <v>130</v>
      </c>
      <c r="K701" s="489">
        <f t="shared" si="32"/>
        <v>0</v>
      </c>
      <c r="L701" s="490">
        <f t="shared" si="33"/>
        <v>100</v>
      </c>
    </row>
    <row r="702" spans="1:12" ht="12.75">
      <c r="A702" s="334">
        <f t="shared" si="31"/>
        <v>701</v>
      </c>
      <c r="B702" s="592">
        <v>7200</v>
      </c>
      <c r="C702" s="423">
        <v>4379</v>
      </c>
      <c r="D702" s="423" t="s">
        <v>575</v>
      </c>
      <c r="E702" s="423">
        <v>5221</v>
      </c>
      <c r="F702" s="352" t="s">
        <v>456</v>
      </c>
      <c r="G702" s="328"/>
      <c r="H702" s="623">
        <v>0</v>
      </c>
      <c r="I702" s="623">
        <v>80</v>
      </c>
      <c r="J702" s="623">
        <v>80</v>
      </c>
      <c r="K702" s="624">
        <f t="shared" si="32"/>
        <v>0</v>
      </c>
      <c r="L702" s="625">
        <f t="shared" si="33"/>
        <v>100</v>
      </c>
    </row>
    <row r="703" spans="1:12" ht="12.75">
      <c r="A703" s="334">
        <f t="shared" si="31"/>
        <v>702</v>
      </c>
      <c r="B703" s="592">
        <v>7200</v>
      </c>
      <c r="C703" s="423">
        <v>4379</v>
      </c>
      <c r="D703" s="423" t="s">
        <v>575</v>
      </c>
      <c r="E703" s="423">
        <v>5222</v>
      </c>
      <c r="F703" s="328" t="s">
        <v>433</v>
      </c>
      <c r="G703" s="328"/>
      <c r="H703" s="623">
        <v>0</v>
      </c>
      <c r="I703" s="623">
        <v>1070</v>
      </c>
      <c r="J703" s="623">
        <v>1070</v>
      </c>
      <c r="K703" s="624">
        <f t="shared" si="32"/>
        <v>0</v>
      </c>
      <c r="L703" s="625">
        <f t="shared" si="33"/>
        <v>100</v>
      </c>
    </row>
    <row r="704" spans="1:12" ht="12.75">
      <c r="A704" s="334">
        <f t="shared" si="31"/>
        <v>703</v>
      </c>
      <c r="B704" s="592">
        <v>7200</v>
      </c>
      <c r="C704" s="423">
        <v>4379</v>
      </c>
      <c r="D704" s="423" t="s">
        <v>575</v>
      </c>
      <c r="E704" s="423">
        <v>5339</v>
      </c>
      <c r="F704" s="349" t="s">
        <v>457</v>
      </c>
      <c r="G704" s="328" t="s">
        <v>576</v>
      </c>
      <c r="H704" s="623">
        <v>995</v>
      </c>
      <c r="I704" s="623">
        <v>995</v>
      </c>
      <c r="J704" s="623">
        <v>995</v>
      </c>
      <c r="K704" s="624">
        <f t="shared" si="32"/>
        <v>0</v>
      </c>
      <c r="L704" s="625">
        <f t="shared" si="33"/>
        <v>100</v>
      </c>
    </row>
    <row r="705" spans="1:12" ht="12.75">
      <c r="A705" s="334">
        <f t="shared" si="31"/>
        <v>704</v>
      </c>
      <c r="B705" s="592"/>
      <c r="C705" s="485" t="s">
        <v>577</v>
      </c>
      <c r="D705" s="423"/>
      <c r="E705" s="423"/>
      <c r="F705" s="328"/>
      <c r="G705" s="328"/>
      <c r="H705" s="488">
        <f>SUBTOTAL(9,H702:H704)</f>
        <v>995</v>
      </c>
      <c r="I705" s="488">
        <f>SUBTOTAL(9,I702:I704)</f>
        <v>2145</v>
      </c>
      <c r="J705" s="488">
        <f>SUBTOTAL(9,J702:J704)</f>
        <v>2145</v>
      </c>
      <c r="K705" s="489">
        <f t="shared" si="32"/>
        <v>0</v>
      </c>
      <c r="L705" s="490">
        <f t="shared" si="33"/>
        <v>100</v>
      </c>
    </row>
    <row r="706" spans="1:12" ht="12.75">
      <c r="A706" s="334">
        <f t="shared" si="31"/>
        <v>705</v>
      </c>
      <c r="B706" s="592">
        <v>7200</v>
      </c>
      <c r="C706" s="423">
        <v>4399</v>
      </c>
      <c r="D706" s="423" t="s">
        <v>575</v>
      </c>
      <c r="E706" s="423">
        <v>5169</v>
      </c>
      <c r="F706" s="328" t="s">
        <v>321</v>
      </c>
      <c r="G706" s="329" t="s">
        <v>578</v>
      </c>
      <c r="H706" s="619"/>
      <c r="I706" s="619">
        <v>2612</v>
      </c>
      <c r="J706" s="619">
        <v>458</v>
      </c>
      <c r="K706" s="620">
        <f t="shared" si="32"/>
        <v>-2154</v>
      </c>
      <c r="L706" s="621">
        <f t="shared" si="33"/>
        <v>17.534456355283307</v>
      </c>
    </row>
    <row r="707" spans="1:12" ht="12.75">
      <c r="A707" s="334">
        <f t="shared" si="31"/>
        <v>706</v>
      </c>
      <c r="B707" s="592">
        <v>7200</v>
      </c>
      <c r="C707" s="423">
        <v>4399</v>
      </c>
      <c r="D707" s="423" t="s">
        <v>575</v>
      </c>
      <c r="E707" s="423">
        <v>5499</v>
      </c>
      <c r="F707" s="328" t="s">
        <v>409</v>
      </c>
      <c r="G707" s="329" t="s">
        <v>578</v>
      </c>
      <c r="H707" s="619"/>
      <c r="I707" s="619">
        <v>520</v>
      </c>
      <c r="J707" s="619">
        <v>154</v>
      </c>
      <c r="K707" s="620">
        <f t="shared" si="32"/>
        <v>-366</v>
      </c>
      <c r="L707" s="621">
        <f t="shared" si="33"/>
        <v>29.615384615384617</v>
      </c>
    </row>
    <row r="708" spans="1:12" ht="12.75">
      <c r="A708" s="334">
        <f aca="true" t="shared" si="34" ref="A708:A771">A707+1</f>
        <v>707</v>
      </c>
      <c r="B708" s="592"/>
      <c r="C708" s="485" t="s">
        <v>579</v>
      </c>
      <c r="D708" s="423"/>
      <c r="E708" s="423"/>
      <c r="F708" s="328"/>
      <c r="G708" s="328"/>
      <c r="H708" s="488">
        <f>SUBTOTAL(9,H706:H706)</f>
        <v>0</v>
      </c>
      <c r="I708" s="488">
        <f>SUBTOTAL(9,I706:I707)</f>
        <v>3132</v>
      </c>
      <c r="J708" s="488">
        <f>SUBTOTAL(9,J706:J707)</f>
        <v>612</v>
      </c>
      <c r="K708" s="489">
        <f aca="true" t="shared" si="35" ref="K708:K771">J708-I708</f>
        <v>-2520</v>
      </c>
      <c r="L708" s="490">
        <f aca="true" t="shared" si="36" ref="L708:L771">J708/I708*100</f>
        <v>19.54022988505747</v>
      </c>
    </row>
    <row r="709" spans="1:12" ht="12.75">
      <c r="A709" s="334">
        <f t="shared" si="34"/>
        <v>708</v>
      </c>
      <c r="B709" s="592">
        <v>7200</v>
      </c>
      <c r="C709" s="423">
        <v>5319</v>
      </c>
      <c r="D709" s="423" t="s">
        <v>374</v>
      </c>
      <c r="E709" s="423">
        <v>5169</v>
      </c>
      <c r="F709" s="349" t="s">
        <v>321</v>
      </c>
      <c r="G709" s="476"/>
      <c r="H709" s="619">
        <v>0</v>
      </c>
      <c r="I709" s="619">
        <v>48</v>
      </c>
      <c r="J709" s="619">
        <v>48</v>
      </c>
      <c r="K709" s="620">
        <f t="shared" si="35"/>
        <v>0</v>
      </c>
      <c r="L709" s="621">
        <f t="shared" si="36"/>
        <v>100</v>
      </c>
    </row>
    <row r="710" spans="1:12" ht="12.75">
      <c r="A710" s="334">
        <f t="shared" si="34"/>
        <v>709</v>
      </c>
      <c r="B710" s="592">
        <v>7200</v>
      </c>
      <c r="C710" s="423">
        <v>5319</v>
      </c>
      <c r="D710" s="423" t="s">
        <v>374</v>
      </c>
      <c r="E710" s="423">
        <v>5213</v>
      </c>
      <c r="F710" s="541" t="s">
        <v>460</v>
      </c>
      <c r="G710" s="476" t="s">
        <v>580</v>
      </c>
      <c r="H710" s="562">
        <v>2500</v>
      </c>
      <c r="I710" s="562"/>
      <c r="J710" s="562"/>
      <c r="K710" s="563">
        <f t="shared" si="35"/>
        <v>0</v>
      </c>
      <c r="L710" s="564"/>
    </row>
    <row r="711" spans="1:12" ht="12.75">
      <c r="A711" s="334">
        <f t="shared" si="34"/>
        <v>710</v>
      </c>
      <c r="B711" s="592">
        <v>7200</v>
      </c>
      <c r="C711" s="423">
        <v>5319</v>
      </c>
      <c r="D711" s="423" t="s">
        <v>374</v>
      </c>
      <c r="E711" s="423">
        <v>5222</v>
      </c>
      <c r="F711" s="352" t="s">
        <v>433</v>
      </c>
      <c r="G711" s="476"/>
      <c r="H711" s="562">
        <v>0</v>
      </c>
      <c r="I711" s="562">
        <v>1312</v>
      </c>
      <c r="J711" s="562">
        <v>1312</v>
      </c>
      <c r="K711" s="563">
        <f t="shared" si="35"/>
        <v>0</v>
      </c>
      <c r="L711" s="564">
        <f t="shared" si="36"/>
        <v>100</v>
      </c>
    </row>
    <row r="712" spans="1:12" ht="12.75">
      <c r="A712" s="334">
        <f t="shared" si="34"/>
        <v>711</v>
      </c>
      <c r="B712" s="592">
        <v>7200</v>
      </c>
      <c r="C712" s="423">
        <v>5319</v>
      </c>
      <c r="D712" s="423" t="s">
        <v>374</v>
      </c>
      <c r="E712" s="423">
        <v>5223</v>
      </c>
      <c r="F712" s="328" t="s">
        <v>522</v>
      </c>
      <c r="G712" s="476"/>
      <c r="H712" s="562">
        <v>0</v>
      </c>
      <c r="I712" s="562">
        <v>213</v>
      </c>
      <c r="J712" s="562">
        <v>213</v>
      </c>
      <c r="K712" s="563">
        <f t="shared" si="35"/>
        <v>0</v>
      </c>
      <c r="L712" s="564">
        <f t="shared" si="36"/>
        <v>100</v>
      </c>
    </row>
    <row r="713" spans="1:12" ht="12.75">
      <c r="A713" s="334">
        <f t="shared" si="34"/>
        <v>712</v>
      </c>
      <c r="B713" s="592">
        <v>7200</v>
      </c>
      <c r="C713" s="423">
        <v>5319</v>
      </c>
      <c r="D713" s="423" t="s">
        <v>374</v>
      </c>
      <c r="E713" s="423">
        <v>5311</v>
      </c>
      <c r="F713" s="328" t="s">
        <v>581</v>
      </c>
      <c r="G713" s="476"/>
      <c r="H713" s="562">
        <v>0</v>
      </c>
      <c r="I713" s="562">
        <v>35</v>
      </c>
      <c r="J713" s="562">
        <v>35</v>
      </c>
      <c r="K713" s="563">
        <f t="shared" si="35"/>
        <v>0</v>
      </c>
      <c r="L713" s="564">
        <f t="shared" si="36"/>
        <v>100</v>
      </c>
    </row>
    <row r="714" spans="1:12" ht="12.75">
      <c r="A714" s="334">
        <f t="shared" si="34"/>
        <v>713</v>
      </c>
      <c r="B714" s="592">
        <v>7200</v>
      </c>
      <c r="C714" s="423">
        <v>5319</v>
      </c>
      <c r="D714" s="423" t="s">
        <v>374</v>
      </c>
      <c r="E714" s="423">
        <v>5339</v>
      </c>
      <c r="F714" s="349" t="s">
        <v>457</v>
      </c>
      <c r="G714" s="476"/>
      <c r="H714" s="562">
        <v>0</v>
      </c>
      <c r="I714" s="562">
        <v>50</v>
      </c>
      <c r="J714" s="562">
        <v>50</v>
      </c>
      <c r="K714" s="563">
        <f t="shared" si="35"/>
        <v>0</v>
      </c>
      <c r="L714" s="564">
        <f t="shared" si="36"/>
        <v>100</v>
      </c>
    </row>
    <row r="715" spans="1:12" ht="12.75">
      <c r="A715" s="334">
        <f t="shared" si="34"/>
        <v>714</v>
      </c>
      <c r="B715" s="484"/>
      <c r="C715" s="485" t="s">
        <v>375</v>
      </c>
      <c r="D715" s="423"/>
      <c r="E715" s="423"/>
      <c r="F715" s="328"/>
      <c r="G715" s="328"/>
      <c r="H715" s="488">
        <f>SUBTOTAL(9,H709:H714)</f>
        <v>2500</v>
      </c>
      <c r="I715" s="488">
        <f>SUBTOTAL(9,I709:I714)</f>
        <v>1658</v>
      </c>
      <c r="J715" s="488">
        <f>SUBTOTAL(9,J709:J714)</f>
        <v>1658</v>
      </c>
      <c r="K715" s="489">
        <f t="shared" si="35"/>
        <v>0</v>
      </c>
      <c r="L715" s="490">
        <f t="shared" si="36"/>
        <v>100</v>
      </c>
    </row>
    <row r="716" spans="1:12" ht="12.75">
      <c r="A716" s="334">
        <f t="shared" si="34"/>
        <v>715</v>
      </c>
      <c r="B716" s="592">
        <v>7200</v>
      </c>
      <c r="C716" s="423">
        <v>6409</v>
      </c>
      <c r="D716" s="336" t="s">
        <v>336</v>
      </c>
      <c r="E716" s="423">
        <v>5321</v>
      </c>
      <c r="F716" s="349" t="s">
        <v>337</v>
      </c>
      <c r="G716" s="476"/>
      <c r="H716" s="176">
        <v>0</v>
      </c>
      <c r="I716" s="176">
        <v>200</v>
      </c>
      <c r="J716" s="176">
        <v>200</v>
      </c>
      <c r="K716" s="437">
        <f t="shared" si="35"/>
        <v>0</v>
      </c>
      <c r="L716" s="438">
        <f t="shared" si="36"/>
        <v>100</v>
      </c>
    </row>
    <row r="717" spans="1:12" ht="12.75">
      <c r="A717" s="334">
        <f t="shared" si="34"/>
        <v>716</v>
      </c>
      <c r="B717" s="592"/>
      <c r="C717" s="485" t="s">
        <v>340</v>
      </c>
      <c r="D717" s="485"/>
      <c r="E717" s="485"/>
      <c r="F717" s="486"/>
      <c r="G717" s="487"/>
      <c r="H717" s="494">
        <f>SUBTOTAL(9,H716)</f>
        <v>0</v>
      </c>
      <c r="I717" s="494">
        <f>SUBTOTAL(9,I716)</f>
        <v>200</v>
      </c>
      <c r="J717" s="494">
        <f>SUBTOTAL(9,J716)</f>
        <v>200</v>
      </c>
      <c r="K717" s="495">
        <f t="shared" si="35"/>
        <v>0</v>
      </c>
      <c r="L717" s="496">
        <f t="shared" si="36"/>
        <v>100</v>
      </c>
    </row>
    <row r="718" spans="1:12" ht="13.5" thickBot="1">
      <c r="A718" s="334">
        <f t="shared" si="34"/>
        <v>717</v>
      </c>
      <c r="B718" s="357" t="s">
        <v>35</v>
      </c>
      <c r="C718" s="358"/>
      <c r="D718" s="358"/>
      <c r="E718" s="358"/>
      <c r="F718" s="358"/>
      <c r="G718" s="359"/>
      <c r="H718" s="360">
        <f>SUBTOTAL(9,H606:H717)</f>
        <v>279745</v>
      </c>
      <c r="I718" s="360">
        <f>SUBTOTAL(9,I606:I717)</f>
        <v>287382</v>
      </c>
      <c r="J718" s="360">
        <f>SUBTOTAL(9,J606:J717)</f>
        <v>283640</v>
      </c>
      <c r="K718" s="361">
        <f t="shared" si="35"/>
        <v>-3742</v>
      </c>
      <c r="L718" s="362">
        <f t="shared" si="36"/>
        <v>98.69790035562423</v>
      </c>
    </row>
    <row r="719" spans="1:12" ht="12.75">
      <c r="A719" s="334">
        <f t="shared" si="34"/>
        <v>718</v>
      </c>
      <c r="B719" s="484"/>
      <c r="C719" s="485"/>
      <c r="D719" s="485"/>
      <c r="E719" s="485"/>
      <c r="F719" s="486"/>
      <c r="G719" s="487"/>
      <c r="H719" s="494"/>
      <c r="I719" s="494"/>
      <c r="J719" s="494"/>
      <c r="K719" s="495">
        <f t="shared" si="35"/>
        <v>0</v>
      </c>
      <c r="L719" s="496"/>
    </row>
    <row r="720" spans="1:12" ht="15.75">
      <c r="A720" s="334">
        <f t="shared" si="34"/>
        <v>719</v>
      </c>
      <c r="B720" s="633" t="s">
        <v>30</v>
      </c>
      <c r="C720" s="352"/>
      <c r="D720" s="352"/>
      <c r="E720" s="352"/>
      <c r="F720" s="352"/>
      <c r="G720" s="353"/>
      <c r="H720" s="562"/>
      <c r="I720" s="562"/>
      <c r="J720" s="562"/>
      <c r="K720" s="563">
        <f t="shared" si="35"/>
        <v>0</v>
      </c>
      <c r="L720" s="564"/>
    </row>
    <row r="721" spans="1:12" ht="12.75">
      <c r="A721" s="334">
        <f t="shared" si="34"/>
        <v>720</v>
      </c>
      <c r="B721" s="516">
        <v>7300</v>
      </c>
      <c r="C721" s="352">
        <v>3311</v>
      </c>
      <c r="D721" s="352" t="s">
        <v>24</v>
      </c>
      <c r="E721" s="352">
        <v>5212</v>
      </c>
      <c r="F721" s="541" t="s">
        <v>520</v>
      </c>
      <c r="G721" s="606"/>
      <c r="H721" s="562">
        <v>0</v>
      </c>
      <c r="I721" s="562">
        <v>60</v>
      </c>
      <c r="J721" s="562">
        <v>50</v>
      </c>
      <c r="K721" s="563">
        <f t="shared" si="35"/>
        <v>-10</v>
      </c>
      <c r="L721" s="564">
        <f t="shared" si="36"/>
        <v>83.33333333333334</v>
      </c>
    </row>
    <row r="722" spans="1:12" ht="12.75">
      <c r="A722" s="334">
        <f t="shared" si="34"/>
        <v>721</v>
      </c>
      <c r="B722" s="516">
        <v>7300</v>
      </c>
      <c r="C722" s="352">
        <v>3311</v>
      </c>
      <c r="D722" s="352" t="s">
        <v>24</v>
      </c>
      <c r="E722" s="352">
        <v>5213</v>
      </c>
      <c r="F722" s="541" t="s">
        <v>460</v>
      </c>
      <c r="G722" s="476"/>
      <c r="H722" s="562">
        <v>0</v>
      </c>
      <c r="I722" s="562">
        <v>30</v>
      </c>
      <c r="J722" s="562">
        <v>30</v>
      </c>
      <c r="K722" s="563">
        <f t="shared" si="35"/>
        <v>0</v>
      </c>
      <c r="L722" s="564">
        <f t="shared" si="36"/>
        <v>100</v>
      </c>
    </row>
    <row r="723" spans="1:12" ht="12.75">
      <c r="A723" s="334">
        <f t="shared" si="34"/>
        <v>722</v>
      </c>
      <c r="B723" s="516">
        <v>7300</v>
      </c>
      <c r="C723" s="352">
        <v>3311</v>
      </c>
      <c r="D723" s="352" t="s">
        <v>24</v>
      </c>
      <c r="E723" s="352">
        <v>5221</v>
      </c>
      <c r="F723" s="352" t="s">
        <v>456</v>
      </c>
      <c r="G723" s="476"/>
      <c r="H723" s="562">
        <v>0</v>
      </c>
      <c r="I723" s="562">
        <v>10</v>
      </c>
      <c r="J723" s="562">
        <v>10</v>
      </c>
      <c r="K723" s="563">
        <f t="shared" si="35"/>
        <v>0</v>
      </c>
      <c r="L723" s="564">
        <f t="shared" si="36"/>
        <v>100</v>
      </c>
    </row>
    <row r="724" spans="1:12" ht="12.75">
      <c r="A724" s="334">
        <f t="shared" si="34"/>
        <v>723</v>
      </c>
      <c r="B724" s="516">
        <v>7300</v>
      </c>
      <c r="C724" s="352">
        <v>3311</v>
      </c>
      <c r="D724" s="352" t="s">
        <v>24</v>
      </c>
      <c r="E724" s="352">
        <v>5222</v>
      </c>
      <c r="F724" s="352" t="s">
        <v>433</v>
      </c>
      <c r="G724" s="353"/>
      <c r="H724" s="562"/>
      <c r="I724" s="562">
        <v>2510</v>
      </c>
      <c r="J724" s="562">
        <v>2510</v>
      </c>
      <c r="K724" s="563">
        <f t="shared" si="35"/>
        <v>0</v>
      </c>
      <c r="L724" s="564">
        <f t="shared" si="36"/>
        <v>100</v>
      </c>
    </row>
    <row r="725" spans="1:12" ht="12.75">
      <c r="A725" s="334">
        <f t="shared" si="34"/>
        <v>724</v>
      </c>
      <c r="B725" s="516">
        <v>7300</v>
      </c>
      <c r="C725" s="352">
        <v>3311</v>
      </c>
      <c r="D725" s="352" t="s">
        <v>24</v>
      </c>
      <c r="E725" s="352">
        <v>5331</v>
      </c>
      <c r="F725" s="378" t="s">
        <v>345</v>
      </c>
      <c r="G725" s="329" t="s">
        <v>582</v>
      </c>
      <c r="H725" s="562">
        <v>260246</v>
      </c>
      <c r="I725" s="562">
        <v>269295</v>
      </c>
      <c r="J725" s="562">
        <v>269293</v>
      </c>
      <c r="K725" s="563">
        <f t="shared" si="35"/>
        <v>-2</v>
      </c>
      <c r="L725" s="564">
        <f t="shared" si="36"/>
        <v>99.99925732003936</v>
      </c>
    </row>
    <row r="726" spans="1:12" ht="12.75">
      <c r="A726" s="334">
        <f t="shared" si="34"/>
        <v>725</v>
      </c>
      <c r="B726" s="516">
        <v>7300</v>
      </c>
      <c r="C726" s="352">
        <v>3311</v>
      </c>
      <c r="D726" s="352" t="s">
        <v>24</v>
      </c>
      <c r="E726" s="352">
        <v>5331</v>
      </c>
      <c r="F726" s="378" t="s">
        <v>345</v>
      </c>
      <c r="G726" s="329" t="s">
        <v>583</v>
      </c>
      <c r="H726" s="562">
        <v>30925</v>
      </c>
      <c r="I726" s="562">
        <v>30985</v>
      </c>
      <c r="J726" s="562">
        <v>30984</v>
      </c>
      <c r="K726" s="563">
        <f t="shared" si="35"/>
        <v>-1</v>
      </c>
      <c r="L726" s="564">
        <f t="shared" si="36"/>
        <v>99.99677263191867</v>
      </c>
    </row>
    <row r="727" spans="1:12" ht="12.75">
      <c r="A727" s="334">
        <f t="shared" si="34"/>
        <v>726</v>
      </c>
      <c r="B727" s="516">
        <v>7300</v>
      </c>
      <c r="C727" s="352">
        <v>3311</v>
      </c>
      <c r="D727" s="352" t="s">
        <v>24</v>
      </c>
      <c r="E727" s="352">
        <v>5331</v>
      </c>
      <c r="F727" s="378" t="s">
        <v>345</v>
      </c>
      <c r="G727" s="329" t="s">
        <v>584</v>
      </c>
      <c r="H727" s="562">
        <v>168608</v>
      </c>
      <c r="I727" s="562">
        <v>165934</v>
      </c>
      <c r="J727" s="562">
        <v>165933</v>
      </c>
      <c r="K727" s="563">
        <f t="shared" si="35"/>
        <v>-1</v>
      </c>
      <c r="L727" s="564">
        <f t="shared" si="36"/>
        <v>99.99939735075391</v>
      </c>
    </row>
    <row r="728" spans="1:12" ht="12.75">
      <c r="A728" s="334">
        <f t="shared" si="34"/>
        <v>727</v>
      </c>
      <c r="B728" s="516">
        <v>7300</v>
      </c>
      <c r="C728" s="352">
        <v>3311</v>
      </c>
      <c r="D728" s="352" t="s">
        <v>24</v>
      </c>
      <c r="E728" s="352">
        <v>5331</v>
      </c>
      <c r="F728" s="378" t="s">
        <v>345</v>
      </c>
      <c r="G728" s="329" t="s">
        <v>585</v>
      </c>
      <c r="H728" s="562">
        <v>15246</v>
      </c>
      <c r="I728" s="562">
        <v>16943</v>
      </c>
      <c r="J728" s="562">
        <v>16943</v>
      </c>
      <c r="K728" s="563">
        <f t="shared" si="35"/>
        <v>0</v>
      </c>
      <c r="L728" s="564">
        <f t="shared" si="36"/>
        <v>100</v>
      </c>
    </row>
    <row r="729" spans="1:12" ht="12.75">
      <c r="A729" s="334">
        <f t="shared" si="34"/>
        <v>728</v>
      </c>
      <c r="B729" s="516">
        <v>7300</v>
      </c>
      <c r="C729" s="352">
        <v>3311</v>
      </c>
      <c r="D729" s="352" t="s">
        <v>24</v>
      </c>
      <c r="E729" s="352">
        <v>5332</v>
      </c>
      <c r="F729" s="328" t="s">
        <v>524</v>
      </c>
      <c r="G729" s="329"/>
      <c r="H729" s="562">
        <v>260</v>
      </c>
      <c r="I729" s="562">
        <v>260</v>
      </c>
      <c r="J729" s="562">
        <v>260</v>
      </c>
      <c r="K729" s="563">
        <f t="shared" si="35"/>
        <v>0</v>
      </c>
      <c r="L729" s="564">
        <f t="shared" si="36"/>
        <v>100</v>
      </c>
    </row>
    <row r="730" spans="1:12" ht="12.75">
      <c r="A730" s="334">
        <f t="shared" si="34"/>
        <v>729</v>
      </c>
      <c r="B730" s="516">
        <v>7300</v>
      </c>
      <c r="C730" s="352">
        <v>3311</v>
      </c>
      <c r="D730" s="352" t="s">
        <v>24</v>
      </c>
      <c r="E730" s="352">
        <v>5336</v>
      </c>
      <c r="F730" s="328" t="s">
        <v>347</v>
      </c>
      <c r="G730" s="329" t="s">
        <v>582</v>
      </c>
      <c r="H730" s="562">
        <v>0</v>
      </c>
      <c r="I730" s="562">
        <v>7115</v>
      </c>
      <c r="J730" s="562">
        <v>7115</v>
      </c>
      <c r="K730" s="563">
        <f t="shared" si="35"/>
        <v>0</v>
      </c>
      <c r="L730" s="564">
        <f t="shared" si="36"/>
        <v>100</v>
      </c>
    </row>
    <row r="731" spans="1:12" ht="12.75">
      <c r="A731" s="334">
        <f t="shared" si="34"/>
        <v>730</v>
      </c>
      <c r="B731" s="516">
        <v>7300</v>
      </c>
      <c r="C731" s="352">
        <v>3311</v>
      </c>
      <c r="D731" s="352" t="s">
        <v>24</v>
      </c>
      <c r="E731" s="352">
        <v>5336</v>
      </c>
      <c r="F731" s="328" t="s">
        <v>347</v>
      </c>
      <c r="G731" s="329" t="s">
        <v>583</v>
      </c>
      <c r="H731" s="562">
        <v>0</v>
      </c>
      <c r="I731" s="562">
        <v>2430</v>
      </c>
      <c r="J731" s="562">
        <v>2430</v>
      </c>
      <c r="K731" s="563">
        <f t="shared" si="35"/>
        <v>0</v>
      </c>
      <c r="L731" s="564">
        <f t="shared" si="36"/>
        <v>100</v>
      </c>
    </row>
    <row r="732" spans="1:12" ht="12.75">
      <c r="A732" s="334">
        <f t="shared" si="34"/>
        <v>731</v>
      </c>
      <c r="B732" s="516">
        <v>7300</v>
      </c>
      <c r="C732" s="352">
        <v>3311</v>
      </c>
      <c r="D732" s="352" t="s">
        <v>24</v>
      </c>
      <c r="E732" s="352">
        <v>5336</v>
      </c>
      <c r="F732" s="328" t="s">
        <v>347</v>
      </c>
      <c r="G732" s="329" t="s">
        <v>584</v>
      </c>
      <c r="H732" s="562">
        <v>0</v>
      </c>
      <c r="I732" s="562">
        <v>3190</v>
      </c>
      <c r="J732" s="562">
        <v>3190</v>
      </c>
      <c r="K732" s="563">
        <f t="shared" si="35"/>
        <v>0</v>
      </c>
      <c r="L732" s="564">
        <f t="shared" si="36"/>
        <v>100</v>
      </c>
    </row>
    <row r="733" spans="1:12" ht="12.75">
      <c r="A733" s="334">
        <f t="shared" si="34"/>
        <v>732</v>
      </c>
      <c r="B733" s="516">
        <v>7300</v>
      </c>
      <c r="C733" s="352">
        <v>3311</v>
      </c>
      <c r="D733" s="352" t="s">
        <v>24</v>
      </c>
      <c r="E733" s="352">
        <v>5336</v>
      </c>
      <c r="F733" s="328" t="s">
        <v>347</v>
      </c>
      <c r="G733" s="329" t="s">
        <v>585</v>
      </c>
      <c r="H733" s="562">
        <v>0</v>
      </c>
      <c r="I733" s="562">
        <v>570</v>
      </c>
      <c r="J733" s="562">
        <v>570</v>
      </c>
      <c r="K733" s="563">
        <f t="shared" si="35"/>
        <v>0</v>
      </c>
      <c r="L733" s="564">
        <f t="shared" si="36"/>
        <v>100</v>
      </c>
    </row>
    <row r="734" spans="1:12" ht="12.75">
      <c r="A734" s="334">
        <f t="shared" si="34"/>
        <v>733</v>
      </c>
      <c r="B734" s="516">
        <v>7300</v>
      </c>
      <c r="C734" s="352">
        <v>3311</v>
      </c>
      <c r="D734" s="352" t="s">
        <v>24</v>
      </c>
      <c r="E734" s="352">
        <v>5339</v>
      </c>
      <c r="F734" s="349" t="s">
        <v>457</v>
      </c>
      <c r="G734" s="329"/>
      <c r="H734" s="562"/>
      <c r="I734" s="562">
        <v>30</v>
      </c>
      <c r="J734" s="562">
        <v>30</v>
      </c>
      <c r="K734" s="563">
        <f t="shared" si="35"/>
        <v>0</v>
      </c>
      <c r="L734" s="564">
        <f t="shared" si="36"/>
        <v>100</v>
      </c>
    </row>
    <row r="735" spans="1:12" ht="12.75">
      <c r="A735" s="334">
        <f t="shared" si="34"/>
        <v>734</v>
      </c>
      <c r="B735" s="516">
        <v>7300</v>
      </c>
      <c r="C735" s="352">
        <v>3311</v>
      </c>
      <c r="D735" s="352" t="s">
        <v>24</v>
      </c>
      <c r="E735" s="352">
        <v>5651</v>
      </c>
      <c r="F735" s="328" t="s">
        <v>512</v>
      </c>
      <c r="G735" s="329" t="s">
        <v>584</v>
      </c>
      <c r="H735" s="562">
        <v>15000</v>
      </c>
      <c r="I735" s="562">
        <v>15000</v>
      </c>
      <c r="J735" s="562">
        <v>15000</v>
      </c>
      <c r="K735" s="563">
        <f t="shared" si="35"/>
        <v>0</v>
      </c>
      <c r="L735" s="564">
        <f t="shared" si="36"/>
        <v>100</v>
      </c>
    </row>
    <row r="736" spans="1:12" ht="12.75">
      <c r="A736" s="334">
        <f t="shared" si="34"/>
        <v>735</v>
      </c>
      <c r="B736" s="516">
        <v>7300</v>
      </c>
      <c r="C736" s="352">
        <v>3311</v>
      </c>
      <c r="D736" s="352" t="s">
        <v>24</v>
      </c>
      <c r="E736" s="328">
        <v>5909</v>
      </c>
      <c r="F736" s="596" t="s">
        <v>410</v>
      </c>
      <c r="G736" s="329"/>
      <c r="H736" s="562"/>
      <c r="I736" s="562">
        <v>124</v>
      </c>
      <c r="J736" s="562">
        <v>124</v>
      </c>
      <c r="K736" s="563">
        <f t="shared" si="35"/>
        <v>0</v>
      </c>
      <c r="L736" s="564">
        <f t="shared" si="36"/>
        <v>100</v>
      </c>
    </row>
    <row r="737" spans="1:12" ht="12.75">
      <c r="A737" s="334">
        <f t="shared" si="34"/>
        <v>736</v>
      </c>
      <c r="B737" s="518"/>
      <c r="C737" s="350" t="s">
        <v>586</v>
      </c>
      <c r="D737" s="350"/>
      <c r="E737" s="350"/>
      <c r="F737" s="341"/>
      <c r="G737" s="342"/>
      <c r="H737" s="634">
        <f>SUBTOTAL(9,H721:H735)</f>
        <v>490285</v>
      </c>
      <c r="I737" s="634">
        <f>SUBTOTAL(9,I721:I736)</f>
        <v>514486</v>
      </c>
      <c r="J737" s="634">
        <f>SUBTOTAL(9,J721:J736)</f>
        <v>514472</v>
      </c>
      <c r="K737" s="635">
        <f t="shared" si="35"/>
        <v>-14</v>
      </c>
      <c r="L737" s="636">
        <f t="shared" si="36"/>
        <v>99.99727883751939</v>
      </c>
    </row>
    <row r="738" spans="1:12" ht="12.75">
      <c r="A738" s="334">
        <f t="shared" si="34"/>
        <v>737</v>
      </c>
      <c r="B738" s="516">
        <v>7300</v>
      </c>
      <c r="C738" s="352">
        <v>3312</v>
      </c>
      <c r="D738" s="352" t="s">
        <v>587</v>
      </c>
      <c r="E738" s="352">
        <v>5212</v>
      </c>
      <c r="F738" s="541" t="s">
        <v>520</v>
      </c>
      <c r="G738" s="606"/>
      <c r="H738" s="562">
        <v>0</v>
      </c>
      <c r="I738" s="562">
        <v>395</v>
      </c>
      <c r="J738" s="562">
        <v>315</v>
      </c>
      <c r="K738" s="563">
        <f t="shared" si="35"/>
        <v>-80</v>
      </c>
      <c r="L738" s="564">
        <f t="shared" si="36"/>
        <v>79.74683544303798</v>
      </c>
    </row>
    <row r="739" spans="1:12" ht="12.75">
      <c r="A739" s="334">
        <f t="shared" si="34"/>
        <v>738</v>
      </c>
      <c r="B739" s="516">
        <v>7300</v>
      </c>
      <c r="C739" s="352">
        <v>3312</v>
      </c>
      <c r="D739" s="352" t="s">
        <v>587</v>
      </c>
      <c r="E739" s="352">
        <v>5213</v>
      </c>
      <c r="F739" s="541" t="s">
        <v>460</v>
      </c>
      <c r="G739" s="476"/>
      <c r="H739" s="562">
        <v>0</v>
      </c>
      <c r="I739" s="562">
        <v>340</v>
      </c>
      <c r="J739" s="562">
        <v>340</v>
      </c>
      <c r="K739" s="563">
        <f t="shared" si="35"/>
        <v>0</v>
      </c>
      <c r="L739" s="564">
        <f t="shared" si="36"/>
        <v>100</v>
      </c>
    </row>
    <row r="740" spans="1:12" ht="12.75">
      <c r="A740" s="334">
        <f t="shared" si="34"/>
        <v>739</v>
      </c>
      <c r="B740" s="516">
        <v>7300</v>
      </c>
      <c r="C740" s="352">
        <v>3312</v>
      </c>
      <c r="D740" s="352" t="s">
        <v>587</v>
      </c>
      <c r="E740" s="352">
        <v>5221</v>
      </c>
      <c r="F740" s="352" t="s">
        <v>456</v>
      </c>
      <c r="G740" s="353"/>
      <c r="H740" s="562">
        <v>900</v>
      </c>
      <c r="I740" s="562">
        <v>920</v>
      </c>
      <c r="J740" s="562">
        <v>920</v>
      </c>
      <c r="K740" s="563">
        <f t="shared" si="35"/>
        <v>0</v>
      </c>
      <c r="L740" s="564">
        <f t="shared" si="36"/>
        <v>100</v>
      </c>
    </row>
    <row r="741" spans="1:12" ht="12.75">
      <c r="A741" s="334">
        <f t="shared" si="34"/>
        <v>740</v>
      </c>
      <c r="B741" s="516">
        <v>7300</v>
      </c>
      <c r="C741" s="352">
        <v>3312</v>
      </c>
      <c r="D741" s="352" t="s">
        <v>587</v>
      </c>
      <c r="E741" s="352">
        <v>5222</v>
      </c>
      <c r="F741" s="352" t="s">
        <v>433</v>
      </c>
      <c r="G741" s="353"/>
      <c r="H741" s="562">
        <v>330</v>
      </c>
      <c r="I741" s="562">
        <v>1815</v>
      </c>
      <c r="J741" s="562">
        <v>1815</v>
      </c>
      <c r="K741" s="563">
        <f t="shared" si="35"/>
        <v>0</v>
      </c>
      <c r="L741" s="564">
        <f t="shared" si="36"/>
        <v>100</v>
      </c>
    </row>
    <row r="742" spans="1:12" ht="12.75">
      <c r="A742" s="334">
        <f t="shared" si="34"/>
        <v>741</v>
      </c>
      <c r="B742" s="516">
        <v>7300</v>
      </c>
      <c r="C742" s="352">
        <v>3312</v>
      </c>
      <c r="D742" s="352" t="s">
        <v>587</v>
      </c>
      <c r="E742" s="352">
        <v>5223</v>
      </c>
      <c r="F742" s="328" t="s">
        <v>522</v>
      </c>
      <c r="G742" s="329"/>
      <c r="H742" s="562">
        <v>0</v>
      </c>
      <c r="I742" s="562">
        <v>25</v>
      </c>
      <c r="J742" s="562">
        <v>25</v>
      </c>
      <c r="K742" s="563">
        <f t="shared" si="35"/>
        <v>0</v>
      </c>
      <c r="L742" s="564">
        <f t="shared" si="36"/>
        <v>100</v>
      </c>
    </row>
    <row r="743" spans="1:12" ht="12.75">
      <c r="A743" s="334">
        <f t="shared" si="34"/>
        <v>742</v>
      </c>
      <c r="B743" s="516">
        <v>7300</v>
      </c>
      <c r="C743" s="352">
        <v>3312</v>
      </c>
      <c r="D743" s="352" t="s">
        <v>587</v>
      </c>
      <c r="E743" s="352">
        <v>5229</v>
      </c>
      <c r="F743" s="378" t="s">
        <v>343</v>
      </c>
      <c r="G743" s="329"/>
      <c r="H743" s="562">
        <v>0</v>
      </c>
      <c r="I743" s="562">
        <v>10</v>
      </c>
      <c r="J743" s="562">
        <v>10</v>
      </c>
      <c r="K743" s="563">
        <f t="shared" si="35"/>
        <v>0</v>
      </c>
      <c r="L743" s="564">
        <f t="shared" si="36"/>
        <v>100</v>
      </c>
    </row>
    <row r="744" spans="1:12" ht="12.75">
      <c r="A744" s="334">
        <f t="shared" si="34"/>
        <v>743</v>
      </c>
      <c r="B744" s="516">
        <v>7300</v>
      </c>
      <c r="C744" s="352">
        <v>3312</v>
      </c>
      <c r="D744" s="352" t="s">
        <v>587</v>
      </c>
      <c r="E744" s="352">
        <v>5331</v>
      </c>
      <c r="F744" s="378" t="s">
        <v>345</v>
      </c>
      <c r="G744" s="329" t="s">
        <v>588</v>
      </c>
      <c r="H744" s="562">
        <v>65783</v>
      </c>
      <c r="I744" s="562">
        <v>65471</v>
      </c>
      <c r="J744" s="562">
        <v>65470</v>
      </c>
      <c r="K744" s="563">
        <f t="shared" si="35"/>
        <v>-1</v>
      </c>
      <c r="L744" s="564">
        <f t="shared" si="36"/>
        <v>99.99847260619205</v>
      </c>
    </row>
    <row r="745" spans="1:12" ht="12.75">
      <c r="A745" s="334">
        <f t="shared" si="34"/>
        <v>744</v>
      </c>
      <c r="B745" s="516">
        <v>7300</v>
      </c>
      <c r="C745" s="352">
        <v>3312</v>
      </c>
      <c r="D745" s="352" t="s">
        <v>587</v>
      </c>
      <c r="E745" s="352">
        <v>5332</v>
      </c>
      <c r="F745" s="328" t="s">
        <v>524</v>
      </c>
      <c r="G745" s="353"/>
      <c r="H745" s="562">
        <v>520</v>
      </c>
      <c r="I745" s="562">
        <v>600</v>
      </c>
      <c r="J745" s="562">
        <v>600</v>
      </c>
      <c r="K745" s="563">
        <f t="shared" si="35"/>
        <v>0</v>
      </c>
      <c r="L745" s="564">
        <f t="shared" si="36"/>
        <v>100</v>
      </c>
    </row>
    <row r="746" spans="1:12" ht="12.75">
      <c r="A746" s="334">
        <f t="shared" si="34"/>
        <v>745</v>
      </c>
      <c r="B746" s="516">
        <v>7300</v>
      </c>
      <c r="C746" s="352">
        <v>3312</v>
      </c>
      <c r="D746" s="352" t="s">
        <v>587</v>
      </c>
      <c r="E746" s="352">
        <v>5336</v>
      </c>
      <c r="F746" s="328" t="s">
        <v>347</v>
      </c>
      <c r="G746" s="329" t="s">
        <v>588</v>
      </c>
      <c r="H746" s="562">
        <v>0</v>
      </c>
      <c r="I746" s="562">
        <v>4590</v>
      </c>
      <c r="J746" s="562">
        <v>4590</v>
      </c>
      <c r="K746" s="563">
        <f t="shared" si="35"/>
        <v>0</v>
      </c>
      <c r="L746" s="564">
        <f t="shared" si="36"/>
        <v>100</v>
      </c>
    </row>
    <row r="747" spans="1:12" ht="12.75">
      <c r="A747" s="334">
        <f t="shared" si="34"/>
        <v>746</v>
      </c>
      <c r="B747" s="516">
        <v>7300</v>
      </c>
      <c r="C747" s="352">
        <v>3312</v>
      </c>
      <c r="D747" s="352" t="s">
        <v>587</v>
      </c>
      <c r="E747" s="352">
        <v>5339</v>
      </c>
      <c r="F747" s="349" t="s">
        <v>457</v>
      </c>
      <c r="G747" s="329"/>
      <c r="H747" s="562">
        <v>0</v>
      </c>
      <c r="I747" s="562">
        <v>10</v>
      </c>
      <c r="J747" s="562">
        <v>10</v>
      </c>
      <c r="K747" s="563">
        <f t="shared" si="35"/>
        <v>0</v>
      </c>
      <c r="L747" s="564">
        <f t="shared" si="36"/>
        <v>100</v>
      </c>
    </row>
    <row r="748" spans="1:12" ht="12.75">
      <c r="A748" s="334">
        <f t="shared" si="34"/>
        <v>747</v>
      </c>
      <c r="B748" s="518"/>
      <c r="C748" s="350" t="s">
        <v>589</v>
      </c>
      <c r="D748" s="350"/>
      <c r="E748" s="350"/>
      <c r="F748" s="341"/>
      <c r="G748" s="342"/>
      <c r="H748" s="634">
        <f>SUBTOTAL(9,H738:H747)</f>
        <v>67533</v>
      </c>
      <c r="I748" s="634">
        <f>SUBTOTAL(9,I738:I747)</f>
        <v>74176</v>
      </c>
      <c r="J748" s="634">
        <f>SUBTOTAL(9,J738:J747)</f>
        <v>74095</v>
      </c>
      <c r="K748" s="635">
        <f t="shared" si="35"/>
        <v>-81</v>
      </c>
      <c r="L748" s="636">
        <f t="shared" si="36"/>
        <v>99.89080025884383</v>
      </c>
    </row>
    <row r="749" spans="1:12" ht="12.75">
      <c r="A749" s="334">
        <f t="shared" si="34"/>
        <v>748</v>
      </c>
      <c r="B749" s="516">
        <v>7300</v>
      </c>
      <c r="C749" s="352">
        <v>3314</v>
      </c>
      <c r="D749" s="352" t="s">
        <v>92</v>
      </c>
      <c r="E749" s="352">
        <v>5331</v>
      </c>
      <c r="F749" s="378" t="s">
        <v>345</v>
      </c>
      <c r="G749" s="329" t="s">
        <v>590</v>
      </c>
      <c r="H749" s="562">
        <v>45287</v>
      </c>
      <c r="I749" s="562">
        <v>45930</v>
      </c>
      <c r="J749" s="562">
        <v>45930</v>
      </c>
      <c r="K749" s="563">
        <f t="shared" si="35"/>
        <v>0</v>
      </c>
      <c r="L749" s="564">
        <f t="shared" si="36"/>
        <v>100</v>
      </c>
    </row>
    <row r="750" spans="1:12" ht="12.75">
      <c r="A750" s="334">
        <f t="shared" si="34"/>
        <v>749</v>
      </c>
      <c r="B750" s="516">
        <v>7300</v>
      </c>
      <c r="C750" s="352">
        <v>3314</v>
      </c>
      <c r="D750" s="352" t="s">
        <v>92</v>
      </c>
      <c r="E750" s="352">
        <v>5336</v>
      </c>
      <c r="F750" s="328" t="s">
        <v>347</v>
      </c>
      <c r="G750" s="329" t="s">
        <v>590</v>
      </c>
      <c r="H750" s="562">
        <v>0</v>
      </c>
      <c r="I750" s="562">
        <v>177</v>
      </c>
      <c r="J750" s="562">
        <v>177</v>
      </c>
      <c r="K750" s="563">
        <f t="shared" si="35"/>
        <v>0</v>
      </c>
      <c r="L750" s="564">
        <f t="shared" si="36"/>
        <v>100</v>
      </c>
    </row>
    <row r="751" spans="1:12" ht="12.75">
      <c r="A751" s="334">
        <f t="shared" si="34"/>
        <v>750</v>
      </c>
      <c r="B751" s="516">
        <v>7300</v>
      </c>
      <c r="C751" s="352">
        <v>3314</v>
      </c>
      <c r="D751" s="352" t="s">
        <v>92</v>
      </c>
      <c r="E751" s="352">
        <v>5366</v>
      </c>
      <c r="F751" s="328" t="s">
        <v>591</v>
      </c>
      <c r="G751" s="329" t="s">
        <v>590</v>
      </c>
      <c r="H751" s="562"/>
      <c r="I751" s="562">
        <v>626</v>
      </c>
      <c r="J751" s="562">
        <v>626</v>
      </c>
      <c r="K751" s="563">
        <f t="shared" si="35"/>
        <v>0</v>
      </c>
      <c r="L751" s="564">
        <f t="shared" si="36"/>
        <v>100</v>
      </c>
    </row>
    <row r="752" spans="1:12" ht="12.75">
      <c r="A752" s="334">
        <f t="shared" si="34"/>
        <v>751</v>
      </c>
      <c r="B752" s="518"/>
      <c r="C752" s="350" t="s">
        <v>592</v>
      </c>
      <c r="D752" s="350"/>
      <c r="E752" s="350"/>
      <c r="F752" s="341"/>
      <c r="G752" s="342"/>
      <c r="H752" s="634">
        <f>SUBTOTAL(9,H749:H751)</f>
        <v>45287</v>
      </c>
      <c r="I752" s="634">
        <f>SUBTOTAL(9,I749:I751)</f>
        <v>46733</v>
      </c>
      <c r="J752" s="634">
        <f>SUBTOTAL(9,J749:J751)</f>
        <v>46733</v>
      </c>
      <c r="K752" s="635">
        <f t="shared" si="35"/>
        <v>0</v>
      </c>
      <c r="L752" s="636">
        <f t="shared" si="36"/>
        <v>100</v>
      </c>
    </row>
    <row r="753" spans="1:12" ht="12.75">
      <c r="A753" s="334">
        <f t="shared" si="34"/>
        <v>752</v>
      </c>
      <c r="B753" s="516">
        <v>7300</v>
      </c>
      <c r="C753" s="352">
        <v>3315</v>
      </c>
      <c r="D753" s="352" t="s">
        <v>93</v>
      </c>
      <c r="E753" s="352">
        <v>5331</v>
      </c>
      <c r="F753" s="378" t="s">
        <v>345</v>
      </c>
      <c r="G753" s="329" t="s">
        <v>593</v>
      </c>
      <c r="H753" s="562">
        <v>42718</v>
      </c>
      <c r="I753" s="562">
        <v>42129</v>
      </c>
      <c r="J753" s="562">
        <v>42129</v>
      </c>
      <c r="K753" s="563">
        <f t="shared" si="35"/>
        <v>0</v>
      </c>
      <c r="L753" s="564">
        <f t="shared" si="36"/>
        <v>100</v>
      </c>
    </row>
    <row r="754" spans="1:12" ht="12.75">
      <c r="A754" s="334">
        <f t="shared" si="34"/>
        <v>753</v>
      </c>
      <c r="B754" s="516">
        <v>7300</v>
      </c>
      <c r="C754" s="352">
        <v>3315</v>
      </c>
      <c r="D754" s="352" t="s">
        <v>93</v>
      </c>
      <c r="E754" s="352">
        <v>5336</v>
      </c>
      <c r="F754" s="328" t="s">
        <v>347</v>
      </c>
      <c r="G754" s="329" t="s">
        <v>593</v>
      </c>
      <c r="H754" s="562">
        <v>0</v>
      </c>
      <c r="I754" s="562">
        <v>1918</v>
      </c>
      <c r="J754" s="562">
        <v>1918</v>
      </c>
      <c r="K754" s="563">
        <f t="shared" si="35"/>
        <v>0</v>
      </c>
      <c r="L754" s="564">
        <f t="shared" si="36"/>
        <v>100</v>
      </c>
    </row>
    <row r="755" spans="1:12" ht="12.75">
      <c r="A755" s="334">
        <f t="shared" si="34"/>
        <v>754</v>
      </c>
      <c r="B755" s="518"/>
      <c r="C755" s="350" t="s">
        <v>594</v>
      </c>
      <c r="D755" s="350"/>
      <c r="E755" s="350"/>
      <c r="F755" s="341"/>
      <c r="G755" s="342"/>
      <c r="H755" s="634">
        <f>SUBTOTAL(9,H753:H754)</f>
        <v>42718</v>
      </c>
      <c r="I755" s="634">
        <f>SUBTOTAL(9,I753:I754)</f>
        <v>44047</v>
      </c>
      <c r="J755" s="634">
        <f>SUBTOTAL(9,J753:J754)</f>
        <v>44047</v>
      </c>
      <c r="K755" s="635">
        <f t="shared" si="35"/>
        <v>0</v>
      </c>
      <c r="L755" s="636">
        <f t="shared" si="36"/>
        <v>100</v>
      </c>
    </row>
    <row r="756" spans="1:12" ht="12.75">
      <c r="A756" s="334">
        <f t="shared" si="34"/>
        <v>755</v>
      </c>
      <c r="B756" s="516">
        <v>7300</v>
      </c>
      <c r="C756" s="352">
        <v>3317</v>
      </c>
      <c r="D756" s="352" t="s">
        <v>94</v>
      </c>
      <c r="E756" s="352">
        <v>5212</v>
      </c>
      <c r="F756" s="541" t="s">
        <v>520</v>
      </c>
      <c r="G756" s="606"/>
      <c r="H756" s="562">
        <v>0</v>
      </c>
      <c r="I756" s="562">
        <v>125</v>
      </c>
      <c r="J756" s="562">
        <v>125</v>
      </c>
      <c r="K756" s="563">
        <f t="shared" si="35"/>
        <v>0</v>
      </c>
      <c r="L756" s="564">
        <f t="shared" si="36"/>
        <v>100</v>
      </c>
    </row>
    <row r="757" spans="1:12" ht="12.75">
      <c r="A757" s="334">
        <f t="shared" si="34"/>
        <v>756</v>
      </c>
      <c r="B757" s="516">
        <v>7300</v>
      </c>
      <c r="C757" s="352">
        <v>3317</v>
      </c>
      <c r="D757" s="352" t="s">
        <v>94</v>
      </c>
      <c r="E757" s="352">
        <v>5213</v>
      </c>
      <c r="F757" s="541" t="s">
        <v>460</v>
      </c>
      <c r="G757" s="606"/>
      <c r="H757" s="562">
        <v>0</v>
      </c>
      <c r="I757" s="562">
        <v>25</v>
      </c>
      <c r="J757" s="562">
        <v>25</v>
      </c>
      <c r="K757" s="563">
        <f t="shared" si="35"/>
        <v>0</v>
      </c>
      <c r="L757" s="564">
        <f t="shared" si="36"/>
        <v>100</v>
      </c>
    </row>
    <row r="758" spans="1:12" ht="12.75">
      <c r="A758" s="334">
        <f t="shared" si="34"/>
        <v>757</v>
      </c>
      <c r="B758" s="516">
        <v>7300</v>
      </c>
      <c r="C758" s="352">
        <v>3317</v>
      </c>
      <c r="D758" s="352" t="s">
        <v>94</v>
      </c>
      <c r="E758" s="352">
        <v>5222</v>
      </c>
      <c r="F758" s="352" t="s">
        <v>433</v>
      </c>
      <c r="G758" s="353"/>
      <c r="H758" s="562">
        <v>0</v>
      </c>
      <c r="I758" s="562">
        <v>190</v>
      </c>
      <c r="J758" s="562">
        <v>185</v>
      </c>
      <c r="K758" s="563">
        <f t="shared" si="35"/>
        <v>-5</v>
      </c>
      <c r="L758" s="564">
        <f t="shared" si="36"/>
        <v>97.36842105263158</v>
      </c>
    </row>
    <row r="759" spans="1:12" ht="12.75">
      <c r="A759" s="334">
        <f t="shared" si="34"/>
        <v>758</v>
      </c>
      <c r="B759" s="516">
        <v>7300</v>
      </c>
      <c r="C759" s="352">
        <v>3317</v>
      </c>
      <c r="D759" s="352" t="s">
        <v>94</v>
      </c>
      <c r="E759" s="352">
        <v>5223</v>
      </c>
      <c r="F759" s="328" t="s">
        <v>522</v>
      </c>
      <c r="G759" s="353"/>
      <c r="H759" s="562"/>
      <c r="I759" s="562">
        <v>10</v>
      </c>
      <c r="J759" s="562">
        <v>10</v>
      </c>
      <c r="K759" s="563">
        <f t="shared" si="35"/>
        <v>0</v>
      </c>
      <c r="L759" s="564">
        <f t="shared" si="36"/>
        <v>100</v>
      </c>
    </row>
    <row r="760" spans="1:12" ht="12.75">
      <c r="A760" s="334">
        <f t="shared" si="34"/>
        <v>759</v>
      </c>
      <c r="B760" s="516">
        <v>7300</v>
      </c>
      <c r="C760" s="352">
        <v>3317</v>
      </c>
      <c r="D760" s="352" t="s">
        <v>94</v>
      </c>
      <c r="E760" s="352">
        <v>5229</v>
      </c>
      <c r="F760" s="378" t="s">
        <v>343</v>
      </c>
      <c r="G760" s="353"/>
      <c r="H760" s="562">
        <v>0</v>
      </c>
      <c r="I760" s="562">
        <v>15</v>
      </c>
      <c r="J760" s="562">
        <v>15</v>
      </c>
      <c r="K760" s="563">
        <f t="shared" si="35"/>
        <v>0</v>
      </c>
      <c r="L760" s="564">
        <f t="shared" si="36"/>
        <v>100</v>
      </c>
    </row>
    <row r="761" spans="1:12" ht="12.75">
      <c r="A761" s="334">
        <f t="shared" si="34"/>
        <v>760</v>
      </c>
      <c r="B761" s="516">
        <v>7300</v>
      </c>
      <c r="C761" s="352">
        <v>3317</v>
      </c>
      <c r="D761" s="352" t="s">
        <v>94</v>
      </c>
      <c r="E761" s="352">
        <v>5331</v>
      </c>
      <c r="F761" s="378" t="s">
        <v>345</v>
      </c>
      <c r="G761" s="329" t="s">
        <v>595</v>
      </c>
      <c r="H761" s="562">
        <v>14534</v>
      </c>
      <c r="I761" s="562">
        <v>14598</v>
      </c>
      <c r="J761" s="562">
        <v>14598</v>
      </c>
      <c r="K761" s="563">
        <f t="shared" si="35"/>
        <v>0</v>
      </c>
      <c r="L761" s="564">
        <f t="shared" si="36"/>
        <v>100</v>
      </c>
    </row>
    <row r="762" spans="1:12" ht="12.75">
      <c r="A762" s="334">
        <f t="shared" si="34"/>
        <v>761</v>
      </c>
      <c r="B762" s="516">
        <v>7300</v>
      </c>
      <c r="C762" s="352">
        <v>3317</v>
      </c>
      <c r="D762" s="352" t="s">
        <v>94</v>
      </c>
      <c r="E762" s="352">
        <v>5332</v>
      </c>
      <c r="F762" s="328" t="s">
        <v>524</v>
      </c>
      <c r="G762" s="329"/>
      <c r="H762" s="562">
        <v>0</v>
      </c>
      <c r="I762" s="562">
        <v>40</v>
      </c>
      <c r="J762" s="562">
        <v>40</v>
      </c>
      <c r="K762" s="563">
        <f t="shared" si="35"/>
        <v>0</v>
      </c>
      <c r="L762" s="564">
        <f t="shared" si="36"/>
        <v>100</v>
      </c>
    </row>
    <row r="763" spans="1:12" ht="12.75">
      <c r="A763" s="334">
        <f t="shared" si="34"/>
        <v>762</v>
      </c>
      <c r="B763" s="516">
        <v>7300</v>
      </c>
      <c r="C763" s="352">
        <v>3317</v>
      </c>
      <c r="D763" s="352" t="s">
        <v>94</v>
      </c>
      <c r="E763" s="352">
        <v>5336</v>
      </c>
      <c r="F763" s="328" t="s">
        <v>347</v>
      </c>
      <c r="G763" s="329" t="s">
        <v>595</v>
      </c>
      <c r="H763" s="562">
        <v>0</v>
      </c>
      <c r="I763" s="562">
        <v>818</v>
      </c>
      <c r="J763" s="562">
        <v>818</v>
      </c>
      <c r="K763" s="563">
        <f t="shared" si="35"/>
        <v>0</v>
      </c>
      <c r="L763" s="564">
        <f t="shared" si="36"/>
        <v>100</v>
      </c>
    </row>
    <row r="764" spans="1:12" ht="12.75">
      <c r="A764" s="334">
        <f t="shared" si="34"/>
        <v>763</v>
      </c>
      <c r="B764" s="516">
        <v>7300</v>
      </c>
      <c r="C764" s="352">
        <v>3317</v>
      </c>
      <c r="D764" s="352" t="s">
        <v>94</v>
      </c>
      <c r="E764" s="352">
        <v>5339</v>
      </c>
      <c r="F764" s="349" t="s">
        <v>457</v>
      </c>
      <c r="G764" s="329"/>
      <c r="H764" s="562"/>
      <c r="I764" s="562">
        <v>55</v>
      </c>
      <c r="J764" s="562">
        <v>55</v>
      </c>
      <c r="K764" s="563">
        <f t="shared" si="35"/>
        <v>0</v>
      </c>
      <c r="L764" s="564">
        <f t="shared" si="36"/>
        <v>100</v>
      </c>
    </row>
    <row r="765" spans="1:12" ht="12.75">
      <c r="A765" s="334">
        <f t="shared" si="34"/>
        <v>764</v>
      </c>
      <c r="B765" s="518"/>
      <c r="C765" s="350" t="s">
        <v>596</v>
      </c>
      <c r="D765" s="350"/>
      <c r="E765" s="350"/>
      <c r="F765" s="341"/>
      <c r="G765" s="342"/>
      <c r="H765" s="634">
        <f>SUBTOTAL(9,H756:H764)</f>
        <v>14534</v>
      </c>
      <c r="I765" s="634">
        <f>SUBTOTAL(9,I756:I764)</f>
        <v>15876</v>
      </c>
      <c r="J765" s="634">
        <f>SUBTOTAL(9,J756:J764)</f>
        <v>15871</v>
      </c>
      <c r="K765" s="635">
        <f t="shared" si="35"/>
        <v>-5</v>
      </c>
      <c r="L765" s="636">
        <f t="shared" si="36"/>
        <v>99.96850592088687</v>
      </c>
    </row>
    <row r="766" spans="1:12" ht="12.75">
      <c r="A766" s="334">
        <f t="shared" si="34"/>
        <v>765</v>
      </c>
      <c r="B766" s="516">
        <v>7300</v>
      </c>
      <c r="C766" s="352">
        <v>3319</v>
      </c>
      <c r="D766" s="352" t="s">
        <v>489</v>
      </c>
      <c r="E766" s="352">
        <v>5139</v>
      </c>
      <c r="F766" s="328" t="s">
        <v>349</v>
      </c>
      <c r="G766" s="329"/>
      <c r="H766" s="562"/>
      <c r="I766" s="562">
        <v>77</v>
      </c>
      <c r="J766" s="562">
        <v>77</v>
      </c>
      <c r="K766" s="563">
        <f t="shared" si="35"/>
        <v>0</v>
      </c>
      <c r="L766" s="564">
        <f t="shared" si="36"/>
        <v>100</v>
      </c>
    </row>
    <row r="767" spans="1:12" ht="12.75">
      <c r="A767" s="334">
        <f t="shared" si="34"/>
        <v>766</v>
      </c>
      <c r="B767" s="516">
        <v>7300</v>
      </c>
      <c r="C767" s="352">
        <v>3319</v>
      </c>
      <c r="D767" s="352" t="s">
        <v>489</v>
      </c>
      <c r="E767" s="352">
        <v>5154</v>
      </c>
      <c r="F767" s="378" t="s">
        <v>356</v>
      </c>
      <c r="G767" s="329"/>
      <c r="H767" s="562">
        <v>40</v>
      </c>
      <c r="I767" s="562">
        <v>30</v>
      </c>
      <c r="J767" s="562">
        <v>29</v>
      </c>
      <c r="K767" s="563">
        <f t="shared" si="35"/>
        <v>-1</v>
      </c>
      <c r="L767" s="564">
        <f t="shared" si="36"/>
        <v>96.66666666666667</v>
      </c>
    </row>
    <row r="768" spans="1:12" ht="12.75">
      <c r="A768" s="334">
        <f t="shared" si="34"/>
        <v>767</v>
      </c>
      <c r="B768" s="516">
        <v>7300</v>
      </c>
      <c r="C768" s="352">
        <v>3319</v>
      </c>
      <c r="D768" s="352" t="s">
        <v>489</v>
      </c>
      <c r="E768" s="352">
        <v>5163</v>
      </c>
      <c r="F768" s="378" t="s">
        <v>326</v>
      </c>
      <c r="G768" s="329"/>
      <c r="H768" s="562">
        <v>25</v>
      </c>
      <c r="I768" s="562">
        <v>22</v>
      </c>
      <c r="J768" s="562">
        <v>15</v>
      </c>
      <c r="K768" s="563">
        <f t="shared" si="35"/>
        <v>-7</v>
      </c>
      <c r="L768" s="564">
        <f t="shared" si="36"/>
        <v>68.18181818181817</v>
      </c>
    </row>
    <row r="769" spans="1:12" ht="12.75">
      <c r="A769" s="334">
        <f t="shared" si="34"/>
        <v>768</v>
      </c>
      <c r="B769" s="516">
        <v>7300</v>
      </c>
      <c r="C769" s="352">
        <v>3319</v>
      </c>
      <c r="D769" s="352" t="s">
        <v>489</v>
      </c>
      <c r="E769" s="352">
        <v>5166</v>
      </c>
      <c r="F769" s="328" t="s">
        <v>318</v>
      </c>
      <c r="G769" s="329"/>
      <c r="H769" s="330">
        <v>100</v>
      </c>
      <c r="I769" s="330">
        <v>144</v>
      </c>
      <c r="J769" s="330">
        <v>75</v>
      </c>
      <c r="K769" s="337">
        <f t="shared" si="35"/>
        <v>-69</v>
      </c>
      <c r="L769" s="338">
        <f t="shared" si="36"/>
        <v>52.083333333333336</v>
      </c>
    </row>
    <row r="770" spans="1:12" ht="12.75">
      <c r="A770" s="334">
        <f t="shared" si="34"/>
        <v>769</v>
      </c>
      <c r="B770" s="516">
        <v>7300</v>
      </c>
      <c r="C770" s="352">
        <v>3319</v>
      </c>
      <c r="D770" s="352" t="s">
        <v>489</v>
      </c>
      <c r="E770" s="352">
        <v>5169</v>
      </c>
      <c r="F770" s="328" t="s">
        <v>321</v>
      </c>
      <c r="G770" s="329"/>
      <c r="H770" s="562">
        <v>780</v>
      </c>
      <c r="I770" s="562">
        <v>726</v>
      </c>
      <c r="J770" s="562">
        <v>637</v>
      </c>
      <c r="K770" s="563">
        <f t="shared" si="35"/>
        <v>-89</v>
      </c>
      <c r="L770" s="564">
        <f t="shared" si="36"/>
        <v>87.74104683195593</v>
      </c>
    </row>
    <row r="771" spans="1:12" ht="12.75">
      <c r="A771" s="334">
        <f t="shared" si="34"/>
        <v>770</v>
      </c>
      <c r="B771" s="516">
        <v>7300</v>
      </c>
      <c r="C771" s="352">
        <v>3319</v>
      </c>
      <c r="D771" s="352" t="s">
        <v>489</v>
      </c>
      <c r="E771" s="352">
        <v>5175</v>
      </c>
      <c r="F771" s="378" t="s">
        <v>341</v>
      </c>
      <c r="G771" s="353"/>
      <c r="H771" s="562">
        <v>10</v>
      </c>
      <c r="I771" s="562">
        <v>10</v>
      </c>
      <c r="J771" s="562"/>
      <c r="K771" s="563">
        <f t="shared" si="35"/>
        <v>-10</v>
      </c>
      <c r="L771" s="564">
        <f t="shared" si="36"/>
        <v>0</v>
      </c>
    </row>
    <row r="772" spans="1:12" ht="12.75">
      <c r="A772" s="334">
        <f aca="true" t="shared" si="37" ref="A772:A835">A771+1</f>
        <v>771</v>
      </c>
      <c r="B772" s="516">
        <v>7300</v>
      </c>
      <c r="C772" s="352">
        <v>3319</v>
      </c>
      <c r="D772" s="352" t="s">
        <v>489</v>
      </c>
      <c r="E772" s="352">
        <v>5192</v>
      </c>
      <c r="F772" s="328" t="s">
        <v>342</v>
      </c>
      <c r="G772" s="353"/>
      <c r="H772" s="562">
        <v>0</v>
      </c>
      <c r="I772" s="562">
        <v>49</v>
      </c>
      <c r="J772" s="562">
        <v>48</v>
      </c>
      <c r="K772" s="563">
        <f aca="true" t="shared" si="38" ref="K772:K835">J772-I772</f>
        <v>-1</v>
      </c>
      <c r="L772" s="564">
        <f aca="true" t="shared" si="39" ref="L772:L835">J772/I772*100</f>
        <v>97.95918367346938</v>
      </c>
    </row>
    <row r="773" spans="1:12" ht="12.75">
      <c r="A773" s="334">
        <f t="shared" si="37"/>
        <v>772</v>
      </c>
      <c r="B773" s="516">
        <v>7300</v>
      </c>
      <c r="C773" s="352">
        <v>3319</v>
      </c>
      <c r="D773" s="352" t="s">
        <v>489</v>
      </c>
      <c r="E773" s="352">
        <v>5212</v>
      </c>
      <c r="F773" s="541" t="s">
        <v>520</v>
      </c>
      <c r="G773" s="606"/>
      <c r="H773" s="562">
        <v>0</v>
      </c>
      <c r="I773" s="562">
        <v>385</v>
      </c>
      <c r="J773" s="562">
        <v>365</v>
      </c>
      <c r="K773" s="563">
        <f t="shared" si="38"/>
        <v>-20</v>
      </c>
      <c r="L773" s="564">
        <f t="shared" si="39"/>
        <v>94.8051948051948</v>
      </c>
    </row>
    <row r="774" spans="1:12" ht="12.75">
      <c r="A774" s="334">
        <f t="shared" si="37"/>
        <v>773</v>
      </c>
      <c r="B774" s="516">
        <v>7300</v>
      </c>
      <c r="C774" s="352">
        <v>3319</v>
      </c>
      <c r="D774" s="352" t="s">
        <v>489</v>
      </c>
      <c r="E774" s="352">
        <v>5213</v>
      </c>
      <c r="F774" s="541" t="s">
        <v>460</v>
      </c>
      <c r="G774" s="476"/>
      <c r="H774" s="562">
        <v>100</v>
      </c>
      <c r="I774" s="562">
        <v>990</v>
      </c>
      <c r="J774" s="562">
        <v>990</v>
      </c>
      <c r="K774" s="563">
        <f t="shared" si="38"/>
        <v>0</v>
      </c>
      <c r="L774" s="564">
        <f t="shared" si="39"/>
        <v>100</v>
      </c>
    </row>
    <row r="775" spans="1:12" ht="12.75">
      <c r="A775" s="334">
        <f t="shared" si="37"/>
        <v>774</v>
      </c>
      <c r="B775" s="516">
        <v>7300</v>
      </c>
      <c r="C775" s="352">
        <v>3319</v>
      </c>
      <c r="D775" s="352" t="s">
        <v>489</v>
      </c>
      <c r="E775" s="352">
        <v>5221</v>
      </c>
      <c r="F775" s="352" t="s">
        <v>456</v>
      </c>
      <c r="G775" s="353"/>
      <c r="H775" s="562">
        <v>0</v>
      </c>
      <c r="I775" s="562">
        <v>130</v>
      </c>
      <c r="J775" s="562">
        <v>130</v>
      </c>
      <c r="K775" s="563">
        <f t="shared" si="38"/>
        <v>0</v>
      </c>
      <c r="L775" s="564">
        <f t="shared" si="39"/>
        <v>100</v>
      </c>
    </row>
    <row r="776" spans="1:12" ht="12.75">
      <c r="A776" s="334">
        <f t="shared" si="37"/>
        <v>775</v>
      </c>
      <c r="B776" s="516">
        <v>7300</v>
      </c>
      <c r="C776" s="352">
        <v>3319</v>
      </c>
      <c r="D776" s="352" t="s">
        <v>489</v>
      </c>
      <c r="E776" s="352">
        <v>5222</v>
      </c>
      <c r="F776" s="352" t="s">
        <v>433</v>
      </c>
      <c r="G776" s="353"/>
      <c r="H776" s="562">
        <v>10340</v>
      </c>
      <c r="I776" s="562">
        <v>3065</v>
      </c>
      <c r="J776" s="562">
        <v>2995</v>
      </c>
      <c r="K776" s="563">
        <f t="shared" si="38"/>
        <v>-70</v>
      </c>
      <c r="L776" s="564">
        <f t="shared" si="39"/>
        <v>97.71615008156607</v>
      </c>
    </row>
    <row r="777" spans="1:12" ht="12.75">
      <c r="A777" s="334">
        <f t="shared" si="37"/>
        <v>776</v>
      </c>
      <c r="B777" s="516">
        <v>7300</v>
      </c>
      <c r="C777" s="352">
        <v>3319</v>
      </c>
      <c r="D777" s="352" t="s">
        <v>489</v>
      </c>
      <c r="E777" s="352">
        <v>5223</v>
      </c>
      <c r="F777" s="328" t="s">
        <v>522</v>
      </c>
      <c r="G777" s="329"/>
      <c r="H777" s="562">
        <v>0</v>
      </c>
      <c r="I777" s="562">
        <v>150</v>
      </c>
      <c r="J777" s="562">
        <v>150</v>
      </c>
      <c r="K777" s="563">
        <f t="shared" si="38"/>
        <v>0</v>
      </c>
      <c r="L777" s="564">
        <f t="shared" si="39"/>
        <v>100</v>
      </c>
    </row>
    <row r="778" spans="1:12" ht="12.75">
      <c r="A778" s="334">
        <f t="shared" si="37"/>
        <v>777</v>
      </c>
      <c r="B778" s="516">
        <v>7300</v>
      </c>
      <c r="C778" s="352">
        <v>3319</v>
      </c>
      <c r="D778" s="352" t="s">
        <v>489</v>
      </c>
      <c r="E778" s="352">
        <v>5229</v>
      </c>
      <c r="F778" s="378" t="s">
        <v>343</v>
      </c>
      <c r="G778" s="591"/>
      <c r="H778" s="562">
        <v>0</v>
      </c>
      <c r="I778" s="562">
        <v>70</v>
      </c>
      <c r="J778" s="562">
        <v>70</v>
      </c>
      <c r="K778" s="563">
        <f t="shared" si="38"/>
        <v>0</v>
      </c>
      <c r="L778" s="564">
        <f t="shared" si="39"/>
        <v>100</v>
      </c>
    </row>
    <row r="779" spans="1:12" ht="12.75">
      <c r="A779" s="334">
        <f t="shared" si="37"/>
        <v>778</v>
      </c>
      <c r="B779" s="516">
        <v>7300</v>
      </c>
      <c r="C779" s="352">
        <v>3319</v>
      </c>
      <c r="D779" s="352" t="s">
        <v>489</v>
      </c>
      <c r="E779" s="352">
        <v>5331</v>
      </c>
      <c r="F779" s="378" t="s">
        <v>345</v>
      </c>
      <c r="G779" s="329" t="s">
        <v>597</v>
      </c>
      <c r="H779" s="562">
        <v>6623</v>
      </c>
      <c r="I779" s="562">
        <v>7723</v>
      </c>
      <c r="J779" s="562">
        <v>7723</v>
      </c>
      <c r="K779" s="563">
        <f t="shared" si="38"/>
        <v>0</v>
      </c>
      <c r="L779" s="564">
        <f t="shared" si="39"/>
        <v>100</v>
      </c>
    </row>
    <row r="780" spans="1:12" ht="12.75">
      <c r="A780" s="334">
        <f t="shared" si="37"/>
        <v>779</v>
      </c>
      <c r="B780" s="516">
        <v>7300</v>
      </c>
      <c r="C780" s="352">
        <v>3319</v>
      </c>
      <c r="D780" s="352" t="s">
        <v>489</v>
      </c>
      <c r="E780" s="352">
        <v>5339</v>
      </c>
      <c r="F780" s="349" t="s">
        <v>457</v>
      </c>
      <c r="G780" s="329"/>
      <c r="H780" s="562">
        <v>0</v>
      </c>
      <c r="I780" s="562">
        <v>185</v>
      </c>
      <c r="J780" s="562">
        <v>165</v>
      </c>
      <c r="K780" s="563">
        <f t="shared" si="38"/>
        <v>-20</v>
      </c>
      <c r="L780" s="564">
        <f t="shared" si="39"/>
        <v>89.1891891891892</v>
      </c>
    </row>
    <row r="781" spans="1:12" ht="12.75">
      <c r="A781" s="334">
        <f t="shared" si="37"/>
        <v>780</v>
      </c>
      <c r="B781" s="518"/>
      <c r="C781" s="350" t="s">
        <v>423</v>
      </c>
      <c r="D781" s="350"/>
      <c r="E781" s="350"/>
      <c r="F781" s="371"/>
      <c r="G781" s="397"/>
      <c r="H781" s="634">
        <f>SUBTOTAL(9,H766:H780)</f>
        <v>18018</v>
      </c>
      <c r="I781" s="634">
        <f>SUBTOTAL(9,I766:I780)</f>
        <v>13756</v>
      </c>
      <c r="J781" s="634">
        <f>SUBTOTAL(9,J766:J780)</f>
        <v>13469</v>
      </c>
      <c r="K781" s="635">
        <f t="shared" si="38"/>
        <v>-287</v>
      </c>
      <c r="L781" s="636">
        <f t="shared" si="39"/>
        <v>97.91363768537366</v>
      </c>
    </row>
    <row r="782" spans="1:12" ht="12.75">
      <c r="A782" s="334">
        <f t="shared" si="37"/>
        <v>781</v>
      </c>
      <c r="B782" s="516">
        <v>7300</v>
      </c>
      <c r="C782" s="352">
        <v>3326</v>
      </c>
      <c r="D782" s="352" t="s">
        <v>598</v>
      </c>
      <c r="E782" s="352">
        <v>5171</v>
      </c>
      <c r="F782" s="352" t="s">
        <v>402</v>
      </c>
      <c r="G782" s="353"/>
      <c r="H782" s="330">
        <v>1500</v>
      </c>
      <c r="I782" s="330">
        <v>1459</v>
      </c>
      <c r="J782" s="330">
        <v>1133</v>
      </c>
      <c r="K782" s="337">
        <f t="shared" si="38"/>
        <v>-326</v>
      </c>
      <c r="L782" s="338">
        <f t="shared" si="39"/>
        <v>77.6559287183002</v>
      </c>
    </row>
    <row r="783" spans="1:12" ht="12.75">
      <c r="A783" s="334">
        <f t="shared" si="37"/>
        <v>782</v>
      </c>
      <c r="B783" s="637"/>
      <c r="C783" s="638" t="s">
        <v>599</v>
      </c>
      <c r="D783" s="638"/>
      <c r="E783" s="638"/>
      <c r="F783" s="638"/>
      <c r="G783" s="639"/>
      <c r="H783" s="634">
        <f>SUBTOTAL(9,H782)</f>
        <v>1500</v>
      </c>
      <c r="I783" s="634">
        <f>SUBTOTAL(9,I782)</f>
        <v>1459</v>
      </c>
      <c r="J783" s="634">
        <f>SUBTOTAL(9,J782)</f>
        <v>1133</v>
      </c>
      <c r="K783" s="635">
        <f t="shared" si="38"/>
        <v>-326</v>
      </c>
      <c r="L783" s="636">
        <f t="shared" si="39"/>
        <v>77.6559287183002</v>
      </c>
    </row>
    <row r="784" spans="1:12" ht="13.5" thickBot="1">
      <c r="A784" s="334">
        <f t="shared" si="37"/>
        <v>783</v>
      </c>
      <c r="B784" s="357" t="s">
        <v>27</v>
      </c>
      <c r="C784" s="358"/>
      <c r="D784" s="358"/>
      <c r="E784" s="358"/>
      <c r="F784" s="358"/>
      <c r="G784" s="359"/>
      <c r="H784" s="360">
        <f>SUBTOTAL(9,H721:H783)</f>
        <v>679875</v>
      </c>
      <c r="I784" s="360">
        <f>SUBTOTAL(9,I721:I783)</f>
        <v>710533</v>
      </c>
      <c r="J784" s="360">
        <f>SUBTOTAL(9,J721:J783)</f>
        <v>709820</v>
      </c>
      <c r="K784" s="361">
        <f t="shared" si="38"/>
        <v>-713</v>
      </c>
      <c r="L784" s="362">
        <f t="shared" si="39"/>
        <v>99.89965279585888</v>
      </c>
    </row>
    <row r="785" spans="1:12" ht="12.75">
      <c r="A785" s="334">
        <f t="shared" si="37"/>
        <v>784</v>
      </c>
      <c r="B785" s="518"/>
      <c r="C785" s="350"/>
      <c r="D785" s="350"/>
      <c r="E785" s="350"/>
      <c r="F785" s="350"/>
      <c r="G785" s="351"/>
      <c r="H785" s="634"/>
      <c r="I785" s="634"/>
      <c r="J785" s="634"/>
      <c r="K785" s="635">
        <f t="shared" si="38"/>
        <v>0</v>
      </c>
      <c r="L785" s="636"/>
    </row>
    <row r="786" spans="1:12" ht="15.75">
      <c r="A786" s="334">
        <f t="shared" si="37"/>
        <v>785</v>
      </c>
      <c r="B786" s="523" t="s">
        <v>41</v>
      </c>
      <c r="C786" s="341"/>
      <c r="D786" s="341"/>
      <c r="E786" s="341"/>
      <c r="F786" s="341"/>
      <c r="G786" s="342"/>
      <c r="H786" s="388"/>
      <c r="I786" s="388"/>
      <c r="J786" s="388"/>
      <c r="K786" s="389">
        <f t="shared" si="38"/>
        <v>0</v>
      </c>
      <c r="L786" s="390"/>
    </row>
    <row r="787" spans="1:12" ht="12.75">
      <c r="A787" s="334">
        <f t="shared" si="37"/>
        <v>786</v>
      </c>
      <c r="B787" s="376">
        <v>7400</v>
      </c>
      <c r="C787" s="328">
        <v>3111</v>
      </c>
      <c r="D787" s="328" t="s">
        <v>97</v>
      </c>
      <c r="E787" s="328">
        <v>5166</v>
      </c>
      <c r="F787" s="328" t="s">
        <v>318</v>
      </c>
      <c r="G787" s="329"/>
      <c r="H787" s="330">
        <v>150</v>
      </c>
      <c r="I787" s="330">
        <v>13</v>
      </c>
      <c r="J787" s="330">
        <v>0</v>
      </c>
      <c r="K787" s="337">
        <f t="shared" si="38"/>
        <v>-13</v>
      </c>
      <c r="L787" s="338">
        <f t="shared" si="39"/>
        <v>0</v>
      </c>
    </row>
    <row r="788" spans="1:12" ht="12.75">
      <c r="A788" s="334">
        <f t="shared" si="37"/>
        <v>787</v>
      </c>
      <c r="B788" s="376">
        <v>7400</v>
      </c>
      <c r="C788" s="328">
        <v>3111</v>
      </c>
      <c r="D788" s="328" t="s">
        <v>97</v>
      </c>
      <c r="E788" s="328">
        <v>5171</v>
      </c>
      <c r="F788" s="328" t="s">
        <v>402</v>
      </c>
      <c r="G788" s="607" t="s">
        <v>600</v>
      </c>
      <c r="H788" s="330">
        <v>410</v>
      </c>
      <c r="I788" s="330">
        <v>410</v>
      </c>
      <c r="J788" s="330">
        <v>275</v>
      </c>
      <c r="K788" s="337">
        <f t="shared" si="38"/>
        <v>-135</v>
      </c>
      <c r="L788" s="338">
        <f t="shared" si="39"/>
        <v>67.07317073170732</v>
      </c>
    </row>
    <row r="789" spans="1:12" ht="12.75">
      <c r="A789" s="334">
        <f t="shared" si="37"/>
        <v>788</v>
      </c>
      <c r="B789" s="376">
        <v>7400</v>
      </c>
      <c r="C789" s="328">
        <v>3111</v>
      </c>
      <c r="D789" s="328" t="s">
        <v>97</v>
      </c>
      <c r="E789" s="328">
        <v>5192</v>
      </c>
      <c r="F789" s="328" t="s">
        <v>342</v>
      </c>
      <c r="G789" s="607"/>
      <c r="H789" s="330"/>
      <c r="I789" s="330">
        <v>13</v>
      </c>
      <c r="J789" s="330">
        <v>12</v>
      </c>
      <c r="K789" s="337">
        <f t="shared" si="38"/>
        <v>-1</v>
      </c>
      <c r="L789" s="338">
        <f t="shared" si="39"/>
        <v>92.3076923076923</v>
      </c>
    </row>
    <row r="790" spans="1:12" ht="12.75">
      <c r="A790" s="334">
        <f t="shared" si="37"/>
        <v>789</v>
      </c>
      <c r="B790" s="376">
        <v>7400</v>
      </c>
      <c r="C790" s="328">
        <v>3111</v>
      </c>
      <c r="D790" s="328" t="s">
        <v>97</v>
      </c>
      <c r="E790" s="328">
        <v>5331</v>
      </c>
      <c r="F790" s="378" t="s">
        <v>345</v>
      </c>
      <c r="G790" s="329" t="s">
        <v>601</v>
      </c>
      <c r="H790" s="330">
        <v>642</v>
      </c>
      <c r="I790" s="330">
        <v>766</v>
      </c>
      <c r="J790" s="330">
        <v>766</v>
      </c>
      <c r="K790" s="337">
        <f t="shared" si="38"/>
        <v>0</v>
      </c>
      <c r="L790" s="338">
        <f t="shared" si="39"/>
        <v>100</v>
      </c>
    </row>
    <row r="791" spans="1:12" ht="12.75">
      <c r="A791" s="334">
        <f t="shared" si="37"/>
        <v>790</v>
      </c>
      <c r="B791" s="376">
        <v>7400</v>
      </c>
      <c r="C791" s="328">
        <v>3111</v>
      </c>
      <c r="D791" s="328" t="s">
        <v>97</v>
      </c>
      <c r="E791" s="328">
        <v>5331</v>
      </c>
      <c r="F791" s="378" t="s">
        <v>345</v>
      </c>
      <c r="G791" s="329" t="s">
        <v>602</v>
      </c>
      <c r="H791" s="330">
        <v>1019</v>
      </c>
      <c r="I791" s="330">
        <v>1045</v>
      </c>
      <c r="J791" s="330">
        <v>1045</v>
      </c>
      <c r="K791" s="337">
        <f t="shared" si="38"/>
        <v>0</v>
      </c>
      <c r="L791" s="338">
        <f t="shared" si="39"/>
        <v>100</v>
      </c>
    </row>
    <row r="792" spans="1:12" ht="12.75">
      <c r="A792" s="334">
        <f t="shared" si="37"/>
        <v>791</v>
      </c>
      <c r="B792" s="376">
        <v>7400</v>
      </c>
      <c r="C792" s="328">
        <v>3111</v>
      </c>
      <c r="D792" s="328" t="s">
        <v>97</v>
      </c>
      <c r="E792" s="328">
        <v>5331</v>
      </c>
      <c r="F792" s="378" t="s">
        <v>345</v>
      </c>
      <c r="G792" s="329" t="s">
        <v>603</v>
      </c>
      <c r="H792" s="330">
        <v>228</v>
      </c>
      <c r="I792" s="330">
        <v>228</v>
      </c>
      <c r="J792" s="330">
        <v>228</v>
      </c>
      <c r="K792" s="337">
        <f t="shared" si="38"/>
        <v>0</v>
      </c>
      <c r="L792" s="338">
        <f t="shared" si="39"/>
        <v>100</v>
      </c>
    </row>
    <row r="793" spans="1:12" ht="12.75">
      <c r="A793" s="334">
        <f t="shared" si="37"/>
        <v>792</v>
      </c>
      <c r="B793" s="376">
        <v>7400</v>
      </c>
      <c r="C793" s="328">
        <v>3111</v>
      </c>
      <c r="D793" s="328" t="s">
        <v>97</v>
      </c>
      <c r="E793" s="328">
        <v>5331</v>
      </c>
      <c r="F793" s="378" t="s">
        <v>345</v>
      </c>
      <c r="G793" s="329" t="s">
        <v>604</v>
      </c>
      <c r="H793" s="330"/>
      <c r="I793" s="330">
        <v>441</v>
      </c>
      <c r="J793" s="330">
        <v>441</v>
      </c>
      <c r="K793" s="337">
        <f t="shared" si="38"/>
        <v>0</v>
      </c>
      <c r="L793" s="338">
        <f t="shared" si="39"/>
        <v>100</v>
      </c>
    </row>
    <row r="794" spans="1:12" ht="12.75">
      <c r="A794" s="334">
        <f t="shared" si="37"/>
        <v>793</v>
      </c>
      <c r="B794" s="383"/>
      <c r="C794" s="341" t="s">
        <v>421</v>
      </c>
      <c r="D794" s="341"/>
      <c r="E794" s="341"/>
      <c r="F794" s="341"/>
      <c r="G794" s="342"/>
      <c r="H794" s="407">
        <f>SUBTOTAL(9,H787:H792)</f>
        <v>2449</v>
      </c>
      <c r="I794" s="407">
        <f>SUBTOTAL(9,I787:I793)</f>
        <v>2916</v>
      </c>
      <c r="J794" s="407">
        <f>SUBTOTAL(9,J787:J793)</f>
        <v>2767</v>
      </c>
      <c r="K794" s="408">
        <f t="shared" si="38"/>
        <v>-149</v>
      </c>
      <c r="L794" s="409">
        <f t="shared" si="39"/>
        <v>94.89026063100137</v>
      </c>
    </row>
    <row r="795" spans="1:12" ht="12.75">
      <c r="A795" s="334">
        <f t="shared" si="37"/>
        <v>794</v>
      </c>
      <c r="B795" s="376">
        <v>7400</v>
      </c>
      <c r="C795" s="328">
        <v>3113</v>
      </c>
      <c r="D795" s="328" t="s">
        <v>23</v>
      </c>
      <c r="E795" s="328">
        <v>5137</v>
      </c>
      <c r="F795" s="328" t="s">
        <v>353</v>
      </c>
      <c r="G795" s="476" t="s">
        <v>605</v>
      </c>
      <c r="H795" s="562">
        <v>1350</v>
      </c>
      <c r="I795" s="562">
        <v>0</v>
      </c>
      <c r="J795" s="562">
        <v>0</v>
      </c>
      <c r="K795" s="563">
        <f t="shared" si="38"/>
        <v>0</v>
      </c>
      <c r="L795" s="564"/>
    </row>
    <row r="796" spans="1:12" ht="12.75">
      <c r="A796" s="334">
        <f t="shared" si="37"/>
        <v>795</v>
      </c>
      <c r="B796" s="376">
        <v>7400</v>
      </c>
      <c r="C796" s="328">
        <v>3113</v>
      </c>
      <c r="D796" s="328" t="s">
        <v>23</v>
      </c>
      <c r="E796" s="328">
        <v>5164</v>
      </c>
      <c r="F796" s="328" t="s">
        <v>357</v>
      </c>
      <c r="G796" s="329" t="s">
        <v>606</v>
      </c>
      <c r="H796" s="562">
        <v>2039</v>
      </c>
      <c r="I796" s="562">
        <v>1739</v>
      </c>
      <c r="J796" s="562">
        <v>1426</v>
      </c>
      <c r="K796" s="563">
        <f t="shared" si="38"/>
        <v>-313</v>
      </c>
      <c r="L796" s="564">
        <f t="shared" si="39"/>
        <v>82.00115008625647</v>
      </c>
    </row>
    <row r="797" spans="1:12" ht="12.75">
      <c r="A797" s="334">
        <f t="shared" si="37"/>
        <v>796</v>
      </c>
      <c r="B797" s="376">
        <v>7400</v>
      </c>
      <c r="C797" s="328">
        <v>3113</v>
      </c>
      <c r="D797" s="328" t="s">
        <v>23</v>
      </c>
      <c r="E797" s="328">
        <v>5166</v>
      </c>
      <c r="F797" s="328" t="s">
        <v>318</v>
      </c>
      <c r="G797" s="329"/>
      <c r="H797" s="562">
        <v>150</v>
      </c>
      <c r="I797" s="562">
        <v>19</v>
      </c>
      <c r="J797" s="562">
        <v>5</v>
      </c>
      <c r="K797" s="563">
        <f t="shared" si="38"/>
        <v>-14</v>
      </c>
      <c r="L797" s="564">
        <f t="shared" si="39"/>
        <v>26.31578947368421</v>
      </c>
    </row>
    <row r="798" spans="1:12" ht="12.75">
      <c r="A798" s="334">
        <f t="shared" si="37"/>
        <v>797</v>
      </c>
      <c r="B798" s="376">
        <v>7400</v>
      </c>
      <c r="C798" s="328">
        <v>3113</v>
      </c>
      <c r="D798" s="328" t="s">
        <v>23</v>
      </c>
      <c r="E798" s="328">
        <v>5169</v>
      </c>
      <c r="F798" s="328" t="s">
        <v>321</v>
      </c>
      <c r="G798" s="329" t="s">
        <v>607</v>
      </c>
      <c r="H798" s="562">
        <v>151</v>
      </c>
      <c r="I798" s="562">
        <v>151</v>
      </c>
      <c r="J798" s="562">
        <v>150</v>
      </c>
      <c r="K798" s="563">
        <f t="shared" si="38"/>
        <v>-1</v>
      </c>
      <c r="L798" s="564">
        <f t="shared" si="39"/>
        <v>99.33774834437085</v>
      </c>
    </row>
    <row r="799" spans="1:12" ht="12.75">
      <c r="A799" s="334">
        <f t="shared" si="37"/>
        <v>798</v>
      </c>
      <c r="B799" s="640">
        <v>7400</v>
      </c>
      <c r="C799" s="641">
        <v>3113</v>
      </c>
      <c r="D799" s="641" t="s">
        <v>23</v>
      </c>
      <c r="E799" s="641">
        <v>5169</v>
      </c>
      <c r="F799" s="328" t="s">
        <v>321</v>
      </c>
      <c r="G799" s="329" t="s">
        <v>606</v>
      </c>
      <c r="H799" s="562">
        <v>2163</v>
      </c>
      <c r="I799" s="562">
        <v>0</v>
      </c>
      <c r="J799" s="562">
        <v>0</v>
      </c>
      <c r="K799" s="563">
        <f t="shared" si="38"/>
        <v>0</v>
      </c>
      <c r="L799" s="564"/>
    </row>
    <row r="800" spans="1:12" ht="12.75">
      <c r="A800" s="334">
        <f t="shared" si="37"/>
        <v>799</v>
      </c>
      <c r="B800" s="640">
        <v>7400</v>
      </c>
      <c r="C800" s="641">
        <v>3113</v>
      </c>
      <c r="D800" s="641" t="s">
        <v>23</v>
      </c>
      <c r="E800" s="641">
        <v>5171</v>
      </c>
      <c r="F800" s="328" t="s">
        <v>402</v>
      </c>
      <c r="G800" s="329" t="s">
        <v>608</v>
      </c>
      <c r="H800" s="562">
        <v>700</v>
      </c>
      <c r="I800" s="562">
        <v>700</v>
      </c>
      <c r="J800" s="562">
        <v>557</v>
      </c>
      <c r="K800" s="563">
        <f t="shared" si="38"/>
        <v>-143</v>
      </c>
      <c r="L800" s="564">
        <f t="shared" si="39"/>
        <v>79.57142857142857</v>
      </c>
    </row>
    <row r="801" spans="1:12" ht="12.75">
      <c r="A801" s="334">
        <f t="shared" si="37"/>
        <v>800</v>
      </c>
      <c r="B801" s="640">
        <v>7400</v>
      </c>
      <c r="C801" s="641">
        <v>3113</v>
      </c>
      <c r="D801" s="641" t="s">
        <v>23</v>
      </c>
      <c r="E801" s="641">
        <v>5192</v>
      </c>
      <c r="F801" s="328" t="s">
        <v>342</v>
      </c>
      <c r="G801" s="329"/>
      <c r="H801" s="562">
        <v>0</v>
      </c>
      <c r="I801" s="562">
        <v>1</v>
      </c>
      <c r="J801" s="562">
        <v>1</v>
      </c>
      <c r="K801" s="563">
        <f t="shared" si="38"/>
        <v>0</v>
      </c>
      <c r="L801" s="564">
        <f t="shared" si="39"/>
        <v>100</v>
      </c>
    </row>
    <row r="802" spans="1:12" ht="12.75">
      <c r="A802" s="334">
        <f t="shared" si="37"/>
        <v>801</v>
      </c>
      <c r="B802" s="640">
        <v>7400</v>
      </c>
      <c r="C802" s="641">
        <v>3113</v>
      </c>
      <c r="D802" s="641" t="s">
        <v>23</v>
      </c>
      <c r="E802" s="641">
        <v>5221</v>
      </c>
      <c r="F802" s="352" t="s">
        <v>456</v>
      </c>
      <c r="G802" s="329" t="s">
        <v>609</v>
      </c>
      <c r="H802" s="562">
        <v>71</v>
      </c>
      <c r="I802" s="562">
        <v>71</v>
      </c>
      <c r="J802" s="562">
        <v>71</v>
      </c>
      <c r="K802" s="563">
        <f t="shared" si="38"/>
        <v>0</v>
      </c>
      <c r="L802" s="564">
        <f t="shared" si="39"/>
        <v>100</v>
      </c>
    </row>
    <row r="803" spans="1:12" ht="12.75">
      <c r="A803" s="334">
        <f t="shared" si="37"/>
        <v>802</v>
      </c>
      <c r="B803" s="640">
        <v>7400</v>
      </c>
      <c r="C803" s="641">
        <v>3113</v>
      </c>
      <c r="D803" s="641" t="s">
        <v>23</v>
      </c>
      <c r="E803" s="641">
        <v>5331</v>
      </c>
      <c r="F803" s="378" t="s">
        <v>345</v>
      </c>
      <c r="G803" s="329" t="s">
        <v>610</v>
      </c>
      <c r="H803" s="562">
        <v>2022</v>
      </c>
      <c r="I803" s="562">
        <v>2022</v>
      </c>
      <c r="J803" s="562">
        <v>2022</v>
      </c>
      <c r="K803" s="563">
        <f t="shared" si="38"/>
        <v>0</v>
      </c>
      <c r="L803" s="564">
        <f t="shared" si="39"/>
        <v>100</v>
      </c>
    </row>
    <row r="804" spans="1:12" ht="12.75">
      <c r="A804" s="334">
        <f t="shared" si="37"/>
        <v>803</v>
      </c>
      <c r="B804" s="640">
        <v>7400</v>
      </c>
      <c r="C804" s="641">
        <v>3113</v>
      </c>
      <c r="D804" s="641" t="s">
        <v>23</v>
      </c>
      <c r="E804" s="641">
        <v>5331</v>
      </c>
      <c r="F804" s="378" t="s">
        <v>345</v>
      </c>
      <c r="G804" s="329" t="s">
        <v>611</v>
      </c>
      <c r="H804" s="562">
        <v>7012</v>
      </c>
      <c r="I804" s="562">
        <v>7727</v>
      </c>
      <c r="J804" s="562">
        <v>7727</v>
      </c>
      <c r="K804" s="563">
        <f t="shared" si="38"/>
        <v>0</v>
      </c>
      <c r="L804" s="564">
        <f t="shared" si="39"/>
        <v>100</v>
      </c>
    </row>
    <row r="805" spans="1:12" ht="12.75">
      <c r="A805" s="334">
        <f t="shared" si="37"/>
        <v>804</v>
      </c>
      <c r="B805" s="640">
        <v>7400</v>
      </c>
      <c r="C805" s="641">
        <v>3113</v>
      </c>
      <c r="D805" s="641" t="s">
        <v>23</v>
      </c>
      <c r="E805" s="641">
        <v>5331</v>
      </c>
      <c r="F805" s="378" t="s">
        <v>345</v>
      </c>
      <c r="G805" s="329" t="s">
        <v>612</v>
      </c>
      <c r="H805" s="562">
        <v>2882</v>
      </c>
      <c r="I805" s="562">
        <v>3913</v>
      </c>
      <c r="J805" s="562">
        <v>3913</v>
      </c>
      <c r="K805" s="563">
        <f t="shared" si="38"/>
        <v>0</v>
      </c>
      <c r="L805" s="564">
        <f t="shared" si="39"/>
        <v>100</v>
      </c>
    </row>
    <row r="806" spans="1:12" ht="12.75">
      <c r="A806" s="334">
        <f t="shared" si="37"/>
        <v>805</v>
      </c>
      <c r="B806" s="640">
        <v>7400</v>
      </c>
      <c r="C806" s="641">
        <v>3113</v>
      </c>
      <c r="D806" s="641" t="s">
        <v>23</v>
      </c>
      <c r="E806" s="641">
        <v>5331</v>
      </c>
      <c r="F806" s="378" t="s">
        <v>345</v>
      </c>
      <c r="G806" s="607" t="s">
        <v>613</v>
      </c>
      <c r="H806" s="562">
        <v>500</v>
      </c>
      <c r="I806" s="562">
        <v>500</v>
      </c>
      <c r="J806" s="562">
        <v>500</v>
      </c>
      <c r="K806" s="563">
        <f t="shared" si="38"/>
        <v>0</v>
      </c>
      <c r="L806" s="564">
        <f t="shared" si="39"/>
        <v>100</v>
      </c>
    </row>
    <row r="807" spans="1:12" ht="12.75">
      <c r="A807" s="334">
        <f t="shared" si="37"/>
        <v>806</v>
      </c>
      <c r="B807" s="640">
        <v>7400</v>
      </c>
      <c r="C807" s="641">
        <v>3113</v>
      </c>
      <c r="D807" s="641" t="s">
        <v>23</v>
      </c>
      <c r="E807" s="641">
        <v>5331</v>
      </c>
      <c r="F807" s="378" t="s">
        <v>345</v>
      </c>
      <c r="G807" s="329" t="s">
        <v>614</v>
      </c>
      <c r="H807" s="562">
        <v>400</v>
      </c>
      <c r="I807" s="562">
        <v>400</v>
      </c>
      <c r="J807" s="562">
        <v>400</v>
      </c>
      <c r="K807" s="563">
        <f t="shared" si="38"/>
        <v>0</v>
      </c>
      <c r="L807" s="564">
        <f t="shared" si="39"/>
        <v>100</v>
      </c>
    </row>
    <row r="808" spans="1:12" ht="12.75">
      <c r="A808" s="334">
        <f t="shared" si="37"/>
        <v>807</v>
      </c>
      <c r="B808" s="640">
        <v>7400</v>
      </c>
      <c r="C808" s="641">
        <v>3113</v>
      </c>
      <c r="D808" s="641" t="s">
        <v>23</v>
      </c>
      <c r="E808" s="641">
        <v>5331</v>
      </c>
      <c r="F808" s="378" t="s">
        <v>345</v>
      </c>
      <c r="G808" s="329" t="s">
        <v>615</v>
      </c>
      <c r="H808" s="562">
        <v>300</v>
      </c>
      <c r="I808" s="562">
        <v>300</v>
      </c>
      <c r="J808" s="562">
        <v>300</v>
      </c>
      <c r="K808" s="563">
        <f t="shared" si="38"/>
        <v>0</v>
      </c>
      <c r="L808" s="564">
        <f t="shared" si="39"/>
        <v>100</v>
      </c>
    </row>
    <row r="809" spans="1:12" ht="12.75">
      <c r="A809" s="334">
        <f t="shared" si="37"/>
        <v>808</v>
      </c>
      <c r="B809" s="640">
        <v>7400</v>
      </c>
      <c r="C809" s="641">
        <v>3113</v>
      </c>
      <c r="D809" s="641" t="s">
        <v>23</v>
      </c>
      <c r="E809" s="641">
        <v>5331</v>
      </c>
      <c r="F809" s="378" t="s">
        <v>345</v>
      </c>
      <c r="G809" s="329" t="s">
        <v>616</v>
      </c>
      <c r="H809" s="562">
        <v>100</v>
      </c>
      <c r="I809" s="562">
        <v>100</v>
      </c>
      <c r="J809" s="562">
        <v>100</v>
      </c>
      <c r="K809" s="563">
        <f t="shared" si="38"/>
        <v>0</v>
      </c>
      <c r="L809" s="564">
        <f t="shared" si="39"/>
        <v>100</v>
      </c>
    </row>
    <row r="810" spans="1:12" ht="12.75">
      <c r="A810" s="334">
        <f t="shared" si="37"/>
        <v>809</v>
      </c>
      <c r="B810" s="640">
        <v>7400</v>
      </c>
      <c r="C810" s="641">
        <v>3113</v>
      </c>
      <c r="D810" s="641" t="s">
        <v>23</v>
      </c>
      <c r="E810" s="641">
        <v>5331</v>
      </c>
      <c r="F810" s="378" t="s">
        <v>345</v>
      </c>
      <c r="G810" s="607" t="s">
        <v>606</v>
      </c>
      <c r="H810" s="562">
        <v>0</v>
      </c>
      <c r="I810" s="562">
        <v>2132</v>
      </c>
      <c r="J810" s="562">
        <v>2132</v>
      </c>
      <c r="K810" s="563">
        <f t="shared" si="38"/>
        <v>0</v>
      </c>
      <c r="L810" s="564">
        <f t="shared" si="39"/>
        <v>100</v>
      </c>
    </row>
    <row r="811" spans="1:12" ht="12.75">
      <c r="A811" s="334">
        <f t="shared" si="37"/>
        <v>810</v>
      </c>
      <c r="B811" s="640">
        <v>7400</v>
      </c>
      <c r="C811" s="641">
        <v>3113</v>
      </c>
      <c r="D811" s="641" t="s">
        <v>23</v>
      </c>
      <c r="E811" s="641">
        <v>5331</v>
      </c>
      <c r="F811" s="378" t="s">
        <v>345</v>
      </c>
      <c r="G811" s="607" t="s">
        <v>617</v>
      </c>
      <c r="H811" s="562">
        <v>1207</v>
      </c>
      <c r="I811" s="562">
        <v>1207</v>
      </c>
      <c r="J811" s="562">
        <v>1207</v>
      </c>
      <c r="K811" s="563">
        <f t="shared" si="38"/>
        <v>0</v>
      </c>
      <c r="L811" s="564">
        <f t="shared" si="39"/>
        <v>100</v>
      </c>
    </row>
    <row r="812" spans="1:12" ht="12.75">
      <c r="A812" s="334">
        <f t="shared" si="37"/>
        <v>811</v>
      </c>
      <c r="B812" s="640">
        <v>7400</v>
      </c>
      <c r="C812" s="641">
        <v>3113</v>
      </c>
      <c r="D812" s="641" t="s">
        <v>23</v>
      </c>
      <c r="E812" s="641">
        <v>5331</v>
      </c>
      <c r="F812" s="378" t="s">
        <v>345</v>
      </c>
      <c r="G812" s="329" t="s">
        <v>618</v>
      </c>
      <c r="H812" s="562"/>
      <c r="I812" s="562">
        <v>150</v>
      </c>
      <c r="J812" s="562">
        <v>150</v>
      </c>
      <c r="K812" s="563">
        <f t="shared" si="38"/>
        <v>0</v>
      </c>
      <c r="L812" s="564">
        <f t="shared" si="39"/>
        <v>100</v>
      </c>
    </row>
    <row r="813" spans="1:12" ht="12.75">
      <c r="A813" s="334">
        <f t="shared" si="37"/>
        <v>812</v>
      </c>
      <c r="B813" s="640">
        <v>7400</v>
      </c>
      <c r="C813" s="641">
        <v>3113</v>
      </c>
      <c r="D813" s="641" t="s">
        <v>23</v>
      </c>
      <c r="E813" s="641">
        <v>5331</v>
      </c>
      <c r="F813" s="378" t="s">
        <v>345</v>
      </c>
      <c r="G813" s="329" t="s">
        <v>604</v>
      </c>
      <c r="H813" s="562"/>
      <c r="I813" s="562">
        <v>10</v>
      </c>
      <c r="J813" s="562">
        <v>10</v>
      </c>
      <c r="K813" s="563">
        <f t="shared" si="38"/>
        <v>0</v>
      </c>
      <c r="L813" s="564">
        <f t="shared" si="39"/>
        <v>100</v>
      </c>
    </row>
    <row r="814" spans="1:12" ht="12.75">
      <c r="A814" s="334">
        <f t="shared" si="37"/>
        <v>813</v>
      </c>
      <c r="B814" s="640">
        <v>7400</v>
      </c>
      <c r="C814" s="641">
        <v>3113</v>
      </c>
      <c r="D814" s="641" t="s">
        <v>23</v>
      </c>
      <c r="E814" s="641">
        <v>5336</v>
      </c>
      <c r="F814" s="328" t="s">
        <v>347</v>
      </c>
      <c r="G814" s="329" t="s">
        <v>619</v>
      </c>
      <c r="H814" s="562"/>
      <c r="I814" s="562">
        <v>1888</v>
      </c>
      <c r="J814" s="562">
        <v>1888</v>
      </c>
      <c r="K814" s="563">
        <f t="shared" si="38"/>
        <v>0</v>
      </c>
      <c r="L814" s="564">
        <f t="shared" si="39"/>
        <v>100</v>
      </c>
    </row>
    <row r="815" spans="1:12" ht="12.75">
      <c r="A815" s="334">
        <f t="shared" si="37"/>
        <v>814</v>
      </c>
      <c r="B815" s="640">
        <v>7400</v>
      </c>
      <c r="C815" s="641">
        <v>3113</v>
      </c>
      <c r="D815" s="641" t="s">
        <v>23</v>
      </c>
      <c r="E815" s="641">
        <v>5336</v>
      </c>
      <c r="F815" s="328" t="s">
        <v>347</v>
      </c>
      <c r="G815" s="329"/>
      <c r="H815" s="562"/>
      <c r="I815" s="562">
        <v>44143</v>
      </c>
      <c r="J815" s="562">
        <v>44143</v>
      </c>
      <c r="K815" s="563">
        <f t="shared" si="38"/>
        <v>0</v>
      </c>
      <c r="L815" s="564">
        <f t="shared" si="39"/>
        <v>100</v>
      </c>
    </row>
    <row r="816" spans="1:12" ht="12.75">
      <c r="A816" s="334">
        <f t="shared" si="37"/>
        <v>815</v>
      </c>
      <c r="B816" s="640">
        <v>7400</v>
      </c>
      <c r="C816" s="641">
        <v>3113</v>
      </c>
      <c r="D816" s="641" t="s">
        <v>23</v>
      </c>
      <c r="E816" s="641">
        <v>5366</v>
      </c>
      <c r="F816" s="328" t="s">
        <v>591</v>
      </c>
      <c r="G816" s="329"/>
      <c r="H816" s="562"/>
      <c r="I816" s="562">
        <v>79</v>
      </c>
      <c r="J816" s="562">
        <v>79</v>
      </c>
      <c r="K816" s="563">
        <f t="shared" si="38"/>
        <v>0</v>
      </c>
      <c r="L816" s="564">
        <f t="shared" si="39"/>
        <v>100</v>
      </c>
    </row>
    <row r="817" spans="1:12" ht="12.75">
      <c r="A817" s="334">
        <f t="shared" si="37"/>
        <v>816</v>
      </c>
      <c r="B817" s="642"/>
      <c r="C817" s="643" t="s">
        <v>422</v>
      </c>
      <c r="D817" s="643"/>
      <c r="E817" s="643"/>
      <c r="F817" s="341"/>
      <c r="G817" s="342"/>
      <c r="H817" s="644">
        <f>SUBTOTAL(9,H795:H815)</f>
        <v>21047</v>
      </c>
      <c r="I817" s="644">
        <f>SUBTOTAL(9,I795:I816)</f>
        <v>67252</v>
      </c>
      <c r="J817" s="644">
        <f>SUBTOTAL(9,J795:J816)</f>
        <v>66781</v>
      </c>
      <c r="K817" s="645">
        <f t="shared" si="38"/>
        <v>-471</v>
      </c>
      <c r="L817" s="646">
        <f t="shared" si="39"/>
        <v>99.29964908106822</v>
      </c>
    </row>
    <row r="818" spans="1:12" ht="12.75">
      <c r="A818" s="334">
        <f t="shared" si="37"/>
        <v>817</v>
      </c>
      <c r="B818" s="376">
        <v>7400</v>
      </c>
      <c r="C818" s="328">
        <v>3117</v>
      </c>
      <c r="D818" s="328" t="s">
        <v>302</v>
      </c>
      <c r="E818" s="328">
        <v>5336</v>
      </c>
      <c r="F818" s="328" t="s">
        <v>347</v>
      </c>
      <c r="G818" s="476"/>
      <c r="H818" s="562"/>
      <c r="I818" s="562">
        <v>90</v>
      </c>
      <c r="J818" s="562">
        <v>90</v>
      </c>
      <c r="K818" s="563">
        <f t="shared" si="38"/>
        <v>0</v>
      </c>
      <c r="L818" s="564">
        <f t="shared" si="39"/>
        <v>100</v>
      </c>
    </row>
    <row r="819" spans="1:12" ht="12.75">
      <c r="A819" s="334">
        <f t="shared" si="37"/>
        <v>818</v>
      </c>
      <c r="B819" s="383"/>
      <c r="C819" s="341" t="s">
        <v>620</v>
      </c>
      <c r="D819" s="341"/>
      <c r="E819" s="341"/>
      <c r="F819" s="341"/>
      <c r="G819" s="342"/>
      <c r="H819" s="407">
        <f>SUBTOTAL(9,H818:H818)</f>
        <v>0</v>
      </c>
      <c r="I819" s="407">
        <f>SUBTOTAL(9,I818:I818)</f>
        <v>90</v>
      </c>
      <c r="J819" s="407">
        <f>SUBTOTAL(9,J818:J818)</f>
        <v>90</v>
      </c>
      <c r="K819" s="408">
        <f t="shared" si="38"/>
        <v>0</v>
      </c>
      <c r="L819" s="409">
        <f t="shared" si="39"/>
        <v>100</v>
      </c>
    </row>
    <row r="820" spans="1:12" ht="12.75">
      <c r="A820" s="334">
        <f t="shared" si="37"/>
        <v>819</v>
      </c>
      <c r="B820" s="376">
        <v>7400</v>
      </c>
      <c r="C820" s="328">
        <v>3141</v>
      </c>
      <c r="D820" s="328" t="s">
        <v>621</v>
      </c>
      <c r="E820" s="328">
        <v>5137</v>
      </c>
      <c r="F820" s="349" t="s">
        <v>353</v>
      </c>
      <c r="G820" s="476" t="s">
        <v>622</v>
      </c>
      <c r="H820" s="562">
        <v>2000</v>
      </c>
      <c r="I820" s="562">
        <v>0</v>
      </c>
      <c r="J820" s="562">
        <v>0</v>
      </c>
      <c r="K820" s="563">
        <f t="shared" si="38"/>
        <v>0</v>
      </c>
      <c r="L820" s="564"/>
    </row>
    <row r="821" spans="1:12" ht="12.75">
      <c r="A821" s="334">
        <f t="shared" si="37"/>
        <v>820</v>
      </c>
      <c r="B821" s="383"/>
      <c r="C821" s="341" t="s">
        <v>623</v>
      </c>
      <c r="D821" s="341"/>
      <c r="E821" s="341"/>
      <c r="F821" s="341"/>
      <c r="G821" s="342"/>
      <c r="H821" s="407">
        <f>SUBTOTAL(9,H820:H820)</f>
        <v>2000</v>
      </c>
      <c r="I821" s="407">
        <f>SUBTOTAL(9,I820:I820)</f>
        <v>0</v>
      </c>
      <c r="J821" s="407">
        <f>SUBTOTAL(9,J820:J820)</f>
        <v>0</v>
      </c>
      <c r="K821" s="408">
        <f t="shared" si="38"/>
        <v>0</v>
      </c>
      <c r="L821" s="409"/>
    </row>
    <row r="822" spans="1:12" ht="12.75">
      <c r="A822" s="334">
        <f t="shared" si="37"/>
        <v>821</v>
      </c>
      <c r="B822" s="376">
        <v>7400</v>
      </c>
      <c r="C822" s="328">
        <v>3149</v>
      </c>
      <c r="D822" s="328" t="s">
        <v>624</v>
      </c>
      <c r="E822" s="328">
        <v>5169</v>
      </c>
      <c r="F822" s="328" t="s">
        <v>321</v>
      </c>
      <c r="G822" s="329" t="s">
        <v>625</v>
      </c>
      <c r="H822" s="562">
        <v>1020</v>
      </c>
      <c r="I822" s="562">
        <v>752</v>
      </c>
      <c r="J822" s="562">
        <v>303</v>
      </c>
      <c r="K822" s="563">
        <f t="shared" si="38"/>
        <v>-449</v>
      </c>
      <c r="L822" s="564">
        <f t="shared" si="39"/>
        <v>40.29255319148936</v>
      </c>
    </row>
    <row r="823" spans="1:12" ht="12.75">
      <c r="A823" s="334">
        <f t="shared" si="37"/>
        <v>822</v>
      </c>
      <c r="B823" s="376">
        <v>7400</v>
      </c>
      <c r="C823" s="328">
        <v>3149</v>
      </c>
      <c r="D823" s="328" t="s">
        <v>624</v>
      </c>
      <c r="E823" s="328">
        <v>5173</v>
      </c>
      <c r="F823" s="328" t="s">
        <v>363</v>
      </c>
      <c r="G823" s="329" t="s">
        <v>625</v>
      </c>
      <c r="H823" s="562">
        <v>50</v>
      </c>
      <c r="I823" s="562">
        <v>50</v>
      </c>
      <c r="J823" s="562">
        <v>3</v>
      </c>
      <c r="K823" s="563">
        <f t="shared" si="38"/>
        <v>-47</v>
      </c>
      <c r="L823" s="564">
        <f t="shared" si="39"/>
        <v>6</v>
      </c>
    </row>
    <row r="824" spans="1:12" ht="12.75">
      <c r="A824" s="334">
        <f t="shared" si="37"/>
        <v>823</v>
      </c>
      <c r="B824" s="376">
        <v>7400</v>
      </c>
      <c r="C824" s="328">
        <v>3149</v>
      </c>
      <c r="D824" s="328" t="s">
        <v>624</v>
      </c>
      <c r="E824" s="328">
        <v>5175</v>
      </c>
      <c r="F824" s="328" t="s">
        <v>341</v>
      </c>
      <c r="G824" s="329"/>
      <c r="H824" s="562">
        <v>0</v>
      </c>
      <c r="I824" s="562">
        <v>35</v>
      </c>
      <c r="J824" s="562">
        <v>28</v>
      </c>
      <c r="K824" s="563">
        <f t="shared" si="38"/>
        <v>-7</v>
      </c>
      <c r="L824" s="564">
        <f t="shared" si="39"/>
        <v>80</v>
      </c>
    </row>
    <row r="825" spans="1:12" ht="12.75">
      <c r="A825" s="334">
        <f t="shared" si="37"/>
        <v>824</v>
      </c>
      <c r="B825" s="376">
        <v>7400</v>
      </c>
      <c r="C825" s="328">
        <v>3149</v>
      </c>
      <c r="D825" s="328" t="s">
        <v>624</v>
      </c>
      <c r="E825" s="328">
        <v>5194</v>
      </c>
      <c r="F825" s="349" t="s">
        <v>350</v>
      </c>
      <c r="G825" s="476"/>
      <c r="H825" s="562">
        <v>0</v>
      </c>
      <c r="I825" s="562">
        <v>33</v>
      </c>
      <c r="J825" s="562">
        <v>30</v>
      </c>
      <c r="K825" s="563">
        <f t="shared" si="38"/>
        <v>-3</v>
      </c>
      <c r="L825" s="564">
        <f t="shared" si="39"/>
        <v>90.9090909090909</v>
      </c>
    </row>
    <row r="826" spans="1:12" ht="12.75">
      <c r="A826" s="334">
        <f t="shared" si="37"/>
        <v>825</v>
      </c>
      <c r="B826" s="376">
        <v>7400</v>
      </c>
      <c r="C826" s="328">
        <v>3149</v>
      </c>
      <c r="D826" s="328" t="s">
        <v>624</v>
      </c>
      <c r="E826" s="328">
        <v>5332</v>
      </c>
      <c r="F826" s="349" t="s">
        <v>524</v>
      </c>
      <c r="G826" s="476" t="s">
        <v>626</v>
      </c>
      <c r="H826" s="562">
        <v>200</v>
      </c>
      <c r="I826" s="562">
        <v>200</v>
      </c>
      <c r="J826" s="562">
        <v>80</v>
      </c>
      <c r="K826" s="563">
        <f t="shared" si="38"/>
        <v>-120</v>
      </c>
      <c r="L826" s="564">
        <f t="shared" si="39"/>
        <v>40</v>
      </c>
    </row>
    <row r="827" spans="1:12" ht="12.75">
      <c r="A827" s="334">
        <f t="shared" si="37"/>
        <v>826</v>
      </c>
      <c r="B827" s="383"/>
      <c r="C827" s="341" t="s">
        <v>627</v>
      </c>
      <c r="D827" s="341"/>
      <c r="E827" s="341"/>
      <c r="F827" s="371"/>
      <c r="G827" s="397"/>
      <c r="H827" s="407">
        <f>SUBTOTAL(9,H822:H826)</f>
        <v>1270</v>
      </c>
      <c r="I827" s="407">
        <f>SUBTOTAL(9,I822:I826)</f>
        <v>1070</v>
      </c>
      <c r="J827" s="407">
        <f>SUBTOTAL(9,J822:J826)</f>
        <v>444</v>
      </c>
      <c r="K827" s="408">
        <f t="shared" si="38"/>
        <v>-626</v>
      </c>
      <c r="L827" s="409">
        <f t="shared" si="39"/>
        <v>41.495327102803735</v>
      </c>
    </row>
    <row r="828" spans="1:12" ht="12.75">
      <c r="A828" s="334">
        <f t="shared" si="37"/>
        <v>827</v>
      </c>
      <c r="B828" s="376">
        <v>7400</v>
      </c>
      <c r="C828" s="328">
        <v>3419</v>
      </c>
      <c r="D828" s="328" t="s">
        <v>50</v>
      </c>
      <c r="E828" s="328">
        <v>5166</v>
      </c>
      <c r="F828" s="328" t="s">
        <v>318</v>
      </c>
      <c r="G828" s="476"/>
      <c r="H828" s="562">
        <v>100</v>
      </c>
      <c r="I828" s="562">
        <v>269</v>
      </c>
      <c r="J828" s="562">
        <v>49</v>
      </c>
      <c r="K828" s="563">
        <f t="shared" si="38"/>
        <v>-220</v>
      </c>
      <c r="L828" s="564">
        <f t="shared" si="39"/>
        <v>18.21561338289963</v>
      </c>
    </row>
    <row r="829" spans="1:12" ht="12.75">
      <c r="A829" s="334">
        <f t="shared" si="37"/>
        <v>828</v>
      </c>
      <c r="B829" s="376">
        <v>7400</v>
      </c>
      <c r="C829" s="328">
        <v>3419</v>
      </c>
      <c r="D829" s="328" t="s">
        <v>50</v>
      </c>
      <c r="E829" s="328">
        <v>5169</v>
      </c>
      <c r="F829" s="328" t="s">
        <v>321</v>
      </c>
      <c r="G829" s="329" t="s">
        <v>628</v>
      </c>
      <c r="H829" s="647">
        <v>5000</v>
      </c>
      <c r="I829" s="647">
        <v>5000</v>
      </c>
      <c r="J829" s="648">
        <v>5000</v>
      </c>
      <c r="K829" s="649">
        <f t="shared" si="38"/>
        <v>0</v>
      </c>
      <c r="L829" s="650">
        <f t="shared" si="39"/>
        <v>100</v>
      </c>
    </row>
    <row r="830" spans="1:12" ht="12.75">
      <c r="A830" s="334">
        <f t="shared" si="37"/>
        <v>829</v>
      </c>
      <c r="B830" s="376">
        <v>7400</v>
      </c>
      <c r="C830" s="328">
        <v>3419</v>
      </c>
      <c r="D830" s="328" t="s">
        <v>50</v>
      </c>
      <c r="E830" s="328">
        <v>5169</v>
      </c>
      <c r="F830" s="328" t="s">
        <v>321</v>
      </c>
      <c r="G830" s="329" t="s">
        <v>629</v>
      </c>
      <c r="H830" s="647">
        <v>10000</v>
      </c>
      <c r="I830" s="647">
        <v>0</v>
      </c>
      <c r="J830" s="648">
        <v>0</v>
      </c>
      <c r="K830" s="649">
        <f t="shared" si="38"/>
        <v>0</v>
      </c>
      <c r="L830" s="650"/>
    </row>
    <row r="831" spans="1:12" ht="12.75">
      <c r="A831" s="334">
        <f t="shared" si="37"/>
        <v>830</v>
      </c>
      <c r="B831" s="376">
        <v>7400</v>
      </c>
      <c r="C831" s="328">
        <v>3419</v>
      </c>
      <c r="D831" s="328" t="s">
        <v>50</v>
      </c>
      <c r="E831" s="328">
        <v>5169</v>
      </c>
      <c r="F831" s="328" t="s">
        <v>321</v>
      </c>
      <c r="G831" s="329" t="s">
        <v>630</v>
      </c>
      <c r="H831" s="562"/>
      <c r="I831" s="562">
        <v>16</v>
      </c>
      <c r="J831" s="562">
        <v>16</v>
      </c>
      <c r="K831" s="563">
        <f t="shared" si="38"/>
        <v>0</v>
      </c>
      <c r="L831" s="564">
        <f t="shared" si="39"/>
        <v>100</v>
      </c>
    </row>
    <row r="832" spans="1:12" ht="12.75">
      <c r="A832" s="334">
        <f t="shared" si="37"/>
        <v>831</v>
      </c>
      <c r="B832" s="376">
        <v>7400</v>
      </c>
      <c r="C832" s="328">
        <v>3419</v>
      </c>
      <c r="D832" s="328" t="s">
        <v>50</v>
      </c>
      <c r="E832" s="328">
        <v>5169</v>
      </c>
      <c r="F832" s="328" t="s">
        <v>321</v>
      </c>
      <c r="G832" s="329" t="s">
        <v>631</v>
      </c>
      <c r="H832" s="562">
        <v>5000</v>
      </c>
      <c r="I832" s="562">
        <v>0</v>
      </c>
      <c r="J832" s="562">
        <v>0</v>
      </c>
      <c r="K832" s="563">
        <f t="shared" si="38"/>
        <v>0</v>
      </c>
      <c r="L832" s="564"/>
    </row>
    <row r="833" spans="1:12" ht="12.75">
      <c r="A833" s="334">
        <f t="shared" si="37"/>
        <v>832</v>
      </c>
      <c r="B833" s="376">
        <v>7400</v>
      </c>
      <c r="C833" s="328">
        <v>3419</v>
      </c>
      <c r="D833" s="328" t="s">
        <v>50</v>
      </c>
      <c r="E833" s="328">
        <v>5171</v>
      </c>
      <c r="F833" s="328" t="s">
        <v>402</v>
      </c>
      <c r="G833" s="329"/>
      <c r="H833" s="562">
        <v>7460</v>
      </c>
      <c r="I833" s="562">
        <v>13104</v>
      </c>
      <c r="J833" s="562">
        <v>10701</v>
      </c>
      <c r="K833" s="563">
        <f t="shared" si="38"/>
        <v>-2403</v>
      </c>
      <c r="L833" s="564">
        <f t="shared" si="39"/>
        <v>81.66208791208791</v>
      </c>
    </row>
    <row r="834" spans="1:12" ht="12.75">
      <c r="A834" s="334">
        <f t="shared" si="37"/>
        <v>833</v>
      </c>
      <c r="B834" s="376">
        <v>7400</v>
      </c>
      <c r="C834" s="328">
        <v>3419</v>
      </c>
      <c r="D834" s="328" t="s">
        <v>50</v>
      </c>
      <c r="E834" s="328">
        <v>5191</v>
      </c>
      <c r="F834" s="328" t="s">
        <v>632</v>
      </c>
      <c r="G834" s="329"/>
      <c r="H834" s="562"/>
      <c r="I834" s="562">
        <v>509</v>
      </c>
      <c r="J834" s="562">
        <v>507</v>
      </c>
      <c r="K834" s="563">
        <f t="shared" si="38"/>
        <v>-2</v>
      </c>
      <c r="L834" s="564">
        <f t="shared" si="39"/>
        <v>99.60707269155206</v>
      </c>
    </row>
    <row r="835" spans="1:12" ht="12.75">
      <c r="A835" s="334">
        <f t="shared" si="37"/>
        <v>834</v>
      </c>
      <c r="B835" s="376">
        <v>7400</v>
      </c>
      <c r="C835" s="328">
        <v>3419</v>
      </c>
      <c r="D835" s="328" t="s">
        <v>50</v>
      </c>
      <c r="E835" s="328">
        <v>5192</v>
      </c>
      <c r="F835" s="328" t="s">
        <v>342</v>
      </c>
      <c r="G835" s="329"/>
      <c r="H835" s="562">
        <v>0</v>
      </c>
      <c r="I835" s="562">
        <v>1354</v>
      </c>
      <c r="J835" s="562">
        <v>1352</v>
      </c>
      <c r="K835" s="563">
        <f t="shared" si="38"/>
        <v>-2</v>
      </c>
      <c r="L835" s="564">
        <f t="shared" si="39"/>
        <v>99.85228951255539</v>
      </c>
    </row>
    <row r="836" spans="1:12" ht="12.75">
      <c r="A836" s="334">
        <f aca="true" t="shared" si="40" ref="A836:A899">A835+1</f>
        <v>835</v>
      </c>
      <c r="B836" s="376">
        <v>7400</v>
      </c>
      <c r="C836" s="328">
        <v>3419</v>
      </c>
      <c r="D836" s="328" t="s">
        <v>50</v>
      </c>
      <c r="E836" s="328">
        <v>5194</v>
      </c>
      <c r="F836" s="328" t="s">
        <v>350</v>
      </c>
      <c r="G836" s="329"/>
      <c r="H836" s="562">
        <v>100</v>
      </c>
      <c r="I836" s="562">
        <v>100</v>
      </c>
      <c r="J836" s="562">
        <v>55</v>
      </c>
      <c r="K836" s="563">
        <f aca="true" t="shared" si="41" ref="K836:K899">J836-I836</f>
        <v>-45</v>
      </c>
      <c r="L836" s="564">
        <f aca="true" t="shared" si="42" ref="L836:L899">J836/I836*100</f>
        <v>55.00000000000001</v>
      </c>
    </row>
    <row r="837" spans="1:12" ht="12.75">
      <c r="A837" s="334">
        <f t="shared" si="40"/>
        <v>836</v>
      </c>
      <c r="B837" s="376">
        <v>7400</v>
      </c>
      <c r="C837" s="328">
        <v>3419</v>
      </c>
      <c r="D837" s="328" t="s">
        <v>50</v>
      </c>
      <c r="E837" s="328">
        <v>5212</v>
      </c>
      <c r="F837" s="541" t="s">
        <v>520</v>
      </c>
      <c r="G837" s="329"/>
      <c r="H837" s="562"/>
      <c r="I837" s="562">
        <v>120</v>
      </c>
      <c r="J837" s="562">
        <v>120</v>
      </c>
      <c r="K837" s="563">
        <f t="shared" si="41"/>
        <v>0</v>
      </c>
      <c r="L837" s="564">
        <f t="shared" si="42"/>
        <v>100</v>
      </c>
    </row>
    <row r="838" spans="1:12" ht="12.75">
      <c r="A838" s="334">
        <f t="shared" si="40"/>
        <v>837</v>
      </c>
      <c r="B838" s="376">
        <v>7400</v>
      </c>
      <c r="C838" s="328">
        <v>3419</v>
      </c>
      <c r="D838" s="328" t="s">
        <v>50</v>
      </c>
      <c r="E838" s="328">
        <v>5213</v>
      </c>
      <c r="F838" s="541" t="s">
        <v>460</v>
      </c>
      <c r="G838" s="329"/>
      <c r="H838" s="562">
        <v>22393</v>
      </c>
      <c r="I838" s="562">
        <v>66884</v>
      </c>
      <c r="J838" s="562">
        <v>66884</v>
      </c>
      <c r="K838" s="563">
        <f t="shared" si="41"/>
        <v>0</v>
      </c>
      <c r="L838" s="564">
        <f t="shared" si="42"/>
        <v>100</v>
      </c>
    </row>
    <row r="839" spans="1:12" ht="12.75">
      <c r="A839" s="334">
        <f t="shared" si="40"/>
        <v>838</v>
      </c>
      <c r="B839" s="376">
        <v>7400</v>
      </c>
      <c r="C839" s="328">
        <v>3419</v>
      </c>
      <c r="D839" s="328" t="s">
        <v>50</v>
      </c>
      <c r="E839" s="328">
        <v>5222</v>
      </c>
      <c r="F839" s="328" t="s">
        <v>433</v>
      </c>
      <c r="G839" s="329"/>
      <c r="H839" s="562">
        <v>85647</v>
      </c>
      <c r="I839" s="562">
        <v>83372</v>
      </c>
      <c r="J839" s="562">
        <v>83370</v>
      </c>
      <c r="K839" s="563">
        <f t="shared" si="41"/>
        <v>-2</v>
      </c>
      <c r="L839" s="564">
        <f t="shared" si="42"/>
        <v>99.99760111308353</v>
      </c>
    </row>
    <row r="840" spans="1:12" ht="12.75">
      <c r="A840" s="334">
        <f t="shared" si="40"/>
        <v>839</v>
      </c>
      <c r="B840" s="376">
        <v>7400</v>
      </c>
      <c r="C840" s="328">
        <v>3419</v>
      </c>
      <c r="D840" s="328" t="s">
        <v>50</v>
      </c>
      <c r="E840" s="328">
        <v>5223</v>
      </c>
      <c r="F840" s="328" t="s">
        <v>522</v>
      </c>
      <c r="G840" s="329"/>
      <c r="H840" s="562">
        <v>0</v>
      </c>
      <c r="I840" s="562">
        <v>18</v>
      </c>
      <c r="J840" s="562">
        <v>18</v>
      </c>
      <c r="K840" s="563">
        <f t="shared" si="41"/>
        <v>0</v>
      </c>
      <c r="L840" s="564">
        <f t="shared" si="42"/>
        <v>100</v>
      </c>
    </row>
    <row r="841" spans="1:12" ht="12.75">
      <c r="A841" s="334">
        <f t="shared" si="40"/>
        <v>840</v>
      </c>
      <c r="B841" s="376">
        <v>7400</v>
      </c>
      <c r="C841" s="328">
        <v>3419</v>
      </c>
      <c r="D841" s="328" t="s">
        <v>50</v>
      </c>
      <c r="E841" s="328">
        <v>5229</v>
      </c>
      <c r="F841" s="378" t="s">
        <v>343</v>
      </c>
      <c r="G841" s="329"/>
      <c r="H841" s="562">
        <v>0</v>
      </c>
      <c r="I841" s="562">
        <v>426</v>
      </c>
      <c r="J841" s="562">
        <v>426</v>
      </c>
      <c r="K841" s="563">
        <f t="shared" si="41"/>
        <v>0</v>
      </c>
      <c r="L841" s="564">
        <f t="shared" si="42"/>
        <v>100</v>
      </c>
    </row>
    <row r="842" spans="1:12" ht="12.75">
      <c r="A842" s="334">
        <f t="shared" si="40"/>
        <v>841</v>
      </c>
      <c r="B842" s="376">
        <v>7400</v>
      </c>
      <c r="C842" s="328">
        <v>3419</v>
      </c>
      <c r="D842" s="328" t="s">
        <v>50</v>
      </c>
      <c r="E842" s="328">
        <v>5331</v>
      </c>
      <c r="F842" s="378" t="s">
        <v>345</v>
      </c>
      <c r="G842" s="329" t="s">
        <v>633</v>
      </c>
      <c r="H842" s="562">
        <v>14910</v>
      </c>
      <c r="I842" s="562">
        <v>9126</v>
      </c>
      <c r="J842" s="562">
        <v>8953</v>
      </c>
      <c r="K842" s="563">
        <f t="shared" si="41"/>
        <v>-173</v>
      </c>
      <c r="L842" s="564">
        <f t="shared" si="42"/>
        <v>98.10431733508656</v>
      </c>
    </row>
    <row r="843" spans="1:12" ht="12.75">
      <c r="A843" s="334">
        <f t="shared" si="40"/>
        <v>842</v>
      </c>
      <c r="B843" s="376">
        <v>7400</v>
      </c>
      <c r="C843" s="328">
        <v>3419</v>
      </c>
      <c r="D843" s="328" t="s">
        <v>50</v>
      </c>
      <c r="E843" s="328">
        <v>5331</v>
      </c>
      <c r="F843" s="378" t="s">
        <v>345</v>
      </c>
      <c r="G843" s="607" t="s">
        <v>634</v>
      </c>
      <c r="H843" s="562">
        <v>1200</v>
      </c>
      <c r="I843" s="562">
        <v>1200</v>
      </c>
      <c r="J843" s="562">
        <v>1200</v>
      </c>
      <c r="K843" s="563">
        <f t="shared" si="41"/>
        <v>0</v>
      </c>
      <c r="L843" s="564">
        <f t="shared" si="42"/>
        <v>100</v>
      </c>
    </row>
    <row r="844" spans="1:12" ht="12.75">
      <c r="A844" s="334">
        <f t="shared" si="40"/>
        <v>843</v>
      </c>
      <c r="B844" s="376">
        <v>7400</v>
      </c>
      <c r="C844" s="328">
        <v>3419</v>
      </c>
      <c r="D844" s="328" t="s">
        <v>50</v>
      </c>
      <c r="E844" s="328">
        <v>5332</v>
      </c>
      <c r="F844" s="349" t="s">
        <v>524</v>
      </c>
      <c r="G844" s="591"/>
      <c r="H844" s="562">
        <v>0</v>
      </c>
      <c r="I844" s="562">
        <v>600</v>
      </c>
      <c r="J844" s="562">
        <v>600</v>
      </c>
      <c r="K844" s="563">
        <f t="shared" si="41"/>
        <v>0</v>
      </c>
      <c r="L844" s="564">
        <f t="shared" si="42"/>
        <v>100</v>
      </c>
    </row>
    <row r="845" spans="1:12" ht="12.75">
      <c r="A845" s="334">
        <f t="shared" si="40"/>
        <v>844</v>
      </c>
      <c r="B845" s="376">
        <v>7400</v>
      </c>
      <c r="C845" s="328">
        <v>3419</v>
      </c>
      <c r="D845" s="328" t="s">
        <v>50</v>
      </c>
      <c r="E845" s="328">
        <v>5339</v>
      </c>
      <c r="F845" s="349" t="s">
        <v>457</v>
      </c>
      <c r="G845" s="476"/>
      <c r="H845" s="562">
        <v>0</v>
      </c>
      <c r="I845" s="562">
        <v>80</v>
      </c>
      <c r="J845" s="562">
        <v>80</v>
      </c>
      <c r="K845" s="563">
        <f t="shared" si="41"/>
        <v>0</v>
      </c>
      <c r="L845" s="564">
        <f t="shared" si="42"/>
        <v>100</v>
      </c>
    </row>
    <row r="846" spans="1:12" ht="12.75">
      <c r="A846" s="334">
        <f t="shared" si="40"/>
        <v>845</v>
      </c>
      <c r="B846" s="376">
        <v>7400</v>
      </c>
      <c r="C846" s="328">
        <v>3419</v>
      </c>
      <c r="D846" s="328" t="s">
        <v>50</v>
      </c>
      <c r="E846" s="328">
        <v>5909</v>
      </c>
      <c r="F846" s="328" t="s">
        <v>410</v>
      </c>
      <c r="G846" s="476"/>
      <c r="H846" s="562"/>
      <c r="I846" s="562">
        <v>19</v>
      </c>
      <c r="J846" s="562">
        <v>18</v>
      </c>
      <c r="K846" s="563">
        <f t="shared" si="41"/>
        <v>-1</v>
      </c>
      <c r="L846" s="564">
        <f t="shared" si="42"/>
        <v>94.73684210526315</v>
      </c>
    </row>
    <row r="847" spans="1:12" ht="12.75">
      <c r="A847" s="334">
        <f t="shared" si="40"/>
        <v>846</v>
      </c>
      <c r="B847" s="383"/>
      <c r="C847" s="341" t="s">
        <v>635</v>
      </c>
      <c r="D847" s="341"/>
      <c r="E847" s="341"/>
      <c r="F847" s="341"/>
      <c r="G847" s="487"/>
      <c r="H847" s="407">
        <f>SUBTOTAL(9,H828:H845)</f>
        <v>151810</v>
      </c>
      <c r="I847" s="407">
        <f>SUBTOTAL(9,I828:I846)</f>
        <v>182197</v>
      </c>
      <c r="J847" s="407">
        <f>SUBTOTAL(9,J828:J846)</f>
        <v>179349</v>
      </c>
      <c r="K847" s="408">
        <f t="shared" si="41"/>
        <v>-2848</v>
      </c>
      <c r="L847" s="409">
        <f t="shared" si="42"/>
        <v>98.43685680883878</v>
      </c>
    </row>
    <row r="848" spans="1:12" ht="12.75">
      <c r="A848" s="334">
        <f t="shared" si="40"/>
        <v>847</v>
      </c>
      <c r="B848" s="376">
        <v>7400</v>
      </c>
      <c r="C848" s="328">
        <v>3421</v>
      </c>
      <c r="D848" s="328" t="s">
        <v>96</v>
      </c>
      <c r="E848" s="328">
        <v>5212</v>
      </c>
      <c r="F848" s="541" t="s">
        <v>520</v>
      </c>
      <c r="G848" s="487"/>
      <c r="H848" s="407"/>
      <c r="I848" s="412">
        <v>169</v>
      </c>
      <c r="J848" s="412">
        <v>169</v>
      </c>
      <c r="K848" s="413">
        <f t="shared" si="41"/>
        <v>0</v>
      </c>
      <c r="L848" s="414">
        <f t="shared" si="42"/>
        <v>100</v>
      </c>
    </row>
    <row r="849" spans="1:12" ht="12.75">
      <c r="A849" s="334">
        <f t="shared" si="40"/>
        <v>848</v>
      </c>
      <c r="B849" s="376">
        <v>7400</v>
      </c>
      <c r="C849" s="328">
        <v>3421</v>
      </c>
      <c r="D849" s="328" t="s">
        <v>96</v>
      </c>
      <c r="E849" s="328">
        <v>5213</v>
      </c>
      <c r="F849" s="541" t="s">
        <v>460</v>
      </c>
      <c r="G849" s="353"/>
      <c r="H849" s="412">
        <v>0</v>
      </c>
      <c r="I849" s="412">
        <v>106</v>
      </c>
      <c r="J849" s="412">
        <v>106</v>
      </c>
      <c r="K849" s="413">
        <f t="shared" si="41"/>
        <v>0</v>
      </c>
      <c r="L849" s="414">
        <f t="shared" si="42"/>
        <v>100</v>
      </c>
    </row>
    <row r="850" spans="1:12" ht="12.75">
      <c r="A850" s="334">
        <f t="shared" si="40"/>
        <v>849</v>
      </c>
      <c r="B850" s="376">
        <v>7400</v>
      </c>
      <c r="C850" s="328">
        <v>3421</v>
      </c>
      <c r="D850" s="328" t="s">
        <v>96</v>
      </c>
      <c r="E850" s="328">
        <v>5221</v>
      </c>
      <c r="F850" s="352" t="s">
        <v>456</v>
      </c>
      <c r="G850" s="353"/>
      <c r="H850" s="562">
        <v>0</v>
      </c>
      <c r="I850" s="562">
        <v>120</v>
      </c>
      <c r="J850" s="562">
        <v>120</v>
      </c>
      <c r="K850" s="563">
        <f t="shared" si="41"/>
        <v>0</v>
      </c>
      <c r="L850" s="564">
        <f t="shared" si="42"/>
        <v>100</v>
      </c>
    </row>
    <row r="851" spans="1:12" ht="12.75">
      <c r="A851" s="334">
        <f t="shared" si="40"/>
        <v>850</v>
      </c>
      <c r="B851" s="376">
        <v>7400</v>
      </c>
      <c r="C851" s="328">
        <v>3421</v>
      </c>
      <c r="D851" s="328" t="s">
        <v>96</v>
      </c>
      <c r="E851" s="328">
        <v>5222</v>
      </c>
      <c r="F851" s="328" t="s">
        <v>433</v>
      </c>
      <c r="G851" s="329" t="s">
        <v>636</v>
      </c>
      <c r="H851" s="562">
        <v>9400</v>
      </c>
      <c r="I851" s="562">
        <v>7921</v>
      </c>
      <c r="J851" s="562">
        <v>7666</v>
      </c>
      <c r="K851" s="563">
        <f t="shared" si="41"/>
        <v>-255</v>
      </c>
      <c r="L851" s="564">
        <f t="shared" si="42"/>
        <v>96.78070950637546</v>
      </c>
    </row>
    <row r="852" spans="1:12" ht="12.75">
      <c r="A852" s="334">
        <f t="shared" si="40"/>
        <v>851</v>
      </c>
      <c r="B852" s="376">
        <v>7400</v>
      </c>
      <c r="C852" s="328">
        <v>3421</v>
      </c>
      <c r="D852" s="328" t="s">
        <v>96</v>
      </c>
      <c r="E852" s="328">
        <v>5223</v>
      </c>
      <c r="F852" s="328" t="s">
        <v>522</v>
      </c>
      <c r="G852" s="329"/>
      <c r="H852" s="562">
        <v>0</v>
      </c>
      <c r="I852" s="562">
        <v>298</v>
      </c>
      <c r="J852" s="562">
        <v>298</v>
      </c>
      <c r="K852" s="563">
        <f t="shared" si="41"/>
        <v>0</v>
      </c>
      <c r="L852" s="564">
        <f t="shared" si="42"/>
        <v>100</v>
      </c>
    </row>
    <row r="853" spans="1:12" ht="12.75">
      <c r="A853" s="334">
        <f t="shared" si="40"/>
        <v>852</v>
      </c>
      <c r="B853" s="376">
        <v>7400</v>
      </c>
      <c r="C853" s="328">
        <v>3421</v>
      </c>
      <c r="D853" s="328" t="s">
        <v>96</v>
      </c>
      <c r="E853" s="328">
        <v>5229</v>
      </c>
      <c r="F853" s="378" t="s">
        <v>343</v>
      </c>
      <c r="G853" s="591"/>
      <c r="H853" s="562">
        <v>0</v>
      </c>
      <c r="I853" s="562">
        <v>94</v>
      </c>
      <c r="J853" s="562">
        <v>94</v>
      </c>
      <c r="K853" s="563">
        <f t="shared" si="41"/>
        <v>0</v>
      </c>
      <c r="L853" s="564">
        <f t="shared" si="42"/>
        <v>100</v>
      </c>
    </row>
    <row r="854" spans="1:12" ht="12.75">
      <c r="A854" s="334">
        <f t="shared" si="40"/>
        <v>853</v>
      </c>
      <c r="B854" s="376">
        <v>7400</v>
      </c>
      <c r="C854" s="328">
        <v>3421</v>
      </c>
      <c r="D854" s="328" t="s">
        <v>96</v>
      </c>
      <c r="E854" s="328">
        <v>5339</v>
      </c>
      <c r="F854" s="349" t="s">
        <v>457</v>
      </c>
      <c r="G854" s="476" t="s">
        <v>637</v>
      </c>
      <c r="H854" s="562">
        <v>3500</v>
      </c>
      <c r="I854" s="562">
        <v>2636</v>
      </c>
      <c r="J854" s="562">
        <v>2636</v>
      </c>
      <c r="K854" s="563">
        <f t="shared" si="41"/>
        <v>0</v>
      </c>
      <c r="L854" s="564">
        <f t="shared" si="42"/>
        <v>100</v>
      </c>
    </row>
    <row r="855" spans="1:12" ht="25.5">
      <c r="A855" s="334">
        <f t="shared" si="40"/>
        <v>854</v>
      </c>
      <c r="B855" s="376">
        <v>7400</v>
      </c>
      <c r="C855" s="328">
        <v>3421</v>
      </c>
      <c r="D855" s="328" t="s">
        <v>96</v>
      </c>
      <c r="E855" s="328">
        <v>5493</v>
      </c>
      <c r="F855" s="378" t="s">
        <v>638</v>
      </c>
      <c r="G855" s="591"/>
      <c r="H855" s="562">
        <v>0</v>
      </c>
      <c r="I855" s="562">
        <v>6</v>
      </c>
      <c r="J855" s="562">
        <v>6</v>
      </c>
      <c r="K855" s="563">
        <f t="shared" si="41"/>
        <v>0</v>
      </c>
      <c r="L855" s="564">
        <f t="shared" si="42"/>
        <v>100</v>
      </c>
    </row>
    <row r="856" spans="1:12" ht="12.75">
      <c r="A856" s="334">
        <f t="shared" si="40"/>
        <v>855</v>
      </c>
      <c r="B856" s="383"/>
      <c r="C856" s="341" t="s">
        <v>426</v>
      </c>
      <c r="D856" s="341"/>
      <c r="E856" s="341"/>
      <c r="F856" s="341"/>
      <c r="G856" s="487"/>
      <c r="H856" s="407">
        <f>SUBTOTAL(9,H848:H855)</f>
        <v>12900</v>
      </c>
      <c r="I856" s="407">
        <f>SUBTOTAL(9,I848:I855)</f>
        <v>11350</v>
      </c>
      <c r="J856" s="407">
        <f>SUBTOTAL(9,J848:J855)</f>
        <v>11095</v>
      </c>
      <c r="K856" s="408">
        <f t="shared" si="41"/>
        <v>-255</v>
      </c>
      <c r="L856" s="409">
        <f t="shared" si="42"/>
        <v>97.7533039647577</v>
      </c>
    </row>
    <row r="857" spans="1:12" ht="12.75">
      <c r="A857" s="334">
        <f t="shared" si="40"/>
        <v>856</v>
      </c>
      <c r="B857" s="376">
        <v>7400</v>
      </c>
      <c r="C857" s="328">
        <v>6409</v>
      </c>
      <c r="D857" s="328" t="s">
        <v>336</v>
      </c>
      <c r="E857" s="328">
        <v>5321</v>
      </c>
      <c r="F857" s="349" t="s">
        <v>337</v>
      </c>
      <c r="G857" s="591"/>
      <c r="H857" s="562">
        <v>0</v>
      </c>
      <c r="I857" s="562">
        <v>12367</v>
      </c>
      <c r="J857" s="562">
        <v>12367</v>
      </c>
      <c r="K857" s="563">
        <f t="shared" si="41"/>
        <v>0</v>
      </c>
      <c r="L857" s="564">
        <f t="shared" si="42"/>
        <v>100</v>
      </c>
    </row>
    <row r="858" spans="1:12" ht="12.75">
      <c r="A858" s="334">
        <f t="shared" si="40"/>
        <v>857</v>
      </c>
      <c r="B858" s="383"/>
      <c r="C858" s="341" t="s">
        <v>340</v>
      </c>
      <c r="D858" s="341"/>
      <c r="E858" s="341"/>
      <c r="F858" s="341"/>
      <c r="G858" s="487"/>
      <c r="H858" s="407">
        <f>SUBTOTAL(9,H857:H857)</f>
        <v>0</v>
      </c>
      <c r="I858" s="407">
        <f>SUBTOTAL(9,I857:I857)</f>
        <v>12367</v>
      </c>
      <c r="J858" s="407">
        <f>SUBTOTAL(9,J857:J857)</f>
        <v>12367</v>
      </c>
      <c r="K858" s="408">
        <f t="shared" si="41"/>
        <v>0</v>
      </c>
      <c r="L858" s="409">
        <f t="shared" si="42"/>
        <v>100</v>
      </c>
    </row>
    <row r="859" spans="1:12" ht="13.5" thickBot="1">
      <c r="A859" s="334">
        <f t="shared" si="40"/>
        <v>858</v>
      </c>
      <c r="B859" s="357" t="s">
        <v>36</v>
      </c>
      <c r="C859" s="358"/>
      <c r="D859" s="358"/>
      <c r="E859" s="358"/>
      <c r="F859" s="358"/>
      <c r="G859" s="359"/>
      <c r="H859" s="467">
        <f>SUBTOTAL(9,H787:H858)</f>
        <v>191476</v>
      </c>
      <c r="I859" s="467">
        <f>SUBTOTAL(9,I787:I858)</f>
        <v>277242</v>
      </c>
      <c r="J859" s="467">
        <f>SUBTOTAL(9,J787:J858)</f>
        <v>272893</v>
      </c>
      <c r="K859" s="468">
        <f t="shared" si="41"/>
        <v>-4349</v>
      </c>
      <c r="L859" s="469">
        <f t="shared" si="42"/>
        <v>98.43133435770916</v>
      </c>
    </row>
    <row r="860" spans="1:12" ht="12.75">
      <c r="A860" s="334">
        <f t="shared" si="40"/>
        <v>859</v>
      </c>
      <c r="B860" s="470"/>
      <c r="C860" s="471"/>
      <c r="D860" s="471"/>
      <c r="E860" s="471"/>
      <c r="F860" s="471"/>
      <c r="G860" s="472"/>
      <c r="H860" s="473"/>
      <c r="I860" s="473"/>
      <c r="J860" s="473"/>
      <c r="K860" s="474">
        <f t="shared" si="41"/>
        <v>0</v>
      </c>
      <c r="L860" s="475"/>
    </row>
    <row r="861" spans="1:12" ht="15.75">
      <c r="A861" s="334">
        <f t="shared" si="40"/>
        <v>860</v>
      </c>
      <c r="B861" s="589" t="s">
        <v>99</v>
      </c>
      <c r="C861" s="590"/>
      <c r="D861" s="590"/>
      <c r="E861" s="423"/>
      <c r="F861" s="378"/>
      <c r="G861" s="591"/>
      <c r="H861" s="651"/>
      <c r="I861" s="651"/>
      <c r="J861" s="651"/>
      <c r="K861" s="652">
        <f t="shared" si="41"/>
        <v>0</v>
      </c>
      <c r="L861" s="653"/>
    </row>
    <row r="862" spans="1:12" ht="12.75">
      <c r="A862" s="334">
        <f t="shared" si="40"/>
        <v>861</v>
      </c>
      <c r="B862" s="592">
        <v>7500</v>
      </c>
      <c r="C862" s="423">
        <v>3322</v>
      </c>
      <c r="D862" s="423" t="s">
        <v>28</v>
      </c>
      <c r="E862" s="423">
        <v>5166</v>
      </c>
      <c r="F862" s="328" t="s">
        <v>318</v>
      </c>
      <c r="G862" s="591"/>
      <c r="H862" s="651">
        <v>0</v>
      </c>
      <c r="I862" s="651">
        <v>70</v>
      </c>
      <c r="J862" s="651">
        <v>0</v>
      </c>
      <c r="K862" s="652">
        <f t="shared" si="41"/>
        <v>-70</v>
      </c>
      <c r="L862" s="653">
        <f t="shared" si="42"/>
        <v>0</v>
      </c>
    </row>
    <row r="863" spans="1:12" ht="12.75">
      <c r="A863" s="334">
        <f t="shared" si="40"/>
        <v>862</v>
      </c>
      <c r="B863" s="592">
        <v>7500</v>
      </c>
      <c r="C863" s="423">
        <v>3322</v>
      </c>
      <c r="D863" s="423" t="s">
        <v>28</v>
      </c>
      <c r="E863" s="423">
        <v>5223</v>
      </c>
      <c r="F863" s="328" t="s">
        <v>522</v>
      </c>
      <c r="G863" s="329"/>
      <c r="H863" s="651">
        <v>0</v>
      </c>
      <c r="I863" s="651">
        <v>3315</v>
      </c>
      <c r="J863" s="651">
        <v>3291</v>
      </c>
      <c r="K863" s="652">
        <f t="shared" si="41"/>
        <v>-24</v>
      </c>
      <c r="L863" s="653">
        <f t="shared" si="42"/>
        <v>99.27601809954751</v>
      </c>
    </row>
    <row r="864" spans="1:12" ht="12.75">
      <c r="A864" s="334">
        <f t="shared" si="40"/>
        <v>863</v>
      </c>
      <c r="B864" s="592">
        <v>7500</v>
      </c>
      <c r="C864" s="423">
        <v>3322</v>
      </c>
      <c r="D864" s="423" t="s">
        <v>28</v>
      </c>
      <c r="E864" s="423">
        <v>5229</v>
      </c>
      <c r="F864" s="378" t="s">
        <v>343</v>
      </c>
      <c r="G864" s="329" t="s">
        <v>523</v>
      </c>
      <c r="H864" s="651">
        <v>10170</v>
      </c>
      <c r="I864" s="651"/>
      <c r="J864" s="651"/>
      <c r="K864" s="652">
        <f t="shared" si="41"/>
        <v>0</v>
      </c>
      <c r="L864" s="653"/>
    </row>
    <row r="865" spans="1:12" ht="12.75">
      <c r="A865" s="334">
        <f t="shared" si="40"/>
        <v>864</v>
      </c>
      <c r="B865" s="592">
        <v>7500</v>
      </c>
      <c r="C865" s="423">
        <v>3322</v>
      </c>
      <c r="D865" s="423" t="s">
        <v>28</v>
      </c>
      <c r="E865" s="423">
        <v>5331</v>
      </c>
      <c r="F865" s="378" t="s">
        <v>345</v>
      </c>
      <c r="G865" s="329"/>
      <c r="H865" s="651">
        <v>0</v>
      </c>
      <c r="I865" s="651">
        <v>7200</v>
      </c>
      <c r="J865" s="651">
        <v>7088</v>
      </c>
      <c r="K865" s="652">
        <f t="shared" si="41"/>
        <v>-112</v>
      </c>
      <c r="L865" s="653">
        <f t="shared" si="42"/>
        <v>98.44444444444444</v>
      </c>
    </row>
    <row r="866" spans="1:12" ht="12.75">
      <c r="A866" s="334">
        <f t="shared" si="40"/>
        <v>865</v>
      </c>
      <c r="B866" s="592">
        <v>7500</v>
      </c>
      <c r="C866" s="423">
        <v>3322</v>
      </c>
      <c r="D866" s="423" t="s">
        <v>28</v>
      </c>
      <c r="E866" s="423">
        <v>5336</v>
      </c>
      <c r="F866" s="328" t="s">
        <v>347</v>
      </c>
      <c r="G866" s="329" t="s">
        <v>582</v>
      </c>
      <c r="H866" s="651"/>
      <c r="I866" s="651">
        <v>570</v>
      </c>
      <c r="J866" s="651">
        <v>570</v>
      </c>
      <c r="K866" s="652">
        <f t="shared" si="41"/>
        <v>0</v>
      </c>
      <c r="L866" s="653">
        <f t="shared" si="42"/>
        <v>100</v>
      </c>
    </row>
    <row r="867" spans="1:12" ht="12.75">
      <c r="A867" s="334">
        <f t="shared" si="40"/>
        <v>866</v>
      </c>
      <c r="B867" s="484"/>
      <c r="C867" s="485" t="s">
        <v>424</v>
      </c>
      <c r="D867" s="485"/>
      <c r="E867" s="485"/>
      <c r="F867" s="486"/>
      <c r="G867" s="487"/>
      <c r="H867" s="488">
        <f>SUBTOTAL(9,H862:H866)</f>
        <v>10170</v>
      </c>
      <c r="I867" s="488">
        <f>SUBTOTAL(9,I862:I866)</f>
        <v>11155</v>
      </c>
      <c r="J867" s="488">
        <f>SUBTOTAL(9,J862:J866)</f>
        <v>10949</v>
      </c>
      <c r="K867" s="489">
        <f t="shared" si="41"/>
        <v>-206</v>
      </c>
      <c r="L867" s="490">
        <f t="shared" si="42"/>
        <v>98.15329448677723</v>
      </c>
    </row>
    <row r="868" spans="1:12" ht="12.75">
      <c r="A868" s="334">
        <f t="shared" si="40"/>
        <v>867</v>
      </c>
      <c r="B868" s="592">
        <v>7500</v>
      </c>
      <c r="C868" s="423">
        <v>6409</v>
      </c>
      <c r="D868" s="336" t="s">
        <v>336</v>
      </c>
      <c r="E868" s="423">
        <v>5321</v>
      </c>
      <c r="F868" s="349" t="s">
        <v>337</v>
      </c>
      <c r="G868" s="476"/>
      <c r="H868" s="176">
        <v>0</v>
      </c>
      <c r="I868" s="176">
        <v>100</v>
      </c>
      <c r="J868" s="176">
        <v>0</v>
      </c>
      <c r="K868" s="437">
        <f t="shared" si="41"/>
        <v>-100</v>
      </c>
      <c r="L868" s="438">
        <f t="shared" si="42"/>
        <v>0</v>
      </c>
    </row>
    <row r="869" spans="1:12" ht="12.75">
      <c r="A869" s="334">
        <f t="shared" si="40"/>
        <v>868</v>
      </c>
      <c r="B869" s="592"/>
      <c r="C869" s="485" t="s">
        <v>340</v>
      </c>
      <c r="D869" s="485"/>
      <c r="E869" s="485"/>
      <c r="F869" s="486"/>
      <c r="G869" s="487"/>
      <c r="H869" s="494">
        <f>SUBTOTAL(9,H868)</f>
        <v>0</v>
      </c>
      <c r="I869" s="494">
        <f>SUBTOTAL(9,I868)</f>
        <v>100</v>
      </c>
      <c r="J869" s="494">
        <f>SUBTOTAL(9,J868)</f>
        <v>0</v>
      </c>
      <c r="K869" s="495">
        <f t="shared" si="41"/>
        <v>-100</v>
      </c>
      <c r="L869" s="496">
        <f t="shared" si="42"/>
        <v>0</v>
      </c>
    </row>
    <row r="870" spans="1:12" ht="13.5" thickBot="1">
      <c r="A870" s="334">
        <f t="shared" si="40"/>
        <v>869</v>
      </c>
      <c r="B870" s="357" t="s">
        <v>100</v>
      </c>
      <c r="C870" s="358"/>
      <c r="D870" s="358"/>
      <c r="E870" s="358"/>
      <c r="F870" s="358"/>
      <c r="G870" s="359"/>
      <c r="H870" s="360">
        <f>SUBTOTAL(9,H862:H869)</f>
        <v>10170</v>
      </c>
      <c r="I870" s="360">
        <f>SUBTOTAL(9,I862:I869)</f>
        <v>11255</v>
      </c>
      <c r="J870" s="360">
        <f>SUBTOTAL(9,J862:J869)</f>
        <v>10949</v>
      </c>
      <c r="K870" s="361">
        <f t="shared" si="41"/>
        <v>-306</v>
      </c>
      <c r="L870" s="362">
        <f t="shared" si="42"/>
        <v>97.28120835184363</v>
      </c>
    </row>
    <row r="871" spans="1:12" ht="12.75">
      <c r="A871" s="334">
        <f t="shared" si="40"/>
        <v>870</v>
      </c>
      <c r="B871" s="484"/>
      <c r="C871" s="485"/>
      <c r="D871" s="485"/>
      <c r="E871" s="485"/>
      <c r="F871" s="486"/>
      <c r="G871" s="487"/>
      <c r="H871" s="488"/>
      <c r="I871" s="488"/>
      <c r="J871" s="488"/>
      <c r="K871" s="489">
        <f t="shared" si="41"/>
        <v>0</v>
      </c>
      <c r="L871" s="490"/>
    </row>
    <row r="872" spans="1:12" ht="15.75">
      <c r="A872" s="334">
        <f t="shared" si="40"/>
        <v>871</v>
      </c>
      <c r="B872" s="523" t="s">
        <v>31</v>
      </c>
      <c r="C872" s="654"/>
      <c r="D872" s="654"/>
      <c r="E872" s="328"/>
      <c r="F872" s="596"/>
      <c r="G872" s="597"/>
      <c r="H872" s="651"/>
      <c r="I872" s="651"/>
      <c r="J872" s="651"/>
      <c r="K872" s="652">
        <f t="shared" si="41"/>
        <v>0</v>
      </c>
      <c r="L872" s="653"/>
    </row>
    <row r="873" spans="1:12" ht="12.75">
      <c r="A873" s="334">
        <f t="shared" si="40"/>
        <v>872</v>
      </c>
      <c r="B873" s="376">
        <v>8200</v>
      </c>
      <c r="C873" s="328">
        <v>1014</v>
      </c>
      <c r="D873" s="349" t="s">
        <v>438</v>
      </c>
      <c r="E873" s="328">
        <v>5011</v>
      </c>
      <c r="F873" s="328" t="s">
        <v>359</v>
      </c>
      <c r="G873" s="591"/>
      <c r="H873" s="651">
        <v>6651</v>
      </c>
      <c r="I873" s="651">
        <v>6651</v>
      </c>
      <c r="J873" s="651">
        <v>6614</v>
      </c>
      <c r="K873" s="652">
        <f t="shared" si="41"/>
        <v>-37</v>
      </c>
      <c r="L873" s="653">
        <f t="shared" si="42"/>
        <v>99.44369267779281</v>
      </c>
    </row>
    <row r="874" spans="1:12" ht="12.75">
      <c r="A874" s="334">
        <f t="shared" si="40"/>
        <v>873</v>
      </c>
      <c r="B874" s="376">
        <v>8200</v>
      </c>
      <c r="C874" s="328">
        <v>1014</v>
      </c>
      <c r="D874" s="349" t="s">
        <v>438</v>
      </c>
      <c r="E874" s="328">
        <v>5021</v>
      </c>
      <c r="F874" s="378" t="s">
        <v>365</v>
      </c>
      <c r="G874" s="591"/>
      <c r="H874" s="651">
        <v>20</v>
      </c>
      <c r="I874" s="651">
        <v>20</v>
      </c>
      <c r="J874" s="651">
        <v>0</v>
      </c>
      <c r="K874" s="652">
        <f t="shared" si="41"/>
        <v>-20</v>
      </c>
      <c r="L874" s="653">
        <f t="shared" si="42"/>
        <v>0</v>
      </c>
    </row>
    <row r="875" spans="1:12" ht="12.75">
      <c r="A875" s="334">
        <f t="shared" si="40"/>
        <v>874</v>
      </c>
      <c r="B875" s="376">
        <v>8200</v>
      </c>
      <c r="C875" s="328">
        <v>1014</v>
      </c>
      <c r="D875" s="349" t="s">
        <v>438</v>
      </c>
      <c r="E875" s="328">
        <v>5024</v>
      </c>
      <c r="F875" s="378" t="s">
        <v>392</v>
      </c>
      <c r="G875" s="591"/>
      <c r="H875" s="651"/>
      <c r="I875" s="651">
        <v>245</v>
      </c>
      <c r="J875" s="651">
        <v>244</v>
      </c>
      <c r="K875" s="652">
        <f t="shared" si="41"/>
        <v>-1</v>
      </c>
      <c r="L875" s="653">
        <f t="shared" si="42"/>
        <v>99.59183673469387</v>
      </c>
    </row>
    <row r="876" spans="1:12" ht="12.75">
      <c r="A876" s="334">
        <f t="shared" si="40"/>
        <v>875</v>
      </c>
      <c r="B876" s="376">
        <v>8200</v>
      </c>
      <c r="C876" s="328">
        <v>1014</v>
      </c>
      <c r="D876" s="349" t="s">
        <v>438</v>
      </c>
      <c r="E876" s="328">
        <v>5029</v>
      </c>
      <c r="F876" s="378" t="s">
        <v>639</v>
      </c>
      <c r="G876" s="591"/>
      <c r="H876" s="651">
        <v>5</v>
      </c>
      <c r="I876" s="651">
        <v>5</v>
      </c>
      <c r="J876" s="651">
        <v>0</v>
      </c>
      <c r="K876" s="652">
        <f t="shared" si="41"/>
        <v>-5</v>
      </c>
      <c r="L876" s="653">
        <f t="shared" si="42"/>
        <v>0</v>
      </c>
    </row>
    <row r="877" spans="1:12" ht="12.75">
      <c r="A877" s="334">
        <f t="shared" si="40"/>
        <v>876</v>
      </c>
      <c r="B877" s="376">
        <v>8200</v>
      </c>
      <c r="C877" s="328">
        <v>1014</v>
      </c>
      <c r="D877" s="349" t="s">
        <v>438</v>
      </c>
      <c r="E877" s="328">
        <v>5031</v>
      </c>
      <c r="F877" s="328" t="s">
        <v>361</v>
      </c>
      <c r="G877" s="329"/>
      <c r="H877" s="651">
        <v>1664</v>
      </c>
      <c r="I877" s="651">
        <v>1664</v>
      </c>
      <c r="J877" s="651">
        <v>1657</v>
      </c>
      <c r="K877" s="652">
        <f t="shared" si="41"/>
        <v>-7</v>
      </c>
      <c r="L877" s="653">
        <f t="shared" si="42"/>
        <v>99.57932692307693</v>
      </c>
    </row>
    <row r="878" spans="1:12" ht="12.75">
      <c r="A878" s="334">
        <f t="shared" si="40"/>
        <v>877</v>
      </c>
      <c r="B878" s="376">
        <v>8200</v>
      </c>
      <c r="C878" s="328">
        <v>1014</v>
      </c>
      <c r="D878" s="349" t="s">
        <v>438</v>
      </c>
      <c r="E878" s="423">
        <v>5032</v>
      </c>
      <c r="F878" s="328" t="s">
        <v>362</v>
      </c>
      <c r="G878" s="329"/>
      <c r="H878" s="651">
        <v>600</v>
      </c>
      <c r="I878" s="651">
        <v>600</v>
      </c>
      <c r="J878" s="651">
        <v>597</v>
      </c>
      <c r="K878" s="652">
        <f t="shared" si="41"/>
        <v>-3</v>
      </c>
      <c r="L878" s="653">
        <f t="shared" si="42"/>
        <v>99.5</v>
      </c>
    </row>
    <row r="879" spans="1:12" ht="12.75">
      <c r="A879" s="334">
        <f t="shared" si="40"/>
        <v>878</v>
      </c>
      <c r="B879" s="376">
        <v>8200</v>
      </c>
      <c r="C879" s="328">
        <v>1014</v>
      </c>
      <c r="D879" s="349" t="s">
        <v>438</v>
      </c>
      <c r="E879" s="423">
        <v>5131</v>
      </c>
      <c r="F879" s="328" t="s">
        <v>640</v>
      </c>
      <c r="G879" s="329"/>
      <c r="H879" s="651">
        <v>20</v>
      </c>
      <c r="I879" s="651">
        <v>20</v>
      </c>
      <c r="J879" s="651">
        <v>15</v>
      </c>
      <c r="K879" s="652">
        <f t="shared" si="41"/>
        <v>-5</v>
      </c>
      <c r="L879" s="653">
        <f t="shared" si="42"/>
        <v>75</v>
      </c>
    </row>
    <row r="880" spans="1:12" ht="12.75">
      <c r="A880" s="334">
        <f t="shared" si="40"/>
        <v>879</v>
      </c>
      <c r="B880" s="376">
        <v>8200</v>
      </c>
      <c r="C880" s="328">
        <v>1014</v>
      </c>
      <c r="D880" s="349" t="s">
        <v>438</v>
      </c>
      <c r="E880" s="423">
        <v>5133</v>
      </c>
      <c r="F880" s="328" t="s">
        <v>395</v>
      </c>
      <c r="G880" s="329"/>
      <c r="H880" s="651">
        <v>1313</v>
      </c>
      <c r="I880" s="651">
        <v>1138</v>
      </c>
      <c r="J880" s="651">
        <v>612</v>
      </c>
      <c r="K880" s="652">
        <f t="shared" si="41"/>
        <v>-526</v>
      </c>
      <c r="L880" s="653">
        <f t="shared" si="42"/>
        <v>53.77855887521969</v>
      </c>
    </row>
    <row r="881" spans="1:12" ht="12.75">
      <c r="A881" s="334">
        <f t="shared" si="40"/>
        <v>880</v>
      </c>
      <c r="B881" s="376">
        <v>8200</v>
      </c>
      <c r="C881" s="328">
        <v>1014</v>
      </c>
      <c r="D881" s="349" t="s">
        <v>438</v>
      </c>
      <c r="E881" s="423">
        <v>5133</v>
      </c>
      <c r="F881" s="328" t="s">
        <v>395</v>
      </c>
      <c r="G881" s="329" t="s">
        <v>641</v>
      </c>
      <c r="H881" s="651">
        <v>50</v>
      </c>
      <c r="I881" s="651">
        <v>0</v>
      </c>
      <c r="J881" s="651">
        <v>0</v>
      </c>
      <c r="K881" s="652">
        <f t="shared" si="41"/>
        <v>0</v>
      </c>
      <c r="L881" s="653"/>
    </row>
    <row r="882" spans="1:12" ht="12.75">
      <c r="A882" s="334">
        <f t="shared" si="40"/>
        <v>881</v>
      </c>
      <c r="B882" s="376">
        <v>8200</v>
      </c>
      <c r="C882" s="328">
        <v>1014</v>
      </c>
      <c r="D882" s="349" t="s">
        <v>438</v>
      </c>
      <c r="E882" s="423">
        <v>5134</v>
      </c>
      <c r="F882" s="378" t="s">
        <v>538</v>
      </c>
      <c r="G882" s="591"/>
      <c r="H882" s="651">
        <v>130</v>
      </c>
      <c r="I882" s="651">
        <v>130</v>
      </c>
      <c r="J882" s="651">
        <v>99</v>
      </c>
      <c r="K882" s="652">
        <f t="shared" si="41"/>
        <v>-31</v>
      </c>
      <c r="L882" s="653">
        <f t="shared" si="42"/>
        <v>76.15384615384615</v>
      </c>
    </row>
    <row r="883" spans="1:12" ht="12.75">
      <c r="A883" s="334">
        <f t="shared" si="40"/>
        <v>882</v>
      </c>
      <c r="B883" s="376">
        <v>8200</v>
      </c>
      <c r="C883" s="328">
        <v>1014</v>
      </c>
      <c r="D883" s="349" t="s">
        <v>438</v>
      </c>
      <c r="E883" s="423">
        <v>5136</v>
      </c>
      <c r="F883" s="378" t="s">
        <v>396</v>
      </c>
      <c r="G883" s="591"/>
      <c r="H883" s="330">
        <v>2</v>
      </c>
      <c r="I883" s="330">
        <v>2</v>
      </c>
      <c r="J883" s="330">
        <v>1</v>
      </c>
      <c r="K883" s="337">
        <f t="shared" si="41"/>
        <v>-1</v>
      </c>
      <c r="L883" s="338">
        <f t="shared" si="42"/>
        <v>50</v>
      </c>
    </row>
    <row r="884" spans="1:12" ht="12.75">
      <c r="A884" s="334">
        <f t="shared" si="40"/>
        <v>883</v>
      </c>
      <c r="B884" s="376">
        <v>8200</v>
      </c>
      <c r="C884" s="328">
        <v>1014</v>
      </c>
      <c r="D884" s="349" t="s">
        <v>438</v>
      </c>
      <c r="E884" s="423">
        <v>5137</v>
      </c>
      <c r="F884" s="349" t="s">
        <v>353</v>
      </c>
      <c r="G884" s="476"/>
      <c r="H884" s="330">
        <v>90</v>
      </c>
      <c r="I884" s="330">
        <v>105</v>
      </c>
      <c r="J884" s="330">
        <v>101</v>
      </c>
      <c r="K884" s="337">
        <f t="shared" si="41"/>
        <v>-4</v>
      </c>
      <c r="L884" s="338">
        <f t="shared" si="42"/>
        <v>96.19047619047619</v>
      </c>
    </row>
    <row r="885" spans="1:12" ht="12.75">
      <c r="A885" s="334">
        <f t="shared" si="40"/>
        <v>884</v>
      </c>
      <c r="B885" s="376">
        <v>8200</v>
      </c>
      <c r="C885" s="328">
        <v>1014</v>
      </c>
      <c r="D885" s="349" t="s">
        <v>438</v>
      </c>
      <c r="E885" s="423">
        <v>5139</v>
      </c>
      <c r="F885" s="328" t="s">
        <v>349</v>
      </c>
      <c r="G885" s="329"/>
      <c r="H885" s="330">
        <v>1159</v>
      </c>
      <c r="I885" s="330">
        <v>1274</v>
      </c>
      <c r="J885" s="330">
        <v>1081</v>
      </c>
      <c r="K885" s="337">
        <f t="shared" si="41"/>
        <v>-193</v>
      </c>
      <c r="L885" s="338">
        <f t="shared" si="42"/>
        <v>84.850863422292</v>
      </c>
    </row>
    <row r="886" spans="1:12" ht="12.75">
      <c r="A886" s="334">
        <f t="shared" si="40"/>
        <v>885</v>
      </c>
      <c r="B886" s="376">
        <v>8200</v>
      </c>
      <c r="C886" s="328">
        <v>1014</v>
      </c>
      <c r="D886" s="349" t="s">
        <v>438</v>
      </c>
      <c r="E886" s="423">
        <v>5139</v>
      </c>
      <c r="F886" s="328" t="s">
        <v>349</v>
      </c>
      <c r="G886" s="329" t="s">
        <v>641</v>
      </c>
      <c r="H886" s="330">
        <v>50</v>
      </c>
      <c r="I886" s="330">
        <v>145</v>
      </c>
      <c r="J886" s="330">
        <v>145</v>
      </c>
      <c r="K886" s="337">
        <f t="shared" si="41"/>
        <v>0</v>
      </c>
      <c r="L886" s="338">
        <f t="shared" si="42"/>
        <v>100</v>
      </c>
    </row>
    <row r="887" spans="1:12" ht="12.75">
      <c r="A887" s="334">
        <f t="shared" si="40"/>
        <v>886</v>
      </c>
      <c r="B887" s="376">
        <v>8200</v>
      </c>
      <c r="C887" s="328">
        <v>1014</v>
      </c>
      <c r="D887" s="349" t="s">
        <v>438</v>
      </c>
      <c r="E887" s="423">
        <v>5151</v>
      </c>
      <c r="F887" s="328" t="s">
        <v>354</v>
      </c>
      <c r="G887" s="591"/>
      <c r="H887" s="491">
        <v>160</v>
      </c>
      <c r="I887" s="491">
        <v>160</v>
      </c>
      <c r="J887" s="491">
        <v>143</v>
      </c>
      <c r="K887" s="492">
        <f t="shared" si="41"/>
        <v>-17</v>
      </c>
      <c r="L887" s="493">
        <f t="shared" si="42"/>
        <v>89.375</v>
      </c>
    </row>
    <row r="888" spans="1:12" ht="12.75">
      <c r="A888" s="334">
        <f t="shared" si="40"/>
        <v>887</v>
      </c>
      <c r="B888" s="376">
        <v>8200</v>
      </c>
      <c r="C888" s="328">
        <v>1014</v>
      </c>
      <c r="D888" s="349" t="s">
        <v>438</v>
      </c>
      <c r="E888" s="423">
        <v>5153</v>
      </c>
      <c r="F888" s="378" t="s">
        <v>399</v>
      </c>
      <c r="G888" s="591"/>
      <c r="H888" s="491">
        <v>685</v>
      </c>
      <c r="I888" s="491">
        <v>685</v>
      </c>
      <c r="J888" s="491">
        <v>396</v>
      </c>
      <c r="K888" s="492">
        <f t="shared" si="41"/>
        <v>-289</v>
      </c>
      <c r="L888" s="493">
        <f t="shared" si="42"/>
        <v>57.81021897810219</v>
      </c>
    </row>
    <row r="889" spans="1:12" ht="12.75">
      <c r="A889" s="334">
        <f t="shared" si="40"/>
        <v>888</v>
      </c>
      <c r="B889" s="376">
        <v>8200</v>
      </c>
      <c r="C889" s="328">
        <v>1014</v>
      </c>
      <c r="D889" s="349" t="s">
        <v>438</v>
      </c>
      <c r="E889" s="423">
        <v>5154</v>
      </c>
      <c r="F889" s="378" t="s">
        <v>356</v>
      </c>
      <c r="G889" s="591"/>
      <c r="H889" s="491">
        <v>485</v>
      </c>
      <c r="I889" s="491">
        <v>485</v>
      </c>
      <c r="J889" s="491">
        <v>354</v>
      </c>
      <c r="K889" s="492">
        <f t="shared" si="41"/>
        <v>-131</v>
      </c>
      <c r="L889" s="493">
        <f t="shared" si="42"/>
        <v>72.98969072164948</v>
      </c>
    </row>
    <row r="890" spans="1:12" ht="12.75">
      <c r="A890" s="334">
        <f t="shared" si="40"/>
        <v>889</v>
      </c>
      <c r="B890" s="376">
        <v>8200</v>
      </c>
      <c r="C890" s="328">
        <v>1014</v>
      </c>
      <c r="D890" s="349" t="s">
        <v>438</v>
      </c>
      <c r="E890" s="423">
        <v>5156</v>
      </c>
      <c r="F890" s="378" t="s">
        <v>386</v>
      </c>
      <c r="G890" s="591"/>
      <c r="H890" s="491">
        <v>200</v>
      </c>
      <c r="I890" s="491">
        <v>200</v>
      </c>
      <c r="J890" s="491">
        <v>169</v>
      </c>
      <c r="K890" s="492">
        <f t="shared" si="41"/>
        <v>-31</v>
      </c>
      <c r="L890" s="493">
        <f t="shared" si="42"/>
        <v>84.5</v>
      </c>
    </row>
    <row r="891" spans="1:12" ht="12.75">
      <c r="A891" s="334">
        <f t="shared" si="40"/>
        <v>890</v>
      </c>
      <c r="B891" s="376">
        <v>8200</v>
      </c>
      <c r="C891" s="328">
        <v>1014</v>
      </c>
      <c r="D891" s="349" t="s">
        <v>438</v>
      </c>
      <c r="E891" s="423">
        <v>5161</v>
      </c>
      <c r="F891" s="378" t="s">
        <v>387</v>
      </c>
      <c r="G891" s="591"/>
      <c r="H891" s="491">
        <v>2</v>
      </c>
      <c r="I891" s="491">
        <v>2</v>
      </c>
      <c r="J891" s="491">
        <v>0</v>
      </c>
      <c r="K891" s="492">
        <f t="shared" si="41"/>
        <v>-2</v>
      </c>
      <c r="L891" s="493">
        <f t="shared" si="42"/>
        <v>0</v>
      </c>
    </row>
    <row r="892" spans="1:12" ht="12.75">
      <c r="A892" s="334">
        <f t="shared" si="40"/>
        <v>891</v>
      </c>
      <c r="B892" s="376">
        <v>8200</v>
      </c>
      <c r="C892" s="328">
        <v>1014</v>
      </c>
      <c r="D892" s="349" t="s">
        <v>438</v>
      </c>
      <c r="E892" s="423">
        <v>5162</v>
      </c>
      <c r="F892" s="328" t="s">
        <v>400</v>
      </c>
      <c r="G892" s="591"/>
      <c r="H892" s="491">
        <v>124</v>
      </c>
      <c r="I892" s="491">
        <v>124</v>
      </c>
      <c r="J892" s="491">
        <v>53</v>
      </c>
      <c r="K892" s="492">
        <f t="shared" si="41"/>
        <v>-71</v>
      </c>
      <c r="L892" s="493">
        <f t="shared" si="42"/>
        <v>42.74193548387097</v>
      </c>
    </row>
    <row r="893" spans="1:12" ht="12.75">
      <c r="A893" s="334">
        <f t="shared" si="40"/>
        <v>892</v>
      </c>
      <c r="B893" s="376">
        <v>8200</v>
      </c>
      <c r="C893" s="328">
        <v>1014</v>
      </c>
      <c r="D893" s="349" t="s">
        <v>438</v>
      </c>
      <c r="E893" s="423">
        <v>5163</v>
      </c>
      <c r="F893" s="378" t="s">
        <v>326</v>
      </c>
      <c r="G893" s="591"/>
      <c r="H893" s="491">
        <v>50</v>
      </c>
      <c r="I893" s="491">
        <v>50</v>
      </c>
      <c r="J893" s="491">
        <v>41</v>
      </c>
      <c r="K893" s="492">
        <f t="shared" si="41"/>
        <v>-9</v>
      </c>
      <c r="L893" s="493">
        <f t="shared" si="42"/>
        <v>82</v>
      </c>
    </row>
    <row r="894" spans="1:12" ht="12.75">
      <c r="A894" s="334">
        <f t="shared" si="40"/>
        <v>893</v>
      </c>
      <c r="B894" s="376">
        <v>8200</v>
      </c>
      <c r="C894" s="328">
        <v>1014</v>
      </c>
      <c r="D894" s="349" t="s">
        <v>438</v>
      </c>
      <c r="E894" s="423">
        <v>5164</v>
      </c>
      <c r="F894" s="378" t="s">
        <v>357</v>
      </c>
      <c r="G894" s="591"/>
      <c r="H894" s="491">
        <v>32</v>
      </c>
      <c r="I894" s="491">
        <v>32</v>
      </c>
      <c r="J894" s="491">
        <v>21</v>
      </c>
      <c r="K894" s="492">
        <f t="shared" si="41"/>
        <v>-11</v>
      </c>
      <c r="L894" s="493">
        <f t="shared" si="42"/>
        <v>65.625</v>
      </c>
    </row>
    <row r="895" spans="1:12" ht="12.75">
      <c r="A895" s="334">
        <f t="shared" si="40"/>
        <v>894</v>
      </c>
      <c r="B895" s="376">
        <v>8200</v>
      </c>
      <c r="C895" s="328">
        <v>1014</v>
      </c>
      <c r="D895" s="349" t="s">
        <v>438</v>
      </c>
      <c r="E895" s="423">
        <v>5166</v>
      </c>
      <c r="F895" s="378" t="s">
        <v>318</v>
      </c>
      <c r="G895" s="591"/>
      <c r="H895" s="491">
        <v>0</v>
      </c>
      <c r="I895" s="491">
        <v>30</v>
      </c>
      <c r="J895" s="491">
        <v>28</v>
      </c>
      <c r="K895" s="492">
        <f t="shared" si="41"/>
        <v>-2</v>
      </c>
      <c r="L895" s="493">
        <f t="shared" si="42"/>
        <v>93.33333333333333</v>
      </c>
    </row>
    <row r="896" spans="1:12" ht="12.75">
      <c r="A896" s="334">
        <f t="shared" si="40"/>
        <v>895</v>
      </c>
      <c r="B896" s="376">
        <v>8200</v>
      </c>
      <c r="C896" s="328">
        <v>1014</v>
      </c>
      <c r="D896" s="349" t="s">
        <v>438</v>
      </c>
      <c r="E896" s="423">
        <v>5167</v>
      </c>
      <c r="F896" s="378" t="s">
        <v>401</v>
      </c>
      <c r="G896" s="591"/>
      <c r="H896" s="491">
        <v>8</v>
      </c>
      <c r="I896" s="491">
        <v>13</v>
      </c>
      <c r="J896" s="491">
        <v>12</v>
      </c>
      <c r="K896" s="492">
        <f t="shared" si="41"/>
        <v>-1</v>
      </c>
      <c r="L896" s="493">
        <f t="shared" si="42"/>
        <v>92.3076923076923</v>
      </c>
    </row>
    <row r="897" spans="1:12" ht="12.75">
      <c r="A897" s="334">
        <f t="shared" si="40"/>
        <v>896</v>
      </c>
      <c r="B897" s="376">
        <v>8200</v>
      </c>
      <c r="C897" s="328">
        <v>1014</v>
      </c>
      <c r="D897" s="349" t="s">
        <v>438</v>
      </c>
      <c r="E897" s="423">
        <v>5169</v>
      </c>
      <c r="F897" s="328" t="s">
        <v>321</v>
      </c>
      <c r="G897" s="329"/>
      <c r="H897" s="491">
        <v>1671</v>
      </c>
      <c r="I897" s="491">
        <v>1671</v>
      </c>
      <c r="J897" s="491">
        <v>1359</v>
      </c>
      <c r="K897" s="492">
        <f t="shared" si="41"/>
        <v>-312</v>
      </c>
      <c r="L897" s="493">
        <f t="shared" si="42"/>
        <v>81.32854578096948</v>
      </c>
    </row>
    <row r="898" spans="1:12" ht="12.75">
      <c r="A898" s="334">
        <f t="shared" si="40"/>
        <v>897</v>
      </c>
      <c r="B898" s="376">
        <v>8200</v>
      </c>
      <c r="C898" s="328">
        <v>1014</v>
      </c>
      <c r="D898" s="349" t="s">
        <v>438</v>
      </c>
      <c r="E898" s="423">
        <v>5169</v>
      </c>
      <c r="F898" s="328" t="s">
        <v>321</v>
      </c>
      <c r="G898" s="591" t="s">
        <v>368</v>
      </c>
      <c r="H898" s="491">
        <v>67</v>
      </c>
      <c r="I898" s="491">
        <v>67</v>
      </c>
      <c r="J898" s="491">
        <v>63</v>
      </c>
      <c r="K898" s="492">
        <f t="shared" si="41"/>
        <v>-4</v>
      </c>
      <c r="L898" s="493">
        <f t="shared" si="42"/>
        <v>94.02985074626866</v>
      </c>
    </row>
    <row r="899" spans="1:12" ht="12.75">
      <c r="A899" s="334">
        <f t="shared" si="40"/>
        <v>898</v>
      </c>
      <c r="B899" s="376">
        <v>8200</v>
      </c>
      <c r="C899" s="328">
        <v>1014</v>
      </c>
      <c r="D899" s="349" t="s">
        <v>438</v>
      </c>
      <c r="E899" s="423">
        <v>5171</v>
      </c>
      <c r="F899" s="378" t="s">
        <v>402</v>
      </c>
      <c r="G899" s="591"/>
      <c r="H899" s="491">
        <v>382</v>
      </c>
      <c r="I899" s="491">
        <v>392</v>
      </c>
      <c r="J899" s="491">
        <v>374</v>
      </c>
      <c r="K899" s="492">
        <f t="shared" si="41"/>
        <v>-18</v>
      </c>
      <c r="L899" s="493">
        <f t="shared" si="42"/>
        <v>95.40816326530613</v>
      </c>
    </row>
    <row r="900" spans="1:12" ht="12.75">
      <c r="A900" s="334">
        <f aca="true" t="shared" si="43" ref="A900:A963">A899+1</f>
        <v>899</v>
      </c>
      <c r="B900" s="376">
        <v>8200</v>
      </c>
      <c r="C900" s="328">
        <v>1014</v>
      </c>
      <c r="D900" s="349" t="s">
        <v>438</v>
      </c>
      <c r="E900" s="423">
        <v>5175</v>
      </c>
      <c r="F900" s="378" t="s">
        <v>341</v>
      </c>
      <c r="G900" s="591"/>
      <c r="H900" s="491">
        <v>1</v>
      </c>
      <c r="I900" s="491">
        <v>1</v>
      </c>
      <c r="J900" s="491">
        <v>0</v>
      </c>
      <c r="K900" s="492">
        <f aca="true" t="shared" si="44" ref="K900:K963">J900-I900</f>
        <v>-1</v>
      </c>
      <c r="L900" s="493">
        <f aca="true" t="shared" si="45" ref="L900:L963">J900/I900*100</f>
        <v>0</v>
      </c>
    </row>
    <row r="901" spans="1:12" ht="12.75">
      <c r="A901" s="334">
        <f t="shared" si="43"/>
        <v>900</v>
      </c>
      <c r="B901" s="376">
        <v>8200</v>
      </c>
      <c r="C901" s="328">
        <v>1014</v>
      </c>
      <c r="D901" s="349" t="s">
        <v>438</v>
      </c>
      <c r="E901" s="423">
        <v>5179</v>
      </c>
      <c r="F901" s="378" t="s">
        <v>404</v>
      </c>
      <c r="G901" s="591"/>
      <c r="H901" s="491">
        <v>16</v>
      </c>
      <c r="I901" s="491">
        <v>16</v>
      </c>
      <c r="J901" s="491">
        <v>0</v>
      </c>
      <c r="K901" s="492">
        <f t="shared" si="44"/>
        <v>-16</v>
      </c>
      <c r="L901" s="493">
        <f t="shared" si="45"/>
        <v>0</v>
      </c>
    </row>
    <row r="902" spans="1:12" ht="12.75">
      <c r="A902" s="334">
        <f t="shared" si="43"/>
        <v>901</v>
      </c>
      <c r="B902" s="376">
        <v>8200</v>
      </c>
      <c r="C902" s="328">
        <v>1014</v>
      </c>
      <c r="D902" s="349" t="s">
        <v>438</v>
      </c>
      <c r="E902" s="423">
        <v>5179</v>
      </c>
      <c r="F902" s="378" t="s">
        <v>404</v>
      </c>
      <c r="G902" s="591" t="s">
        <v>368</v>
      </c>
      <c r="H902" s="491">
        <v>14</v>
      </c>
      <c r="I902" s="491">
        <v>14</v>
      </c>
      <c r="J902" s="491">
        <v>11</v>
      </c>
      <c r="K902" s="492">
        <f t="shared" si="44"/>
        <v>-3</v>
      </c>
      <c r="L902" s="493">
        <f t="shared" si="45"/>
        <v>78.57142857142857</v>
      </c>
    </row>
    <row r="903" spans="1:12" ht="12.75">
      <c r="A903" s="334">
        <f t="shared" si="43"/>
        <v>902</v>
      </c>
      <c r="B903" s="376">
        <v>8200</v>
      </c>
      <c r="C903" s="328">
        <v>1014</v>
      </c>
      <c r="D903" s="349" t="s">
        <v>438</v>
      </c>
      <c r="E903" s="423">
        <v>5192</v>
      </c>
      <c r="F903" s="378" t="s">
        <v>342</v>
      </c>
      <c r="G903" s="591"/>
      <c r="H903" s="491">
        <v>30</v>
      </c>
      <c r="I903" s="491">
        <v>163</v>
      </c>
      <c r="J903" s="491">
        <v>136</v>
      </c>
      <c r="K903" s="492">
        <f t="shared" si="44"/>
        <v>-27</v>
      </c>
      <c r="L903" s="493">
        <f t="shared" si="45"/>
        <v>83.43558282208589</v>
      </c>
    </row>
    <row r="904" spans="1:12" ht="12.75">
      <c r="A904" s="334">
        <f t="shared" si="43"/>
        <v>903</v>
      </c>
      <c r="B904" s="376">
        <v>8200</v>
      </c>
      <c r="C904" s="328">
        <v>1014</v>
      </c>
      <c r="D904" s="349" t="s">
        <v>438</v>
      </c>
      <c r="E904" s="328">
        <v>5424</v>
      </c>
      <c r="F904" s="328" t="s">
        <v>407</v>
      </c>
      <c r="G904" s="591"/>
      <c r="H904" s="491">
        <v>96</v>
      </c>
      <c r="I904" s="491">
        <v>96</v>
      </c>
      <c r="J904" s="491">
        <v>25</v>
      </c>
      <c r="K904" s="492">
        <f t="shared" si="44"/>
        <v>-71</v>
      </c>
      <c r="L904" s="493">
        <f t="shared" si="45"/>
        <v>26.041666666666668</v>
      </c>
    </row>
    <row r="905" spans="1:12" ht="12.75">
      <c r="A905" s="334">
        <f t="shared" si="43"/>
        <v>904</v>
      </c>
      <c r="B905" s="376">
        <v>8200</v>
      </c>
      <c r="C905" s="328">
        <v>1014</v>
      </c>
      <c r="D905" s="349" t="s">
        <v>438</v>
      </c>
      <c r="E905" s="423">
        <v>5499</v>
      </c>
      <c r="F905" s="328" t="s">
        <v>409</v>
      </c>
      <c r="G905" s="591" t="s">
        <v>368</v>
      </c>
      <c r="H905" s="491">
        <v>251</v>
      </c>
      <c r="I905" s="491">
        <v>272</v>
      </c>
      <c r="J905" s="491">
        <v>232</v>
      </c>
      <c r="K905" s="492">
        <f t="shared" si="44"/>
        <v>-40</v>
      </c>
      <c r="L905" s="493">
        <f t="shared" si="45"/>
        <v>85.29411764705883</v>
      </c>
    </row>
    <row r="906" spans="1:12" ht="12.75">
      <c r="A906" s="334">
        <f t="shared" si="43"/>
        <v>905</v>
      </c>
      <c r="B906" s="376">
        <v>8200</v>
      </c>
      <c r="C906" s="328">
        <v>1014</v>
      </c>
      <c r="D906" s="349" t="s">
        <v>438</v>
      </c>
      <c r="E906" s="423">
        <v>5909</v>
      </c>
      <c r="F906" s="328" t="s">
        <v>410</v>
      </c>
      <c r="G906" s="591"/>
      <c r="H906" s="491"/>
      <c r="I906" s="491"/>
      <c r="J906" s="491">
        <v>124</v>
      </c>
      <c r="K906" s="492">
        <f t="shared" si="44"/>
        <v>124</v>
      </c>
      <c r="L906" s="493"/>
    </row>
    <row r="907" spans="1:12" ht="12.75">
      <c r="A907" s="334">
        <f t="shared" si="43"/>
        <v>906</v>
      </c>
      <c r="B907" s="383"/>
      <c r="C907" s="341" t="s">
        <v>440</v>
      </c>
      <c r="D907" s="655"/>
      <c r="E907" s="485"/>
      <c r="F907" s="486"/>
      <c r="G907" s="487"/>
      <c r="H907" s="494">
        <f>SUBTOTAL(9,H873:H906)</f>
        <v>16028</v>
      </c>
      <c r="I907" s="494">
        <f>SUBTOTAL(9,I873:I906)</f>
        <v>16472</v>
      </c>
      <c r="J907" s="494">
        <f>SUBTOTAL(9,J873:J906)</f>
        <v>14707</v>
      </c>
      <c r="K907" s="495">
        <f t="shared" si="44"/>
        <v>-1765</v>
      </c>
      <c r="L907" s="496">
        <f t="shared" si="45"/>
        <v>89.28484701311316</v>
      </c>
    </row>
    <row r="908" spans="1:12" ht="12.75">
      <c r="A908" s="334">
        <f t="shared" si="43"/>
        <v>907</v>
      </c>
      <c r="B908" s="592">
        <v>8200</v>
      </c>
      <c r="C908" s="423">
        <v>5311</v>
      </c>
      <c r="D908" s="423" t="s">
        <v>90</v>
      </c>
      <c r="E908" s="423">
        <v>5011</v>
      </c>
      <c r="F908" s="328" t="s">
        <v>359</v>
      </c>
      <c r="G908" s="591"/>
      <c r="H908" s="647">
        <v>198269</v>
      </c>
      <c r="I908" s="647">
        <v>198449</v>
      </c>
      <c r="J908" s="648">
        <v>196689</v>
      </c>
      <c r="K908" s="649">
        <f t="shared" si="44"/>
        <v>-1760</v>
      </c>
      <c r="L908" s="650">
        <f t="shared" si="45"/>
        <v>99.11312226315073</v>
      </c>
    </row>
    <row r="909" spans="1:12" ht="12.75">
      <c r="A909" s="334">
        <f t="shared" si="43"/>
        <v>908</v>
      </c>
      <c r="B909" s="592">
        <v>8200</v>
      </c>
      <c r="C909" s="423">
        <v>5311</v>
      </c>
      <c r="D909" s="423" t="s">
        <v>90</v>
      </c>
      <c r="E909" s="423">
        <v>5011</v>
      </c>
      <c r="F909" s="328" t="s">
        <v>359</v>
      </c>
      <c r="G909" s="591" t="s">
        <v>368</v>
      </c>
      <c r="H909" s="647">
        <v>200</v>
      </c>
      <c r="I909" s="647">
        <v>200</v>
      </c>
      <c r="J909" s="648">
        <v>200</v>
      </c>
      <c r="K909" s="649">
        <f t="shared" si="44"/>
        <v>0</v>
      </c>
      <c r="L909" s="650">
        <f t="shared" si="45"/>
        <v>100</v>
      </c>
    </row>
    <row r="910" spans="1:12" ht="12.75">
      <c r="A910" s="334">
        <f t="shared" si="43"/>
        <v>909</v>
      </c>
      <c r="B910" s="592">
        <v>8200</v>
      </c>
      <c r="C910" s="423">
        <v>5311</v>
      </c>
      <c r="D910" s="423" t="s">
        <v>90</v>
      </c>
      <c r="E910" s="423">
        <v>5021</v>
      </c>
      <c r="F910" s="378" t="s">
        <v>365</v>
      </c>
      <c r="G910" s="591"/>
      <c r="H910" s="647">
        <v>500</v>
      </c>
      <c r="I910" s="647">
        <v>650</v>
      </c>
      <c r="J910" s="648">
        <v>519</v>
      </c>
      <c r="K910" s="649">
        <f t="shared" si="44"/>
        <v>-131</v>
      </c>
      <c r="L910" s="650">
        <f t="shared" si="45"/>
        <v>79.84615384615384</v>
      </c>
    </row>
    <row r="911" spans="1:12" ht="12.75">
      <c r="A911" s="334">
        <f t="shared" si="43"/>
        <v>910</v>
      </c>
      <c r="B911" s="592">
        <v>8200</v>
      </c>
      <c r="C911" s="423">
        <v>5311</v>
      </c>
      <c r="D911" s="423" t="s">
        <v>90</v>
      </c>
      <c r="E911" s="423">
        <v>5024</v>
      </c>
      <c r="F911" s="378" t="s">
        <v>392</v>
      </c>
      <c r="G911" s="591"/>
      <c r="H911" s="647">
        <v>60</v>
      </c>
      <c r="I911" s="647">
        <v>819</v>
      </c>
      <c r="J911" s="648">
        <v>745</v>
      </c>
      <c r="K911" s="649">
        <f t="shared" si="44"/>
        <v>-74</v>
      </c>
      <c r="L911" s="650">
        <f t="shared" si="45"/>
        <v>90.96459096459097</v>
      </c>
    </row>
    <row r="912" spans="1:12" ht="12.75">
      <c r="A912" s="334">
        <f t="shared" si="43"/>
        <v>911</v>
      </c>
      <c r="B912" s="592">
        <v>8200</v>
      </c>
      <c r="C912" s="423">
        <v>5311</v>
      </c>
      <c r="D912" s="423" t="s">
        <v>90</v>
      </c>
      <c r="E912" s="423">
        <v>5031</v>
      </c>
      <c r="F912" s="328" t="s">
        <v>361</v>
      </c>
      <c r="G912" s="329"/>
      <c r="H912" s="647">
        <v>49667</v>
      </c>
      <c r="I912" s="647">
        <v>49667</v>
      </c>
      <c r="J912" s="648">
        <v>49288</v>
      </c>
      <c r="K912" s="649">
        <f t="shared" si="44"/>
        <v>-379</v>
      </c>
      <c r="L912" s="650">
        <f t="shared" si="45"/>
        <v>99.23691787303441</v>
      </c>
    </row>
    <row r="913" spans="1:12" ht="12.75">
      <c r="A913" s="334">
        <f t="shared" si="43"/>
        <v>912</v>
      </c>
      <c r="B913" s="592">
        <v>8200</v>
      </c>
      <c r="C913" s="423">
        <v>5311</v>
      </c>
      <c r="D913" s="423" t="s">
        <v>90</v>
      </c>
      <c r="E913" s="423">
        <v>5031</v>
      </c>
      <c r="F913" s="328" t="s">
        <v>361</v>
      </c>
      <c r="G913" s="329" t="s">
        <v>368</v>
      </c>
      <c r="H913" s="647">
        <v>52</v>
      </c>
      <c r="I913" s="647">
        <v>52</v>
      </c>
      <c r="J913" s="648">
        <v>52</v>
      </c>
      <c r="K913" s="649">
        <f t="shared" si="44"/>
        <v>0</v>
      </c>
      <c r="L913" s="650">
        <f t="shared" si="45"/>
        <v>100</v>
      </c>
    </row>
    <row r="914" spans="1:12" ht="12.75">
      <c r="A914" s="334">
        <f t="shared" si="43"/>
        <v>913</v>
      </c>
      <c r="B914" s="592">
        <v>8200</v>
      </c>
      <c r="C914" s="423">
        <v>5311</v>
      </c>
      <c r="D914" s="423" t="s">
        <v>90</v>
      </c>
      <c r="E914" s="423">
        <v>5032</v>
      </c>
      <c r="F914" s="328" t="s">
        <v>362</v>
      </c>
      <c r="G914" s="329"/>
      <c r="H914" s="647">
        <v>17945</v>
      </c>
      <c r="I914" s="647">
        <v>17945</v>
      </c>
      <c r="J914" s="648">
        <v>17743</v>
      </c>
      <c r="K914" s="649">
        <f t="shared" si="44"/>
        <v>-202</v>
      </c>
      <c r="L914" s="650">
        <f t="shared" si="45"/>
        <v>98.87433825578155</v>
      </c>
    </row>
    <row r="915" spans="1:12" ht="12.75">
      <c r="A915" s="334">
        <f t="shared" si="43"/>
        <v>914</v>
      </c>
      <c r="B915" s="592">
        <v>8200</v>
      </c>
      <c r="C915" s="423">
        <v>5311</v>
      </c>
      <c r="D915" s="423" t="s">
        <v>90</v>
      </c>
      <c r="E915" s="423">
        <v>5032</v>
      </c>
      <c r="F915" s="328" t="s">
        <v>362</v>
      </c>
      <c r="G915" s="329" t="s">
        <v>368</v>
      </c>
      <c r="H915" s="647">
        <v>18</v>
      </c>
      <c r="I915" s="647">
        <v>18</v>
      </c>
      <c r="J915" s="648">
        <v>18</v>
      </c>
      <c r="K915" s="649">
        <f t="shared" si="44"/>
        <v>0</v>
      </c>
      <c r="L915" s="650">
        <f t="shared" si="45"/>
        <v>100</v>
      </c>
    </row>
    <row r="916" spans="1:12" ht="12.75">
      <c r="A916" s="334">
        <f t="shared" si="43"/>
        <v>915</v>
      </c>
      <c r="B916" s="592">
        <v>8200</v>
      </c>
      <c r="C916" s="423">
        <v>5311</v>
      </c>
      <c r="D916" s="423" t="s">
        <v>90</v>
      </c>
      <c r="E916" s="423">
        <v>5131</v>
      </c>
      <c r="F916" s="328" t="s">
        <v>640</v>
      </c>
      <c r="G916" s="329"/>
      <c r="H916" s="647">
        <v>270</v>
      </c>
      <c r="I916" s="647">
        <v>350</v>
      </c>
      <c r="J916" s="648">
        <v>333</v>
      </c>
      <c r="K916" s="649">
        <f t="shared" si="44"/>
        <v>-17</v>
      </c>
      <c r="L916" s="650">
        <f t="shared" si="45"/>
        <v>95.14285714285714</v>
      </c>
    </row>
    <row r="917" spans="1:12" ht="12.75">
      <c r="A917" s="334">
        <f t="shared" si="43"/>
        <v>916</v>
      </c>
      <c r="B917" s="592">
        <v>8200</v>
      </c>
      <c r="C917" s="423">
        <v>5311</v>
      </c>
      <c r="D917" s="423" t="s">
        <v>90</v>
      </c>
      <c r="E917" s="423">
        <v>5133</v>
      </c>
      <c r="F917" s="328" t="s">
        <v>395</v>
      </c>
      <c r="G917" s="329"/>
      <c r="H917" s="647">
        <v>100</v>
      </c>
      <c r="I917" s="647">
        <v>150</v>
      </c>
      <c r="J917" s="648">
        <v>126</v>
      </c>
      <c r="K917" s="649">
        <f t="shared" si="44"/>
        <v>-24</v>
      </c>
      <c r="L917" s="650">
        <f t="shared" si="45"/>
        <v>84</v>
      </c>
    </row>
    <row r="918" spans="1:12" ht="12.75">
      <c r="A918" s="334">
        <f t="shared" si="43"/>
        <v>917</v>
      </c>
      <c r="B918" s="592">
        <v>8200</v>
      </c>
      <c r="C918" s="423">
        <v>5311</v>
      </c>
      <c r="D918" s="423" t="s">
        <v>90</v>
      </c>
      <c r="E918" s="423">
        <v>5134</v>
      </c>
      <c r="F918" s="378" t="s">
        <v>538</v>
      </c>
      <c r="G918" s="591"/>
      <c r="H918" s="647">
        <v>4406</v>
      </c>
      <c r="I918" s="647">
        <v>4303</v>
      </c>
      <c r="J918" s="648">
        <v>2961</v>
      </c>
      <c r="K918" s="649">
        <f t="shared" si="44"/>
        <v>-1342</v>
      </c>
      <c r="L918" s="650">
        <f t="shared" si="45"/>
        <v>68.81245642574947</v>
      </c>
    </row>
    <row r="919" spans="1:12" ht="12.75">
      <c r="A919" s="334">
        <f t="shared" si="43"/>
        <v>918</v>
      </c>
      <c r="B919" s="592">
        <v>8200</v>
      </c>
      <c r="C919" s="423">
        <v>5311</v>
      </c>
      <c r="D919" s="423" t="s">
        <v>90</v>
      </c>
      <c r="E919" s="423">
        <v>5136</v>
      </c>
      <c r="F919" s="378" t="s">
        <v>396</v>
      </c>
      <c r="G919" s="591"/>
      <c r="H919" s="647">
        <v>146</v>
      </c>
      <c r="I919" s="647">
        <v>146</v>
      </c>
      <c r="J919" s="648">
        <v>84</v>
      </c>
      <c r="K919" s="649">
        <f t="shared" si="44"/>
        <v>-62</v>
      </c>
      <c r="L919" s="650">
        <f t="shared" si="45"/>
        <v>57.534246575342465</v>
      </c>
    </row>
    <row r="920" spans="1:12" ht="12.75">
      <c r="A920" s="334">
        <f t="shared" si="43"/>
        <v>919</v>
      </c>
      <c r="B920" s="592">
        <v>8200</v>
      </c>
      <c r="C920" s="423">
        <v>5311</v>
      </c>
      <c r="D920" s="423" t="s">
        <v>90</v>
      </c>
      <c r="E920" s="423">
        <v>5137</v>
      </c>
      <c r="F920" s="349" t="s">
        <v>353</v>
      </c>
      <c r="G920" s="476"/>
      <c r="H920" s="647">
        <v>3464</v>
      </c>
      <c r="I920" s="647">
        <v>6714</v>
      </c>
      <c r="J920" s="648">
        <v>6494</v>
      </c>
      <c r="K920" s="649">
        <f t="shared" si="44"/>
        <v>-220</v>
      </c>
      <c r="L920" s="650">
        <f t="shared" si="45"/>
        <v>96.72326481977956</v>
      </c>
    </row>
    <row r="921" spans="1:12" ht="12.75">
      <c r="A921" s="334">
        <f t="shared" si="43"/>
        <v>920</v>
      </c>
      <c r="B921" s="592">
        <v>8200</v>
      </c>
      <c r="C921" s="423">
        <v>5311</v>
      </c>
      <c r="D921" s="423" t="s">
        <v>90</v>
      </c>
      <c r="E921" s="423">
        <v>5137</v>
      </c>
      <c r="F921" s="349" t="s">
        <v>353</v>
      </c>
      <c r="G921" s="476" t="s">
        <v>368</v>
      </c>
      <c r="H921" s="647">
        <v>20</v>
      </c>
      <c r="I921" s="647">
        <v>35</v>
      </c>
      <c r="J921" s="648">
        <v>25</v>
      </c>
      <c r="K921" s="649">
        <f t="shared" si="44"/>
        <v>-10</v>
      </c>
      <c r="L921" s="650">
        <f t="shared" si="45"/>
        <v>71.42857142857143</v>
      </c>
    </row>
    <row r="922" spans="1:12" ht="12.75">
      <c r="A922" s="334">
        <f t="shared" si="43"/>
        <v>921</v>
      </c>
      <c r="B922" s="592">
        <v>8200</v>
      </c>
      <c r="C922" s="423">
        <v>5311</v>
      </c>
      <c r="D922" s="423" t="s">
        <v>90</v>
      </c>
      <c r="E922" s="423">
        <v>5139</v>
      </c>
      <c r="F922" s="328" t="s">
        <v>349</v>
      </c>
      <c r="G922" s="329"/>
      <c r="H922" s="647">
        <v>5379</v>
      </c>
      <c r="I922" s="647">
        <v>4679</v>
      </c>
      <c r="J922" s="648">
        <v>4020</v>
      </c>
      <c r="K922" s="649">
        <f t="shared" si="44"/>
        <v>-659</v>
      </c>
      <c r="L922" s="650">
        <f t="shared" si="45"/>
        <v>85.91579397307116</v>
      </c>
    </row>
    <row r="923" spans="1:12" ht="12.75">
      <c r="A923" s="334">
        <f t="shared" si="43"/>
        <v>922</v>
      </c>
      <c r="B923" s="592">
        <v>8200</v>
      </c>
      <c r="C923" s="423">
        <v>5311</v>
      </c>
      <c r="D923" s="423" t="s">
        <v>90</v>
      </c>
      <c r="E923" s="423">
        <v>5139</v>
      </c>
      <c r="F923" s="328" t="s">
        <v>349</v>
      </c>
      <c r="G923" s="329" t="s">
        <v>368</v>
      </c>
      <c r="H923" s="647">
        <v>72</v>
      </c>
      <c r="I923" s="647">
        <v>46</v>
      </c>
      <c r="J923" s="648">
        <v>22</v>
      </c>
      <c r="K923" s="649">
        <f t="shared" si="44"/>
        <v>-24</v>
      </c>
      <c r="L923" s="650">
        <f t="shared" si="45"/>
        <v>47.82608695652174</v>
      </c>
    </row>
    <row r="924" spans="1:12" ht="12.75">
      <c r="A924" s="334">
        <f t="shared" si="43"/>
        <v>923</v>
      </c>
      <c r="B924" s="592">
        <v>8200</v>
      </c>
      <c r="C924" s="423">
        <v>5311</v>
      </c>
      <c r="D924" s="423" t="s">
        <v>90</v>
      </c>
      <c r="E924" s="423">
        <v>5151</v>
      </c>
      <c r="F924" s="328" t="s">
        <v>354</v>
      </c>
      <c r="G924" s="591"/>
      <c r="H924" s="647">
        <v>760</v>
      </c>
      <c r="I924" s="647">
        <v>660</v>
      </c>
      <c r="J924" s="648">
        <v>544</v>
      </c>
      <c r="K924" s="649">
        <f t="shared" si="44"/>
        <v>-116</v>
      </c>
      <c r="L924" s="650">
        <f t="shared" si="45"/>
        <v>82.42424242424242</v>
      </c>
    </row>
    <row r="925" spans="1:12" ht="12.75">
      <c r="A925" s="334">
        <f t="shared" si="43"/>
        <v>924</v>
      </c>
      <c r="B925" s="592">
        <v>8200</v>
      </c>
      <c r="C925" s="423">
        <v>5311</v>
      </c>
      <c r="D925" s="423" t="s">
        <v>90</v>
      </c>
      <c r="E925" s="423">
        <v>5152</v>
      </c>
      <c r="F925" s="378" t="s">
        <v>355</v>
      </c>
      <c r="G925" s="591"/>
      <c r="H925" s="647">
        <v>1004</v>
      </c>
      <c r="I925" s="647">
        <v>754</v>
      </c>
      <c r="J925" s="648">
        <v>616</v>
      </c>
      <c r="K925" s="649">
        <f t="shared" si="44"/>
        <v>-138</v>
      </c>
      <c r="L925" s="650">
        <f t="shared" si="45"/>
        <v>81.6976127320955</v>
      </c>
    </row>
    <row r="926" spans="1:12" ht="12.75">
      <c r="A926" s="334">
        <f t="shared" si="43"/>
        <v>925</v>
      </c>
      <c r="B926" s="592">
        <v>8200</v>
      </c>
      <c r="C926" s="423">
        <v>5311</v>
      </c>
      <c r="D926" s="423" t="s">
        <v>90</v>
      </c>
      <c r="E926" s="423">
        <v>5153</v>
      </c>
      <c r="F926" s="378" t="s">
        <v>399</v>
      </c>
      <c r="G926" s="591"/>
      <c r="H926" s="647">
        <v>3158</v>
      </c>
      <c r="I926" s="647">
        <v>2558</v>
      </c>
      <c r="J926" s="648">
        <v>2073</v>
      </c>
      <c r="K926" s="649">
        <f t="shared" si="44"/>
        <v>-485</v>
      </c>
      <c r="L926" s="650">
        <f t="shared" si="45"/>
        <v>81.0398749022674</v>
      </c>
    </row>
    <row r="927" spans="1:12" ht="12.75">
      <c r="A927" s="334">
        <f t="shared" si="43"/>
        <v>926</v>
      </c>
      <c r="B927" s="592">
        <v>8200</v>
      </c>
      <c r="C927" s="423">
        <v>5311</v>
      </c>
      <c r="D927" s="423" t="s">
        <v>90</v>
      </c>
      <c r="E927" s="423">
        <v>5153</v>
      </c>
      <c r="F927" s="378" t="s">
        <v>399</v>
      </c>
      <c r="G927" s="591" t="s">
        <v>368</v>
      </c>
      <c r="H927" s="647">
        <v>310</v>
      </c>
      <c r="I927" s="647">
        <v>297</v>
      </c>
      <c r="J927" s="648">
        <v>242</v>
      </c>
      <c r="K927" s="649">
        <f t="shared" si="44"/>
        <v>-55</v>
      </c>
      <c r="L927" s="650">
        <f t="shared" si="45"/>
        <v>81.48148148148148</v>
      </c>
    </row>
    <row r="928" spans="1:12" ht="12.75">
      <c r="A928" s="334">
        <f t="shared" si="43"/>
        <v>927</v>
      </c>
      <c r="B928" s="592">
        <v>8200</v>
      </c>
      <c r="C928" s="423">
        <v>5311</v>
      </c>
      <c r="D928" s="423" t="s">
        <v>90</v>
      </c>
      <c r="E928" s="423">
        <v>5154</v>
      </c>
      <c r="F928" s="378" t="s">
        <v>356</v>
      </c>
      <c r="G928" s="591"/>
      <c r="H928" s="647">
        <v>3860</v>
      </c>
      <c r="I928" s="647">
        <v>3560</v>
      </c>
      <c r="J928" s="648">
        <v>3443</v>
      </c>
      <c r="K928" s="649">
        <f t="shared" si="44"/>
        <v>-117</v>
      </c>
      <c r="L928" s="650">
        <f t="shared" si="45"/>
        <v>96.71348314606742</v>
      </c>
    </row>
    <row r="929" spans="1:12" ht="12.75">
      <c r="A929" s="334">
        <f t="shared" si="43"/>
        <v>928</v>
      </c>
      <c r="B929" s="592">
        <v>8200</v>
      </c>
      <c r="C929" s="423">
        <v>5311</v>
      </c>
      <c r="D929" s="423" t="s">
        <v>90</v>
      </c>
      <c r="E929" s="423">
        <v>5154</v>
      </c>
      <c r="F929" s="378" t="s">
        <v>356</v>
      </c>
      <c r="G929" s="591" t="s">
        <v>368</v>
      </c>
      <c r="H929" s="647">
        <v>135</v>
      </c>
      <c r="I929" s="647">
        <v>148</v>
      </c>
      <c r="J929" s="648">
        <v>147</v>
      </c>
      <c r="K929" s="649">
        <f t="shared" si="44"/>
        <v>-1</v>
      </c>
      <c r="L929" s="650">
        <f t="shared" si="45"/>
        <v>99.32432432432432</v>
      </c>
    </row>
    <row r="930" spans="1:12" ht="12.75">
      <c r="A930" s="334">
        <f t="shared" si="43"/>
        <v>929</v>
      </c>
      <c r="B930" s="592">
        <v>8200</v>
      </c>
      <c r="C930" s="423">
        <v>5311</v>
      </c>
      <c r="D930" s="423" t="s">
        <v>90</v>
      </c>
      <c r="E930" s="423">
        <v>5156</v>
      </c>
      <c r="F930" s="378" t="s">
        <v>386</v>
      </c>
      <c r="G930" s="591"/>
      <c r="H930" s="647">
        <v>5918</v>
      </c>
      <c r="I930" s="647">
        <v>5168</v>
      </c>
      <c r="J930" s="648">
        <v>4791</v>
      </c>
      <c r="K930" s="649">
        <f t="shared" si="44"/>
        <v>-377</v>
      </c>
      <c r="L930" s="650">
        <f t="shared" si="45"/>
        <v>92.70510835913312</v>
      </c>
    </row>
    <row r="931" spans="1:12" ht="12.75">
      <c r="A931" s="334">
        <f t="shared" si="43"/>
        <v>930</v>
      </c>
      <c r="B931" s="592">
        <v>8200</v>
      </c>
      <c r="C931" s="423">
        <v>5311</v>
      </c>
      <c r="D931" s="423" t="s">
        <v>90</v>
      </c>
      <c r="E931" s="423">
        <v>5161</v>
      </c>
      <c r="F931" s="378" t="s">
        <v>387</v>
      </c>
      <c r="G931" s="591"/>
      <c r="H931" s="647">
        <v>10</v>
      </c>
      <c r="I931" s="647">
        <v>10</v>
      </c>
      <c r="J931" s="648">
        <v>4</v>
      </c>
      <c r="K931" s="649">
        <f t="shared" si="44"/>
        <v>-6</v>
      </c>
      <c r="L931" s="650">
        <f t="shared" si="45"/>
        <v>40</v>
      </c>
    </row>
    <row r="932" spans="1:12" ht="12.75">
      <c r="A932" s="334">
        <f t="shared" si="43"/>
        <v>931</v>
      </c>
      <c r="B932" s="592">
        <v>8200</v>
      </c>
      <c r="C932" s="423">
        <v>5311</v>
      </c>
      <c r="D932" s="423" t="s">
        <v>90</v>
      </c>
      <c r="E932" s="423">
        <v>5162</v>
      </c>
      <c r="F932" s="328" t="s">
        <v>400</v>
      </c>
      <c r="G932" s="591"/>
      <c r="H932" s="647">
        <v>5410</v>
      </c>
      <c r="I932" s="647">
        <v>3990</v>
      </c>
      <c r="J932" s="648">
        <v>3699</v>
      </c>
      <c r="K932" s="649">
        <f t="shared" si="44"/>
        <v>-291</v>
      </c>
      <c r="L932" s="650">
        <f t="shared" si="45"/>
        <v>92.70676691729324</v>
      </c>
    </row>
    <row r="933" spans="1:12" ht="12.75">
      <c r="A933" s="334">
        <f t="shared" si="43"/>
        <v>932</v>
      </c>
      <c r="B933" s="592">
        <v>8200</v>
      </c>
      <c r="C933" s="423">
        <v>5311</v>
      </c>
      <c r="D933" s="423" t="s">
        <v>90</v>
      </c>
      <c r="E933" s="423">
        <v>5163</v>
      </c>
      <c r="F933" s="378" t="s">
        <v>326</v>
      </c>
      <c r="G933" s="591"/>
      <c r="H933" s="647">
        <v>1712</v>
      </c>
      <c r="I933" s="647">
        <v>1712</v>
      </c>
      <c r="J933" s="648">
        <v>1695</v>
      </c>
      <c r="K933" s="649">
        <f t="shared" si="44"/>
        <v>-17</v>
      </c>
      <c r="L933" s="650">
        <f t="shared" si="45"/>
        <v>99.0070093457944</v>
      </c>
    </row>
    <row r="934" spans="1:12" ht="12.75">
      <c r="A934" s="334">
        <f t="shared" si="43"/>
        <v>933</v>
      </c>
      <c r="B934" s="592">
        <v>8200</v>
      </c>
      <c r="C934" s="423">
        <v>5311</v>
      </c>
      <c r="D934" s="423" t="s">
        <v>90</v>
      </c>
      <c r="E934" s="423">
        <v>5163</v>
      </c>
      <c r="F934" s="378" t="s">
        <v>326</v>
      </c>
      <c r="G934" s="591" t="s">
        <v>368</v>
      </c>
      <c r="H934" s="647">
        <v>21</v>
      </c>
      <c r="I934" s="647">
        <v>21</v>
      </c>
      <c r="J934" s="648">
        <v>20</v>
      </c>
      <c r="K934" s="649">
        <f t="shared" si="44"/>
        <v>-1</v>
      </c>
      <c r="L934" s="650">
        <f t="shared" si="45"/>
        <v>95.23809523809523</v>
      </c>
    </row>
    <row r="935" spans="1:12" ht="12.75">
      <c r="A935" s="334">
        <f t="shared" si="43"/>
        <v>934</v>
      </c>
      <c r="B935" s="592">
        <v>8200</v>
      </c>
      <c r="C935" s="423">
        <v>5311</v>
      </c>
      <c r="D935" s="423" t="s">
        <v>90</v>
      </c>
      <c r="E935" s="423">
        <v>5164</v>
      </c>
      <c r="F935" s="378" t="s">
        <v>357</v>
      </c>
      <c r="G935" s="591"/>
      <c r="H935" s="647">
        <v>882</v>
      </c>
      <c r="I935" s="647">
        <v>682</v>
      </c>
      <c r="J935" s="648">
        <v>421</v>
      </c>
      <c r="K935" s="649">
        <f t="shared" si="44"/>
        <v>-261</v>
      </c>
      <c r="L935" s="650">
        <f t="shared" si="45"/>
        <v>61.73020527859238</v>
      </c>
    </row>
    <row r="936" spans="1:12" ht="12.75">
      <c r="A936" s="334">
        <f t="shared" si="43"/>
        <v>935</v>
      </c>
      <c r="B936" s="592">
        <v>8200</v>
      </c>
      <c r="C936" s="423">
        <v>5311</v>
      </c>
      <c r="D936" s="423" t="s">
        <v>90</v>
      </c>
      <c r="E936" s="423">
        <v>5164</v>
      </c>
      <c r="F936" s="378" t="s">
        <v>357</v>
      </c>
      <c r="G936" s="591" t="s">
        <v>368</v>
      </c>
      <c r="H936" s="647">
        <v>74</v>
      </c>
      <c r="I936" s="647">
        <v>80</v>
      </c>
      <c r="J936" s="648">
        <v>10</v>
      </c>
      <c r="K936" s="649">
        <f t="shared" si="44"/>
        <v>-70</v>
      </c>
      <c r="L936" s="650">
        <f t="shared" si="45"/>
        <v>12.5</v>
      </c>
    </row>
    <row r="937" spans="1:12" ht="12.75">
      <c r="A937" s="334">
        <f t="shared" si="43"/>
        <v>936</v>
      </c>
      <c r="B937" s="592">
        <v>8200</v>
      </c>
      <c r="C937" s="423">
        <v>5311</v>
      </c>
      <c r="D937" s="423" t="s">
        <v>90</v>
      </c>
      <c r="E937" s="423">
        <v>5166</v>
      </c>
      <c r="F937" s="328" t="s">
        <v>318</v>
      </c>
      <c r="G937" s="329"/>
      <c r="H937" s="647">
        <v>125</v>
      </c>
      <c r="I937" s="647">
        <v>143</v>
      </c>
      <c r="J937" s="648">
        <v>142</v>
      </c>
      <c r="K937" s="649">
        <f t="shared" si="44"/>
        <v>-1</v>
      </c>
      <c r="L937" s="650">
        <f t="shared" si="45"/>
        <v>99.3006993006993</v>
      </c>
    </row>
    <row r="938" spans="1:12" ht="12.75">
      <c r="A938" s="334">
        <f t="shared" si="43"/>
        <v>937</v>
      </c>
      <c r="B938" s="592">
        <v>8200</v>
      </c>
      <c r="C938" s="423">
        <v>5311</v>
      </c>
      <c r="D938" s="423" t="s">
        <v>90</v>
      </c>
      <c r="E938" s="423">
        <v>5166</v>
      </c>
      <c r="F938" s="328" t="s">
        <v>318</v>
      </c>
      <c r="G938" s="329" t="s">
        <v>368</v>
      </c>
      <c r="H938" s="647">
        <v>5</v>
      </c>
      <c r="I938" s="647">
        <v>10</v>
      </c>
      <c r="J938" s="648">
        <v>0</v>
      </c>
      <c r="K938" s="649">
        <f t="shared" si="44"/>
        <v>-10</v>
      </c>
      <c r="L938" s="650">
        <f t="shared" si="45"/>
        <v>0</v>
      </c>
    </row>
    <row r="939" spans="1:12" ht="12.75">
      <c r="A939" s="334">
        <f t="shared" si="43"/>
        <v>938</v>
      </c>
      <c r="B939" s="592">
        <v>8200</v>
      </c>
      <c r="C939" s="423">
        <v>5311</v>
      </c>
      <c r="D939" s="423" t="s">
        <v>90</v>
      </c>
      <c r="E939" s="423">
        <v>5167</v>
      </c>
      <c r="F939" s="378" t="s">
        <v>401</v>
      </c>
      <c r="G939" s="591"/>
      <c r="H939" s="647">
        <v>433</v>
      </c>
      <c r="I939" s="647">
        <v>233</v>
      </c>
      <c r="J939" s="648">
        <v>185</v>
      </c>
      <c r="K939" s="649">
        <f t="shared" si="44"/>
        <v>-48</v>
      </c>
      <c r="L939" s="650">
        <f t="shared" si="45"/>
        <v>79.39914163090128</v>
      </c>
    </row>
    <row r="940" spans="1:12" ht="12.75">
      <c r="A940" s="334">
        <f t="shared" si="43"/>
        <v>939</v>
      </c>
      <c r="B940" s="592">
        <v>8200</v>
      </c>
      <c r="C940" s="423">
        <v>5311</v>
      </c>
      <c r="D940" s="423" t="s">
        <v>90</v>
      </c>
      <c r="E940" s="423">
        <v>5169</v>
      </c>
      <c r="F940" s="328" t="s">
        <v>321</v>
      </c>
      <c r="G940" s="329"/>
      <c r="H940" s="647">
        <v>18943</v>
      </c>
      <c r="I940" s="647">
        <v>15889</v>
      </c>
      <c r="J940" s="648">
        <v>13514</v>
      </c>
      <c r="K940" s="649">
        <f t="shared" si="44"/>
        <v>-2375</v>
      </c>
      <c r="L940" s="650">
        <f t="shared" si="45"/>
        <v>85.05255208005539</v>
      </c>
    </row>
    <row r="941" spans="1:12" ht="12.75">
      <c r="A941" s="334">
        <f t="shared" si="43"/>
        <v>940</v>
      </c>
      <c r="B941" s="592">
        <v>8200</v>
      </c>
      <c r="C941" s="423">
        <v>5311</v>
      </c>
      <c r="D941" s="423" t="s">
        <v>90</v>
      </c>
      <c r="E941" s="423">
        <v>5169</v>
      </c>
      <c r="F941" s="328" t="s">
        <v>321</v>
      </c>
      <c r="G941" s="329" t="s">
        <v>368</v>
      </c>
      <c r="H941" s="647">
        <v>1799</v>
      </c>
      <c r="I941" s="647">
        <v>1879</v>
      </c>
      <c r="J941" s="648">
        <v>1804</v>
      </c>
      <c r="K941" s="649">
        <f t="shared" si="44"/>
        <v>-75</v>
      </c>
      <c r="L941" s="650">
        <f t="shared" si="45"/>
        <v>96.00851516764236</v>
      </c>
    </row>
    <row r="942" spans="1:12" ht="12.75">
      <c r="A942" s="334">
        <f t="shared" si="43"/>
        <v>941</v>
      </c>
      <c r="B942" s="592">
        <v>8200</v>
      </c>
      <c r="C942" s="423">
        <v>5311</v>
      </c>
      <c r="D942" s="423" t="s">
        <v>90</v>
      </c>
      <c r="E942" s="423">
        <v>5171</v>
      </c>
      <c r="F942" s="378" t="s">
        <v>402</v>
      </c>
      <c r="G942" s="591"/>
      <c r="H942" s="647">
        <v>3613</v>
      </c>
      <c r="I942" s="647">
        <v>3029</v>
      </c>
      <c r="J942" s="648">
        <v>2124</v>
      </c>
      <c r="K942" s="649">
        <f t="shared" si="44"/>
        <v>-905</v>
      </c>
      <c r="L942" s="650">
        <f t="shared" si="45"/>
        <v>70.122152525586</v>
      </c>
    </row>
    <row r="943" spans="1:12" ht="12.75">
      <c r="A943" s="334">
        <f t="shared" si="43"/>
        <v>942</v>
      </c>
      <c r="B943" s="592">
        <v>8200</v>
      </c>
      <c r="C943" s="423">
        <v>5311</v>
      </c>
      <c r="D943" s="423" t="s">
        <v>90</v>
      </c>
      <c r="E943" s="423">
        <v>5171</v>
      </c>
      <c r="F943" s="378" t="s">
        <v>402</v>
      </c>
      <c r="G943" s="591" t="s">
        <v>368</v>
      </c>
      <c r="H943" s="647">
        <v>142</v>
      </c>
      <c r="I943" s="647">
        <v>242</v>
      </c>
      <c r="J943" s="648">
        <v>240</v>
      </c>
      <c r="K943" s="649">
        <f t="shared" si="44"/>
        <v>-2</v>
      </c>
      <c r="L943" s="650">
        <f t="shared" si="45"/>
        <v>99.17355371900827</v>
      </c>
    </row>
    <row r="944" spans="1:12" ht="12.75">
      <c r="A944" s="334">
        <f t="shared" si="43"/>
        <v>943</v>
      </c>
      <c r="B944" s="592">
        <v>8200</v>
      </c>
      <c r="C944" s="423">
        <v>5311</v>
      </c>
      <c r="D944" s="423" t="s">
        <v>90</v>
      </c>
      <c r="E944" s="423">
        <v>5172</v>
      </c>
      <c r="F944" s="378" t="s">
        <v>415</v>
      </c>
      <c r="G944" s="591"/>
      <c r="H944" s="647">
        <v>300</v>
      </c>
      <c r="I944" s="647">
        <v>300</v>
      </c>
      <c r="J944" s="648">
        <v>19</v>
      </c>
      <c r="K944" s="649">
        <f t="shared" si="44"/>
        <v>-281</v>
      </c>
      <c r="L944" s="650">
        <f t="shared" si="45"/>
        <v>6.333333333333334</v>
      </c>
    </row>
    <row r="945" spans="1:12" ht="12.75">
      <c r="A945" s="334">
        <f t="shared" si="43"/>
        <v>944</v>
      </c>
      <c r="B945" s="592">
        <v>8200</v>
      </c>
      <c r="C945" s="423">
        <v>5311</v>
      </c>
      <c r="D945" s="423" t="s">
        <v>90</v>
      </c>
      <c r="E945" s="423">
        <v>5173</v>
      </c>
      <c r="F945" s="378" t="s">
        <v>363</v>
      </c>
      <c r="G945" s="591"/>
      <c r="H945" s="647">
        <v>155</v>
      </c>
      <c r="I945" s="647">
        <v>280</v>
      </c>
      <c r="J945" s="648">
        <v>277</v>
      </c>
      <c r="K945" s="649">
        <f t="shared" si="44"/>
        <v>-3</v>
      </c>
      <c r="L945" s="650">
        <f t="shared" si="45"/>
        <v>98.92857142857143</v>
      </c>
    </row>
    <row r="946" spans="1:12" ht="12.75">
      <c r="A946" s="334">
        <f t="shared" si="43"/>
        <v>945</v>
      </c>
      <c r="B946" s="592">
        <v>8200</v>
      </c>
      <c r="C946" s="423">
        <v>5311</v>
      </c>
      <c r="D946" s="423" t="s">
        <v>90</v>
      </c>
      <c r="E946" s="423">
        <v>5175</v>
      </c>
      <c r="F946" s="378" t="s">
        <v>341</v>
      </c>
      <c r="G946" s="591"/>
      <c r="H946" s="647">
        <v>262</v>
      </c>
      <c r="I946" s="647">
        <v>262</v>
      </c>
      <c r="J946" s="648">
        <v>189</v>
      </c>
      <c r="K946" s="649">
        <f t="shared" si="44"/>
        <v>-73</v>
      </c>
      <c r="L946" s="650">
        <f t="shared" si="45"/>
        <v>72.13740458015268</v>
      </c>
    </row>
    <row r="947" spans="1:12" ht="12.75">
      <c r="A947" s="334">
        <f t="shared" si="43"/>
        <v>946</v>
      </c>
      <c r="B947" s="592">
        <v>8200</v>
      </c>
      <c r="C947" s="423">
        <v>5311</v>
      </c>
      <c r="D947" s="423" t="s">
        <v>90</v>
      </c>
      <c r="E947" s="423">
        <v>5175</v>
      </c>
      <c r="F947" s="378" t="s">
        <v>341</v>
      </c>
      <c r="G947" s="591" t="s">
        <v>368</v>
      </c>
      <c r="H947" s="647">
        <v>20</v>
      </c>
      <c r="I947" s="647">
        <v>0</v>
      </c>
      <c r="J947" s="648">
        <v>0</v>
      </c>
      <c r="K947" s="649">
        <f t="shared" si="44"/>
        <v>0</v>
      </c>
      <c r="L947" s="650"/>
    </row>
    <row r="948" spans="1:12" ht="12.75">
      <c r="A948" s="334">
        <f t="shared" si="43"/>
        <v>947</v>
      </c>
      <c r="B948" s="592">
        <v>8200</v>
      </c>
      <c r="C948" s="423">
        <v>5311</v>
      </c>
      <c r="D948" s="423" t="s">
        <v>90</v>
      </c>
      <c r="E948" s="423">
        <v>5176</v>
      </c>
      <c r="F948" s="378" t="s">
        <v>403</v>
      </c>
      <c r="G948" s="591"/>
      <c r="H948" s="647">
        <v>15</v>
      </c>
      <c r="I948" s="647">
        <v>15</v>
      </c>
      <c r="J948" s="648">
        <v>4</v>
      </c>
      <c r="K948" s="649">
        <f t="shared" si="44"/>
        <v>-11</v>
      </c>
      <c r="L948" s="650">
        <f t="shared" si="45"/>
        <v>26.666666666666668</v>
      </c>
    </row>
    <row r="949" spans="1:12" ht="12.75">
      <c r="A949" s="334">
        <f t="shared" si="43"/>
        <v>948</v>
      </c>
      <c r="B949" s="592">
        <v>8200</v>
      </c>
      <c r="C949" s="423">
        <v>5311</v>
      </c>
      <c r="D949" s="423" t="s">
        <v>90</v>
      </c>
      <c r="E949" s="423">
        <v>5179</v>
      </c>
      <c r="F949" s="378" t="s">
        <v>404</v>
      </c>
      <c r="G949" s="591"/>
      <c r="H949" s="647">
        <v>331</v>
      </c>
      <c r="I949" s="647">
        <v>321</v>
      </c>
      <c r="J949" s="648">
        <v>1</v>
      </c>
      <c r="K949" s="649">
        <f t="shared" si="44"/>
        <v>-320</v>
      </c>
      <c r="L949" s="650">
        <f t="shared" si="45"/>
        <v>0.3115264797507788</v>
      </c>
    </row>
    <row r="950" spans="1:12" ht="12.75">
      <c r="A950" s="334">
        <f t="shared" si="43"/>
        <v>949</v>
      </c>
      <c r="B950" s="592">
        <v>8200</v>
      </c>
      <c r="C950" s="423">
        <v>5311</v>
      </c>
      <c r="D950" s="423" t="s">
        <v>90</v>
      </c>
      <c r="E950" s="423">
        <v>5179</v>
      </c>
      <c r="F950" s="378" t="s">
        <v>404</v>
      </c>
      <c r="G950" s="591" t="s">
        <v>368</v>
      </c>
      <c r="H950" s="647">
        <v>415</v>
      </c>
      <c r="I950" s="647">
        <v>451</v>
      </c>
      <c r="J950" s="648">
        <v>438</v>
      </c>
      <c r="K950" s="649">
        <f t="shared" si="44"/>
        <v>-13</v>
      </c>
      <c r="L950" s="650">
        <f t="shared" si="45"/>
        <v>97.11751662971176</v>
      </c>
    </row>
    <row r="951" spans="1:12" ht="12.75">
      <c r="A951" s="334">
        <f t="shared" si="43"/>
        <v>950</v>
      </c>
      <c r="B951" s="592">
        <v>8200</v>
      </c>
      <c r="C951" s="423">
        <v>5311</v>
      </c>
      <c r="D951" s="423" t="s">
        <v>90</v>
      </c>
      <c r="E951" s="423">
        <v>5192</v>
      </c>
      <c r="F951" s="378" t="s">
        <v>342</v>
      </c>
      <c r="G951" s="591"/>
      <c r="H951" s="647">
        <v>1154</v>
      </c>
      <c r="I951" s="647">
        <v>1021</v>
      </c>
      <c r="J951" s="648">
        <v>868</v>
      </c>
      <c r="K951" s="649">
        <f t="shared" si="44"/>
        <v>-153</v>
      </c>
      <c r="L951" s="650">
        <f t="shared" si="45"/>
        <v>85.01469147894221</v>
      </c>
    </row>
    <row r="952" spans="1:12" ht="12.75">
      <c r="A952" s="334">
        <f t="shared" si="43"/>
        <v>951</v>
      </c>
      <c r="B952" s="592">
        <v>8200</v>
      </c>
      <c r="C952" s="423">
        <v>5311</v>
      </c>
      <c r="D952" s="423" t="s">
        <v>90</v>
      </c>
      <c r="E952" s="423">
        <v>5194</v>
      </c>
      <c r="F952" s="378" t="s">
        <v>350</v>
      </c>
      <c r="G952" s="591"/>
      <c r="H952" s="647">
        <v>200</v>
      </c>
      <c r="I952" s="647">
        <v>200</v>
      </c>
      <c r="J952" s="648">
        <v>146</v>
      </c>
      <c r="K952" s="649">
        <f t="shared" si="44"/>
        <v>-54</v>
      </c>
      <c r="L952" s="650">
        <f t="shared" si="45"/>
        <v>73</v>
      </c>
    </row>
    <row r="953" spans="1:12" ht="12.75">
      <c r="A953" s="334">
        <f t="shared" si="43"/>
        <v>952</v>
      </c>
      <c r="B953" s="592">
        <v>8200</v>
      </c>
      <c r="C953" s="423">
        <v>5311</v>
      </c>
      <c r="D953" s="423" t="s">
        <v>90</v>
      </c>
      <c r="E953" s="423">
        <v>5222</v>
      </c>
      <c r="F953" s="378" t="s">
        <v>433</v>
      </c>
      <c r="G953" s="591"/>
      <c r="H953" s="647">
        <v>5</v>
      </c>
      <c r="I953" s="647">
        <v>5</v>
      </c>
      <c r="J953" s="648">
        <v>3</v>
      </c>
      <c r="K953" s="649">
        <f t="shared" si="44"/>
        <v>-2</v>
      </c>
      <c r="L953" s="650">
        <f t="shared" si="45"/>
        <v>60</v>
      </c>
    </row>
    <row r="954" spans="1:12" ht="12.75">
      <c r="A954" s="334">
        <f t="shared" si="43"/>
        <v>953</v>
      </c>
      <c r="B954" s="592">
        <v>8200</v>
      </c>
      <c r="C954" s="423">
        <v>5311</v>
      </c>
      <c r="D954" s="423" t="s">
        <v>90</v>
      </c>
      <c r="E954" s="423">
        <v>5361</v>
      </c>
      <c r="F954" s="378" t="s">
        <v>405</v>
      </c>
      <c r="G954" s="591"/>
      <c r="H954" s="647">
        <v>405</v>
      </c>
      <c r="I954" s="647">
        <v>285</v>
      </c>
      <c r="J954" s="648">
        <v>282</v>
      </c>
      <c r="K954" s="649">
        <f t="shared" si="44"/>
        <v>-3</v>
      </c>
      <c r="L954" s="650">
        <f t="shared" si="45"/>
        <v>98.94736842105263</v>
      </c>
    </row>
    <row r="955" spans="1:12" ht="12.75">
      <c r="A955" s="334">
        <f t="shared" si="43"/>
        <v>954</v>
      </c>
      <c r="B955" s="592">
        <v>8200</v>
      </c>
      <c r="C955" s="423">
        <v>5311</v>
      </c>
      <c r="D955" s="423" t="s">
        <v>90</v>
      </c>
      <c r="E955" s="423">
        <v>5362</v>
      </c>
      <c r="F955" s="328" t="s">
        <v>329</v>
      </c>
      <c r="G955" s="591"/>
      <c r="H955" s="647">
        <v>50</v>
      </c>
      <c r="I955" s="647">
        <v>50</v>
      </c>
      <c r="J955" s="648">
        <v>23</v>
      </c>
      <c r="K955" s="649">
        <f t="shared" si="44"/>
        <v>-27</v>
      </c>
      <c r="L955" s="650">
        <f t="shared" si="45"/>
        <v>46</v>
      </c>
    </row>
    <row r="956" spans="1:12" ht="12.75">
      <c r="A956" s="334">
        <f t="shared" si="43"/>
        <v>955</v>
      </c>
      <c r="B956" s="592">
        <v>8200</v>
      </c>
      <c r="C956" s="423">
        <v>5311</v>
      </c>
      <c r="D956" s="423" t="s">
        <v>90</v>
      </c>
      <c r="E956" s="423">
        <v>5363</v>
      </c>
      <c r="F956" s="328" t="s">
        <v>322</v>
      </c>
      <c r="G956" s="591"/>
      <c r="H956" s="647"/>
      <c r="I956" s="647">
        <v>10</v>
      </c>
      <c r="J956" s="648">
        <v>10</v>
      </c>
      <c r="K956" s="649">
        <f t="shared" si="44"/>
        <v>0</v>
      </c>
      <c r="L956" s="650">
        <f t="shared" si="45"/>
        <v>100</v>
      </c>
    </row>
    <row r="957" spans="1:12" ht="12.75">
      <c r="A957" s="334">
        <f t="shared" si="43"/>
        <v>956</v>
      </c>
      <c r="B957" s="592">
        <v>8200</v>
      </c>
      <c r="C957" s="423">
        <v>5311</v>
      </c>
      <c r="D957" s="423" t="s">
        <v>90</v>
      </c>
      <c r="E957" s="328">
        <v>5424</v>
      </c>
      <c r="F957" s="328" t="s">
        <v>407</v>
      </c>
      <c r="G957" s="591"/>
      <c r="H957" s="647">
        <v>1263</v>
      </c>
      <c r="I957" s="647">
        <v>1263</v>
      </c>
      <c r="J957" s="648">
        <v>1174</v>
      </c>
      <c r="K957" s="649">
        <f t="shared" si="44"/>
        <v>-89</v>
      </c>
      <c r="L957" s="650">
        <f t="shared" si="45"/>
        <v>92.95328582739509</v>
      </c>
    </row>
    <row r="958" spans="1:12" ht="12.75">
      <c r="A958" s="334">
        <f t="shared" si="43"/>
        <v>957</v>
      </c>
      <c r="B958" s="592">
        <v>8200</v>
      </c>
      <c r="C958" s="423">
        <v>5311</v>
      </c>
      <c r="D958" s="423" t="s">
        <v>90</v>
      </c>
      <c r="E958" s="423">
        <v>5429</v>
      </c>
      <c r="F958" s="328" t="s">
        <v>319</v>
      </c>
      <c r="G958" s="591"/>
      <c r="H958" s="647">
        <v>15</v>
      </c>
      <c r="I958" s="647">
        <v>15</v>
      </c>
      <c r="J958" s="648">
        <v>0</v>
      </c>
      <c r="K958" s="649">
        <f t="shared" si="44"/>
        <v>-15</v>
      </c>
      <c r="L958" s="650">
        <f t="shared" si="45"/>
        <v>0</v>
      </c>
    </row>
    <row r="959" spans="1:12" ht="12.75">
      <c r="A959" s="334">
        <f t="shared" si="43"/>
        <v>958</v>
      </c>
      <c r="B959" s="592">
        <v>8200</v>
      </c>
      <c r="C959" s="423">
        <v>5311</v>
      </c>
      <c r="D959" s="423" t="s">
        <v>90</v>
      </c>
      <c r="E959" s="423">
        <v>5499</v>
      </c>
      <c r="F959" s="328" t="s">
        <v>409</v>
      </c>
      <c r="G959" s="329" t="s">
        <v>368</v>
      </c>
      <c r="H959" s="647">
        <v>6940</v>
      </c>
      <c r="I959" s="647">
        <v>7419</v>
      </c>
      <c r="J959" s="648">
        <v>6988</v>
      </c>
      <c r="K959" s="649">
        <f t="shared" si="44"/>
        <v>-431</v>
      </c>
      <c r="L959" s="650">
        <f t="shared" si="45"/>
        <v>94.19059172395201</v>
      </c>
    </row>
    <row r="960" spans="1:12" ht="12.75">
      <c r="A960" s="334">
        <f t="shared" si="43"/>
        <v>959</v>
      </c>
      <c r="B960" s="592">
        <v>8200</v>
      </c>
      <c r="C960" s="423">
        <v>5311</v>
      </c>
      <c r="D960" s="423" t="s">
        <v>90</v>
      </c>
      <c r="E960" s="423">
        <v>5909</v>
      </c>
      <c r="F960" s="328" t="s">
        <v>410</v>
      </c>
      <c r="G960" s="329"/>
      <c r="H960" s="647"/>
      <c r="I960" s="647"/>
      <c r="J960" s="648">
        <v>1939</v>
      </c>
      <c r="K960" s="649">
        <f t="shared" si="44"/>
        <v>1939</v>
      </c>
      <c r="L960" s="650"/>
    </row>
    <row r="961" spans="1:12" ht="12.75">
      <c r="A961" s="334">
        <f t="shared" si="43"/>
        <v>960</v>
      </c>
      <c r="B961" s="592"/>
      <c r="C961" s="485" t="s">
        <v>642</v>
      </c>
      <c r="D961" s="423"/>
      <c r="E961" s="423"/>
      <c r="F961" s="378"/>
      <c r="G961" s="591"/>
      <c r="H961" s="488">
        <f>SUBTOTAL(9,H908:H960)</f>
        <v>340412</v>
      </c>
      <c r="I961" s="488">
        <f>SUBTOTAL(9,I908:I960)</f>
        <v>337185</v>
      </c>
      <c r="J961" s="488">
        <f>SUBTOTAL(9,J908:J960)</f>
        <v>327394</v>
      </c>
      <c r="K961" s="489">
        <f t="shared" si="44"/>
        <v>-9791</v>
      </c>
      <c r="L961" s="490">
        <f t="shared" si="45"/>
        <v>97.09625279890861</v>
      </c>
    </row>
    <row r="962" spans="1:12" ht="12.75">
      <c r="A962" s="334">
        <f t="shared" si="43"/>
        <v>961</v>
      </c>
      <c r="B962" s="592">
        <v>8200</v>
      </c>
      <c r="C962" s="423">
        <v>5319</v>
      </c>
      <c r="D962" s="423" t="s">
        <v>374</v>
      </c>
      <c r="E962" s="423">
        <v>5011</v>
      </c>
      <c r="F962" s="378" t="s">
        <v>359</v>
      </c>
      <c r="G962" s="591"/>
      <c r="H962" s="619">
        <v>0</v>
      </c>
      <c r="I962" s="619">
        <v>376</v>
      </c>
      <c r="J962" s="619">
        <v>376</v>
      </c>
      <c r="K962" s="620">
        <f t="shared" si="44"/>
        <v>0</v>
      </c>
      <c r="L962" s="621">
        <f t="shared" si="45"/>
        <v>100</v>
      </c>
    </row>
    <row r="963" spans="1:12" ht="12.75">
      <c r="A963" s="334">
        <f t="shared" si="43"/>
        <v>962</v>
      </c>
      <c r="B963" s="592">
        <v>8200</v>
      </c>
      <c r="C963" s="423">
        <v>5319</v>
      </c>
      <c r="D963" s="423" t="s">
        <v>374</v>
      </c>
      <c r="E963" s="423">
        <v>5021</v>
      </c>
      <c r="F963" s="378" t="s">
        <v>365</v>
      </c>
      <c r="G963" s="591"/>
      <c r="H963" s="491">
        <v>22</v>
      </c>
      <c r="I963" s="491">
        <v>358</v>
      </c>
      <c r="J963" s="491">
        <v>312</v>
      </c>
      <c r="K963" s="492">
        <f t="shared" si="44"/>
        <v>-46</v>
      </c>
      <c r="L963" s="493">
        <f t="shared" si="45"/>
        <v>87.15083798882681</v>
      </c>
    </row>
    <row r="964" spans="1:12" ht="12.75">
      <c r="A964" s="334">
        <f aca="true" t="shared" si="46" ref="A964:A987">A963+1</f>
        <v>963</v>
      </c>
      <c r="B964" s="592">
        <v>8200</v>
      </c>
      <c r="C964" s="423">
        <v>5319</v>
      </c>
      <c r="D964" s="423" t="s">
        <v>374</v>
      </c>
      <c r="E964" s="423">
        <v>5031</v>
      </c>
      <c r="F964" s="378" t="s">
        <v>361</v>
      </c>
      <c r="G964" s="591"/>
      <c r="H964" s="491">
        <v>0</v>
      </c>
      <c r="I964" s="491">
        <v>94</v>
      </c>
      <c r="J964" s="491">
        <v>94</v>
      </c>
      <c r="K964" s="492">
        <f aca="true" t="shared" si="47" ref="K964:K987">J964-I964</f>
        <v>0</v>
      </c>
      <c r="L964" s="493">
        <f aca="true" t="shared" si="48" ref="L964:L987">J964/I964*100</f>
        <v>100</v>
      </c>
    </row>
    <row r="965" spans="1:12" ht="12.75">
      <c r="A965" s="334">
        <f t="shared" si="46"/>
        <v>964</v>
      </c>
      <c r="B965" s="592">
        <v>8200</v>
      </c>
      <c r="C965" s="423">
        <v>5319</v>
      </c>
      <c r="D965" s="423" t="s">
        <v>374</v>
      </c>
      <c r="E965" s="423">
        <v>5032</v>
      </c>
      <c r="F965" s="378" t="s">
        <v>362</v>
      </c>
      <c r="G965" s="591"/>
      <c r="H965" s="491">
        <v>0</v>
      </c>
      <c r="I965" s="491">
        <v>34</v>
      </c>
      <c r="J965" s="491">
        <v>34</v>
      </c>
      <c r="K965" s="492">
        <f t="shared" si="47"/>
        <v>0</v>
      </c>
      <c r="L965" s="493">
        <f t="shared" si="48"/>
        <v>100</v>
      </c>
    </row>
    <row r="966" spans="1:12" ht="12.75">
      <c r="A966" s="334">
        <f t="shared" si="46"/>
        <v>965</v>
      </c>
      <c r="B966" s="592">
        <v>8200</v>
      </c>
      <c r="C966" s="423">
        <v>5319</v>
      </c>
      <c r="D966" s="423" t="s">
        <v>374</v>
      </c>
      <c r="E966" s="423">
        <v>5133</v>
      </c>
      <c r="F966" s="328" t="s">
        <v>395</v>
      </c>
      <c r="G966" s="591"/>
      <c r="H966" s="491">
        <v>4</v>
      </c>
      <c r="I966" s="491">
        <v>7</v>
      </c>
      <c r="J966" s="491">
        <v>5</v>
      </c>
      <c r="K966" s="492">
        <f t="shared" si="47"/>
        <v>-2</v>
      </c>
      <c r="L966" s="493">
        <f t="shared" si="48"/>
        <v>71.42857142857143</v>
      </c>
    </row>
    <row r="967" spans="1:12" ht="12.75">
      <c r="A967" s="334">
        <f t="shared" si="46"/>
        <v>966</v>
      </c>
      <c r="B967" s="592">
        <v>8200</v>
      </c>
      <c r="C967" s="423">
        <v>5319</v>
      </c>
      <c r="D967" s="423" t="s">
        <v>374</v>
      </c>
      <c r="E967" s="423">
        <v>5137</v>
      </c>
      <c r="F967" s="349" t="s">
        <v>353</v>
      </c>
      <c r="G967" s="591"/>
      <c r="H967" s="491">
        <v>20</v>
      </c>
      <c r="I967" s="491">
        <v>72</v>
      </c>
      <c r="J967" s="491">
        <v>70</v>
      </c>
      <c r="K967" s="492">
        <f t="shared" si="47"/>
        <v>-2</v>
      </c>
      <c r="L967" s="493">
        <f t="shared" si="48"/>
        <v>97.22222222222221</v>
      </c>
    </row>
    <row r="968" spans="1:12" ht="12.75">
      <c r="A968" s="334">
        <f t="shared" si="46"/>
        <v>967</v>
      </c>
      <c r="B968" s="592">
        <v>8200</v>
      </c>
      <c r="C968" s="423">
        <v>5319</v>
      </c>
      <c r="D968" s="423" t="s">
        <v>374</v>
      </c>
      <c r="E968" s="423">
        <v>5139</v>
      </c>
      <c r="F968" s="378" t="s">
        <v>349</v>
      </c>
      <c r="G968" s="591"/>
      <c r="H968" s="491">
        <v>276</v>
      </c>
      <c r="I968" s="491">
        <v>463</v>
      </c>
      <c r="J968" s="491">
        <v>404</v>
      </c>
      <c r="K968" s="492">
        <f t="shared" si="47"/>
        <v>-59</v>
      </c>
      <c r="L968" s="493">
        <f t="shared" si="48"/>
        <v>87.25701943844493</v>
      </c>
    </row>
    <row r="969" spans="1:12" ht="12.75">
      <c r="A969" s="334">
        <f t="shared" si="46"/>
        <v>968</v>
      </c>
      <c r="B969" s="592">
        <v>8200</v>
      </c>
      <c r="C969" s="423">
        <v>5319</v>
      </c>
      <c r="D969" s="423" t="s">
        <v>374</v>
      </c>
      <c r="E969" s="423">
        <v>5156</v>
      </c>
      <c r="F969" s="378" t="s">
        <v>386</v>
      </c>
      <c r="G969" s="591"/>
      <c r="H969" s="491">
        <v>0</v>
      </c>
      <c r="I969" s="491">
        <v>23</v>
      </c>
      <c r="J969" s="491">
        <v>23</v>
      </c>
      <c r="K969" s="492">
        <f t="shared" si="47"/>
        <v>0</v>
      </c>
      <c r="L969" s="493">
        <f t="shared" si="48"/>
        <v>100</v>
      </c>
    </row>
    <row r="970" spans="1:12" ht="12.75">
      <c r="A970" s="334">
        <f t="shared" si="46"/>
        <v>969</v>
      </c>
      <c r="B970" s="592">
        <v>8200</v>
      </c>
      <c r="C970" s="423">
        <v>5319</v>
      </c>
      <c r="D970" s="423" t="s">
        <v>374</v>
      </c>
      <c r="E970" s="423">
        <v>5163</v>
      </c>
      <c r="F970" s="378" t="s">
        <v>326</v>
      </c>
      <c r="G970" s="591"/>
      <c r="H970" s="491">
        <v>5</v>
      </c>
      <c r="I970" s="491">
        <v>9</v>
      </c>
      <c r="J970" s="491">
        <v>5</v>
      </c>
      <c r="K970" s="492">
        <f t="shared" si="47"/>
        <v>-4</v>
      </c>
      <c r="L970" s="493">
        <f t="shared" si="48"/>
        <v>55.55555555555556</v>
      </c>
    </row>
    <row r="971" spans="1:12" ht="12.75">
      <c r="A971" s="334">
        <f t="shared" si="46"/>
        <v>970</v>
      </c>
      <c r="B971" s="592">
        <v>8200</v>
      </c>
      <c r="C971" s="423">
        <v>5319</v>
      </c>
      <c r="D971" s="423" t="s">
        <v>374</v>
      </c>
      <c r="E971" s="423">
        <v>5164</v>
      </c>
      <c r="F971" s="378" t="s">
        <v>357</v>
      </c>
      <c r="G971" s="591"/>
      <c r="H971" s="491">
        <v>67</v>
      </c>
      <c r="I971" s="491">
        <v>175</v>
      </c>
      <c r="J971" s="491">
        <v>148</v>
      </c>
      <c r="K971" s="492">
        <f t="shared" si="47"/>
        <v>-27</v>
      </c>
      <c r="L971" s="493">
        <f t="shared" si="48"/>
        <v>84.57142857142857</v>
      </c>
    </row>
    <row r="972" spans="1:12" ht="12.75">
      <c r="A972" s="334">
        <f t="shared" si="46"/>
        <v>971</v>
      </c>
      <c r="B972" s="592">
        <v>8200</v>
      </c>
      <c r="C972" s="423">
        <v>5319</v>
      </c>
      <c r="D972" s="423" t="s">
        <v>374</v>
      </c>
      <c r="E972" s="423">
        <v>5169</v>
      </c>
      <c r="F972" s="328" t="s">
        <v>321</v>
      </c>
      <c r="G972" s="329"/>
      <c r="H972" s="491">
        <v>212</v>
      </c>
      <c r="I972" s="491">
        <v>495</v>
      </c>
      <c r="J972" s="491">
        <v>465</v>
      </c>
      <c r="K972" s="492">
        <f t="shared" si="47"/>
        <v>-30</v>
      </c>
      <c r="L972" s="493">
        <f t="shared" si="48"/>
        <v>93.93939393939394</v>
      </c>
    </row>
    <row r="973" spans="1:12" ht="12.75">
      <c r="A973" s="334">
        <f t="shared" si="46"/>
        <v>972</v>
      </c>
      <c r="B973" s="592">
        <v>8200</v>
      </c>
      <c r="C973" s="423">
        <v>5319</v>
      </c>
      <c r="D973" s="423" t="s">
        <v>374</v>
      </c>
      <c r="E973" s="656">
        <v>5173</v>
      </c>
      <c r="F973" s="378" t="s">
        <v>363</v>
      </c>
      <c r="G973" s="457"/>
      <c r="H973" s="491">
        <v>0</v>
      </c>
      <c r="I973" s="491">
        <v>6</v>
      </c>
      <c r="J973" s="491">
        <v>2</v>
      </c>
      <c r="K973" s="492">
        <f t="shared" si="47"/>
        <v>-4</v>
      </c>
      <c r="L973" s="493">
        <f t="shared" si="48"/>
        <v>33.33333333333333</v>
      </c>
    </row>
    <row r="974" spans="1:12" ht="12.75">
      <c r="A974" s="334">
        <f t="shared" si="46"/>
        <v>973</v>
      </c>
      <c r="B974" s="592">
        <v>8200</v>
      </c>
      <c r="C974" s="423">
        <v>5319</v>
      </c>
      <c r="D974" s="423" t="s">
        <v>374</v>
      </c>
      <c r="E974" s="656">
        <v>5175</v>
      </c>
      <c r="F974" s="378" t="s">
        <v>341</v>
      </c>
      <c r="G974" s="657"/>
      <c r="H974" s="491">
        <v>43</v>
      </c>
      <c r="I974" s="491">
        <v>99</v>
      </c>
      <c r="J974" s="491">
        <v>80</v>
      </c>
      <c r="K974" s="492">
        <f t="shared" si="47"/>
        <v>-19</v>
      </c>
      <c r="L974" s="493">
        <f t="shared" si="48"/>
        <v>80.8080808080808</v>
      </c>
    </row>
    <row r="975" spans="1:12" ht="12.75">
      <c r="A975" s="334">
        <f t="shared" si="46"/>
        <v>974</v>
      </c>
      <c r="B975" s="592">
        <v>8200</v>
      </c>
      <c r="C975" s="423">
        <v>5319</v>
      </c>
      <c r="D975" s="423" t="s">
        <v>374</v>
      </c>
      <c r="E975" s="656">
        <v>5179</v>
      </c>
      <c r="F975" s="378" t="s">
        <v>404</v>
      </c>
      <c r="G975" s="657"/>
      <c r="H975" s="491">
        <v>5</v>
      </c>
      <c r="I975" s="491">
        <v>14</v>
      </c>
      <c r="J975" s="491">
        <v>6</v>
      </c>
      <c r="K975" s="492">
        <f t="shared" si="47"/>
        <v>-8</v>
      </c>
      <c r="L975" s="493">
        <f t="shared" si="48"/>
        <v>42.857142857142854</v>
      </c>
    </row>
    <row r="976" spans="1:12" ht="12.75">
      <c r="A976" s="334">
        <f t="shared" si="46"/>
        <v>975</v>
      </c>
      <c r="B976" s="592">
        <v>8200</v>
      </c>
      <c r="C976" s="423">
        <v>5319</v>
      </c>
      <c r="D976" s="423" t="s">
        <v>374</v>
      </c>
      <c r="E976" s="656">
        <v>5366</v>
      </c>
      <c r="F976" s="328" t="s">
        <v>591</v>
      </c>
      <c r="G976" s="657"/>
      <c r="H976" s="491">
        <v>0</v>
      </c>
      <c r="I976" s="491">
        <v>5</v>
      </c>
      <c r="J976" s="491">
        <v>5</v>
      </c>
      <c r="K976" s="492">
        <f t="shared" si="47"/>
        <v>0</v>
      </c>
      <c r="L976" s="493">
        <f t="shared" si="48"/>
        <v>100</v>
      </c>
    </row>
    <row r="977" spans="1:12" ht="12.75">
      <c r="A977" s="334">
        <f t="shared" si="46"/>
        <v>976</v>
      </c>
      <c r="B977" s="592">
        <v>8200</v>
      </c>
      <c r="C977" s="423">
        <v>5319</v>
      </c>
      <c r="D977" s="423" t="s">
        <v>374</v>
      </c>
      <c r="E977" s="656">
        <v>5909</v>
      </c>
      <c r="F977" s="328" t="s">
        <v>410</v>
      </c>
      <c r="G977" s="657"/>
      <c r="H977" s="491">
        <v>0</v>
      </c>
      <c r="I977" s="491">
        <v>0</v>
      </c>
      <c r="J977" s="491">
        <v>1</v>
      </c>
      <c r="K977" s="492">
        <f t="shared" si="47"/>
        <v>1</v>
      </c>
      <c r="L977" s="493"/>
    </row>
    <row r="978" spans="1:12" ht="12.75">
      <c r="A978" s="334">
        <f t="shared" si="46"/>
        <v>977</v>
      </c>
      <c r="B978" s="592"/>
      <c r="C978" s="485" t="s">
        <v>375</v>
      </c>
      <c r="D978" s="423"/>
      <c r="E978" s="423"/>
      <c r="F978" s="378"/>
      <c r="G978" s="591"/>
      <c r="H978" s="488">
        <f>SUBTOTAL(9,H962:H977)</f>
        <v>654</v>
      </c>
      <c r="I978" s="488">
        <f>SUBTOTAL(9,I962:I977)</f>
        <v>2230</v>
      </c>
      <c r="J978" s="488">
        <f>SUBTOTAL(9,J962:J977)</f>
        <v>2030</v>
      </c>
      <c r="K978" s="489">
        <f t="shared" si="47"/>
        <v>-200</v>
      </c>
      <c r="L978" s="490">
        <f t="shared" si="48"/>
        <v>91.03139013452915</v>
      </c>
    </row>
    <row r="979" spans="1:12" ht="12.75">
      <c r="A979" s="334">
        <f t="shared" si="46"/>
        <v>978</v>
      </c>
      <c r="B979" s="592">
        <v>8200</v>
      </c>
      <c r="C979" s="423">
        <v>6399</v>
      </c>
      <c r="D979" s="423" t="s">
        <v>83</v>
      </c>
      <c r="E979" s="656">
        <v>5909</v>
      </c>
      <c r="F979" s="328" t="s">
        <v>410</v>
      </c>
      <c r="G979" s="657"/>
      <c r="H979" s="491">
        <v>0</v>
      </c>
      <c r="I979" s="491">
        <v>0</v>
      </c>
      <c r="J979" s="491">
        <v>601</v>
      </c>
      <c r="K979" s="492">
        <f t="shared" si="47"/>
        <v>601</v>
      </c>
      <c r="L979" s="493"/>
    </row>
    <row r="980" spans="1:12" ht="15" customHeight="1">
      <c r="A980" s="334">
        <f t="shared" si="46"/>
        <v>979</v>
      </c>
      <c r="B980" s="592"/>
      <c r="C980" s="485" t="s">
        <v>331</v>
      </c>
      <c r="D980" s="423"/>
      <c r="E980" s="423"/>
      <c r="F980" s="378"/>
      <c r="G980" s="591"/>
      <c r="H980" s="488">
        <f>SUBTOTAL(9,H979)</f>
        <v>0</v>
      </c>
      <c r="I980" s="488">
        <f>SUBTOTAL(9,I979)</f>
        <v>0</v>
      </c>
      <c r="J980" s="488">
        <f>SUBTOTAL(9,J979)</f>
        <v>601</v>
      </c>
      <c r="K980" s="489">
        <f t="shared" si="47"/>
        <v>601</v>
      </c>
      <c r="L980" s="490"/>
    </row>
    <row r="981" spans="1:12" ht="13.5" thickBot="1">
      <c r="A981" s="334">
        <f t="shared" si="46"/>
        <v>980</v>
      </c>
      <c r="B981" s="357" t="s">
        <v>29</v>
      </c>
      <c r="C981" s="358"/>
      <c r="D981" s="358"/>
      <c r="E981" s="358"/>
      <c r="F981" s="358"/>
      <c r="G981" s="359"/>
      <c r="H981" s="360">
        <f>SUBTOTAL(9,H873:H980)</f>
        <v>357094</v>
      </c>
      <c r="I981" s="360">
        <f>SUBTOTAL(9,I873:I980)</f>
        <v>355887</v>
      </c>
      <c r="J981" s="360">
        <f>SUBTOTAL(9,J873:J980)</f>
        <v>344732</v>
      </c>
      <c r="K981" s="361">
        <f t="shared" si="47"/>
        <v>-11155</v>
      </c>
      <c r="L981" s="362">
        <f t="shared" si="48"/>
        <v>96.86557811889729</v>
      </c>
    </row>
    <row r="982" spans="1:12" ht="12.75">
      <c r="A982" s="334">
        <f t="shared" si="46"/>
        <v>981</v>
      </c>
      <c r="B982" s="658"/>
      <c r="C982" s="659"/>
      <c r="D982" s="659"/>
      <c r="E982" s="659"/>
      <c r="F982" s="659"/>
      <c r="G982" s="483"/>
      <c r="H982" s="660"/>
      <c r="I982" s="660"/>
      <c r="J982" s="660"/>
      <c r="K982" s="661">
        <f t="shared" si="47"/>
        <v>0</v>
      </c>
      <c r="L982" s="662"/>
    </row>
    <row r="983" spans="1:12" ht="15.75">
      <c r="A983" s="334">
        <f t="shared" si="46"/>
        <v>982</v>
      </c>
      <c r="B983" s="523" t="s">
        <v>245</v>
      </c>
      <c r="C983" s="423"/>
      <c r="D983" s="423"/>
      <c r="E983" s="656"/>
      <c r="F983" s="328"/>
      <c r="G983" s="657"/>
      <c r="H983" s="491"/>
      <c r="I983" s="491"/>
      <c r="J983" s="491"/>
      <c r="K983" s="492">
        <f t="shared" si="47"/>
        <v>0</v>
      </c>
      <c r="L983" s="493"/>
    </row>
    <row r="984" spans="1:12" ht="12.75">
      <c r="A984" s="334">
        <f t="shared" si="46"/>
        <v>983</v>
      </c>
      <c r="B984" s="592">
        <v>8887</v>
      </c>
      <c r="C984" s="423">
        <v>6399</v>
      </c>
      <c r="D984" s="423" t="s">
        <v>83</v>
      </c>
      <c r="E984" s="656">
        <v>5909</v>
      </c>
      <c r="F984" s="328" t="s">
        <v>410</v>
      </c>
      <c r="G984" s="657" t="s">
        <v>643</v>
      </c>
      <c r="H984" s="491"/>
      <c r="I984" s="491"/>
      <c r="J984" s="491">
        <v>-3437</v>
      </c>
      <c r="K984" s="492">
        <f t="shared" si="47"/>
        <v>-3437</v>
      </c>
      <c r="L984" s="493"/>
    </row>
    <row r="985" spans="1:12" ht="15" customHeight="1">
      <c r="A985" s="334">
        <f t="shared" si="46"/>
        <v>984</v>
      </c>
      <c r="B985" s="592"/>
      <c r="C985" s="485" t="s">
        <v>331</v>
      </c>
      <c r="D985" s="423"/>
      <c r="E985" s="423"/>
      <c r="F985" s="378"/>
      <c r="G985" s="591"/>
      <c r="H985" s="488"/>
      <c r="I985" s="488"/>
      <c r="J985" s="488">
        <f>SUBTOTAL(9,J984)</f>
        <v>-3437</v>
      </c>
      <c r="K985" s="489">
        <f t="shared" si="47"/>
        <v>-3437</v>
      </c>
      <c r="L985" s="490"/>
    </row>
    <row r="986" spans="1:12" ht="13.5" thickBot="1">
      <c r="A986" s="334">
        <f t="shared" si="46"/>
        <v>985</v>
      </c>
      <c r="B986" s="357" t="s">
        <v>246</v>
      </c>
      <c r="C986" s="358"/>
      <c r="D986" s="358"/>
      <c r="E986" s="358"/>
      <c r="F986" s="358"/>
      <c r="G986" s="359"/>
      <c r="H986" s="360"/>
      <c r="I986" s="360"/>
      <c r="J986" s="488">
        <f>SUBTOTAL(9,J984)</f>
        <v>-3437</v>
      </c>
      <c r="K986" s="489">
        <f t="shared" si="47"/>
        <v>-3437</v>
      </c>
      <c r="L986" s="490"/>
    </row>
    <row r="987" spans="1:12" ht="16.5" customHeight="1" thickBot="1">
      <c r="A987" s="334">
        <f t="shared" si="46"/>
        <v>986</v>
      </c>
      <c r="B987" s="663" t="s">
        <v>644</v>
      </c>
      <c r="C987" s="663"/>
      <c r="D987" s="663"/>
      <c r="E987" s="663"/>
      <c r="F987" s="663"/>
      <c r="G987" s="663"/>
      <c r="H987" s="664">
        <f>SUBTOTAL(9,H2:H986)</f>
        <v>7675101</v>
      </c>
      <c r="I987" s="664">
        <f>SUBTOTAL(9,I2:I986)</f>
        <v>8156725</v>
      </c>
      <c r="J987" s="664">
        <f>SUBTOTAL(9,J2:J986)</f>
        <v>7541881</v>
      </c>
      <c r="K987" s="665">
        <f t="shared" si="47"/>
        <v>-614844</v>
      </c>
      <c r="L987" s="666">
        <f t="shared" si="48"/>
        <v>92.4621217461665</v>
      </c>
    </row>
    <row r="988" ht="12.75">
      <c r="A988" s="667"/>
    </row>
    <row r="989" spans="2:12" ht="12.75">
      <c r="B989" s="326"/>
      <c r="C989" s="326"/>
      <c r="D989" s="326"/>
      <c r="E989" s="326"/>
      <c r="F989" s="326"/>
      <c r="G989" s="326"/>
      <c r="H989" s="425"/>
      <c r="I989" s="425"/>
      <c r="J989" s="425"/>
      <c r="K989" s="670"/>
      <c r="L989" s="670"/>
    </row>
    <row r="990" spans="2:12" ht="12.75">
      <c r="B990" s="326"/>
      <c r="C990" s="326"/>
      <c r="D990" s="326"/>
      <c r="E990" s="326"/>
      <c r="F990" s="326"/>
      <c r="G990" s="326"/>
      <c r="K990" s="670"/>
      <c r="L990" s="670"/>
    </row>
    <row r="991" spans="2:12" ht="12.75">
      <c r="B991" s="326"/>
      <c r="C991" s="326"/>
      <c r="D991" s="326"/>
      <c r="E991" s="326"/>
      <c r="F991" s="326"/>
      <c r="G991" s="326"/>
      <c r="K991" s="670"/>
      <c r="L991" s="670"/>
    </row>
    <row r="992" spans="2:12" ht="12.75">
      <c r="B992" s="326"/>
      <c r="C992" s="326"/>
      <c r="D992" s="326"/>
      <c r="E992" s="326"/>
      <c r="F992" s="326"/>
      <c r="G992" s="326"/>
      <c r="J992" s="453"/>
      <c r="K992" s="670"/>
      <c r="L992" s="670"/>
    </row>
    <row r="993" spans="2:12" ht="12.75">
      <c r="B993" s="326"/>
      <c r="C993" s="326"/>
      <c r="D993" s="326"/>
      <c r="E993" s="326"/>
      <c r="F993" s="326"/>
      <c r="G993" s="326"/>
      <c r="K993" s="670"/>
      <c r="L993" s="670"/>
    </row>
    <row r="994" spans="2:12" ht="12.75">
      <c r="B994" s="326"/>
      <c r="C994" s="326"/>
      <c r="D994" s="326"/>
      <c r="E994" s="326"/>
      <c r="F994" s="326"/>
      <c r="G994" s="326"/>
      <c r="K994" s="670"/>
      <c r="L994" s="670"/>
    </row>
    <row r="995" spans="2:12" ht="12.75">
      <c r="B995" s="326"/>
      <c r="C995" s="326"/>
      <c r="D995" s="326"/>
      <c r="E995" s="326"/>
      <c r="F995" s="326"/>
      <c r="G995" s="326"/>
      <c r="K995" s="670"/>
      <c r="L995" s="670"/>
    </row>
    <row r="996" spans="2:12" ht="12.75">
      <c r="B996" s="326"/>
      <c r="C996" s="326"/>
      <c r="D996" s="326"/>
      <c r="E996" s="326"/>
      <c r="F996" s="326"/>
      <c r="G996" s="326"/>
      <c r="K996" s="670"/>
      <c r="L996" s="670"/>
    </row>
    <row r="997" spans="2:12" ht="12.75">
      <c r="B997" s="326"/>
      <c r="C997" s="326"/>
      <c r="D997" s="326"/>
      <c r="E997" s="326"/>
      <c r="F997" s="326"/>
      <c r="G997" s="326"/>
      <c r="K997" s="670"/>
      <c r="L997" s="670"/>
    </row>
    <row r="998" spans="2:12" ht="12.75">
      <c r="B998" s="326"/>
      <c r="C998" s="326"/>
      <c r="D998" s="326"/>
      <c r="E998" s="326"/>
      <c r="F998" s="326"/>
      <c r="G998" s="326"/>
      <c r="K998" s="670"/>
      <c r="L998" s="670"/>
    </row>
    <row r="999" spans="2:12" ht="12.75">
      <c r="B999" s="326"/>
      <c r="C999" s="326"/>
      <c r="D999" s="326"/>
      <c r="E999" s="326"/>
      <c r="F999" s="326"/>
      <c r="G999" s="326"/>
      <c r="K999" s="670"/>
      <c r="L999" s="670"/>
    </row>
    <row r="1000" spans="2:12" ht="12.75">
      <c r="B1000" s="326"/>
      <c r="C1000" s="326"/>
      <c r="D1000" s="326"/>
      <c r="E1000" s="326"/>
      <c r="F1000" s="326"/>
      <c r="G1000" s="326"/>
      <c r="K1000" s="670"/>
      <c r="L1000" s="670"/>
    </row>
    <row r="1001" spans="2:12" ht="12.75">
      <c r="B1001" s="326"/>
      <c r="C1001" s="326"/>
      <c r="D1001" s="326"/>
      <c r="E1001" s="326"/>
      <c r="F1001" s="326"/>
      <c r="G1001" s="326"/>
      <c r="K1001" s="670"/>
      <c r="L1001" s="670"/>
    </row>
    <row r="1002" spans="2:12" ht="12.75">
      <c r="B1002" s="326"/>
      <c r="C1002" s="326"/>
      <c r="D1002" s="326"/>
      <c r="E1002" s="326"/>
      <c r="F1002" s="326"/>
      <c r="G1002" s="326"/>
      <c r="K1002" s="670"/>
      <c r="L1002" s="670"/>
    </row>
    <row r="1003" spans="2:12" ht="12.75">
      <c r="B1003" s="326"/>
      <c r="C1003" s="326"/>
      <c r="D1003" s="326"/>
      <c r="E1003" s="326"/>
      <c r="F1003" s="326"/>
      <c r="G1003" s="326"/>
      <c r="K1003" s="670"/>
      <c r="L1003" s="670"/>
    </row>
    <row r="1004" spans="2:12" ht="12.75">
      <c r="B1004" s="326"/>
      <c r="C1004" s="326"/>
      <c r="D1004" s="326"/>
      <c r="E1004" s="326"/>
      <c r="F1004" s="326"/>
      <c r="G1004" s="326"/>
      <c r="K1004" s="670"/>
      <c r="L1004" s="670"/>
    </row>
    <row r="1005" spans="2:12" ht="12.75">
      <c r="B1005" s="326"/>
      <c r="C1005" s="326"/>
      <c r="D1005" s="326"/>
      <c r="E1005" s="326"/>
      <c r="F1005" s="326"/>
      <c r="G1005" s="326"/>
      <c r="K1005" s="670"/>
      <c r="L1005" s="670"/>
    </row>
    <row r="1006" spans="2:12" ht="12.75">
      <c r="B1006" s="326"/>
      <c r="C1006" s="326"/>
      <c r="D1006" s="326"/>
      <c r="E1006" s="326"/>
      <c r="F1006" s="326"/>
      <c r="G1006" s="326"/>
      <c r="K1006" s="670"/>
      <c r="L1006" s="670"/>
    </row>
    <row r="1007" spans="2:12" ht="12.75">
      <c r="B1007" s="326"/>
      <c r="C1007" s="326"/>
      <c r="D1007" s="326"/>
      <c r="E1007" s="326"/>
      <c r="F1007" s="326"/>
      <c r="G1007" s="326"/>
      <c r="K1007" s="670"/>
      <c r="L1007" s="670"/>
    </row>
    <row r="1008" spans="2:12" ht="12.75">
      <c r="B1008" s="326"/>
      <c r="C1008" s="326"/>
      <c r="D1008" s="326"/>
      <c r="E1008" s="326"/>
      <c r="F1008" s="326"/>
      <c r="G1008" s="326"/>
      <c r="K1008" s="670"/>
      <c r="L1008" s="670"/>
    </row>
    <row r="1009" spans="2:12" ht="12.75">
      <c r="B1009" s="326"/>
      <c r="C1009" s="326"/>
      <c r="D1009" s="326"/>
      <c r="E1009" s="326"/>
      <c r="F1009" s="326"/>
      <c r="G1009" s="326"/>
      <c r="K1009" s="670"/>
      <c r="L1009" s="670"/>
    </row>
    <row r="1010" spans="2:12" ht="12.75">
      <c r="B1010" s="326"/>
      <c r="C1010" s="326"/>
      <c r="D1010" s="326"/>
      <c r="E1010" s="326"/>
      <c r="F1010" s="326"/>
      <c r="G1010" s="326"/>
      <c r="K1010" s="670"/>
      <c r="L1010" s="670"/>
    </row>
    <row r="1011" spans="2:12" ht="12.75">
      <c r="B1011" s="326"/>
      <c r="C1011" s="326"/>
      <c r="D1011" s="326"/>
      <c r="E1011" s="326"/>
      <c r="F1011" s="326"/>
      <c r="G1011" s="326"/>
      <c r="K1011" s="670"/>
      <c r="L1011" s="670"/>
    </row>
    <row r="1012" spans="2:12" ht="12.75">
      <c r="B1012" s="326"/>
      <c r="C1012" s="326"/>
      <c r="D1012" s="326"/>
      <c r="E1012" s="326"/>
      <c r="F1012" s="326"/>
      <c r="G1012" s="326"/>
      <c r="K1012" s="670"/>
      <c r="L1012" s="670"/>
    </row>
    <row r="1013" spans="2:12" ht="12.75">
      <c r="B1013" s="326"/>
      <c r="C1013" s="326"/>
      <c r="D1013" s="326"/>
      <c r="E1013" s="326"/>
      <c r="F1013" s="326"/>
      <c r="G1013" s="326"/>
      <c r="K1013" s="670"/>
      <c r="L1013" s="670"/>
    </row>
    <row r="1014" spans="2:12" ht="12.75">
      <c r="B1014" s="326"/>
      <c r="C1014" s="326"/>
      <c r="D1014" s="326"/>
      <c r="E1014" s="326"/>
      <c r="F1014" s="326"/>
      <c r="G1014" s="326"/>
      <c r="K1014" s="670"/>
      <c r="L1014" s="670"/>
    </row>
    <row r="1015" spans="2:12" ht="12.75">
      <c r="B1015" s="326"/>
      <c r="C1015" s="326"/>
      <c r="D1015" s="326"/>
      <c r="E1015" s="326"/>
      <c r="F1015" s="326"/>
      <c r="G1015" s="326"/>
      <c r="K1015" s="670"/>
      <c r="L1015" s="670"/>
    </row>
    <row r="1016" spans="2:12" ht="12.75">
      <c r="B1016" s="326"/>
      <c r="C1016" s="326"/>
      <c r="D1016" s="326"/>
      <c r="E1016" s="326"/>
      <c r="F1016" s="326"/>
      <c r="G1016" s="326"/>
      <c r="K1016" s="670"/>
      <c r="L1016" s="670"/>
    </row>
    <row r="1017" spans="2:12" ht="12.75">
      <c r="B1017" s="326"/>
      <c r="C1017" s="326"/>
      <c r="D1017" s="326"/>
      <c r="E1017" s="326"/>
      <c r="F1017" s="326"/>
      <c r="G1017" s="326"/>
      <c r="K1017" s="670"/>
      <c r="L1017" s="670"/>
    </row>
    <row r="1018" spans="2:12" ht="12.75">
      <c r="B1018" s="326"/>
      <c r="C1018" s="326"/>
      <c r="D1018" s="326"/>
      <c r="E1018" s="326"/>
      <c r="F1018" s="326"/>
      <c r="G1018" s="326"/>
      <c r="K1018" s="670"/>
      <c r="L1018" s="670"/>
    </row>
    <row r="1019" spans="2:12" ht="12.75">
      <c r="B1019" s="326"/>
      <c r="C1019" s="326"/>
      <c r="D1019" s="326"/>
      <c r="E1019" s="326"/>
      <c r="F1019" s="326"/>
      <c r="G1019" s="326"/>
      <c r="K1019" s="670"/>
      <c r="L1019" s="670"/>
    </row>
    <row r="1020" spans="2:12" ht="12.75">
      <c r="B1020" s="326"/>
      <c r="C1020" s="326"/>
      <c r="D1020" s="326"/>
      <c r="E1020" s="326"/>
      <c r="F1020" s="326"/>
      <c r="G1020" s="326"/>
      <c r="K1020" s="670"/>
      <c r="L1020" s="670"/>
    </row>
    <row r="1021" spans="2:12" ht="12.75">
      <c r="B1021" s="326"/>
      <c r="C1021" s="326"/>
      <c r="D1021" s="326"/>
      <c r="E1021" s="326"/>
      <c r="F1021" s="326"/>
      <c r="G1021" s="326"/>
      <c r="K1021" s="670"/>
      <c r="L1021" s="670"/>
    </row>
    <row r="1022" spans="2:12" ht="12.75">
      <c r="B1022" s="326"/>
      <c r="C1022" s="326"/>
      <c r="D1022" s="326"/>
      <c r="E1022" s="326"/>
      <c r="F1022" s="326"/>
      <c r="G1022" s="326"/>
      <c r="K1022" s="670"/>
      <c r="L1022" s="670"/>
    </row>
    <row r="1023" spans="2:12" ht="12.75">
      <c r="B1023" s="326"/>
      <c r="C1023" s="326"/>
      <c r="D1023" s="326"/>
      <c r="E1023" s="326"/>
      <c r="F1023" s="326"/>
      <c r="G1023" s="326"/>
      <c r="K1023" s="670"/>
      <c r="L1023" s="670"/>
    </row>
    <row r="1024" spans="2:12" ht="12.75">
      <c r="B1024" s="326"/>
      <c r="C1024" s="326"/>
      <c r="D1024" s="326"/>
      <c r="E1024" s="326"/>
      <c r="F1024" s="326"/>
      <c r="G1024" s="326"/>
      <c r="K1024" s="670"/>
      <c r="L1024" s="670"/>
    </row>
    <row r="1025" spans="2:12" ht="12.75">
      <c r="B1025" s="326"/>
      <c r="C1025" s="326"/>
      <c r="D1025" s="326"/>
      <c r="E1025" s="326"/>
      <c r="F1025" s="326"/>
      <c r="G1025" s="326"/>
      <c r="K1025" s="670"/>
      <c r="L1025" s="670"/>
    </row>
    <row r="1026" spans="2:12" ht="12.75">
      <c r="B1026" s="326"/>
      <c r="C1026" s="326"/>
      <c r="D1026" s="326"/>
      <c r="E1026" s="326"/>
      <c r="F1026" s="326"/>
      <c r="G1026" s="326"/>
      <c r="K1026" s="670"/>
      <c r="L1026" s="670"/>
    </row>
    <row r="1027" spans="2:12" ht="12.75">
      <c r="B1027" s="326"/>
      <c r="C1027" s="326"/>
      <c r="D1027" s="326"/>
      <c r="E1027" s="326"/>
      <c r="F1027" s="326"/>
      <c r="G1027" s="326"/>
      <c r="K1027" s="670"/>
      <c r="L1027" s="670"/>
    </row>
    <row r="1028" spans="2:12" ht="12.75">
      <c r="B1028" s="326"/>
      <c r="C1028" s="326"/>
      <c r="D1028" s="326"/>
      <c r="E1028" s="326"/>
      <c r="F1028" s="326"/>
      <c r="G1028" s="326"/>
      <c r="K1028" s="670"/>
      <c r="L1028" s="670"/>
    </row>
    <row r="1029" spans="2:12" ht="12.75">
      <c r="B1029" s="326"/>
      <c r="C1029" s="326"/>
      <c r="D1029" s="326"/>
      <c r="E1029" s="326"/>
      <c r="F1029" s="326"/>
      <c r="G1029" s="326"/>
      <c r="K1029" s="670"/>
      <c r="L1029" s="670"/>
    </row>
    <row r="1030" spans="2:12" ht="12.75">
      <c r="B1030" s="326"/>
      <c r="C1030" s="326"/>
      <c r="D1030" s="326"/>
      <c r="E1030" s="326"/>
      <c r="F1030" s="326"/>
      <c r="G1030" s="326"/>
      <c r="K1030" s="670"/>
      <c r="L1030" s="670"/>
    </row>
    <row r="1031" spans="2:12" ht="12.75">
      <c r="B1031" s="326"/>
      <c r="C1031" s="326"/>
      <c r="D1031" s="326"/>
      <c r="E1031" s="326"/>
      <c r="F1031" s="326"/>
      <c r="G1031" s="326"/>
      <c r="K1031" s="670"/>
      <c r="L1031" s="670"/>
    </row>
    <row r="1032" spans="2:12" ht="12.75">
      <c r="B1032" s="326"/>
      <c r="C1032" s="326"/>
      <c r="D1032" s="326"/>
      <c r="E1032" s="326"/>
      <c r="F1032" s="326"/>
      <c r="G1032" s="326"/>
      <c r="K1032" s="670"/>
      <c r="L1032" s="670"/>
    </row>
    <row r="1033" spans="2:12" ht="12.75">
      <c r="B1033" s="326"/>
      <c r="C1033" s="326"/>
      <c r="D1033" s="326"/>
      <c r="E1033" s="326"/>
      <c r="F1033" s="326"/>
      <c r="G1033" s="326"/>
      <c r="K1033" s="670"/>
      <c r="L1033" s="670"/>
    </row>
    <row r="1034" spans="2:12" ht="12.75">
      <c r="B1034" s="326"/>
      <c r="C1034" s="326"/>
      <c r="D1034" s="326"/>
      <c r="E1034" s="326"/>
      <c r="F1034" s="326"/>
      <c r="G1034" s="326"/>
      <c r="K1034" s="670"/>
      <c r="L1034" s="670"/>
    </row>
    <row r="1035" spans="2:12" ht="12.75">
      <c r="B1035" s="326"/>
      <c r="C1035" s="326"/>
      <c r="D1035" s="326"/>
      <c r="E1035" s="326"/>
      <c r="F1035" s="326"/>
      <c r="G1035" s="326"/>
      <c r="K1035" s="670"/>
      <c r="L1035" s="670"/>
    </row>
    <row r="1036" spans="2:12" ht="12.75">
      <c r="B1036" s="326"/>
      <c r="C1036" s="326"/>
      <c r="D1036" s="326"/>
      <c r="E1036" s="326"/>
      <c r="F1036" s="326"/>
      <c r="G1036" s="326"/>
      <c r="K1036" s="670"/>
      <c r="L1036" s="670"/>
    </row>
    <row r="1037" spans="2:12" ht="12.75">
      <c r="B1037" s="326"/>
      <c r="C1037" s="326"/>
      <c r="D1037" s="326"/>
      <c r="E1037" s="326"/>
      <c r="F1037" s="326"/>
      <c r="G1037" s="326"/>
      <c r="K1037" s="670"/>
      <c r="L1037" s="670"/>
    </row>
    <row r="1038" spans="2:12" ht="12.75">
      <c r="B1038" s="326"/>
      <c r="C1038" s="326"/>
      <c r="D1038" s="326"/>
      <c r="E1038" s="326"/>
      <c r="F1038" s="326"/>
      <c r="G1038" s="326"/>
      <c r="K1038" s="670"/>
      <c r="L1038" s="670"/>
    </row>
    <row r="1039" spans="2:12" ht="12.75">
      <c r="B1039" s="326"/>
      <c r="C1039" s="326"/>
      <c r="D1039" s="326"/>
      <c r="E1039" s="326"/>
      <c r="F1039" s="326"/>
      <c r="G1039" s="326"/>
      <c r="K1039" s="670"/>
      <c r="L1039" s="670"/>
    </row>
    <row r="1040" spans="2:12" ht="12.75">
      <c r="B1040" s="326"/>
      <c r="C1040" s="326"/>
      <c r="D1040" s="326"/>
      <c r="E1040" s="326"/>
      <c r="F1040" s="326"/>
      <c r="G1040" s="326"/>
      <c r="K1040" s="670"/>
      <c r="L1040" s="670"/>
    </row>
    <row r="1041" spans="2:12" ht="12.75">
      <c r="B1041" s="326"/>
      <c r="C1041" s="326"/>
      <c r="D1041" s="326"/>
      <c r="E1041" s="326"/>
      <c r="F1041" s="326"/>
      <c r="G1041" s="326"/>
      <c r="K1041" s="670"/>
      <c r="L1041" s="670"/>
    </row>
    <row r="1042" spans="2:12" ht="12.75">
      <c r="B1042" s="326"/>
      <c r="C1042" s="326"/>
      <c r="D1042" s="326"/>
      <c r="E1042" s="326"/>
      <c r="F1042" s="326"/>
      <c r="G1042" s="326"/>
      <c r="K1042" s="670"/>
      <c r="L1042" s="670"/>
    </row>
    <row r="1043" spans="2:12" ht="12.75">
      <c r="B1043" s="326"/>
      <c r="C1043" s="326"/>
      <c r="D1043" s="326"/>
      <c r="E1043" s="326"/>
      <c r="F1043" s="326"/>
      <c r="G1043" s="326"/>
      <c r="K1043" s="670"/>
      <c r="L1043" s="670"/>
    </row>
    <row r="1044" spans="2:12" ht="12.75">
      <c r="B1044" s="326"/>
      <c r="C1044" s="326"/>
      <c r="D1044" s="326"/>
      <c r="E1044" s="326"/>
      <c r="F1044" s="326"/>
      <c r="G1044" s="326"/>
      <c r="K1044" s="670"/>
      <c r="L1044" s="670"/>
    </row>
    <row r="1045" spans="2:12" ht="12.75">
      <c r="B1045" s="326"/>
      <c r="C1045" s="326"/>
      <c r="D1045" s="326"/>
      <c r="E1045" s="326"/>
      <c r="F1045" s="326"/>
      <c r="G1045" s="326"/>
      <c r="K1045" s="670"/>
      <c r="L1045" s="670"/>
    </row>
    <row r="1046" spans="2:12" ht="12.75">
      <c r="B1046" s="326"/>
      <c r="C1046" s="326"/>
      <c r="D1046" s="326"/>
      <c r="E1046" s="326"/>
      <c r="F1046" s="326"/>
      <c r="G1046" s="326"/>
      <c r="K1046" s="670"/>
      <c r="L1046" s="670"/>
    </row>
    <row r="1047" spans="2:12" ht="12.75">
      <c r="B1047" s="326"/>
      <c r="C1047" s="326"/>
      <c r="D1047" s="326"/>
      <c r="E1047" s="326"/>
      <c r="F1047" s="326"/>
      <c r="G1047" s="326"/>
      <c r="K1047" s="670"/>
      <c r="L1047" s="670"/>
    </row>
    <row r="1048" spans="2:12" ht="12.75">
      <c r="B1048" s="326"/>
      <c r="C1048" s="326"/>
      <c r="D1048" s="326"/>
      <c r="E1048" s="326"/>
      <c r="F1048" s="326"/>
      <c r="G1048" s="326"/>
      <c r="K1048" s="670"/>
      <c r="L1048" s="670"/>
    </row>
    <row r="1049" spans="2:12" ht="12.75">
      <c r="B1049" s="326"/>
      <c r="C1049" s="326"/>
      <c r="D1049" s="326"/>
      <c r="E1049" s="326"/>
      <c r="F1049" s="326"/>
      <c r="G1049" s="326"/>
      <c r="K1049" s="670"/>
      <c r="L1049" s="670"/>
    </row>
    <row r="1050" spans="2:12" ht="12.75">
      <c r="B1050" s="326"/>
      <c r="C1050" s="326"/>
      <c r="D1050" s="326"/>
      <c r="E1050" s="326"/>
      <c r="F1050" s="326"/>
      <c r="G1050" s="326"/>
      <c r="K1050" s="670"/>
      <c r="L1050" s="670"/>
    </row>
    <row r="1051" spans="2:12" ht="12.75">
      <c r="B1051" s="326"/>
      <c r="C1051" s="326"/>
      <c r="D1051" s="326"/>
      <c r="E1051" s="326"/>
      <c r="F1051" s="326"/>
      <c r="G1051" s="326"/>
      <c r="K1051" s="670"/>
      <c r="L1051" s="670"/>
    </row>
    <row r="1052" spans="2:12" ht="12.75">
      <c r="B1052" s="326"/>
      <c r="C1052" s="326"/>
      <c r="D1052" s="326"/>
      <c r="E1052" s="326"/>
      <c r="F1052" s="326"/>
      <c r="G1052" s="326"/>
      <c r="K1052" s="670"/>
      <c r="L1052" s="670"/>
    </row>
    <row r="1053" spans="2:12" ht="12.75">
      <c r="B1053" s="326"/>
      <c r="C1053" s="326"/>
      <c r="D1053" s="326"/>
      <c r="E1053" s="326"/>
      <c r="F1053" s="326"/>
      <c r="G1053" s="326"/>
      <c r="K1053" s="670"/>
      <c r="L1053" s="670"/>
    </row>
    <row r="1054" spans="2:12" ht="12.75">
      <c r="B1054" s="326"/>
      <c r="C1054" s="326"/>
      <c r="D1054" s="326"/>
      <c r="E1054" s="326"/>
      <c r="F1054" s="326"/>
      <c r="G1054" s="326"/>
      <c r="K1054" s="670"/>
      <c r="L1054" s="670"/>
    </row>
    <row r="1055" spans="2:12" ht="12.75">
      <c r="B1055" s="326"/>
      <c r="C1055" s="326"/>
      <c r="D1055" s="326"/>
      <c r="E1055" s="326"/>
      <c r="F1055" s="326"/>
      <c r="G1055" s="326"/>
      <c r="K1055" s="670"/>
      <c r="L1055" s="670"/>
    </row>
    <row r="1056" spans="2:12" ht="12.75">
      <c r="B1056" s="326"/>
      <c r="C1056" s="326"/>
      <c r="D1056" s="326"/>
      <c r="E1056" s="326"/>
      <c r="F1056" s="326"/>
      <c r="G1056" s="326"/>
      <c r="K1056" s="670"/>
      <c r="L1056" s="670"/>
    </row>
    <row r="1057" spans="2:12" ht="12.75">
      <c r="B1057" s="326"/>
      <c r="C1057" s="326"/>
      <c r="D1057" s="326"/>
      <c r="E1057" s="326"/>
      <c r="F1057" s="326"/>
      <c r="G1057" s="326"/>
      <c r="K1057" s="670"/>
      <c r="L1057" s="670"/>
    </row>
    <row r="1058" spans="2:12" ht="12.75">
      <c r="B1058" s="326"/>
      <c r="C1058" s="326"/>
      <c r="D1058" s="326"/>
      <c r="E1058" s="326"/>
      <c r="F1058" s="326"/>
      <c r="G1058" s="326"/>
      <c r="K1058" s="670"/>
      <c r="L1058" s="670"/>
    </row>
    <row r="1059" spans="2:12" ht="12.75">
      <c r="B1059" s="326"/>
      <c r="C1059" s="326"/>
      <c r="D1059" s="326"/>
      <c r="E1059" s="326"/>
      <c r="F1059" s="326"/>
      <c r="G1059" s="326"/>
      <c r="K1059" s="670"/>
      <c r="L1059" s="670"/>
    </row>
    <row r="1060" spans="2:12" ht="12.75">
      <c r="B1060" s="326"/>
      <c r="C1060" s="326"/>
      <c r="D1060" s="326"/>
      <c r="E1060" s="326"/>
      <c r="F1060" s="326"/>
      <c r="G1060" s="326"/>
      <c r="K1060" s="670"/>
      <c r="L1060" s="670"/>
    </row>
    <row r="1061" spans="2:12" ht="12.75">
      <c r="B1061" s="326"/>
      <c r="C1061" s="326"/>
      <c r="D1061" s="326"/>
      <c r="E1061" s="326"/>
      <c r="F1061" s="326"/>
      <c r="G1061" s="326"/>
      <c r="K1061" s="670"/>
      <c r="L1061" s="670"/>
    </row>
    <row r="1062" spans="2:12" ht="12.75">
      <c r="B1062" s="326"/>
      <c r="C1062" s="326"/>
      <c r="D1062" s="326"/>
      <c r="E1062" s="326"/>
      <c r="F1062" s="326"/>
      <c r="G1062" s="326"/>
      <c r="K1062" s="670"/>
      <c r="L1062" s="670"/>
    </row>
    <row r="1063" spans="2:12" ht="12.75">
      <c r="B1063" s="326"/>
      <c r="C1063" s="326"/>
      <c r="D1063" s="326"/>
      <c r="E1063" s="326"/>
      <c r="F1063" s="326"/>
      <c r="G1063" s="326"/>
      <c r="K1063" s="670"/>
      <c r="L1063" s="670"/>
    </row>
    <row r="1064" spans="2:12" ht="12.75">
      <c r="B1064" s="326"/>
      <c r="C1064" s="326"/>
      <c r="D1064" s="326"/>
      <c r="E1064" s="326"/>
      <c r="F1064" s="326"/>
      <c r="G1064" s="326"/>
      <c r="K1064" s="670"/>
      <c r="L1064" s="670"/>
    </row>
    <row r="1065" spans="2:12" ht="12.75">
      <c r="B1065" s="326"/>
      <c r="C1065" s="326"/>
      <c r="D1065" s="326"/>
      <c r="E1065" s="326"/>
      <c r="F1065" s="326"/>
      <c r="G1065" s="326"/>
      <c r="K1065" s="670"/>
      <c r="L1065" s="670"/>
    </row>
    <row r="1066" spans="2:12" ht="12.75">
      <c r="B1066" s="326"/>
      <c r="C1066" s="326"/>
      <c r="D1066" s="326"/>
      <c r="E1066" s="326"/>
      <c r="F1066" s="326"/>
      <c r="G1066" s="326"/>
      <c r="K1066" s="670"/>
      <c r="L1066" s="670"/>
    </row>
    <row r="1067" spans="2:12" ht="12.75">
      <c r="B1067" s="326"/>
      <c r="C1067" s="326"/>
      <c r="D1067" s="326"/>
      <c r="E1067" s="326"/>
      <c r="F1067" s="326"/>
      <c r="G1067" s="326"/>
      <c r="K1067" s="670"/>
      <c r="L1067" s="670"/>
    </row>
    <row r="1068" spans="2:12" ht="12.75">
      <c r="B1068" s="326"/>
      <c r="C1068" s="326"/>
      <c r="D1068" s="326"/>
      <c r="E1068" s="326"/>
      <c r="F1068" s="326"/>
      <c r="G1068" s="326"/>
      <c r="K1068" s="670"/>
      <c r="L1068" s="670"/>
    </row>
    <row r="1069" spans="2:12" ht="12.75">
      <c r="B1069" s="326"/>
      <c r="C1069" s="326"/>
      <c r="D1069" s="326"/>
      <c r="E1069" s="326"/>
      <c r="F1069" s="326"/>
      <c r="G1069" s="326"/>
      <c r="K1069" s="670"/>
      <c r="L1069" s="670"/>
    </row>
    <row r="1070" spans="2:12" ht="12.75">
      <c r="B1070" s="326"/>
      <c r="C1070" s="326"/>
      <c r="D1070" s="326"/>
      <c r="E1070" s="326"/>
      <c r="F1070" s="326"/>
      <c r="G1070" s="326"/>
      <c r="K1070" s="670"/>
      <c r="L1070" s="670"/>
    </row>
    <row r="1071" spans="2:12" ht="12.75">
      <c r="B1071" s="326"/>
      <c r="C1071" s="326"/>
      <c r="D1071" s="326"/>
      <c r="E1071" s="326"/>
      <c r="F1071" s="326"/>
      <c r="G1071" s="326"/>
      <c r="K1071" s="670"/>
      <c r="L1071" s="670"/>
    </row>
    <row r="1072" spans="2:12" ht="12.75">
      <c r="B1072" s="326"/>
      <c r="C1072" s="326"/>
      <c r="D1072" s="326"/>
      <c r="E1072" s="326"/>
      <c r="F1072" s="326"/>
      <c r="G1072" s="326"/>
      <c r="K1072" s="670"/>
      <c r="L1072" s="670"/>
    </row>
    <row r="1073" spans="2:12" ht="12.75">
      <c r="B1073" s="326"/>
      <c r="C1073" s="326"/>
      <c r="D1073" s="326"/>
      <c r="E1073" s="326"/>
      <c r="F1073" s="326"/>
      <c r="G1073" s="326"/>
      <c r="K1073" s="670"/>
      <c r="L1073" s="670"/>
    </row>
    <row r="1074" spans="2:12" ht="12.75">
      <c r="B1074" s="326"/>
      <c r="C1074" s="326"/>
      <c r="D1074" s="326"/>
      <c r="E1074" s="326"/>
      <c r="F1074" s="326"/>
      <c r="G1074" s="326"/>
      <c r="K1074" s="670"/>
      <c r="L1074" s="670"/>
    </row>
    <row r="1075" spans="2:12" ht="12.75">
      <c r="B1075" s="326"/>
      <c r="C1075" s="326"/>
      <c r="D1075" s="326"/>
      <c r="E1075" s="326"/>
      <c r="F1075" s="326"/>
      <c r="G1075" s="326"/>
      <c r="K1075" s="670"/>
      <c r="L1075" s="670"/>
    </row>
    <row r="1076" spans="2:12" ht="12.75">
      <c r="B1076" s="326"/>
      <c r="C1076" s="326"/>
      <c r="D1076" s="326"/>
      <c r="E1076" s="326"/>
      <c r="F1076" s="326"/>
      <c r="G1076" s="326"/>
      <c r="K1076" s="670"/>
      <c r="L1076" s="670"/>
    </row>
    <row r="1077" spans="2:12" ht="12.75">
      <c r="B1077" s="326"/>
      <c r="C1077" s="326"/>
      <c r="D1077" s="326"/>
      <c r="E1077" s="326"/>
      <c r="F1077" s="326"/>
      <c r="G1077" s="326"/>
      <c r="K1077" s="670"/>
      <c r="L1077" s="670"/>
    </row>
    <row r="1078" spans="2:12" ht="12.75">
      <c r="B1078" s="326"/>
      <c r="C1078" s="326"/>
      <c r="D1078" s="326"/>
      <c r="E1078" s="326"/>
      <c r="F1078" s="326"/>
      <c r="G1078" s="326"/>
      <c r="K1078" s="670"/>
      <c r="L1078" s="670"/>
    </row>
    <row r="1079" spans="2:12" ht="12.75">
      <c r="B1079" s="326"/>
      <c r="C1079" s="326"/>
      <c r="D1079" s="326"/>
      <c r="E1079" s="326"/>
      <c r="F1079" s="326"/>
      <c r="G1079" s="326"/>
      <c r="K1079" s="670"/>
      <c r="L1079" s="670"/>
    </row>
    <row r="1080" spans="2:12" ht="12.75">
      <c r="B1080" s="326"/>
      <c r="C1080" s="326"/>
      <c r="D1080" s="326"/>
      <c r="E1080" s="326"/>
      <c r="F1080" s="326"/>
      <c r="G1080" s="326"/>
      <c r="K1080" s="670"/>
      <c r="L1080" s="670"/>
    </row>
    <row r="1081" spans="2:12" ht="12.75">
      <c r="B1081" s="326"/>
      <c r="C1081" s="326"/>
      <c r="D1081" s="326"/>
      <c r="E1081" s="326"/>
      <c r="F1081" s="326"/>
      <c r="G1081" s="326"/>
      <c r="K1081" s="670"/>
      <c r="L1081" s="670"/>
    </row>
    <row r="1082" spans="2:12" ht="12.75">
      <c r="B1082" s="326"/>
      <c r="C1082" s="326"/>
      <c r="D1082" s="326"/>
      <c r="E1082" s="326"/>
      <c r="F1082" s="326"/>
      <c r="G1082" s="326"/>
      <c r="K1082" s="670"/>
      <c r="L1082" s="670"/>
    </row>
    <row r="1083" spans="2:12" ht="12.75">
      <c r="B1083" s="326"/>
      <c r="C1083" s="326"/>
      <c r="D1083" s="326"/>
      <c r="E1083" s="326"/>
      <c r="F1083" s="326"/>
      <c r="G1083" s="326"/>
      <c r="K1083" s="670"/>
      <c r="L1083" s="670"/>
    </row>
    <row r="1084" spans="2:12" ht="12.75">
      <c r="B1084" s="326"/>
      <c r="C1084" s="326"/>
      <c r="D1084" s="326"/>
      <c r="E1084" s="326"/>
      <c r="F1084" s="326"/>
      <c r="G1084" s="326"/>
      <c r="K1084" s="670"/>
      <c r="L1084" s="670"/>
    </row>
    <row r="1085" spans="2:12" ht="12.75">
      <c r="B1085" s="326"/>
      <c r="C1085" s="326"/>
      <c r="D1085" s="326"/>
      <c r="E1085" s="326"/>
      <c r="F1085" s="326"/>
      <c r="G1085" s="326"/>
      <c r="K1085" s="670"/>
      <c r="L1085" s="670"/>
    </row>
    <row r="1086" spans="2:12" ht="12.75">
      <c r="B1086" s="326"/>
      <c r="C1086" s="326"/>
      <c r="D1086" s="326"/>
      <c r="E1086" s="326"/>
      <c r="F1086" s="326"/>
      <c r="G1086" s="326"/>
      <c r="K1086" s="670"/>
      <c r="L1086" s="670"/>
    </row>
    <row r="1087" spans="2:12" ht="12.75">
      <c r="B1087" s="326"/>
      <c r="C1087" s="326"/>
      <c r="D1087" s="326"/>
      <c r="E1087" s="326"/>
      <c r="F1087" s="326"/>
      <c r="G1087" s="326"/>
      <c r="K1087" s="670"/>
      <c r="L1087" s="670"/>
    </row>
    <row r="1088" spans="2:12" ht="12.75">
      <c r="B1088" s="326"/>
      <c r="C1088" s="326"/>
      <c r="D1088" s="326"/>
      <c r="E1088" s="326"/>
      <c r="F1088" s="326"/>
      <c r="G1088" s="326"/>
      <c r="K1088" s="670"/>
      <c r="L1088" s="670"/>
    </row>
    <row r="1089" spans="2:12" ht="12.75">
      <c r="B1089" s="326"/>
      <c r="C1089" s="326"/>
      <c r="D1089" s="326"/>
      <c r="E1089" s="326"/>
      <c r="F1089" s="326"/>
      <c r="G1089" s="326"/>
      <c r="K1089" s="670"/>
      <c r="L1089" s="670"/>
    </row>
    <row r="1090" spans="2:12" ht="12.75">
      <c r="B1090" s="326"/>
      <c r="C1090" s="326"/>
      <c r="D1090" s="326"/>
      <c r="E1090" s="326"/>
      <c r="F1090" s="326"/>
      <c r="G1090" s="326"/>
      <c r="K1090" s="670"/>
      <c r="L1090" s="670"/>
    </row>
    <row r="1091" spans="2:12" ht="12.75">
      <c r="B1091" s="326"/>
      <c r="C1091" s="326"/>
      <c r="D1091" s="326"/>
      <c r="E1091" s="326"/>
      <c r="F1091" s="326"/>
      <c r="G1091" s="326"/>
      <c r="K1091" s="670"/>
      <c r="L1091" s="670"/>
    </row>
    <row r="1092" spans="2:12" ht="12.75">
      <c r="B1092" s="326"/>
      <c r="C1092" s="326"/>
      <c r="D1092" s="326"/>
      <c r="E1092" s="326"/>
      <c r="F1092" s="326"/>
      <c r="G1092" s="326"/>
      <c r="K1092" s="670"/>
      <c r="L1092" s="670"/>
    </row>
    <row r="1093" spans="2:12" ht="12.75">
      <c r="B1093" s="326"/>
      <c r="C1093" s="326"/>
      <c r="D1093" s="326"/>
      <c r="E1093" s="326"/>
      <c r="F1093" s="326"/>
      <c r="G1093" s="326"/>
      <c r="K1093" s="670"/>
      <c r="L1093" s="670"/>
    </row>
    <row r="1094" spans="2:12" ht="12.75">
      <c r="B1094" s="326"/>
      <c r="C1094" s="326"/>
      <c r="D1094" s="326"/>
      <c r="E1094" s="326"/>
      <c r="F1094" s="326"/>
      <c r="G1094" s="326"/>
      <c r="K1094" s="670"/>
      <c r="L1094" s="670"/>
    </row>
    <row r="1095" spans="2:12" ht="12.75">
      <c r="B1095" s="326"/>
      <c r="C1095" s="326"/>
      <c r="D1095" s="326"/>
      <c r="E1095" s="326"/>
      <c r="F1095" s="326"/>
      <c r="G1095" s="326"/>
      <c r="K1095" s="670"/>
      <c r="L1095" s="670"/>
    </row>
    <row r="1096" spans="2:12" ht="12.75">
      <c r="B1096" s="326"/>
      <c r="C1096" s="326"/>
      <c r="D1096" s="326"/>
      <c r="E1096" s="326"/>
      <c r="F1096" s="326"/>
      <c r="G1096" s="326"/>
      <c r="K1096" s="670"/>
      <c r="L1096" s="670"/>
    </row>
    <row r="1097" spans="2:12" ht="12.75">
      <c r="B1097" s="326"/>
      <c r="C1097" s="326"/>
      <c r="D1097" s="326"/>
      <c r="E1097" s="326"/>
      <c r="F1097" s="326"/>
      <c r="G1097" s="326"/>
      <c r="K1097" s="670"/>
      <c r="L1097" s="670"/>
    </row>
    <row r="1098" spans="2:12" ht="12.75">
      <c r="B1098" s="326"/>
      <c r="C1098" s="326"/>
      <c r="D1098" s="326"/>
      <c r="E1098" s="326"/>
      <c r="F1098" s="326"/>
      <c r="G1098" s="326"/>
      <c r="K1098" s="670"/>
      <c r="L1098" s="670"/>
    </row>
    <row r="1099" spans="2:12" ht="12.75">
      <c r="B1099" s="326"/>
      <c r="C1099" s="326"/>
      <c r="D1099" s="326"/>
      <c r="E1099" s="326"/>
      <c r="F1099" s="326"/>
      <c r="G1099" s="326"/>
      <c r="K1099" s="670"/>
      <c r="L1099" s="670"/>
    </row>
    <row r="1100" spans="2:12" ht="12.75">
      <c r="B1100" s="326"/>
      <c r="C1100" s="326"/>
      <c r="D1100" s="326"/>
      <c r="E1100" s="326"/>
      <c r="F1100" s="326"/>
      <c r="G1100" s="326"/>
      <c r="K1100" s="670"/>
      <c r="L1100" s="670"/>
    </row>
    <row r="1101" spans="2:12" ht="12.75">
      <c r="B1101" s="326"/>
      <c r="C1101" s="326"/>
      <c r="D1101" s="326"/>
      <c r="E1101" s="326"/>
      <c r="F1101" s="326"/>
      <c r="G1101" s="326"/>
      <c r="K1101" s="670"/>
      <c r="L1101" s="670"/>
    </row>
    <row r="1102" spans="2:12" ht="12.75">
      <c r="B1102" s="326"/>
      <c r="C1102" s="326"/>
      <c r="D1102" s="326"/>
      <c r="E1102" s="326"/>
      <c r="F1102" s="326"/>
      <c r="G1102" s="326"/>
      <c r="K1102" s="670"/>
      <c r="L1102" s="670"/>
    </row>
    <row r="1103" spans="2:12" ht="12.75">
      <c r="B1103" s="326"/>
      <c r="C1103" s="326"/>
      <c r="D1103" s="326"/>
      <c r="E1103" s="326"/>
      <c r="F1103" s="326"/>
      <c r="G1103" s="326"/>
      <c r="K1103" s="670"/>
      <c r="L1103" s="670"/>
    </row>
    <row r="1104" spans="2:12" ht="12.75">
      <c r="B1104" s="326"/>
      <c r="C1104" s="326"/>
      <c r="D1104" s="326"/>
      <c r="E1104" s="326"/>
      <c r="F1104" s="326"/>
      <c r="G1104" s="326"/>
      <c r="K1104" s="670"/>
      <c r="L1104" s="670"/>
    </row>
    <row r="1105" spans="2:12" ht="12.75">
      <c r="B1105" s="326"/>
      <c r="C1105" s="326"/>
      <c r="D1105" s="326"/>
      <c r="E1105" s="326"/>
      <c r="F1105" s="326"/>
      <c r="G1105" s="326"/>
      <c r="K1105" s="670"/>
      <c r="L1105" s="670"/>
    </row>
    <row r="1106" spans="2:12" ht="12.75">
      <c r="B1106" s="326"/>
      <c r="C1106" s="326"/>
      <c r="D1106" s="326"/>
      <c r="E1106" s="326"/>
      <c r="F1106" s="326"/>
      <c r="G1106" s="326"/>
      <c r="K1106" s="670"/>
      <c r="L1106" s="670"/>
    </row>
    <row r="1107" spans="2:12" ht="12.75">
      <c r="B1107" s="326"/>
      <c r="C1107" s="326"/>
      <c r="D1107" s="326"/>
      <c r="E1107" s="326"/>
      <c r="F1107" s="326"/>
      <c r="G1107" s="326"/>
      <c r="K1107" s="670"/>
      <c r="L1107" s="670"/>
    </row>
    <row r="1108" spans="2:12" ht="12.75">
      <c r="B1108" s="326"/>
      <c r="C1108" s="326"/>
      <c r="D1108" s="326"/>
      <c r="E1108" s="326"/>
      <c r="F1108" s="326"/>
      <c r="G1108" s="326"/>
      <c r="K1108" s="670"/>
      <c r="L1108" s="670"/>
    </row>
    <row r="1109" spans="2:12" ht="12.75">
      <c r="B1109" s="326"/>
      <c r="C1109" s="326"/>
      <c r="D1109" s="326"/>
      <c r="E1109" s="326"/>
      <c r="F1109" s="326"/>
      <c r="G1109" s="326"/>
      <c r="K1109" s="670"/>
      <c r="L1109" s="670"/>
    </row>
    <row r="1110" spans="2:12" ht="12.75">
      <c r="B1110" s="326"/>
      <c r="C1110" s="326"/>
      <c r="D1110" s="326"/>
      <c r="E1110" s="326"/>
      <c r="F1110" s="326"/>
      <c r="G1110" s="326"/>
      <c r="K1110" s="670"/>
      <c r="L1110" s="670"/>
    </row>
    <row r="1111" spans="2:12" ht="12.75">
      <c r="B1111" s="326"/>
      <c r="C1111" s="326"/>
      <c r="D1111" s="326"/>
      <c r="E1111" s="326"/>
      <c r="F1111" s="326"/>
      <c r="G1111" s="326"/>
      <c r="K1111" s="670"/>
      <c r="L1111" s="670"/>
    </row>
    <row r="1112" spans="2:12" ht="12.75">
      <c r="B1112" s="326"/>
      <c r="C1112" s="326"/>
      <c r="D1112" s="326"/>
      <c r="E1112" s="326"/>
      <c r="F1112" s="326"/>
      <c r="G1112" s="326"/>
      <c r="K1112" s="670"/>
      <c r="L1112" s="670"/>
    </row>
    <row r="1113" spans="2:12" ht="12.75">
      <c r="B1113" s="326"/>
      <c r="C1113" s="326"/>
      <c r="D1113" s="326"/>
      <c r="E1113" s="326"/>
      <c r="F1113" s="326"/>
      <c r="G1113" s="326"/>
      <c r="K1113" s="670"/>
      <c r="L1113" s="670"/>
    </row>
    <row r="1114" spans="2:12" ht="12.75">
      <c r="B1114" s="326"/>
      <c r="C1114" s="326"/>
      <c r="D1114" s="326"/>
      <c r="E1114" s="326"/>
      <c r="F1114" s="326"/>
      <c r="G1114" s="326"/>
      <c r="K1114" s="670"/>
      <c r="L1114" s="670"/>
    </row>
    <row r="1115" spans="2:12" ht="12.75">
      <c r="B1115" s="326"/>
      <c r="C1115" s="326"/>
      <c r="D1115" s="326"/>
      <c r="E1115" s="326"/>
      <c r="F1115" s="326"/>
      <c r="G1115" s="326"/>
      <c r="K1115" s="670"/>
      <c r="L1115" s="670"/>
    </row>
    <row r="1116" spans="2:12" ht="12.75">
      <c r="B1116" s="326"/>
      <c r="C1116" s="326"/>
      <c r="D1116" s="326"/>
      <c r="E1116" s="326"/>
      <c r="F1116" s="326"/>
      <c r="G1116" s="326"/>
      <c r="K1116" s="670"/>
      <c r="L1116" s="670"/>
    </row>
    <row r="1117" spans="2:12" ht="12.75">
      <c r="B1117" s="326"/>
      <c r="C1117" s="326"/>
      <c r="D1117" s="326"/>
      <c r="E1117" s="326"/>
      <c r="F1117" s="326"/>
      <c r="G1117" s="326"/>
      <c r="K1117" s="670"/>
      <c r="L1117" s="670"/>
    </row>
    <row r="1118" spans="2:12" ht="12.75">
      <c r="B1118" s="326"/>
      <c r="C1118" s="326"/>
      <c r="D1118" s="326"/>
      <c r="E1118" s="326"/>
      <c r="F1118" s="326"/>
      <c r="G1118" s="326"/>
      <c r="K1118" s="670"/>
      <c r="L1118" s="670"/>
    </row>
    <row r="1119" spans="2:12" ht="12.75">
      <c r="B1119" s="326"/>
      <c r="C1119" s="326"/>
      <c r="D1119" s="326"/>
      <c r="E1119" s="326"/>
      <c r="F1119" s="326"/>
      <c r="G1119" s="326"/>
      <c r="K1119" s="670"/>
      <c r="L1119" s="670"/>
    </row>
    <row r="1120" spans="2:12" ht="12.75">
      <c r="B1120" s="326"/>
      <c r="C1120" s="326"/>
      <c r="D1120" s="326"/>
      <c r="E1120" s="326"/>
      <c r="F1120" s="326"/>
      <c r="G1120" s="326"/>
      <c r="K1120" s="670"/>
      <c r="L1120" s="670"/>
    </row>
    <row r="1121" spans="2:12" ht="12.75">
      <c r="B1121" s="326"/>
      <c r="C1121" s="326"/>
      <c r="D1121" s="326"/>
      <c r="E1121" s="326"/>
      <c r="F1121" s="326"/>
      <c r="G1121" s="326"/>
      <c r="K1121" s="670"/>
      <c r="L1121" s="670"/>
    </row>
    <row r="1122" spans="2:12" ht="12.75">
      <c r="B1122" s="326"/>
      <c r="C1122" s="326"/>
      <c r="D1122" s="326"/>
      <c r="E1122" s="326"/>
      <c r="F1122" s="326"/>
      <c r="G1122" s="326"/>
      <c r="K1122" s="670"/>
      <c r="L1122" s="670"/>
    </row>
    <row r="1123" spans="2:12" ht="12.75">
      <c r="B1123" s="326"/>
      <c r="C1123" s="326"/>
      <c r="D1123" s="326"/>
      <c r="E1123" s="326"/>
      <c r="F1123" s="326"/>
      <c r="G1123" s="326"/>
      <c r="K1123" s="670"/>
      <c r="L1123" s="670"/>
    </row>
    <row r="1124" spans="2:12" ht="12.75">
      <c r="B1124" s="326"/>
      <c r="C1124" s="326"/>
      <c r="D1124" s="326"/>
      <c r="E1124" s="326"/>
      <c r="F1124" s="326"/>
      <c r="G1124" s="326"/>
      <c r="K1124" s="670"/>
      <c r="L1124" s="670"/>
    </row>
    <row r="1125" spans="2:12" ht="12.75">
      <c r="B1125" s="326"/>
      <c r="C1125" s="326"/>
      <c r="D1125" s="326"/>
      <c r="E1125" s="326"/>
      <c r="F1125" s="326"/>
      <c r="G1125" s="326"/>
      <c r="K1125" s="670"/>
      <c r="L1125" s="670"/>
    </row>
    <row r="1126" spans="2:12" ht="12.75">
      <c r="B1126" s="326"/>
      <c r="C1126" s="326"/>
      <c r="D1126" s="326"/>
      <c r="E1126" s="326"/>
      <c r="F1126" s="326"/>
      <c r="G1126" s="326"/>
      <c r="K1126" s="670"/>
      <c r="L1126" s="670"/>
    </row>
    <row r="1127" spans="2:12" ht="12.75">
      <c r="B1127" s="326"/>
      <c r="C1127" s="326"/>
      <c r="D1127" s="326"/>
      <c r="E1127" s="326"/>
      <c r="F1127" s="326"/>
      <c r="G1127" s="326"/>
      <c r="K1127" s="670"/>
      <c r="L1127" s="670"/>
    </row>
    <row r="1128" spans="2:12" ht="12.75">
      <c r="B1128" s="326"/>
      <c r="C1128" s="326"/>
      <c r="D1128" s="326"/>
      <c r="E1128" s="326"/>
      <c r="F1128" s="326"/>
      <c r="G1128" s="326"/>
      <c r="K1128" s="670"/>
      <c r="L1128" s="670"/>
    </row>
    <row r="1129" spans="2:12" ht="12.75">
      <c r="B1129" s="326"/>
      <c r="C1129" s="326"/>
      <c r="D1129" s="326"/>
      <c r="E1129" s="326"/>
      <c r="F1129" s="326"/>
      <c r="G1129" s="326"/>
      <c r="K1129" s="670"/>
      <c r="L1129" s="670"/>
    </row>
    <row r="1130" spans="2:12" ht="12.75">
      <c r="B1130" s="326"/>
      <c r="C1130" s="326"/>
      <c r="D1130" s="326"/>
      <c r="E1130" s="326"/>
      <c r="F1130" s="326"/>
      <c r="G1130" s="326"/>
      <c r="K1130" s="670"/>
      <c r="L1130" s="670"/>
    </row>
    <row r="1131" spans="2:12" ht="12.75">
      <c r="B1131" s="326"/>
      <c r="C1131" s="326"/>
      <c r="D1131" s="326"/>
      <c r="E1131" s="326"/>
      <c r="F1131" s="326"/>
      <c r="G1131" s="326"/>
      <c r="K1131" s="670"/>
      <c r="L1131" s="670"/>
    </row>
    <row r="1132" spans="2:12" ht="12.75">
      <c r="B1132" s="326"/>
      <c r="C1132" s="326"/>
      <c r="D1132" s="326"/>
      <c r="E1132" s="326"/>
      <c r="F1132" s="326"/>
      <c r="G1132" s="326"/>
      <c r="K1132" s="670"/>
      <c r="L1132" s="670"/>
    </row>
    <row r="1133" spans="2:12" ht="12.75">
      <c r="B1133" s="326"/>
      <c r="C1133" s="326"/>
      <c r="D1133" s="326"/>
      <c r="E1133" s="326"/>
      <c r="F1133" s="326"/>
      <c r="G1133" s="326"/>
      <c r="K1133" s="670"/>
      <c r="L1133" s="670"/>
    </row>
    <row r="1134" spans="2:12" ht="12.75">
      <c r="B1134" s="326"/>
      <c r="C1134" s="326"/>
      <c r="D1134" s="326"/>
      <c r="E1134" s="326"/>
      <c r="F1134" s="326"/>
      <c r="G1134" s="326"/>
      <c r="K1134" s="670"/>
      <c r="L1134" s="670"/>
    </row>
    <row r="1135" spans="2:12" ht="12.75">
      <c r="B1135" s="326"/>
      <c r="C1135" s="326"/>
      <c r="D1135" s="326"/>
      <c r="E1135" s="326"/>
      <c r="F1135" s="326"/>
      <c r="G1135" s="326"/>
      <c r="K1135" s="670"/>
      <c r="L1135" s="670"/>
    </row>
    <row r="1136" spans="2:12" ht="12.75">
      <c r="B1136" s="326"/>
      <c r="C1136" s="326"/>
      <c r="D1136" s="326"/>
      <c r="E1136" s="326"/>
      <c r="F1136" s="326"/>
      <c r="G1136" s="326"/>
      <c r="K1136" s="670"/>
      <c r="L1136" s="670"/>
    </row>
    <row r="1137" spans="2:12" ht="12.75">
      <c r="B1137" s="326"/>
      <c r="C1137" s="326"/>
      <c r="D1137" s="326"/>
      <c r="E1137" s="326"/>
      <c r="F1137" s="326"/>
      <c r="G1137" s="326"/>
      <c r="K1137" s="670"/>
      <c r="L1137" s="670"/>
    </row>
    <row r="1138" spans="2:12" ht="12.75">
      <c r="B1138" s="326"/>
      <c r="C1138" s="326"/>
      <c r="D1138" s="326"/>
      <c r="E1138" s="326"/>
      <c r="F1138" s="326"/>
      <c r="G1138" s="326"/>
      <c r="K1138" s="670"/>
      <c r="L1138" s="670"/>
    </row>
    <row r="1139" spans="2:12" ht="12.75">
      <c r="B1139" s="326"/>
      <c r="C1139" s="326"/>
      <c r="D1139" s="326"/>
      <c r="E1139" s="326"/>
      <c r="F1139" s="326"/>
      <c r="G1139" s="326"/>
      <c r="K1139" s="670"/>
      <c r="L1139" s="670"/>
    </row>
    <row r="1140" spans="2:12" ht="12.75">
      <c r="B1140" s="326"/>
      <c r="C1140" s="326"/>
      <c r="D1140" s="326"/>
      <c r="E1140" s="326"/>
      <c r="F1140" s="326"/>
      <c r="G1140" s="326"/>
      <c r="K1140" s="670"/>
      <c r="L1140" s="670"/>
    </row>
    <row r="1141" spans="2:12" ht="12.75">
      <c r="B1141" s="326"/>
      <c r="C1141" s="326"/>
      <c r="D1141" s="326"/>
      <c r="E1141" s="326"/>
      <c r="F1141" s="326"/>
      <c r="G1141" s="326"/>
      <c r="K1141" s="670"/>
      <c r="L1141" s="670"/>
    </row>
    <row r="1142" spans="2:12" ht="12.75">
      <c r="B1142" s="326"/>
      <c r="C1142" s="326"/>
      <c r="D1142" s="326"/>
      <c r="E1142" s="326"/>
      <c r="F1142" s="326"/>
      <c r="G1142" s="326"/>
      <c r="K1142" s="670"/>
      <c r="L1142" s="670"/>
    </row>
    <row r="1143" spans="2:12" ht="12.75">
      <c r="B1143" s="326"/>
      <c r="C1143" s="326"/>
      <c r="D1143" s="326"/>
      <c r="E1143" s="326"/>
      <c r="F1143" s="326"/>
      <c r="G1143" s="326"/>
      <c r="K1143" s="670"/>
      <c r="L1143" s="670"/>
    </row>
    <row r="1144" spans="2:12" ht="12.75">
      <c r="B1144" s="326"/>
      <c r="C1144" s="326"/>
      <c r="D1144" s="326"/>
      <c r="E1144" s="326"/>
      <c r="F1144" s="326"/>
      <c r="G1144" s="326"/>
      <c r="K1144" s="670"/>
      <c r="L1144" s="670"/>
    </row>
    <row r="1145" spans="2:12" ht="12.75">
      <c r="B1145" s="326"/>
      <c r="C1145" s="326"/>
      <c r="D1145" s="326"/>
      <c r="E1145" s="326"/>
      <c r="F1145" s="326"/>
      <c r="G1145" s="326"/>
      <c r="K1145" s="670"/>
      <c r="L1145" s="670"/>
    </row>
    <row r="1146" spans="2:12" ht="12.75">
      <c r="B1146" s="326"/>
      <c r="C1146" s="326"/>
      <c r="D1146" s="326"/>
      <c r="E1146" s="326"/>
      <c r="F1146" s="326"/>
      <c r="G1146" s="326"/>
      <c r="K1146" s="670"/>
      <c r="L1146" s="670"/>
    </row>
    <row r="1147" spans="2:12" ht="12.75">
      <c r="B1147" s="326"/>
      <c r="C1147" s="326"/>
      <c r="D1147" s="326"/>
      <c r="E1147" s="326"/>
      <c r="F1147" s="326"/>
      <c r="G1147" s="326"/>
      <c r="K1147" s="670"/>
      <c r="L1147" s="670"/>
    </row>
    <row r="1148" spans="2:12" ht="12.75">
      <c r="B1148" s="326"/>
      <c r="C1148" s="326"/>
      <c r="D1148" s="326"/>
      <c r="E1148" s="326"/>
      <c r="F1148" s="326"/>
      <c r="G1148" s="326"/>
      <c r="K1148" s="670"/>
      <c r="L1148" s="670"/>
    </row>
    <row r="1149" spans="2:12" ht="12.75">
      <c r="B1149" s="326"/>
      <c r="C1149" s="326"/>
      <c r="D1149" s="326"/>
      <c r="E1149" s="326"/>
      <c r="F1149" s="326"/>
      <c r="G1149" s="326"/>
      <c r="K1149" s="670"/>
      <c r="L1149" s="670"/>
    </row>
    <row r="1150" spans="2:12" ht="12.75">
      <c r="B1150" s="326"/>
      <c r="C1150" s="326"/>
      <c r="D1150" s="326"/>
      <c r="E1150" s="326"/>
      <c r="F1150" s="326"/>
      <c r="G1150" s="326"/>
      <c r="K1150" s="670"/>
      <c r="L1150" s="670"/>
    </row>
    <row r="1151" spans="2:12" ht="12.75">
      <c r="B1151" s="326"/>
      <c r="C1151" s="326"/>
      <c r="D1151" s="326"/>
      <c r="E1151" s="326"/>
      <c r="F1151" s="326"/>
      <c r="G1151" s="326"/>
      <c r="K1151" s="670"/>
      <c r="L1151" s="670"/>
    </row>
    <row r="1152" spans="2:12" ht="12.75">
      <c r="B1152" s="326"/>
      <c r="C1152" s="326"/>
      <c r="D1152" s="326"/>
      <c r="E1152" s="326"/>
      <c r="F1152" s="326"/>
      <c r="G1152" s="326"/>
      <c r="K1152" s="670"/>
      <c r="L1152" s="670"/>
    </row>
    <row r="1153" spans="2:12" ht="12.75">
      <c r="B1153" s="326"/>
      <c r="C1153" s="326"/>
      <c r="D1153" s="326"/>
      <c r="E1153" s="326"/>
      <c r="F1153" s="326"/>
      <c r="G1153" s="326"/>
      <c r="K1153" s="670"/>
      <c r="L1153" s="670"/>
    </row>
    <row r="1154" spans="2:12" ht="12.75">
      <c r="B1154" s="326"/>
      <c r="C1154" s="326"/>
      <c r="D1154" s="326"/>
      <c r="E1154" s="326"/>
      <c r="F1154" s="326"/>
      <c r="G1154" s="326"/>
      <c r="K1154" s="670"/>
      <c r="L1154" s="670"/>
    </row>
    <row r="1155" spans="2:12" ht="12.75">
      <c r="B1155" s="326"/>
      <c r="C1155" s="326"/>
      <c r="D1155" s="326"/>
      <c r="E1155" s="326"/>
      <c r="F1155" s="326"/>
      <c r="G1155" s="326"/>
      <c r="K1155" s="670"/>
      <c r="L1155" s="670"/>
    </row>
    <row r="1156" spans="2:12" ht="12.75">
      <c r="B1156" s="326"/>
      <c r="C1156" s="326"/>
      <c r="D1156" s="326"/>
      <c r="E1156" s="326"/>
      <c r="F1156" s="326"/>
      <c r="G1156" s="326"/>
      <c r="K1156" s="670"/>
      <c r="L1156" s="670"/>
    </row>
    <row r="1157" spans="2:12" ht="12.75">
      <c r="B1157" s="326"/>
      <c r="C1157" s="326"/>
      <c r="D1157" s="326"/>
      <c r="E1157" s="326"/>
      <c r="F1157" s="326"/>
      <c r="G1157" s="326"/>
      <c r="K1157" s="670"/>
      <c r="L1157" s="670"/>
    </row>
    <row r="1158" spans="2:12" ht="12.75">
      <c r="B1158" s="326"/>
      <c r="C1158" s="326"/>
      <c r="D1158" s="326"/>
      <c r="E1158" s="326"/>
      <c r="F1158" s="326"/>
      <c r="G1158" s="326"/>
      <c r="K1158" s="670"/>
      <c r="L1158" s="670"/>
    </row>
    <row r="1159" spans="2:12" ht="12.75">
      <c r="B1159" s="326"/>
      <c r="C1159" s="326"/>
      <c r="D1159" s="326"/>
      <c r="E1159" s="326"/>
      <c r="F1159" s="326"/>
      <c r="G1159" s="326"/>
      <c r="K1159" s="670"/>
      <c r="L1159" s="670"/>
    </row>
    <row r="1160" spans="2:12" ht="12.75">
      <c r="B1160" s="326"/>
      <c r="C1160" s="326"/>
      <c r="D1160" s="326"/>
      <c r="E1160" s="326"/>
      <c r="F1160" s="326"/>
      <c r="G1160" s="326"/>
      <c r="K1160" s="670"/>
      <c r="L1160" s="670"/>
    </row>
    <row r="1161" spans="2:12" ht="12.75">
      <c r="B1161" s="326"/>
      <c r="C1161" s="326"/>
      <c r="D1161" s="326"/>
      <c r="E1161" s="326"/>
      <c r="F1161" s="326"/>
      <c r="G1161" s="326"/>
      <c r="K1161" s="670"/>
      <c r="L1161" s="670"/>
    </row>
    <row r="1162" spans="2:12" ht="12.75">
      <c r="B1162" s="326"/>
      <c r="C1162" s="326"/>
      <c r="D1162" s="326"/>
      <c r="E1162" s="326"/>
      <c r="F1162" s="326"/>
      <c r="G1162" s="326"/>
      <c r="K1162" s="670"/>
      <c r="L1162" s="670"/>
    </row>
    <row r="1163" spans="2:12" ht="12.75">
      <c r="B1163" s="326"/>
      <c r="C1163" s="326"/>
      <c r="D1163" s="326"/>
      <c r="E1163" s="326"/>
      <c r="F1163" s="326"/>
      <c r="G1163" s="326"/>
      <c r="K1163" s="670"/>
      <c r="L1163" s="670"/>
    </row>
    <row r="1164" spans="2:12" ht="12.75">
      <c r="B1164" s="326"/>
      <c r="C1164" s="326"/>
      <c r="D1164" s="326"/>
      <c r="E1164" s="326"/>
      <c r="F1164" s="326"/>
      <c r="G1164" s="326"/>
      <c r="K1164" s="670"/>
      <c r="L1164" s="670"/>
    </row>
    <row r="1165" spans="2:12" ht="12.75">
      <c r="B1165" s="326"/>
      <c r="C1165" s="326"/>
      <c r="D1165" s="326"/>
      <c r="E1165" s="326"/>
      <c r="F1165" s="326"/>
      <c r="G1165" s="326"/>
      <c r="K1165" s="670"/>
      <c r="L1165" s="670"/>
    </row>
    <row r="1166" spans="2:12" ht="12.75">
      <c r="B1166" s="326"/>
      <c r="C1166" s="326"/>
      <c r="D1166" s="326"/>
      <c r="E1166" s="326"/>
      <c r="F1166" s="326"/>
      <c r="G1166" s="326"/>
      <c r="K1166" s="670"/>
      <c r="L1166" s="670"/>
    </row>
    <row r="1167" spans="2:12" ht="12.75">
      <c r="B1167" s="326"/>
      <c r="C1167" s="326"/>
      <c r="D1167" s="326"/>
      <c r="E1167" s="326"/>
      <c r="F1167" s="326"/>
      <c r="G1167" s="326"/>
      <c r="K1167" s="670"/>
      <c r="L1167" s="670"/>
    </row>
    <row r="1168" spans="2:12" ht="12.75">
      <c r="B1168" s="326"/>
      <c r="C1168" s="326"/>
      <c r="D1168" s="326"/>
      <c r="E1168" s="326"/>
      <c r="F1168" s="326"/>
      <c r="G1168" s="326"/>
      <c r="K1168" s="670"/>
      <c r="L1168" s="670"/>
    </row>
    <row r="1169" spans="2:12" ht="12.75">
      <c r="B1169" s="326"/>
      <c r="C1169" s="326"/>
      <c r="D1169" s="326"/>
      <c r="E1169" s="326"/>
      <c r="F1169" s="326"/>
      <c r="G1169" s="326"/>
      <c r="K1169" s="670"/>
      <c r="L1169" s="670"/>
    </row>
    <row r="1170" spans="2:12" ht="12.75">
      <c r="B1170" s="326"/>
      <c r="C1170" s="326"/>
      <c r="D1170" s="326"/>
      <c r="E1170" s="326"/>
      <c r="F1170" s="326"/>
      <c r="G1170" s="326"/>
      <c r="K1170" s="670"/>
      <c r="L1170" s="670"/>
    </row>
    <row r="1171" spans="2:12" ht="12.75">
      <c r="B1171" s="326"/>
      <c r="C1171" s="326"/>
      <c r="D1171" s="326"/>
      <c r="E1171" s="326"/>
      <c r="F1171" s="326"/>
      <c r="G1171" s="326"/>
      <c r="K1171" s="670"/>
      <c r="L1171" s="670"/>
    </row>
    <row r="1172" spans="2:12" ht="12.75">
      <c r="B1172" s="326"/>
      <c r="C1172" s="326"/>
      <c r="D1172" s="326"/>
      <c r="E1172" s="326"/>
      <c r="F1172" s="326"/>
      <c r="G1172" s="326"/>
      <c r="K1172" s="670"/>
      <c r="L1172" s="670"/>
    </row>
    <row r="1173" spans="2:12" ht="12.75">
      <c r="B1173" s="326"/>
      <c r="C1173" s="326"/>
      <c r="D1173" s="326"/>
      <c r="E1173" s="326"/>
      <c r="F1173" s="326"/>
      <c r="G1173" s="326"/>
      <c r="K1173" s="670"/>
      <c r="L1173" s="670"/>
    </row>
    <row r="1174" spans="2:12" ht="12.75">
      <c r="B1174" s="326"/>
      <c r="C1174" s="326"/>
      <c r="D1174" s="326"/>
      <c r="E1174" s="326"/>
      <c r="F1174" s="326"/>
      <c r="G1174" s="326"/>
      <c r="K1174" s="670"/>
      <c r="L1174" s="670"/>
    </row>
    <row r="1175" spans="2:12" ht="12.75">
      <c r="B1175" s="326"/>
      <c r="C1175" s="326"/>
      <c r="D1175" s="326"/>
      <c r="E1175" s="326"/>
      <c r="F1175" s="326"/>
      <c r="G1175" s="326"/>
      <c r="K1175" s="670"/>
      <c r="L1175" s="670"/>
    </row>
    <row r="1176" spans="2:12" ht="12.75">
      <c r="B1176" s="326"/>
      <c r="C1176" s="326"/>
      <c r="D1176" s="326"/>
      <c r="E1176" s="326"/>
      <c r="F1176" s="326"/>
      <c r="G1176" s="326"/>
      <c r="K1176" s="670"/>
      <c r="L1176" s="670"/>
    </row>
    <row r="1177" spans="2:12" ht="12.75">
      <c r="B1177" s="326"/>
      <c r="C1177" s="326"/>
      <c r="D1177" s="326"/>
      <c r="E1177" s="326"/>
      <c r="F1177" s="326"/>
      <c r="G1177" s="326"/>
      <c r="K1177" s="670"/>
      <c r="L1177" s="670"/>
    </row>
    <row r="1178" spans="2:12" ht="12.75">
      <c r="B1178" s="326"/>
      <c r="C1178" s="326"/>
      <c r="D1178" s="326"/>
      <c r="E1178" s="326"/>
      <c r="F1178" s="326"/>
      <c r="G1178" s="326"/>
      <c r="K1178" s="670"/>
      <c r="L1178" s="670"/>
    </row>
    <row r="1179" spans="2:12" ht="12.75">
      <c r="B1179" s="326"/>
      <c r="C1179" s="326"/>
      <c r="D1179" s="326"/>
      <c r="E1179" s="326"/>
      <c r="F1179" s="326"/>
      <c r="G1179" s="326"/>
      <c r="K1179" s="670"/>
      <c r="L1179" s="670"/>
    </row>
    <row r="1180" spans="2:12" ht="12.75">
      <c r="B1180" s="326"/>
      <c r="C1180" s="326"/>
      <c r="D1180" s="326"/>
      <c r="E1180" s="326"/>
      <c r="F1180" s="326"/>
      <c r="G1180" s="326"/>
      <c r="K1180" s="670"/>
      <c r="L1180" s="670"/>
    </row>
    <row r="1181" spans="2:12" ht="12.75">
      <c r="B1181" s="326"/>
      <c r="C1181" s="326"/>
      <c r="D1181" s="326"/>
      <c r="E1181" s="326"/>
      <c r="F1181" s="326"/>
      <c r="G1181" s="326"/>
      <c r="K1181" s="670"/>
      <c r="L1181" s="670"/>
    </row>
    <row r="1182" spans="2:12" ht="12.75">
      <c r="B1182" s="326"/>
      <c r="C1182" s="326"/>
      <c r="D1182" s="326"/>
      <c r="E1182" s="326"/>
      <c r="F1182" s="326"/>
      <c r="G1182" s="326"/>
      <c r="K1182" s="670"/>
      <c r="L1182" s="670"/>
    </row>
    <row r="1183" spans="2:12" ht="12.75">
      <c r="B1183" s="326"/>
      <c r="C1183" s="326"/>
      <c r="D1183" s="326"/>
      <c r="E1183" s="326"/>
      <c r="F1183" s="326"/>
      <c r="G1183" s="326"/>
      <c r="K1183" s="670"/>
      <c r="L1183" s="670"/>
    </row>
    <row r="1184" spans="2:12" ht="12.75">
      <c r="B1184" s="326"/>
      <c r="C1184" s="326"/>
      <c r="D1184" s="326"/>
      <c r="E1184" s="326"/>
      <c r="F1184" s="326"/>
      <c r="G1184" s="326"/>
      <c r="K1184" s="670"/>
      <c r="L1184" s="670"/>
    </row>
    <row r="1185" spans="2:12" ht="12.75">
      <c r="B1185" s="326"/>
      <c r="C1185" s="326"/>
      <c r="D1185" s="326"/>
      <c r="E1185" s="326"/>
      <c r="F1185" s="326"/>
      <c r="G1185" s="326"/>
      <c r="K1185" s="670"/>
      <c r="L1185" s="670"/>
    </row>
    <row r="1186" spans="2:12" ht="12.75">
      <c r="B1186" s="326"/>
      <c r="C1186" s="326"/>
      <c r="D1186" s="326"/>
      <c r="E1186" s="326"/>
      <c r="F1186" s="326"/>
      <c r="G1186" s="326"/>
      <c r="K1186" s="670"/>
      <c r="L1186" s="670"/>
    </row>
    <row r="1187" spans="2:12" ht="12.75">
      <c r="B1187" s="326"/>
      <c r="C1187" s="326"/>
      <c r="D1187" s="326"/>
      <c r="E1187" s="326"/>
      <c r="F1187" s="326"/>
      <c r="G1187" s="326"/>
      <c r="K1187" s="670"/>
      <c r="L1187" s="670"/>
    </row>
    <row r="1188" spans="2:12" ht="12.75">
      <c r="B1188" s="326"/>
      <c r="C1188" s="326"/>
      <c r="D1188" s="326"/>
      <c r="E1188" s="326"/>
      <c r="F1188" s="326"/>
      <c r="G1188" s="326"/>
      <c r="K1188" s="670"/>
      <c r="L1188" s="670"/>
    </row>
    <row r="1189" spans="2:12" ht="12.75">
      <c r="B1189" s="326"/>
      <c r="C1189" s="326"/>
      <c r="D1189" s="326"/>
      <c r="E1189" s="326"/>
      <c r="F1189" s="326"/>
      <c r="G1189" s="326"/>
      <c r="K1189" s="670"/>
      <c r="L1189" s="670"/>
    </row>
    <row r="1190" spans="2:12" ht="12.75">
      <c r="B1190" s="326"/>
      <c r="C1190" s="326"/>
      <c r="D1190" s="326"/>
      <c r="E1190" s="326"/>
      <c r="F1190" s="326"/>
      <c r="G1190" s="326"/>
      <c r="K1190" s="670"/>
      <c r="L1190" s="670"/>
    </row>
    <row r="1191" spans="2:12" ht="12.75">
      <c r="B1191" s="326"/>
      <c r="C1191" s="326"/>
      <c r="D1191" s="326"/>
      <c r="E1191" s="326"/>
      <c r="F1191" s="326"/>
      <c r="G1191" s="326"/>
      <c r="K1191" s="670"/>
      <c r="L1191" s="670"/>
    </row>
    <row r="1192" spans="2:12" ht="12.75">
      <c r="B1192" s="326"/>
      <c r="C1192" s="326"/>
      <c r="D1192" s="326"/>
      <c r="E1192" s="326"/>
      <c r="F1192" s="326"/>
      <c r="G1192" s="326"/>
      <c r="K1192" s="670"/>
      <c r="L1192" s="670"/>
    </row>
    <row r="1193" spans="2:12" ht="12.75">
      <c r="B1193" s="326"/>
      <c r="C1193" s="326"/>
      <c r="D1193" s="326"/>
      <c r="E1193" s="326"/>
      <c r="F1193" s="326"/>
      <c r="G1193" s="326"/>
      <c r="K1193" s="670"/>
      <c r="L1193" s="670"/>
    </row>
    <row r="1194" spans="2:12" ht="12.75">
      <c r="B1194" s="326"/>
      <c r="C1194" s="326"/>
      <c r="D1194" s="326"/>
      <c r="E1194" s="326"/>
      <c r="F1194" s="326"/>
      <c r="G1194" s="326"/>
      <c r="K1194" s="670"/>
      <c r="L1194" s="670"/>
    </row>
    <row r="1195" spans="2:12" ht="12.75">
      <c r="B1195" s="326"/>
      <c r="C1195" s="326"/>
      <c r="D1195" s="326"/>
      <c r="E1195" s="326"/>
      <c r="F1195" s="326"/>
      <c r="G1195" s="326"/>
      <c r="K1195" s="670"/>
      <c r="L1195" s="670"/>
    </row>
    <row r="1196" spans="2:12" ht="12.75">
      <c r="B1196" s="326"/>
      <c r="C1196" s="326"/>
      <c r="D1196" s="326"/>
      <c r="E1196" s="326"/>
      <c r="F1196" s="326"/>
      <c r="G1196" s="326"/>
      <c r="K1196" s="670"/>
      <c r="L1196" s="670"/>
    </row>
    <row r="1197" spans="2:12" ht="12.75">
      <c r="B1197" s="326"/>
      <c r="C1197" s="326"/>
      <c r="D1197" s="326"/>
      <c r="E1197" s="326"/>
      <c r="F1197" s="326"/>
      <c r="G1197" s="326"/>
      <c r="K1197" s="670"/>
      <c r="L1197" s="670"/>
    </row>
    <row r="1198" spans="2:12" ht="12.75">
      <c r="B1198" s="326"/>
      <c r="C1198" s="326"/>
      <c r="D1198" s="326"/>
      <c r="E1198" s="326"/>
      <c r="F1198" s="326"/>
      <c r="G1198" s="326"/>
      <c r="K1198" s="670"/>
      <c r="L1198" s="670"/>
    </row>
    <row r="1199" spans="2:12" ht="12.75">
      <c r="B1199" s="326"/>
      <c r="C1199" s="326"/>
      <c r="D1199" s="326"/>
      <c r="E1199" s="326"/>
      <c r="F1199" s="326"/>
      <c r="G1199" s="326"/>
      <c r="K1199" s="670"/>
      <c r="L1199" s="670"/>
    </row>
    <row r="1200" spans="2:12" ht="12.75">
      <c r="B1200" s="326"/>
      <c r="C1200" s="326"/>
      <c r="D1200" s="326"/>
      <c r="E1200" s="326"/>
      <c r="F1200" s="326"/>
      <c r="G1200" s="326"/>
      <c r="K1200" s="670"/>
      <c r="L1200" s="670"/>
    </row>
    <row r="1201" spans="2:12" ht="12.75">
      <c r="B1201" s="326"/>
      <c r="C1201" s="326"/>
      <c r="D1201" s="326"/>
      <c r="E1201" s="326"/>
      <c r="F1201" s="326"/>
      <c r="G1201" s="326"/>
      <c r="K1201" s="670"/>
      <c r="L1201" s="670"/>
    </row>
    <row r="1202" spans="2:12" ht="12.75">
      <c r="B1202" s="326"/>
      <c r="C1202" s="326"/>
      <c r="D1202" s="326"/>
      <c r="E1202" s="326"/>
      <c r="F1202" s="326"/>
      <c r="G1202" s="326"/>
      <c r="K1202" s="670"/>
      <c r="L1202" s="670"/>
    </row>
    <row r="1203" spans="2:12" ht="12.75">
      <c r="B1203" s="326"/>
      <c r="C1203" s="326"/>
      <c r="D1203" s="326"/>
      <c r="E1203" s="326"/>
      <c r="F1203" s="326"/>
      <c r="G1203" s="326"/>
      <c r="K1203" s="670"/>
      <c r="L1203" s="670"/>
    </row>
    <row r="1204" spans="2:12" ht="12.75">
      <c r="B1204" s="326"/>
      <c r="C1204" s="326"/>
      <c r="D1204" s="326"/>
      <c r="E1204" s="326"/>
      <c r="F1204" s="326"/>
      <c r="G1204" s="326"/>
      <c r="K1204" s="670"/>
      <c r="L1204" s="670"/>
    </row>
    <row r="1205" spans="2:12" ht="12.75">
      <c r="B1205" s="326"/>
      <c r="C1205" s="326"/>
      <c r="D1205" s="326"/>
      <c r="E1205" s="326"/>
      <c r="F1205" s="326"/>
      <c r="G1205" s="326"/>
      <c r="K1205" s="670"/>
      <c r="L1205" s="670"/>
    </row>
    <row r="1206" spans="2:12" ht="12.75">
      <c r="B1206" s="326"/>
      <c r="C1206" s="326"/>
      <c r="D1206" s="326"/>
      <c r="E1206" s="326"/>
      <c r="F1206" s="326"/>
      <c r="G1206" s="326"/>
      <c r="K1206" s="670"/>
      <c r="L1206" s="670"/>
    </row>
    <row r="1207" spans="2:12" ht="12.75">
      <c r="B1207" s="326"/>
      <c r="C1207" s="326"/>
      <c r="D1207" s="326"/>
      <c r="E1207" s="326"/>
      <c r="F1207" s="326"/>
      <c r="G1207" s="326"/>
      <c r="K1207" s="670"/>
      <c r="L1207" s="670"/>
    </row>
    <row r="1208" spans="2:12" ht="12.75">
      <c r="B1208" s="326"/>
      <c r="C1208" s="326"/>
      <c r="D1208" s="326"/>
      <c r="E1208" s="326"/>
      <c r="F1208" s="326"/>
      <c r="G1208" s="326"/>
      <c r="K1208" s="670"/>
      <c r="L1208" s="670"/>
    </row>
    <row r="1209" spans="2:12" ht="12.75">
      <c r="B1209" s="326"/>
      <c r="C1209" s="326"/>
      <c r="D1209" s="326"/>
      <c r="E1209" s="326"/>
      <c r="F1209" s="326"/>
      <c r="G1209" s="326"/>
      <c r="K1209" s="670"/>
      <c r="L1209" s="670"/>
    </row>
    <row r="1210" spans="2:12" ht="12.75">
      <c r="B1210" s="326"/>
      <c r="C1210" s="326"/>
      <c r="D1210" s="326"/>
      <c r="E1210" s="326"/>
      <c r="F1210" s="326"/>
      <c r="G1210" s="326"/>
      <c r="K1210" s="670"/>
      <c r="L1210" s="670"/>
    </row>
    <row r="1211" spans="2:12" ht="12.75">
      <c r="B1211" s="326"/>
      <c r="C1211" s="326"/>
      <c r="D1211" s="326"/>
      <c r="E1211" s="326"/>
      <c r="F1211" s="326"/>
      <c r="G1211" s="326"/>
      <c r="K1211" s="670"/>
      <c r="L1211" s="670"/>
    </row>
    <row r="1212" spans="2:12" ht="12.75">
      <c r="B1212" s="326"/>
      <c r="C1212" s="326"/>
      <c r="D1212" s="326"/>
      <c r="E1212" s="326"/>
      <c r="F1212" s="326"/>
      <c r="G1212" s="326"/>
      <c r="K1212" s="670"/>
      <c r="L1212" s="670"/>
    </row>
    <row r="1213" spans="2:12" ht="12.75">
      <c r="B1213" s="326"/>
      <c r="C1213" s="326"/>
      <c r="D1213" s="326"/>
      <c r="E1213" s="326"/>
      <c r="F1213" s="326"/>
      <c r="G1213" s="326"/>
      <c r="K1213" s="670"/>
      <c r="L1213" s="670"/>
    </row>
    <row r="1214" spans="2:12" ht="12.75">
      <c r="B1214" s="326"/>
      <c r="C1214" s="326"/>
      <c r="D1214" s="326"/>
      <c r="E1214" s="326"/>
      <c r="F1214" s="326"/>
      <c r="G1214" s="326"/>
      <c r="K1214" s="670"/>
      <c r="L1214" s="670"/>
    </row>
    <row r="1215" spans="2:12" ht="12.75">
      <c r="B1215" s="326"/>
      <c r="C1215" s="326"/>
      <c r="D1215" s="326"/>
      <c r="E1215" s="326"/>
      <c r="F1215" s="326"/>
      <c r="G1215" s="326"/>
      <c r="K1215" s="670"/>
      <c r="L1215" s="670"/>
    </row>
  </sheetData>
  <sheetProtection/>
  <mergeCells count="6">
    <mergeCell ref="C201:D201"/>
    <mergeCell ref="C204:D204"/>
    <mergeCell ref="C207:D207"/>
    <mergeCell ref="C427:D427"/>
    <mergeCell ref="B475:D475"/>
    <mergeCell ref="B496:D496"/>
  </mergeCells>
  <printOptions/>
  <pageMargins left="0.35433070866141736" right="0.35433070866141736" top="0.7874015748031497" bottom="0.7874015748031497" header="0.31496062992125984" footer="0.31496062992125984"/>
  <pageSetup horizontalDpi="600" verticalDpi="600" orientation="landscape" paperSize="9" scale="79" r:id="rId3"/>
  <headerFooter>
    <oddHeader>&amp;C&amp;"Times New Roman,Tučné"&amp;18Čerpání rozpočtu provozních výdajů města k 31.12.2013 (v tis. Kč)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4"/>
  <sheetViews>
    <sheetView showZeros="0" zoomScaleSheetLayoutView="75" zoomScalePageLayoutView="0" workbookViewId="0" topLeftCell="A1">
      <selection activeCell="A1" sqref="A1"/>
    </sheetView>
  </sheetViews>
  <sheetFormatPr defaultColWidth="5.75390625" defaultRowHeight="12.75"/>
  <cols>
    <col min="1" max="1" width="7.75390625" style="1" customWidth="1"/>
    <col min="2" max="2" width="7.75390625" style="22" customWidth="1"/>
    <col min="3" max="3" width="38.375" style="18" customWidth="1"/>
    <col min="4" max="4" width="13.375" style="4" customWidth="1"/>
    <col min="5" max="5" width="13.75390625" style="4" customWidth="1"/>
    <col min="6" max="6" width="13.875" style="4" customWidth="1"/>
    <col min="7" max="8" width="8.875" style="37" customWidth="1"/>
    <col min="9" max="15" width="5.75390625" style="264" customWidth="1"/>
    <col min="16" max="16384" width="5.75390625" style="1" customWidth="1"/>
  </cols>
  <sheetData>
    <row r="1" spans="1:15" s="3" customFormat="1" ht="13.5" thickBot="1">
      <c r="A1" s="55" t="s">
        <v>251</v>
      </c>
      <c r="B1" s="2" t="s">
        <v>0</v>
      </c>
      <c r="C1" s="2" t="s">
        <v>3</v>
      </c>
      <c r="D1" s="45" t="s">
        <v>265</v>
      </c>
      <c r="E1" s="45" t="s">
        <v>306</v>
      </c>
      <c r="F1" s="45" t="s">
        <v>308</v>
      </c>
      <c r="G1" s="38" t="s">
        <v>51</v>
      </c>
      <c r="H1" s="39" t="s">
        <v>52</v>
      </c>
      <c r="I1" s="272"/>
      <c r="J1" s="272"/>
      <c r="K1" s="272"/>
      <c r="L1" s="272"/>
      <c r="M1" s="272"/>
      <c r="N1" s="272"/>
      <c r="O1" s="272"/>
    </row>
    <row r="2" spans="1:8" ht="12.75">
      <c r="A2" s="34" t="s">
        <v>44</v>
      </c>
      <c r="B2" s="5"/>
      <c r="C2" s="15"/>
      <c r="D2" s="40"/>
      <c r="E2" s="40"/>
      <c r="F2" s="41"/>
      <c r="G2" s="50">
        <f aca="true" t="shared" si="0" ref="G2:H4">IF(D2&lt;=0,0,$F2/D2*100)</f>
        <v>0</v>
      </c>
      <c r="H2" s="51">
        <f t="shared" si="0"/>
        <v>0</v>
      </c>
    </row>
    <row r="3" spans="1:8" ht="12.75">
      <c r="A3" s="59">
        <v>1700</v>
      </c>
      <c r="B3" s="5">
        <v>6409</v>
      </c>
      <c r="C3" s="11" t="s">
        <v>39</v>
      </c>
      <c r="D3" s="9"/>
      <c r="E3" s="9">
        <v>120095</v>
      </c>
      <c r="F3" s="23">
        <v>120095</v>
      </c>
      <c r="G3" s="53">
        <f t="shared" si="0"/>
        <v>0</v>
      </c>
      <c r="H3" s="54">
        <f t="shared" si="0"/>
        <v>100</v>
      </c>
    </row>
    <row r="4" spans="1:8" ht="12.75">
      <c r="A4" s="35" t="s">
        <v>203</v>
      </c>
      <c r="B4" s="16"/>
      <c r="C4" s="14"/>
      <c r="D4" s="40">
        <f>SUBTOTAL(9,D3:D3)</f>
        <v>0</v>
      </c>
      <c r="E4" s="40">
        <f>SUBTOTAL(9,E3:E3)</f>
        <v>120095</v>
      </c>
      <c r="F4" s="40">
        <f>SUBTOTAL(9,F3:F3)</f>
        <v>120095</v>
      </c>
      <c r="G4" s="68">
        <f t="shared" si="0"/>
        <v>0</v>
      </c>
      <c r="H4" s="51">
        <f t="shared" si="0"/>
        <v>100</v>
      </c>
    </row>
    <row r="5" spans="1:15" s="3" customFormat="1" ht="12.75">
      <c r="A5" s="295"/>
      <c r="B5" s="296"/>
      <c r="C5" s="296"/>
      <c r="D5" s="297"/>
      <c r="E5" s="297"/>
      <c r="F5" s="298"/>
      <c r="G5" s="299"/>
      <c r="H5" s="300"/>
      <c r="I5" s="272"/>
      <c r="J5" s="272"/>
      <c r="K5" s="272"/>
      <c r="L5" s="272"/>
      <c r="M5" s="272"/>
      <c r="N5" s="272"/>
      <c r="O5" s="272"/>
    </row>
    <row r="6" spans="1:8" ht="12.75">
      <c r="A6" s="34" t="s">
        <v>37</v>
      </c>
      <c r="B6" s="5"/>
      <c r="C6" s="15"/>
      <c r="D6" s="40"/>
      <c r="E6" s="40"/>
      <c r="F6" s="41"/>
      <c r="G6" s="50">
        <f aca="true" t="shared" si="1" ref="G6:H8">IF(D6&lt;=0,0,$F6/D6*100)</f>
        <v>0</v>
      </c>
      <c r="H6" s="51">
        <f t="shared" si="1"/>
        <v>0</v>
      </c>
    </row>
    <row r="7" spans="1:8" ht="12.75">
      <c r="A7" s="59">
        <v>3200</v>
      </c>
      <c r="B7" s="5">
        <v>6171</v>
      </c>
      <c r="C7" s="151" t="s">
        <v>9</v>
      </c>
      <c r="D7" s="9"/>
      <c r="E7" s="9">
        <v>330</v>
      </c>
      <c r="F7" s="23">
        <v>314</v>
      </c>
      <c r="G7" s="53">
        <f t="shared" si="1"/>
        <v>0</v>
      </c>
      <c r="H7" s="54">
        <f t="shared" si="1"/>
        <v>95.15151515151516</v>
      </c>
    </row>
    <row r="8" spans="1:8" ht="12.75">
      <c r="A8" s="35" t="s">
        <v>34</v>
      </c>
      <c r="B8" s="16"/>
      <c r="C8" s="14"/>
      <c r="D8" s="40">
        <f>SUBTOTAL(9,D7:D7)</f>
        <v>0</v>
      </c>
      <c r="E8" s="40">
        <f>SUBTOTAL(9,E7:E7)</f>
        <v>330</v>
      </c>
      <c r="F8" s="40">
        <f>SUBTOTAL(9,F7:F7)</f>
        <v>314</v>
      </c>
      <c r="G8" s="68">
        <f t="shared" si="1"/>
        <v>0</v>
      </c>
      <c r="H8" s="51">
        <f t="shared" si="1"/>
        <v>95.15151515151516</v>
      </c>
    </row>
    <row r="9" spans="1:15" s="3" customFormat="1" ht="12.75">
      <c r="A9" s="295"/>
      <c r="B9" s="296"/>
      <c r="C9" s="296"/>
      <c r="D9" s="297"/>
      <c r="E9" s="297"/>
      <c r="F9" s="298"/>
      <c r="G9" s="299"/>
      <c r="H9" s="300"/>
      <c r="I9" s="272"/>
      <c r="J9" s="272"/>
      <c r="K9" s="272"/>
      <c r="L9" s="272"/>
      <c r="M9" s="272"/>
      <c r="N9" s="272"/>
      <c r="O9" s="272"/>
    </row>
    <row r="10" spans="1:8" ht="12.75">
      <c r="A10" s="34" t="s">
        <v>56</v>
      </c>
      <c r="B10" s="5"/>
      <c r="C10" s="15"/>
      <c r="D10" s="40"/>
      <c r="E10" s="40"/>
      <c r="F10" s="41"/>
      <c r="G10" s="50">
        <f aca="true" t="shared" si="2" ref="G10:H12">IF(D10&lt;=0,0,$F10/D10*100)</f>
        <v>0</v>
      </c>
      <c r="H10" s="51">
        <f t="shared" si="2"/>
        <v>0</v>
      </c>
    </row>
    <row r="11" spans="1:8" ht="12.75">
      <c r="A11" s="59">
        <v>3900</v>
      </c>
      <c r="B11" s="5">
        <v>6211</v>
      </c>
      <c r="C11" s="151" t="s">
        <v>57</v>
      </c>
      <c r="D11" s="9">
        <v>1500</v>
      </c>
      <c r="E11" s="9">
        <v>1500</v>
      </c>
      <c r="F11" s="23">
        <v>1022</v>
      </c>
      <c r="G11" s="53">
        <f t="shared" si="2"/>
        <v>68.13333333333334</v>
      </c>
      <c r="H11" s="54">
        <f t="shared" si="2"/>
        <v>68.13333333333334</v>
      </c>
    </row>
    <row r="12" spans="1:8" ht="12.75">
      <c r="A12" s="35" t="s">
        <v>214</v>
      </c>
      <c r="B12" s="16"/>
      <c r="C12" s="14"/>
      <c r="D12" s="40">
        <f>SUBTOTAL(9,D11:D11)</f>
        <v>1500</v>
      </c>
      <c r="E12" s="40">
        <f>SUBTOTAL(9,E11:E11)</f>
        <v>1500</v>
      </c>
      <c r="F12" s="40">
        <f>SUBTOTAL(9,F11:F11)</f>
        <v>1022</v>
      </c>
      <c r="G12" s="68">
        <f t="shared" si="2"/>
        <v>68.13333333333334</v>
      </c>
      <c r="H12" s="51">
        <f t="shared" si="2"/>
        <v>68.13333333333334</v>
      </c>
    </row>
    <row r="13" spans="1:8" ht="12.75">
      <c r="A13" s="28"/>
      <c r="B13" s="17"/>
      <c r="C13" s="11"/>
      <c r="D13" s="40"/>
      <c r="E13" s="40"/>
      <c r="F13" s="41"/>
      <c r="G13" s="50"/>
      <c r="H13" s="51"/>
    </row>
    <row r="14" spans="1:8" ht="12.75">
      <c r="A14" s="34" t="s">
        <v>85</v>
      </c>
      <c r="B14" s="5"/>
      <c r="C14" s="15"/>
      <c r="D14" s="40"/>
      <c r="E14" s="40"/>
      <c r="F14" s="41"/>
      <c r="G14" s="50">
        <f>IF(D14&lt;=0,0,$F14/D14*100)</f>
        <v>0</v>
      </c>
      <c r="H14" s="51">
        <f>IF(E14&lt;=0,0,$F14/E14*100)</f>
        <v>0</v>
      </c>
    </row>
    <row r="15" spans="1:8" ht="12.75">
      <c r="A15" s="59">
        <v>4100</v>
      </c>
      <c r="B15" s="5">
        <v>3111</v>
      </c>
      <c r="C15" s="151" t="s">
        <v>97</v>
      </c>
      <c r="D15" s="40"/>
      <c r="E15" s="173">
        <v>56</v>
      </c>
      <c r="F15" s="174">
        <v>53</v>
      </c>
      <c r="G15" s="53">
        <f aca="true" t="shared" si="3" ref="G15:G23">IF(D15&lt;=0,0,$F15/D15*100)</f>
        <v>0</v>
      </c>
      <c r="H15" s="54">
        <f aca="true" t="shared" si="4" ref="H15:H23">IF(E15&lt;=0,0,$F15/E15*100)</f>
        <v>94.64285714285714</v>
      </c>
    </row>
    <row r="16" spans="1:8" ht="12.75">
      <c r="A16" s="59">
        <v>4100</v>
      </c>
      <c r="B16" s="5">
        <v>3113</v>
      </c>
      <c r="C16" s="15" t="s">
        <v>23</v>
      </c>
      <c r="D16" s="40"/>
      <c r="E16" s="173">
        <v>42</v>
      </c>
      <c r="F16" s="174">
        <v>40</v>
      </c>
      <c r="G16" s="53">
        <f t="shared" si="3"/>
        <v>0</v>
      </c>
      <c r="H16" s="54">
        <f t="shared" si="4"/>
        <v>95.23809523809523</v>
      </c>
    </row>
    <row r="17" spans="1:8" ht="12.75">
      <c r="A17" s="59">
        <v>4100</v>
      </c>
      <c r="B17" s="5">
        <v>3312</v>
      </c>
      <c r="C17" s="15" t="s">
        <v>91</v>
      </c>
      <c r="D17" s="40"/>
      <c r="E17" s="173">
        <v>6200</v>
      </c>
      <c r="F17" s="174">
        <v>6200</v>
      </c>
      <c r="G17" s="53">
        <f t="shared" si="3"/>
        <v>0</v>
      </c>
      <c r="H17" s="54">
        <f t="shared" si="4"/>
        <v>100</v>
      </c>
    </row>
    <row r="18" spans="1:8" ht="12.75">
      <c r="A18" s="59">
        <v>4100</v>
      </c>
      <c r="B18" s="5">
        <v>3319</v>
      </c>
      <c r="C18" s="151" t="s">
        <v>49</v>
      </c>
      <c r="D18" s="173"/>
      <c r="E18" s="173">
        <v>65</v>
      </c>
      <c r="F18" s="174">
        <v>30</v>
      </c>
      <c r="G18" s="53">
        <f t="shared" si="3"/>
        <v>0</v>
      </c>
      <c r="H18" s="54">
        <f t="shared" si="4"/>
        <v>46.15384615384615</v>
      </c>
    </row>
    <row r="19" spans="1:8" ht="12.75">
      <c r="A19" s="59">
        <v>4100</v>
      </c>
      <c r="B19" s="5">
        <v>3421</v>
      </c>
      <c r="C19" s="151" t="s">
        <v>96</v>
      </c>
      <c r="D19" s="173"/>
      <c r="E19" s="173">
        <v>14</v>
      </c>
      <c r="F19" s="174">
        <v>13</v>
      </c>
      <c r="G19" s="53">
        <f t="shared" si="3"/>
        <v>0</v>
      </c>
      <c r="H19" s="54">
        <f t="shared" si="4"/>
        <v>92.85714285714286</v>
      </c>
    </row>
    <row r="20" spans="1:8" ht="12.75">
      <c r="A20" s="59">
        <v>4100</v>
      </c>
      <c r="B20" s="5">
        <v>3429</v>
      </c>
      <c r="C20" s="151" t="s">
        <v>59</v>
      </c>
      <c r="D20" s="173"/>
      <c r="E20" s="173">
        <v>200</v>
      </c>
      <c r="F20" s="174">
        <v>168</v>
      </c>
      <c r="G20" s="53">
        <f t="shared" si="3"/>
        <v>0</v>
      </c>
      <c r="H20" s="54">
        <f t="shared" si="4"/>
        <v>84</v>
      </c>
    </row>
    <row r="21" spans="1:8" ht="12.75">
      <c r="A21" s="59">
        <v>4100</v>
      </c>
      <c r="B21" s="5">
        <v>3522</v>
      </c>
      <c r="C21" s="151" t="s">
        <v>219</v>
      </c>
      <c r="D21" s="173"/>
      <c r="E21" s="173">
        <v>14285</v>
      </c>
      <c r="F21" s="174">
        <v>14284</v>
      </c>
      <c r="G21" s="53">
        <f t="shared" si="3"/>
        <v>0</v>
      </c>
      <c r="H21" s="54">
        <f t="shared" si="4"/>
        <v>99.9929996499825</v>
      </c>
    </row>
    <row r="22" spans="1:8" ht="12.75">
      <c r="A22" s="59">
        <v>4100</v>
      </c>
      <c r="B22" s="5">
        <v>3599</v>
      </c>
      <c r="C22" s="14" t="s">
        <v>88</v>
      </c>
      <c r="D22" s="173"/>
      <c r="E22" s="173">
        <v>1336</v>
      </c>
      <c r="F22" s="174">
        <v>1336</v>
      </c>
      <c r="G22" s="53">
        <f t="shared" si="3"/>
        <v>0</v>
      </c>
      <c r="H22" s="54">
        <f t="shared" si="4"/>
        <v>100</v>
      </c>
    </row>
    <row r="23" spans="1:8" ht="12.75">
      <c r="A23" s="59">
        <v>4100</v>
      </c>
      <c r="B23" s="5">
        <v>3639</v>
      </c>
      <c r="C23" s="151" t="s">
        <v>128</v>
      </c>
      <c r="D23" s="9">
        <v>3000</v>
      </c>
      <c r="E23" s="9">
        <v>646</v>
      </c>
      <c r="F23" s="174">
        <v>561</v>
      </c>
      <c r="G23" s="53">
        <f t="shared" si="3"/>
        <v>18.7</v>
      </c>
      <c r="H23" s="54">
        <f t="shared" si="4"/>
        <v>86.8421052631579</v>
      </c>
    </row>
    <row r="24" spans="1:8" ht="12.75">
      <c r="A24" s="35" t="s">
        <v>205</v>
      </c>
      <c r="B24" s="16"/>
      <c r="C24" s="14"/>
      <c r="D24" s="40">
        <f>SUBTOTAL(9,D15:D23)</f>
        <v>3000</v>
      </c>
      <c r="E24" s="40">
        <f>SUBTOTAL(9,E15:E23)</f>
        <v>22844</v>
      </c>
      <c r="F24" s="40">
        <f>SUBTOTAL(9,F15:F23)</f>
        <v>22685</v>
      </c>
      <c r="G24" s="68">
        <f>IF(D24&lt;=0,0,$F24/D24*100)</f>
        <v>756.1666666666666</v>
      </c>
      <c r="H24" s="51">
        <f>IF(E24&lt;=0,0,$F24/E24*100)</f>
        <v>99.30397478550165</v>
      </c>
    </row>
    <row r="25" spans="1:15" s="3" customFormat="1" ht="12.75">
      <c r="A25" s="28"/>
      <c r="B25" s="17"/>
      <c r="C25" s="10"/>
      <c r="D25" s="40"/>
      <c r="E25" s="40"/>
      <c r="F25" s="41"/>
      <c r="G25" s="50"/>
      <c r="H25" s="51"/>
      <c r="I25" s="272"/>
      <c r="J25" s="272"/>
      <c r="K25" s="272"/>
      <c r="L25" s="272"/>
      <c r="M25" s="272"/>
      <c r="N25" s="272"/>
      <c r="O25" s="272"/>
    </row>
    <row r="26" spans="1:8" ht="12.75">
      <c r="A26" s="32" t="s">
        <v>4</v>
      </c>
      <c r="B26" s="19"/>
      <c r="C26" s="8"/>
      <c r="D26" s="40"/>
      <c r="E26" s="40"/>
      <c r="F26" s="41"/>
      <c r="G26" s="50">
        <f aca="true" t="shared" si="5" ref="G26:H31">IF(D26&lt;=0,0,$F26/D26*100)</f>
        <v>0</v>
      </c>
      <c r="H26" s="51">
        <f t="shared" si="5"/>
        <v>0</v>
      </c>
    </row>
    <row r="27" spans="1:8" ht="12.75">
      <c r="A27" s="56">
        <v>4200</v>
      </c>
      <c r="B27" s="17">
        <v>3632</v>
      </c>
      <c r="C27" s="10" t="s">
        <v>1</v>
      </c>
      <c r="D27" s="9"/>
      <c r="E27" s="9">
        <v>2712</v>
      </c>
      <c r="F27" s="23">
        <v>2633</v>
      </c>
      <c r="G27" s="53">
        <f t="shared" si="5"/>
        <v>0</v>
      </c>
      <c r="H27" s="54">
        <f t="shared" si="5"/>
        <v>97.08702064896755</v>
      </c>
    </row>
    <row r="28" spans="1:8" ht="12.75">
      <c r="A28" s="56">
        <v>4200</v>
      </c>
      <c r="B28" s="17">
        <v>3725</v>
      </c>
      <c r="C28" s="10" t="s">
        <v>256</v>
      </c>
      <c r="D28" s="9">
        <v>4000</v>
      </c>
      <c r="E28" s="9">
        <v>4000</v>
      </c>
      <c r="F28" s="23">
        <v>4000</v>
      </c>
      <c r="G28" s="53">
        <f>IF(D28&lt;=0,0,$F28/D28*100)</f>
        <v>100</v>
      </c>
      <c r="H28" s="54">
        <f>IF(E28&lt;=0,0,$F28/E28*100)</f>
        <v>100</v>
      </c>
    </row>
    <row r="29" spans="1:8" ht="12.75">
      <c r="A29" s="56">
        <v>4200</v>
      </c>
      <c r="B29" s="17">
        <v>3745</v>
      </c>
      <c r="C29" s="11" t="s">
        <v>2</v>
      </c>
      <c r="D29" s="9">
        <v>200</v>
      </c>
      <c r="E29" s="9"/>
      <c r="F29" s="23"/>
      <c r="G29" s="53">
        <f t="shared" si="5"/>
        <v>0</v>
      </c>
      <c r="H29" s="54">
        <f t="shared" si="5"/>
        <v>0</v>
      </c>
    </row>
    <row r="30" spans="1:8" ht="12.75">
      <c r="A30" s="56">
        <v>4200</v>
      </c>
      <c r="B30" s="17">
        <v>3792</v>
      </c>
      <c r="C30" s="11" t="s">
        <v>8</v>
      </c>
      <c r="D30" s="9"/>
      <c r="E30" s="9">
        <v>32</v>
      </c>
      <c r="F30" s="23">
        <v>32</v>
      </c>
      <c r="G30" s="53">
        <f>IF(D30&lt;=0,0,$F30/D30*100)</f>
        <v>0</v>
      </c>
      <c r="H30" s="54">
        <f>IF(E30&lt;=0,0,$F30/E30*100)</f>
        <v>100</v>
      </c>
    </row>
    <row r="31" spans="1:8" ht="12.75">
      <c r="A31" s="28" t="s">
        <v>204</v>
      </c>
      <c r="B31" s="17"/>
      <c r="C31" s="10"/>
      <c r="D31" s="40">
        <f>SUBTOTAL(9,D27:D30)</f>
        <v>4200</v>
      </c>
      <c r="E31" s="40">
        <f>SUBTOTAL(9,E27:E30)</f>
        <v>6744</v>
      </c>
      <c r="F31" s="40">
        <f>SUBTOTAL(9,F27:F30)</f>
        <v>6665</v>
      </c>
      <c r="G31" s="50">
        <f t="shared" si="5"/>
        <v>158.69047619047618</v>
      </c>
      <c r="H31" s="51">
        <f t="shared" si="5"/>
        <v>98.82858837485172</v>
      </c>
    </row>
    <row r="32" spans="1:15" s="3" customFormat="1" ht="12.75">
      <c r="A32" s="28"/>
      <c r="B32" s="17"/>
      <c r="C32" s="10"/>
      <c r="D32" s="40"/>
      <c r="E32" s="40"/>
      <c r="F32" s="41"/>
      <c r="G32" s="50"/>
      <c r="H32" s="51"/>
      <c r="I32" s="272"/>
      <c r="J32" s="272"/>
      <c r="K32" s="272"/>
      <c r="L32" s="272"/>
      <c r="M32" s="272"/>
      <c r="N32" s="272"/>
      <c r="O32" s="272"/>
    </row>
    <row r="33" spans="1:15" s="3" customFormat="1" ht="12.75">
      <c r="A33" s="28" t="s">
        <v>45</v>
      </c>
      <c r="B33" s="17"/>
      <c r="C33" s="10"/>
      <c r="D33" s="40"/>
      <c r="E33" s="40"/>
      <c r="F33" s="41"/>
      <c r="G33" s="50"/>
      <c r="H33" s="51"/>
      <c r="I33" s="272"/>
      <c r="J33" s="272"/>
      <c r="K33" s="272"/>
      <c r="L33" s="272"/>
      <c r="M33" s="272"/>
      <c r="N33" s="272"/>
      <c r="O33" s="272"/>
    </row>
    <row r="34" spans="1:15" s="3" customFormat="1" ht="12.75">
      <c r="A34" s="56">
        <v>4300</v>
      </c>
      <c r="B34" s="17">
        <v>2331</v>
      </c>
      <c r="C34" s="15" t="s">
        <v>198</v>
      </c>
      <c r="D34" s="9">
        <v>6409</v>
      </c>
      <c r="E34" s="9">
        <v>729</v>
      </c>
      <c r="F34" s="23">
        <v>727</v>
      </c>
      <c r="G34" s="53">
        <f>IF(D34&lt;=0,0,$F34/D34*100)</f>
        <v>11.34342331096895</v>
      </c>
      <c r="H34" s="54">
        <f>IF(E34&lt;=0,0,$F34/E34*100)</f>
        <v>99.72565157750343</v>
      </c>
      <c r="I34" s="272"/>
      <c r="J34" s="272"/>
      <c r="K34" s="272"/>
      <c r="L34" s="272"/>
      <c r="M34" s="272"/>
      <c r="N34" s="272"/>
      <c r="O34" s="272"/>
    </row>
    <row r="35" spans="1:15" s="3" customFormat="1" ht="12.75">
      <c r="A35" s="56">
        <v>4300</v>
      </c>
      <c r="B35" s="17">
        <v>3639</v>
      </c>
      <c r="C35" s="15" t="s">
        <v>128</v>
      </c>
      <c r="D35" s="9"/>
      <c r="E35" s="9">
        <v>60</v>
      </c>
      <c r="F35" s="23">
        <v>60</v>
      </c>
      <c r="G35" s="53"/>
      <c r="H35" s="54"/>
      <c r="I35" s="272"/>
      <c r="J35" s="272"/>
      <c r="K35" s="272"/>
      <c r="L35" s="272"/>
      <c r="M35" s="272"/>
      <c r="N35" s="272"/>
      <c r="O35" s="272"/>
    </row>
    <row r="36" spans="1:15" s="3" customFormat="1" ht="12.75">
      <c r="A36" s="28" t="s">
        <v>43</v>
      </c>
      <c r="B36" s="17"/>
      <c r="C36" s="10"/>
      <c r="D36" s="40">
        <f>SUBTOTAL(9,D33:D35)</f>
        <v>6409</v>
      </c>
      <c r="E36" s="40">
        <f>SUBTOTAL(9,E33:E35)</f>
        <v>789</v>
      </c>
      <c r="F36" s="40">
        <f>SUBTOTAL(9,F33:F35)</f>
        <v>787</v>
      </c>
      <c r="G36" s="50">
        <f>IF(D36&lt;=0,0,$F36/D36*100)</f>
        <v>12.279606802933376</v>
      </c>
      <c r="H36" s="51">
        <f>IF(E36&lt;=0,0,$F36/E36*100)</f>
        <v>99.74651457541192</v>
      </c>
      <c r="I36" s="272"/>
      <c r="J36" s="272"/>
      <c r="K36" s="272"/>
      <c r="L36" s="272"/>
      <c r="M36" s="272"/>
      <c r="N36" s="272"/>
      <c r="O36" s="272"/>
    </row>
    <row r="37" spans="1:15" s="3" customFormat="1" ht="12.75">
      <c r="A37" s="28"/>
      <c r="B37" s="17"/>
      <c r="C37" s="10"/>
      <c r="D37" s="40"/>
      <c r="E37" s="40"/>
      <c r="F37" s="41"/>
      <c r="G37" s="50"/>
      <c r="H37" s="51"/>
      <c r="I37" s="272"/>
      <c r="J37" s="272"/>
      <c r="K37" s="272"/>
      <c r="L37" s="272"/>
      <c r="M37" s="272"/>
      <c r="N37" s="272"/>
      <c r="O37" s="272"/>
    </row>
    <row r="38" spans="1:8" ht="12.75">
      <c r="A38" s="32" t="s">
        <v>38</v>
      </c>
      <c r="B38" s="19"/>
      <c r="C38" s="8"/>
      <c r="D38" s="40"/>
      <c r="E38" s="40"/>
      <c r="F38" s="41"/>
      <c r="G38" s="50">
        <f aca="true" t="shared" si="6" ref="G38:H47">IF(D38&lt;=0,0,$F38/D38*100)</f>
        <v>0</v>
      </c>
      <c r="H38" s="51">
        <f t="shared" si="6"/>
        <v>0</v>
      </c>
    </row>
    <row r="39" spans="1:8" ht="12.75">
      <c r="A39" s="56">
        <v>5300</v>
      </c>
      <c r="B39" s="17">
        <v>6171</v>
      </c>
      <c r="C39" s="10" t="s">
        <v>9</v>
      </c>
      <c r="D39" s="9">
        <v>58404</v>
      </c>
      <c r="E39" s="9">
        <v>47904</v>
      </c>
      <c r="F39" s="23">
        <v>37008</v>
      </c>
      <c r="G39" s="53">
        <f t="shared" si="6"/>
        <v>63.36552290938977</v>
      </c>
      <c r="H39" s="54">
        <f t="shared" si="6"/>
        <v>77.25450901803607</v>
      </c>
    </row>
    <row r="40" spans="1:8" ht="12.75">
      <c r="A40" s="28" t="s">
        <v>43</v>
      </c>
      <c r="B40" s="17"/>
      <c r="C40" s="10"/>
      <c r="D40" s="40">
        <f>SUBTOTAL(9,D39:D39)</f>
        <v>58404</v>
      </c>
      <c r="E40" s="40">
        <f>SUBTOTAL(9,E39:E39)</f>
        <v>47904</v>
      </c>
      <c r="F40" s="41">
        <f>SUBTOTAL(9,F39:F39)</f>
        <v>37008</v>
      </c>
      <c r="G40" s="50">
        <f t="shared" si="6"/>
        <v>63.36552290938977</v>
      </c>
      <c r="H40" s="51">
        <f t="shared" si="6"/>
        <v>77.25450901803607</v>
      </c>
    </row>
    <row r="41" spans="1:8" ht="12.75">
      <c r="A41" s="33"/>
      <c r="B41" s="20"/>
      <c r="C41" s="12"/>
      <c r="D41" s="40"/>
      <c r="E41" s="40"/>
      <c r="F41" s="41"/>
      <c r="G41" s="50">
        <f t="shared" si="6"/>
        <v>0</v>
      </c>
      <c r="H41" s="51">
        <f t="shared" si="6"/>
        <v>0</v>
      </c>
    </row>
    <row r="42" spans="1:8" ht="12.75">
      <c r="A42" s="33" t="s">
        <v>17</v>
      </c>
      <c r="B42" s="20"/>
      <c r="C42" s="12"/>
      <c r="D42" s="40"/>
      <c r="E42" s="40"/>
      <c r="F42" s="41"/>
      <c r="G42" s="50">
        <f t="shared" si="6"/>
        <v>0</v>
      </c>
      <c r="H42" s="51">
        <f t="shared" si="6"/>
        <v>0</v>
      </c>
    </row>
    <row r="43" spans="1:8" ht="12.75">
      <c r="A43" s="58">
        <v>5400</v>
      </c>
      <c r="B43" s="5">
        <v>2143</v>
      </c>
      <c r="C43" s="10" t="s">
        <v>193</v>
      </c>
      <c r="D43" s="13"/>
      <c r="E43" s="13">
        <v>2179</v>
      </c>
      <c r="F43" s="26">
        <v>2179</v>
      </c>
      <c r="G43" s="53">
        <f t="shared" si="6"/>
        <v>0</v>
      </c>
      <c r="H43" s="54">
        <f t="shared" si="6"/>
        <v>100</v>
      </c>
    </row>
    <row r="44" spans="1:8" ht="12.75">
      <c r="A44" s="58">
        <v>5400</v>
      </c>
      <c r="B44" s="5">
        <v>2212</v>
      </c>
      <c r="C44" s="47" t="s">
        <v>19</v>
      </c>
      <c r="D44" s="13">
        <v>14650</v>
      </c>
      <c r="E44" s="13">
        <v>10650</v>
      </c>
      <c r="F44" s="26">
        <v>9668</v>
      </c>
      <c r="G44" s="53">
        <f>IF(D44&lt;=0,0,$F44/D44*100)</f>
        <v>65.99317406143345</v>
      </c>
      <c r="H44" s="54">
        <f>IF(E44&lt;=0,0,$F44/E44*100)</f>
        <v>90.7793427230047</v>
      </c>
    </row>
    <row r="45" spans="1:8" ht="12.75">
      <c r="A45" s="58">
        <v>5400</v>
      </c>
      <c r="B45" s="5">
        <v>2219</v>
      </c>
      <c r="C45" s="47" t="s">
        <v>54</v>
      </c>
      <c r="D45" s="13">
        <v>19550</v>
      </c>
      <c r="E45" s="13">
        <v>15244</v>
      </c>
      <c r="F45" s="26">
        <v>15219</v>
      </c>
      <c r="G45" s="53">
        <f t="shared" si="6"/>
        <v>77.846547314578</v>
      </c>
      <c r="H45" s="54">
        <f t="shared" si="6"/>
        <v>99.83600104959328</v>
      </c>
    </row>
    <row r="46" spans="1:8" ht="12.75">
      <c r="A46" s="58">
        <v>5400</v>
      </c>
      <c r="B46" s="5">
        <v>2271</v>
      </c>
      <c r="C46" s="47" t="s">
        <v>20</v>
      </c>
      <c r="D46" s="13"/>
      <c r="E46" s="13">
        <v>1413</v>
      </c>
      <c r="F46" s="26">
        <v>1373</v>
      </c>
      <c r="G46" s="53"/>
      <c r="H46" s="54"/>
    </row>
    <row r="47" spans="1:8" ht="12.75">
      <c r="A47" s="58">
        <v>5400</v>
      </c>
      <c r="B47" s="5">
        <v>3636</v>
      </c>
      <c r="C47" s="47" t="s">
        <v>171</v>
      </c>
      <c r="D47" s="13"/>
      <c r="E47" s="13">
        <v>600</v>
      </c>
      <c r="F47" s="26"/>
      <c r="G47" s="53">
        <f t="shared" si="6"/>
        <v>0</v>
      </c>
      <c r="H47" s="54">
        <f t="shared" si="6"/>
        <v>0</v>
      </c>
    </row>
    <row r="48" spans="1:8" ht="12.75">
      <c r="A48" s="33" t="s">
        <v>15</v>
      </c>
      <c r="B48" s="20"/>
      <c r="C48" s="12"/>
      <c r="D48" s="40">
        <f>SUBTOTAL(9,D43:D47)</f>
        <v>34200</v>
      </c>
      <c r="E48" s="40">
        <f>SUBTOTAL(9,E43:E47)</f>
        <v>30086</v>
      </c>
      <c r="F48" s="40">
        <f>SUBTOTAL(9,F43:F47)</f>
        <v>28439</v>
      </c>
      <c r="G48" s="50">
        <f aca="true" t="shared" si="7" ref="G48:H51">IF(D48&lt;=0,0,$F48/D48*100)</f>
        <v>83.15497076023391</v>
      </c>
      <c r="H48" s="51">
        <f t="shared" si="7"/>
        <v>94.5256930133617</v>
      </c>
    </row>
    <row r="49" spans="1:8" ht="12.75">
      <c r="A49" s="33"/>
      <c r="B49" s="20"/>
      <c r="C49" s="12"/>
      <c r="D49" s="40"/>
      <c r="E49" s="40"/>
      <c r="F49" s="41"/>
      <c r="G49" s="50">
        <f t="shared" si="7"/>
        <v>0</v>
      </c>
      <c r="H49" s="51">
        <f t="shared" si="7"/>
        <v>0</v>
      </c>
    </row>
    <row r="50" spans="1:8" ht="12.75">
      <c r="A50" s="33" t="s">
        <v>18</v>
      </c>
      <c r="B50" s="20"/>
      <c r="C50" s="12"/>
      <c r="D50" s="40"/>
      <c r="E50" s="40"/>
      <c r="F50" s="41"/>
      <c r="G50" s="50">
        <f t="shared" si="7"/>
        <v>0</v>
      </c>
      <c r="H50" s="51">
        <f t="shared" si="7"/>
        <v>0</v>
      </c>
    </row>
    <row r="51" spans="1:8" ht="12.75">
      <c r="A51" s="58">
        <v>5600</v>
      </c>
      <c r="B51" s="5">
        <v>2212</v>
      </c>
      <c r="C51" s="47" t="s">
        <v>19</v>
      </c>
      <c r="D51" s="13">
        <f>192422+74403</f>
        <v>266825</v>
      </c>
      <c r="E51" s="13">
        <v>151482</v>
      </c>
      <c r="F51" s="23">
        <v>143305</v>
      </c>
      <c r="G51" s="53">
        <f t="shared" si="7"/>
        <v>53.70748618008058</v>
      </c>
      <c r="H51" s="54">
        <f t="shared" si="7"/>
        <v>94.60199891736312</v>
      </c>
    </row>
    <row r="52" spans="1:8" ht="12.75">
      <c r="A52" s="58">
        <v>5600</v>
      </c>
      <c r="B52" s="5">
        <v>2219</v>
      </c>
      <c r="C52" s="47" t="s">
        <v>54</v>
      </c>
      <c r="D52" s="13">
        <v>6450</v>
      </c>
      <c r="E52" s="13">
        <v>3140</v>
      </c>
      <c r="F52" s="23">
        <v>2303</v>
      </c>
      <c r="G52" s="53">
        <f aca="true" t="shared" si="8" ref="G52:G79">IF(D52&lt;=0,0,$F52/D52*100)</f>
        <v>35.70542635658915</v>
      </c>
      <c r="H52" s="54">
        <f aca="true" t="shared" si="9" ref="H52:H79">IF(E52&lt;=0,0,$F52/E52*100)</f>
        <v>73.34394904458598</v>
      </c>
    </row>
    <row r="53" spans="1:8" ht="12.75">
      <c r="A53" s="58">
        <v>5600</v>
      </c>
      <c r="B53" s="5">
        <v>2229</v>
      </c>
      <c r="C53" s="47" t="s">
        <v>228</v>
      </c>
      <c r="D53" s="13">
        <v>13000</v>
      </c>
      <c r="E53" s="13">
        <v>13000</v>
      </c>
      <c r="F53" s="23">
        <v>1036</v>
      </c>
      <c r="G53" s="53">
        <f t="shared" si="8"/>
        <v>7.9692307692307685</v>
      </c>
      <c r="H53" s="54">
        <f t="shared" si="9"/>
        <v>7.9692307692307685</v>
      </c>
    </row>
    <row r="54" spans="1:8" ht="12.75">
      <c r="A54" s="58">
        <v>5600</v>
      </c>
      <c r="B54" s="5">
        <v>2271</v>
      </c>
      <c r="C54" s="47" t="s">
        <v>20</v>
      </c>
      <c r="D54" s="13">
        <v>4849</v>
      </c>
      <c r="E54" s="13">
        <v>1319</v>
      </c>
      <c r="F54" s="23">
        <v>1319</v>
      </c>
      <c r="G54" s="53">
        <f t="shared" si="8"/>
        <v>27.201484842235512</v>
      </c>
      <c r="H54" s="54">
        <f t="shared" si="9"/>
        <v>100</v>
      </c>
    </row>
    <row r="55" spans="1:8" ht="12.75">
      <c r="A55" s="58">
        <v>5600</v>
      </c>
      <c r="B55" s="5">
        <v>2310</v>
      </c>
      <c r="C55" s="47" t="s">
        <v>5</v>
      </c>
      <c r="D55" s="13">
        <v>42666</v>
      </c>
      <c r="E55" s="13">
        <v>24569</v>
      </c>
      <c r="F55" s="23">
        <v>23241</v>
      </c>
      <c r="G55" s="53">
        <f t="shared" si="8"/>
        <v>54.47194487413866</v>
      </c>
      <c r="H55" s="54">
        <f t="shared" si="9"/>
        <v>94.59481460376897</v>
      </c>
    </row>
    <row r="56" spans="1:8" ht="12.75">
      <c r="A56" s="58">
        <v>5600</v>
      </c>
      <c r="B56" s="5">
        <v>2321</v>
      </c>
      <c r="C56" s="47" t="s">
        <v>53</v>
      </c>
      <c r="D56" s="13">
        <v>763681</v>
      </c>
      <c r="E56" s="13">
        <v>1389314</v>
      </c>
      <c r="F56" s="23">
        <v>1331810</v>
      </c>
      <c r="G56" s="53">
        <f t="shared" si="8"/>
        <v>174.3934967610822</v>
      </c>
      <c r="H56" s="54">
        <f t="shared" si="9"/>
        <v>95.860978871587</v>
      </c>
    </row>
    <row r="57" spans="1:8" ht="12.75">
      <c r="A57" s="58">
        <v>5600</v>
      </c>
      <c r="B57" s="5">
        <v>2329</v>
      </c>
      <c r="C57" s="47" t="s">
        <v>21</v>
      </c>
      <c r="D57" s="13">
        <v>4000</v>
      </c>
      <c r="E57" s="13">
        <v>4000</v>
      </c>
      <c r="F57" s="23">
        <v>2646</v>
      </c>
      <c r="G57" s="53">
        <f t="shared" si="8"/>
        <v>66.14999999999999</v>
      </c>
      <c r="H57" s="54">
        <f t="shared" si="9"/>
        <v>66.14999999999999</v>
      </c>
    </row>
    <row r="58" spans="1:8" ht="12.75">
      <c r="A58" s="58">
        <v>5600</v>
      </c>
      <c r="B58" s="5">
        <v>2339</v>
      </c>
      <c r="C58" s="47" t="s">
        <v>274</v>
      </c>
      <c r="D58" s="13"/>
      <c r="E58" s="13">
        <v>1300</v>
      </c>
      <c r="F58" s="23">
        <v>998</v>
      </c>
      <c r="G58" s="53">
        <f t="shared" si="8"/>
        <v>0</v>
      </c>
      <c r="H58" s="54">
        <f t="shared" si="9"/>
        <v>76.76923076923077</v>
      </c>
    </row>
    <row r="59" spans="1:8" ht="12.75">
      <c r="A59" s="58">
        <v>5600</v>
      </c>
      <c r="B59" s="5">
        <v>3111</v>
      </c>
      <c r="C59" s="47" t="s">
        <v>97</v>
      </c>
      <c r="D59" s="13">
        <v>21300</v>
      </c>
      <c r="E59" s="13">
        <v>27700</v>
      </c>
      <c r="F59" s="23">
        <v>23883</v>
      </c>
      <c r="G59" s="53">
        <f t="shared" si="8"/>
        <v>112.12676056338029</v>
      </c>
      <c r="H59" s="54">
        <f t="shared" si="9"/>
        <v>86.22021660649818</v>
      </c>
    </row>
    <row r="60" spans="1:8" ht="12.75">
      <c r="A60" s="58">
        <v>5600</v>
      </c>
      <c r="B60" s="5">
        <v>3113</v>
      </c>
      <c r="C60" s="47" t="s">
        <v>23</v>
      </c>
      <c r="D60" s="13">
        <v>41938</v>
      </c>
      <c r="E60" s="13">
        <v>29674</v>
      </c>
      <c r="F60" s="23">
        <v>13145</v>
      </c>
      <c r="G60" s="53">
        <f t="shared" si="8"/>
        <v>31.343888597453386</v>
      </c>
      <c r="H60" s="54">
        <f t="shared" si="9"/>
        <v>44.29803868706612</v>
      </c>
    </row>
    <row r="61" spans="1:8" ht="12.75">
      <c r="A61" s="58">
        <v>5600</v>
      </c>
      <c r="B61" s="5">
        <v>3311</v>
      </c>
      <c r="C61" s="47" t="s">
        <v>24</v>
      </c>
      <c r="D61" s="13">
        <v>2946</v>
      </c>
      <c r="E61" s="13">
        <v>11200</v>
      </c>
      <c r="F61" s="23">
        <v>11193</v>
      </c>
      <c r="G61" s="53">
        <f t="shared" si="8"/>
        <v>379.938900203666</v>
      </c>
      <c r="H61" s="54">
        <f t="shared" si="9"/>
        <v>99.9375</v>
      </c>
    </row>
    <row r="62" spans="1:8" ht="12.75">
      <c r="A62" s="58">
        <v>5600</v>
      </c>
      <c r="B62" s="5">
        <v>3314</v>
      </c>
      <c r="C62" s="47" t="s">
        <v>92</v>
      </c>
      <c r="D62" s="13">
        <v>8701</v>
      </c>
      <c r="E62" s="13">
        <v>4701</v>
      </c>
      <c r="F62" s="23">
        <v>478</v>
      </c>
      <c r="G62" s="53">
        <f t="shared" si="8"/>
        <v>5.493621422824963</v>
      </c>
      <c r="H62" s="54">
        <f t="shared" si="9"/>
        <v>10.168049351201871</v>
      </c>
    </row>
    <row r="63" spans="1:8" ht="12.75">
      <c r="A63" s="58">
        <v>5600</v>
      </c>
      <c r="B63" s="5">
        <v>3315</v>
      </c>
      <c r="C63" s="47" t="s">
        <v>25</v>
      </c>
      <c r="D63" s="13">
        <v>2040</v>
      </c>
      <c r="E63" s="13">
        <v>440</v>
      </c>
      <c r="F63" s="23">
        <v>407</v>
      </c>
      <c r="G63" s="53">
        <f t="shared" si="8"/>
        <v>19.950980392156865</v>
      </c>
      <c r="H63" s="54">
        <f t="shared" si="9"/>
        <v>92.5</v>
      </c>
    </row>
    <row r="64" spans="1:8" ht="12.75">
      <c r="A64" s="58">
        <v>5600</v>
      </c>
      <c r="B64" s="5">
        <v>3319</v>
      </c>
      <c r="C64" s="47" t="s">
        <v>49</v>
      </c>
      <c r="D64" s="13"/>
      <c r="E64" s="13">
        <v>50080</v>
      </c>
      <c r="F64" s="23">
        <v>50063</v>
      </c>
      <c r="G64" s="53">
        <f t="shared" si="8"/>
        <v>0</v>
      </c>
      <c r="H64" s="54">
        <f t="shared" si="9"/>
        <v>99.96605431309904</v>
      </c>
    </row>
    <row r="65" spans="1:8" ht="12.75">
      <c r="A65" s="58">
        <v>5600</v>
      </c>
      <c r="B65" s="5">
        <v>3322</v>
      </c>
      <c r="C65" s="47" t="s">
        <v>28</v>
      </c>
      <c r="D65" s="13">
        <v>64400</v>
      </c>
      <c r="E65" s="13">
        <v>57400</v>
      </c>
      <c r="F65" s="23">
        <v>54212</v>
      </c>
      <c r="G65" s="53">
        <f t="shared" si="8"/>
        <v>84.18012422360248</v>
      </c>
      <c r="H65" s="54">
        <f t="shared" si="9"/>
        <v>94.44599303135888</v>
      </c>
    </row>
    <row r="66" spans="1:8" ht="12.75">
      <c r="A66" s="58">
        <v>5600</v>
      </c>
      <c r="B66" s="5">
        <v>3412</v>
      </c>
      <c r="C66" s="47" t="s">
        <v>218</v>
      </c>
      <c r="D66" s="13">
        <v>19300</v>
      </c>
      <c r="E66" s="13">
        <v>66600</v>
      </c>
      <c r="F66" s="23">
        <v>65051</v>
      </c>
      <c r="G66" s="53">
        <f t="shared" si="8"/>
        <v>337.0518134715026</v>
      </c>
      <c r="H66" s="54">
        <f t="shared" si="9"/>
        <v>97.67417417417418</v>
      </c>
    </row>
    <row r="67" spans="1:8" ht="12.75">
      <c r="A67" s="58">
        <v>5600</v>
      </c>
      <c r="B67" s="5">
        <v>3421</v>
      </c>
      <c r="C67" s="47" t="s">
        <v>96</v>
      </c>
      <c r="D67" s="13">
        <v>5900</v>
      </c>
      <c r="E67" s="13">
        <v>7640</v>
      </c>
      <c r="F67" s="23">
        <v>5965</v>
      </c>
      <c r="G67" s="53">
        <f t="shared" si="8"/>
        <v>101.10169491525424</v>
      </c>
      <c r="H67" s="54">
        <f t="shared" si="9"/>
        <v>78.07591623036649</v>
      </c>
    </row>
    <row r="68" spans="1:8" ht="12.75">
      <c r="A68" s="58">
        <v>5600</v>
      </c>
      <c r="B68" s="5">
        <v>3429</v>
      </c>
      <c r="C68" s="47" t="s">
        <v>59</v>
      </c>
      <c r="D68" s="13">
        <v>1000</v>
      </c>
      <c r="E68" s="13">
        <v>1500</v>
      </c>
      <c r="F68" s="23">
        <v>425</v>
      </c>
      <c r="G68" s="53">
        <f t="shared" si="8"/>
        <v>42.5</v>
      </c>
      <c r="H68" s="54">
        <f t="shared" si="9"/>
        <v>28.333333333333332</v>
      </c>
    </row>
    <row r="69" spans="1:8" ht="12.75">
      <c r="A69" s="58">
        <v>5600</v>
      </c>
      <c r="B69" s="5">
        <v>3511</v>
      </c>
      <c r="C69" s="47" t="s">
        <v>13</v>
      </c>
      <c r="D69" s="13">
        <v>3515</v>
      </c>
      <c r="E69" s="13">
        <v>1000</v>
      </c>
      <c r="F69" s="23">
        <v>97</v>
      </c>
      <c r="G69" s="53">
        <f t="shared" si="8"/>
        <v>2.759601706970128</v>
      </c>
      <c r="H69" s="54">
        <f t="shared" si="9"/>
        <v>9.700000000000001</v>
      </c>
    </row>
    <row r="70" spans="1:8" ht="12.75">
      <c r="A70" s="58">
        <v>5600</v>
      </c>
      <c r="B70" s="5">
        <v>3522</v>
      </c>
      <c r="C70" s="47" t="s">
        <v>219</v>
      </c>
      <c r="D70" s="13"/>
      <c r="E70" s="13">
        <v>16000</v>
      </c>
      <c r="F70" s="23">
        <v>16000</v>
      </c>
      <c r="G70" s="53"/>
      <c r="H70" s="54">
        <f t="shared" si="9"/>
        <v>100</v>
      </c>
    </row>
    <row r="71" spans="1:8" ht="12.75">
      <c r="A71" s="58">
        <v>5600</v>
      </c>
      <c r="B71" s="5">
        <v>3523</v>
      </c>
      <c r="C71" s="47" t="s">
        <v>86</v>
      </c>
      <c r="D71" s="13"/>
      <c r="E71" s="13">
        <v>16000</v>
      </c>
      <c r="F71" s="23">
        <v>16000</v>
      </c>
      <c r="G71" s="53">
        <f t="shared" si="8"/>
        <v>0</v>
      </c>
      <c r="H71" s="54">
        <f t="shared" si="9"/>
        <v>100</v>
      </c>
    </row>
    <row r="72" spans="1:8" ht="12.75">
      <c r="A72" s="58">
        <v>5600</v>
      </c>
      <c r="B72" s="5">
        <v>3612</v>
      </c>
      <c r="C72" s="47" t="s">
        <v>12</v>
      </c>
      <c r="D72" s="13">
        <v>454</v>
      </c>
      <c r="E72" s="13">
        <v>554</v>
      </c>
      <c r="F72" s="23">
        <v>326</v>
      </c>
      <c r="G72" s="53">
        <f t="shared" si="8"/>
        <v>71.80616740088107</v>
      </c>
      <c r="H72" s="54">
        <f t="shared" si="9"/>
        <v>58.844765342960294</v>
      </c>
    </row>
    <row r="73" spans="1:8" ht="12.75">
      <c r="A73" s="58">
        <v>5600</v>
      </c>
      <c r="B73" s="5">
        <v>3639</v>
      </c>
      <c r="C73" s="47" t="s">
        <v>42</v>
      </c>
      <c r="D73" s="13">
        <v>1117</v>
      </c>
      <c r="E73" s="13">
        <v>827</v>
      </c>
      <c r="F73" s="23">
        <v>141</v>
      </c>
      <c r="G73" s="53">
        <f t="shared" si="8"/>
        <v>12.623097582811102</v>
      </c>
      <c r="H73" s="54">
        <f t="shared" si="9"/>
        <v>17.04957678355502</v>
      </c>
    </row>
    <row r="74" spans="1:8" ht="12.75">
      <c r="A74" s="58">
        <v>5600</v>
      </c>
      <c r="B74" s="5">
        <v>3716</v>
      </c>
      <c r="C74" s="47" t="s">
        <v>66</v>
      </c>
      <c r="D74" s="13">
        <v>7095</v>
      </c>
      <c r="E74" s="13">
        <v>7095</v>
      </c>
      <c r="F74" s="23">
        <v>6534</v>
      </c>
      <c r="G74" s="53">
        <f t="shared" si="8"/>
        <v>92.09302325581396</v>
      </c>
      <c r="H74" s="54">
        <f t="shared" si="9"/>
        <v>92.09302325581396</v>
      </c>
    </row>
    <row r="75" spans="1:8" ht="12.75">
      <c r="A75" s="58">
        <v>5600</v>
      </c>
      <c r="B75" s="5">
        <v>3725</v>
      </c>
      <c r="C75" s="10" t="s">
        <v>256</v>
      </c>
      <c r="D75" s="13"/>
      <c r="E75" s="13">
        <v>120</v>
      </c>
      <c r="F75" s="23"/>
      <c r="G75" s="53"/>
      <c r="H75" s="54">
        <f t="shared" si="9"/>
        <v>0</v>
      </c>
    </row>
    <row r="76" spans="1:8" ht="12.75">
      <c r="A76" s="58">
        <v>5600</v>
      </c>
      <c r="B76" s="5">
        <v>3741</v>
      </c>
      <c r="C76" s="47" t="s">
        <v>6</v>
      </c>
      <c r="D76" s="13">
        <v>24000</v>
      </c>
      <c r="E76" s="13">
        <v>24000</v>
      </c>
      <c r="F76" s="23">
        <v>8515</v>
      </c>
      <c r="G76" s="53">
        <f t="shared" si="8"/>
        <v>35.479166666666664</v>
      </c>
      <c r="H76" s="54">
        <f t="shared" si="9"/>
        <v>35.479166666666664</v>
      </c>
    </row>
    <row r="77" spans="1:8" ht="12.75">
      <c r="A77" s="58">
        <v>5600</v>
      </c>
      <c r="B77" s="5">
        <v>3745</v>
      </c>
      <c r="C77" s="47" t="s">
        <v>2</v>
      </c>
      <c r="D77" s="13">
        <v>52406</v>
      </c>
      <c r="E77" s="13">
        <v>55130</v>
      </c>
      <c r="F77" s="23">
        <v>52398</v>
      </c>
      <c r="G77" s="53">
        <f t="shared" si="8"/>
        <v>99.9847345723772</v>
      </c>
      <c r="H77" s="54">
        <f t="shared" si="9"/>
        <v>95.04444041356793</v>
      </c>
    </row>
    <row r="78" spans="1:8" ht="12.75">
      <c r="A78" s="58">
        <v>5600</v>
      </c>
      <c r="B78" s="5">
        <v>3792</v>
      </c>
      <c r="C78" s="47" t="s">
        <v>8</v>
      </c>
      <c r="D78" s="13">
        <v>27000</v>
      </c>
      <c r="E78" s="13">
        <v>12500</v>
      </c>
      <c r="F78" s="23">
        <v>12372</v>
      </c>
      <c r="G78" s="53">
        <f t="shared" si="8"/>
        <v>45.82222222222222</v>
      </c>
      <c r="H78" s="54">
        <f t="shared" si="9"/>
        <v>98.976</v>
      </c>
    </row>
    <row r="79" spans="1:8" ht="12.75">
      <c r="A79" s="58">
        <v>5600</v>
      </c>
      <c r="B79" s="5">
        <v>4352</v>
      </c>
      <c r="C79" s="47" t="s">
        <v>231</v>
      </c>
      <c r="D79" s="13">
        <v>8400</v>
      </c>
      <c r="E79" s="13">
        <v>400</v>
      </c>
      <c r="F79" s="23">
        <v>36</v>
      </c>
      <c r="G79" s="53">
        <f t="shared" si="8"/>
        <v>0.4285714285714286</v>
      </c>
      <c r="H79" s="54">
        <f t="shared" si="9"/>
        <v>9</v>
      </c>
    </row>
    <row r="80" spans="1:8" ht="12.75">
      <c r="A80" s="58">
        <v>5600</v>
      </c>
      <c r="B80" s="5">
        <v>4357</v>
      </c>
      <c r="C80" s="47" t="s">
        <v>180</v>
      </c>
      <c r="D80" s="13">
        <v>1000</v>
      </c>
      <c r="E80" s="13">
        <v>1000</v>
      </c>
      <c r="F80" s="23">
        <v>865</v>
      </c>
      <c r="G80" s="53">
        <f aca="true" t="shared" si="10" ref="G80:H82">IF(D80&lt;=0,0,$F80/D80*100)</f>
        <v>86.5</v>
      </c>
      <c r="H80" s="54">
        <f t="shared" si="10"/>
        <v>86.5</v>
      </c>
    </row>
    <row r="81" spans="1:8" ht="12.75">
      <c r="A81" s="58">
        <v>5600</v>
      </c>
      <c r="B81" s="5">
        <v>4375</v>
      </c>
      <c r="C81" s="47" t="s">
        <v>208</v>
      </c>
      <c r="D81" s="13">
        <v>30</v>
      </c>
      <c r="E81" s="13">
        <v>30</v>
      </c>
      <c r="F81" s="23">
        <v>12</v>
      </c>
      <c r="G81" s="53">
        <f t="shared" si="10"/>
        <v>40</v>
      </c>
      <c r="H81" s="54">
        <f t="shared" si="10"/>
        <v>40</v>
      </c>
    </row>
    <row r="82" spans="1:8" ht="12.75">
      <c r="A82" s="58">
        <v>5600</v>
      </c>
      <c r="B82" s="5">
        <v>6171</v>
      </c>
      <c r="C82" s="47" t="s">
        <v>9</v>
      </c>
      <c r="D82" s="13">
        <v>500</v>
      </c>
      <c r="E82" s="13">
        <v>500</v>
      </c>
      <c r="F82" s="23">
        <v>487</v>
      </c>
      <c r="G82" s="53">
        <f t="shared" si="10"/>
        <v>97.39999999999999</v>
      </c>
      <c r="H82" s="54">
        <f t="shared" si="10"/>
        <v>97.39999999999999</v>
      </c>
    </row>
    <row r="83" spans="1:8" ht="12.75">
      <c r="A83" s="33" t="s">
        <v>16</v>
      </c>
      <c r="B83" s="20"/>
      <c r="C83" s="12"/>
      <c r="D83" s="40">
        <f>SUBTOTAL(9,D51:D82)</f>
        <v>1394513</v>
      </c>
      <c r="E83" s="40">
        <f>SUBTOTAL(9,E51:E82)</f>
        <v>1980215</v>
      </c>
      <c r="F83" s="40">
        <f>SUBTOTAL(9,F51:F82)</f>
        <v>1845263</v>
      </c>
      <c r="G83" s="50">
        <f aca="true" t="shared" si="11" ref="G83:H88">IF(D83&lt;=0,0,$F83/D83*100)</f>
        <v>132.32311208285617</v>
      </c>
      <c r="H83" s="51">
        <f t="shared" si="11"/>
        <v>93.18498243877559</v>
      </c>
    </row>
    <row r="84" spans="1:8" ht="12.75">
      <c r="A84" s="33"/>
      <c r="B84" s="20"/>
      <c r="C84" s="12"/>
      <c r="D84" s="40"/>
      <c r="E84" s="40"/>
      <c r="F84" s="41"/>
      <c r="G84" s="50">
        <f t="shared" si="11"/>
        <v>0</v>
      </c>
      <c r="H84" s="51">
        <f t="shared" si="11"/>
        <v>0</v>
      </c>
    </row>
    <row r="85" spans="1:8" ht="12.75">
      <c r="A85" s="34" t="s">
        <v>46</v>
      </c>
      <c r="B85" s="5"/>
      <c r="C85" s="15"/>
      <c r="D85" s="40"/>
      <c r="E85" s="40"/>
      <c r="F85" s="41"/>
      <c r="G85" s="50">
        <f t="shared" si="11"/>
        <v>0</v>
      </c>
      <c r="H85" s="51">
        <f t="shared" si="11"/>
        <v>0</v>
      </c>
    </row>
    <row r="86" spans="1:8" ht="12.75">
      <c r="A86" s="59">
        <v>5700</v>
      </c>
      <c r="B86" s="5">
        <v>2329</v>
      </c>
      <c r="C86" s="47" t="s">
        <v>21</v>
      </c>
      <c r="D86" s="9">
        <v>100</v>
      </c>
      <c r="E86" s="9">
        <v>100</v>
      </c>
      <c r="F86" s="9">
        <v>48</v>
      </c>
      <c r="G86" s="53">
        <f t="shared" si="11"/>
        <v>48</v>
      </c>
      <c r="H86" s="54">
        <f t="shared" si="11"/>
        <v>48</v>
      </c>
    </row>
    <row r="87" spans="1:8" ht="12.75">
      <c r="A87" s="59">
        <v>5700</v>
      </c>
      <c r="B87" s="5">
        <v>3319</v>
      </c>
      <c r="C87" s="47" t="s">
        <v>49</v>
      </c>
      <c r="D87" s="9">
        <v>1500</v>
      </c>
      <c r="E87" s="9"/>
      <c r="F87" s="9"/>
      <c r="G87" s="53">
        <f t="shared" si="11"/>
        <v>0</v>
      </c>
      <c r="H87" s="54">
        <f t="shared" si="11"/>
        <v>0</v>
      </c>
    </row>
    <row r="88" spans="1:8" ht="12.75">
      <c r="A88" s="59">
        <v>5700</v>
      </c>
      <c r="B88" s="5">
        <v>3699</v>
      </c>
      <c r="C88" s="15" t="s">
        <v>78</v>
      </c>
      <c r="D88" s="9">
        <v>1900</v>
      </c>
      <c r="E88" s="9">
        <v>1900</v>
      </c>
      <c r="F88" s="9">
        <v>1900</v>
      </c>
      <c r="G88" s="53">
        <f t="shared" si="11"/>
        <v>100</v>
      </c>
      <c r="H88" s="54">
        <f t="shared" si="11"/>
        <v>100</v>
      </c>
    </row>
    <row r="89" spans="1:8" ht="12.75">
      <c r="A89" s="35" t="s">
        <v>11</v>
      </c>
      <c r="B89" s="16"/>
      <c r="C89" s="14"/>
      <c r="D89" s="40">
        <f>SUBTOTAL(9,D86:D88)</f>
        <v>3500</v>
      </c>
      <c r="E89" s="40">
        <f>SUBTOTAL(9,E86:E88)</f>
        <v>2000</v>
      </c>
      <c r="F89" s="40">
        <f>SUBTOTAL(9,F86:F88)</f>
        <v>1948</v>
      </c>
      <c r="G89" s="68">
        <f>IF(D89&lt;=0,0,$F89/D89*100)</f>
        <v>55.65714285714286</v>
      </c>
      <c r="H89" s="51">
        <f>IF(E89&lt;=0,0,$F89/E89*100)</f>
        <v>97.39999999999999</v>
      </c>
    </row>
    <row r="90" spans="1:8" ht="12.75">
      <c r="A90" s="33"/>
      <c r="B90" s="20"/>
      <c r="C90" s="12"/>
      <c r="D90" s="40"/>
      <c r="E90" s="40"/>
      <c r="F90" s="41"/>
      <c r="G90" s="50"/>
      <c r="H90" s="51"/>
    </row>
    <row r="91" spans="1:8" ht="12.75">
      <c r="A91" s="757" t="s">
        <v>230</v>
      </c>
      <c r="B91" s="755"/>
      <c r="C91" s="756"/>
      <c r="D91" s="40"/>
      <c r="E91" s="40"/>
      <c r="F91" s="41"/>
      <c r="G91" s="50">
        <f aca="true" t="shared" si="12" ref="G91:H96">IF(D91&lt;=0,0,$F91/D91*100)</f>
        <v>0</v>
      </c>
      <c r="H91" s="51">
        <f t="shared" si="12"/>
        <v>0</v>
      </c>
    </row>
    <row r="92" spans="1:8" ht="12.75">
      <c r="A92" s="57">
        <v>6200</v>
      </c>
      <c r="B92" s="5">
        <v>3612</v>
      </c>
      <c r="C92" s="151" t="s">
        <v>12</v>
      </c>
      <c r="D92" s="9">
        <v>166007</v>
      </c>
      <c r="E92" s="9">
        <v>59902</v>
      </c>
      <c r="F92" s="23">
        <v>39006</v>
      </c>
      <c r="G92" s="53">
        <f t="shared" si="12"/>
        <v>23.496599540983212</v>
      </c>
      <c r="H92" s="54">
        <f t="shared" si="12"/>
        <v>65.11635671596942</v>
      </c>
    </row>
    <row r="93" spans="1:8" ht="12.75">
      <c r="A93" s="57">
        <v>6200</v>
      </c>
      <c r="B93" s="5">
        <v>3619</v>
      </c>
      <c r="C93" s="14" t="s">
        <v>81</v>
      </c>
      <c r="D93" s="9"/>
      <c r="E93" s="9">
        <v>2275</v>
      </c>
      <c r="F93" s="23">
        <v>1455</v>
      </c>
      <c r="G93" s="53">
        <f t="shared" si="12"/>
        <v>0</v>
      </c>
      <c r="H93" s="54">
        <f t="shared" si="12"/>
        <v>63.95604395604395</v>
      </c>
    </row>
    <row r="94" spans="1:8" ht="12.75">
      <c r="A94" s="57">
        <v>6200</v>
      </c>
      <c r="B94" s="5">
        <v>3639</v>
      </c>
      <c r="C94" s="14" t="s">
        <v>128</v>
      </c>
      <c r="D94" s="9">
        <v>240000</v>
      </c>
      <c r="E94" s="9">
        <v>84571</v>
      </c>
      <c r="F94" s="23"/>
      <c r="G94" s="53">
        <f t="shared" si="12"/>
        <v>0</v>
      </c>
      <c r="H94" s="54">
        <f t="shared" si="12"/>
        <v>0</v>
      </c>
    </row>
    <row r="95" spans="1:8" ht="12.75">
      <c r="A95" s="57">
        <v>6200</v>
      </c>
      <c r="B95" s="5">
        <v>4351</v>
      </c>
      <c r="C95" s="14" t="s">
        <v>179</v>
      </c>
      <c r="D95" s="9">
        <v>28800</v>
      </c>
      <c r="E95" s="9">
        <v>9460</v>
      </c>
      <c r="F95" s="23">
        <v>2208</v>
      </c>
      <c r="G95" s="53">
        <f t="shared" si="12"/>
        <v>7.666666666666666</v>
      </c>
      <c r="H95" s="54">
        <f t="shared" si="12"/>
        <v>23.340380549682877</v>
      </c>
    </row>
    <row r="96" spans="1:8" ht="12.75">
      <c r="A96" s="35" t="s">
        <v>80</v>
      </c>
      <c r="B96" s="16"/>
      <c r="C96" s="14"/>
      <c r="D96" s="41">
        <f>SUBTOTAL(9,D92:D95)</f>
        <v>434807</v>
      </c>
      <c r="E96" s="41">
        <f>SUBTOTAL(9,E92:E95)</f>
        <v>156208</v>
      </c>
      <c r="F96" s="41">
        <f>SUBTOTAL(9,F92:F95)</f>
        <v>42669</v>
      </c>
      <c r="G96" s="50">
        <f t="shared" si="12"/>
        <v>9.813319472777577</v>
      </c>
      <c r="H96" s="67">
        <f t="shared" si="12"/>
        <v>27.315502407047017</v>
      </c>
    </row>
    <row r="97" spans="1:8" ht="12.75">
      <c r="A97" s="33"/>
      <c r="B97" s="20"/>
      <c r="C97" s="12"/>
      <c r="D97" s="40"/>
      <c r="E97" s="40"/>
      <c r="F97" s="41"/>
      <c r="G97" s="50"/>
      <c r="H97" s="51"/>
    </row>
    <row r="98" spans="1:8" ht="12.75">
      <c r="A98" s="34" t="s">
        <v>215</v>
      </c>
      <c r="B98" s="5"/>
      <c r="C98" s="15"/>
      <c r="D98" s="40"/>
      <c r="E98" s="40"/>
      <c r="F98" s="41"/>
      <c r="G98" s="50">
        <f aca="true" t="shared" si="13" ref="G98:H100">IF(D98&lt;=0,0,$F98/D98*100)</f>
        <v>0</v>
      </c>
      <c r="H98" s="51">
        <f t="shared" si="13"/>
        <v>0</v>
      </c>
    </row>
    <row r="99" spans="1:8" ht="12.75">
      <c r="A99" s="59">
        <v>6300</v>
      </c>
      <c r="B99" s="5">
        <v>3639</v>
      </c>
      <c r="C99" s="12" t="s">
        <v>42</v>
      </c>
      <c r="D99" s="9">
        <v>11000</v>
      </c>
      <c r="E99" s="9">
        <v>10453</v>
      </c>
      <c r="F99" s="23">
        <v>10453</v>
      </c>
      <c r="G99" s="48">
        <f t="shared" si="13"/>
        <v>95.02727272727273</v>
      </c>
      <c r="H99" s="54">
        <f t="shared" si="13"/>
        <v>100</v>
      </c>
    </row>
    <row r="100" spans="1:8" ht="12.75">
      <c r="A100" s="35" t="s">
        <v>216</v>
      </c>
      <c r="B100" s="16"/>
      <c r="C100" s="14"/>
      <c r="D100" s="40">
        <f>SUBTOTAL(9,D99:D99)</f>
        <v>11000</v>
      </c>
      <c r="E100" s="40">
        <f>SUBTOTAL(9,E99:E99)</f>
        <v>10453</v>
      </c>
      <c r="F100" s="40">
        <f>SUBTOTAL(9,F99:F99)</f>
        <v>10453</v>
      </c>
      <c r="G100" s="68">
        <f t="shared" si="13"/>
        <v>95.02727272727273</v>
      </c>
      <c r="H100" s="51">
        <f t="shared" si="13"/>
        <v>100</v>
      </c>
    </row>
    <row r="101" spans="1:8" ht="12.75">
      <c r="A101" s="33"/>
      <c r="B101" s="20"/>
      <c r="C101" s="12"/>
      <c r="D101" s="40"/>
      <c r="E101" s="40"/>
      <c r="F101" s="41"/>
      <c r="G101" s="50"/>
      <c r="H101" s="51"/>
    </row>
    <row r="102" spans="1:8" ht="12.75">
      <c r="A102" s="34" t="s">
        <v>234</v>
      </c>
      <c r="B102" s="5"/>
      <c r="C102" s="15"/>
      <c r="D102" s="40"/>
      <c r="E102" s="40"/>
      <c r="F102" s="41"/>
      <c r="G102" s="50">
        <f aca="true" t="shared" si="14" ref="G102:H106">IF(D102&lt;=0,0,$F102/D102*100)</f>
        <v>0</v>
      </c>
      <c r="H102" s="51">
        <f t="shared" si="14"/>
        <v>0</v>
      </c>
    </row>
    <row r="103" spans="1:8" ht="12.75">
      <c r="A103" s="59">
        <v>6600</v>
      </c>
      <c r="B103" s="5">
        <v>3612</v>
      </c>
      <c r="C103" s="151" t="s">
        <v>12</v>
      </c>
      <c r="D103" s="9">
        <v>6000</v>
      </c>
      <c r="E103" s="9">
        <v>12522</v>
      </c>
      <c r="F103" s="23">
        <v>3935</v>
      </c>
      <c r="G103" s="48">
        <f t="shared" si="14"/>
        <v>65.58333333333334</v>
      </c>
      <c r="H103" s="54">
        <f t="shared" si="14"/>
        <v>31.424692541127612</v>
      </c>
    </row>
    <row r="104" spans="1:8" ht="12.75">
      <c r="A104" s="59">
        <v>6600</v>
      </c>
      <c r="B104" s="5">
        <v>3639</v>
      </c>
      <c r="C104" s="12" t="s">
        <v>42</v>
      </c>
      <c r="D104" s="9"/>
      <c r="E104" s="9">
        <v>3000</v>
      </c>
      <c r="F104" s="23">
        <v>2952</v>
      </c>
      <c r="G104" s="48">
        <f t="shared" si="14"/>
        <v>0</v>
      </c>
      <c r="H104" s="54">
        <f t="shared" si="14"/>
        <v>98.4</v>
      </c>
    </row>
    <row r="105" spans="1:8" ht="12.75">
      <c r="A105" s="59">
        <v>6600</v>
      </c>
      <c r="B105" s="5">
        <v>6171</v>
      </c>
      <c r="C105" s="151" t="s">
        <v>9</v>
      </c>
      <c r="D105" s="9"/>
      <c r="E105" s="9">
        <v>4500</v>
      </c>
      <c r="F105" s="23">
        <v>4473</v>
      </c>
      <c r="G105" s="48">
        <f t="shared" si="14"/>
        <v>0</v>
      </c>
      <c r="H105" s="54">
        <f t="shared" si="14"/>
        <v>99.4</v>
      </c>
    </row>
    <row r="106" spans="1:8" ht="12.75">
      <c r="A106" s="35" t="s">
        <v>84</v>
      </c>
      <c r="B106" s="16"/>
      <c r="C106" s="14"/>
      <c r="D106" s="40">
        <f>SUBTOTAL(9,D103:D105)</f>
        <v>6000</v>
      </c>
      <c r="E106" s="40">
        <f>SUBTOTAL(9,E103:E105)</f>
        <v>20022</v>
      </c>
      <c r="F106" s="40">
        <f>SUBTOTAL(9,F103:F105)</f>
        <v>11360</v>
      </c>
      <c r="G106" s="68">
        <f t="shared" si="14"/>
        <v>189.33333333333334</v>
      </c>
      <c r="H106" s="51">
        <f t="shared" si="14"/>
        <v>56.73758865248227</v>
      </c>
    </row>
    <row r="107" spans="1:8" ht="12.75">
      <c r="A107" s="33"/>
      <c r="B107" s="20"/>
      <c r="C107" s="12"/>
      <c r="D107" s="40"/>
      <c r="E107" s="40"/>
      <c r="F107" s="41"/>
      <c r="G107" s="50"/>
      <c r="H107" s="51"/>
    </row>
    <row r="108" spans="1:8" ht="12.75">
      <c r="A108" s="34" t="s">
        <v>199</v>
      </c>
      <c r="B108" s="5"/>
      <c r="C108" s="15"/>
      <c r="D108" s="40"/>
      <c r="E108" s="40"/>
      <c r="F108" s="41"/>
      <c r="G108" s="50"/>
      <c r="H108" s="51"/>
    </row>
    <row r="109" spans="1:8" ht="12.75">
      <c r="A109" s="59">
        <v>7100</v>
      </c>
      <c r="B109" s="5">
        <v>3599</v>
      </c>
      <c r="C109" s="14" t="s">
        <v>88</v>
      </c>
      <c r="D109" s="9">
        <v>800</v>
      </c>
      <c r="E109" s="9"/>
      <c r="F109" s="23"/>
      <c r="G109" s="48">
        <f aca="true" t="shared" si="15" ref="G109:H111">IF(D109&lt;=0,0,$F109/D109*100)</f>
        <v>0</v>
      </c>
      <c r="H109" s="54">
        <f t="shared" si="15"/>
        <v>0</v>
      </c>
    </row>
    <row r="110" spans="1:8" ht="12.75">
      <c r="A110" s="35" t="s">
        <v>14</v>
      </c>
      <c r="B110" s="16"/>
      <c r="C110" s="14"/>
      <c r="D110" s="40">
        <f>SUBTOTAL(9,D109:D109)</f>
        <v>800</v>
      </c>
      <c r="E110" s="40">
        <f>SUBTOTAL(9,E109:E109)</f>
        <v>0</v>
      </c>
      <c r="F110" s="40">
        <f>SUBTOTAL(9,F109:F109)</f>
        <v>0</v>
      </c>
      <c r="G110" s="68">
        <f t="shared" si="15"/>
        <v>0</v>
      </c>
      <c r="H110" s="51">
        <f t="shared" si="15"/>
        <v>0</v>
      </c>
    </row>
    <row r="111" spans="1:8" ht="12.75">
      <c r="A111" s="35"/>
      <c r="B111" s="16"/>
      <c r="C111" s="14"/>
      <c r="D111" s="40"/>
      <c r="E111" s="40"/>
      <c r="F111" s="41"/>
      <c r="G111" s="50">
        <f t="shared" si="15"/>
        <v>0</v>
      </c>
      <c r="H111" s="51">
        <f t="shared" si="15"/>
        <v>0</v>
      </c>
    </row>
    <row r="112" spans="1:8" ht="12.75">
      <c r="A112" s="34" t="s">
        <v>40</v>
      </c>
      <c r="B112" s="5"/>
      <c r="C112" s="15"/>
      <c r="D112" s="40"/>
      <c r="E112" s="40"/>
      <c r="F112" s="41"/>
      <c r="G112" s="50"/>
      <c r="H112" s="51"/>
    </row>
    <row r="113" spans="1:8" ht="12.75">
      <c r="A113" s="59">
        <v>7200</v>
      </c>
      <c r="B113" s="5">
        <v>5319</v>
      </c>
      <c r="C113" s="15" t="s">
        <v>210</v>
      </c>
      <c r="D113" s="9"/>
      <c r="E113" s="9">
        <v>62</v>
      </c>
      <c r="F113" s="23">
        <v>62</v>
      </c>
      <c r="G113" s="48">
        <f>IF(D113&lt;=0,0,$F113/D113*100)</f>
        <v>0</v>
      </c>
      <c r="H113" s="54">
        <f>IF(E113&lt;=0,0,$F113/E113*100)</f>
        <v>100</v>
      </c>
    </row>
    <row r="114" spans="1:8" ht="12.75">
      <c r="A114" s="35" t="s">
        <v>35</v>
      </c>
      <c r="B114" s="16"/>
      <c r="C114" s="14"/>
      <c r="D114" s="40">
        <f>SUBTOTAL(9,D113:D113)</f>
        <v>0</v>
      </c>
      <c r="E114" s="40">
        <f>SUBTOTAL(9,E113:E113)</f>
        <v>62</v>
      </c>
      <c r="F114" s="40">
        <f>SUBTOTAL(9,F113:F113)</f>
        <v>62</v>
      </c>
      <c r="G114" s="68">
        <f>IF(D114&lt;=0,0,$F114/D114*100)</f>
        <v>0</v>
      </c>
      <c r="H114" s="51">
        <f>IF(E114&lt;=0,0,$F114/E114*100)</f>
        <v>100</v>
      </c>
    </row>
    <row r="115" spans="1:8" ht="12.75">
      <c r="A115" s="306"/>
      <c r="B115" s="307"/>
      <c r="C115" s="308"/>
      <c r="D115" s="40"/>
      <c r="E115" s="40"/>
      <c r="F115" s="41"/>
      <c r="G115" s="50"/>
      <c r="H115" s="51"/>
    </row>
    <row r="116" spans="1:8" ht="12.75">
      <c r="A116" s="754" t="s">
        <v>30</v>
      </c>
      <c r="B116" s="755"/>
      <c r="C116" s="756"/>
      <c r="D116" s="40"/>
      <c r="E116" s="40"/>
      <c r="F116" s="41"/>
      <c r="G116" s="50">
        <f aca="true" t="shared" si="16" ref="G116:H121">IF(D116&lt;=0,0,$F116/D116*100)</f>
        <v>0</v>
      </c>
      <c r="H116" s="51">
        <f t="shared" si="16"/>
        <v>0</v>
      </c>
    </row>
    <row r="117" spans="1:8" ht="12.75">
      <c r="A117" s="57">
        <v>7300</v>
      </c>
      <c r="B117" s="5">
        <v>3314</v>
      </c>
      <c r="C117" s="47" t="s">
        <v>92</v>
      </c>
      <c r="D117" s="6"/>
      <c r="E117" s="6">
        <v>90</v>
      </c>
      <c r="F117" s="25">
        <v>90</v>
      </c>
      <c r="G117" s="53">
        <f t="shared" si="16"/>
        <v>0</v>
      </c>
      <c r="H117" s="46">
        <f t="shared" si="16"/>
        <v>100</v>
      </c>
    </row>
    <row r="118" spans="1:8" ht="12.75">
      <c r="A118" s="57">
        <v>7300</v>
      </c>
      <c r="B118" s="5">
        <v>3319</v>
      </c>
      <c r="C118" s="47" t="s">
        <v>49</v>
      </c>
      <c r="D118" s="6">
        <v>5000</v>
      </c>
      <c r="E118" s="6">
        <v>9149</v>
      </c>
      <c r="F118" s="25">
        <v>5614</v>
      </c>
      <c r="G118" s="53">
        <f>IF(D118&lt;=0,0,$F118/D118*100)</f>
        <v>112.28</v>
      </c>
      <c r="H118" s="46">
        <f>IF(E118&lt;=0,0,$F118/E118*100)</f>
        <v>61.3618974751339</v>
      </c>
    </row>
    <row r="119" spans="1:8" ht="12.75">
      <c r="A119" s="57">
        <v>7300</v>
      </c>
      <c r="B119" s="5">
        <v>3326</v>
      </c>
      <c r="C119" s="15" t="s">
        <v>174</v>
      </c>
      <c r="D119" s="6">
        <v>3800</v>
      </c>
      <c r="E119" s="6">
        <v>4100</v>
      </c>
      <c r="F119" s="25">
        <v>423</v>
      </c>
      <c r="G119" s="53">
        <f t="shared" si="16"/>
        <v>11.131578947368421</v>
      </c>
      <c r="H119" s="54">
        <f t="shared" si="16"/>
        <v>10.317073170731707</v>
      </c>
    </row>
    <row r="120" spans="1:8" ht="12.75">
      <c r="A120" s="34" t="s">
        <v>27</v>
      </c>
      <c r="B120" s="5"/>
      <c r="C120" s="15"/>
      <c r="D120" s="40">
        <f>SUBTOTAL(9,D117:D119)</f>
        <v>8800</v>
      </c>
      <c r="E120" s="40">
        <f>SUBTOTAL(9,E117:E119)</f>
        <v>13339</v>
      </c>
      <c r="F120" s="40">
        <f>SUBTOTAL(9,F117:F119)</f>
        <v>6127</v>
      </c>
      <c r="G120" s="50">
        <f t="shared" si="16"/>
        <v>69.625</v>
      </c>
      <c r="H120" s="51">
        <f t="shared" si="16"/>
        <v>45.932978484144236</v>
      </c>
    </row>
    <row r="121" spans="1:8" ht="12.75">
      <c r="A121" s="34"/>
      <c r="B121" s="5"/>
      <c r="C121" s="15"/>
      <c r="D121" s="40"/>
      <c r="E121" s="40"/>
      <c r="F121" s="41"/>
      <c r="G121" s="50">
        <f t="shared" si="16"/>
        <v>0</v>
      </c>
      <c r="H121" s="51">
        <f t="shared" si="16"/>
        <v>0</v>
      </c>
    </row>
    <row r="122" spans="1:8" ht="12.75">
      <c r="A122" s="754" t="s">
        <v>41</v>
      </c>
      <c r="B122" s="755"/>
      <c r="C122" s="756"/>
      <c r="D122" s="40"/>
      <c r="E122" s="40"/>
      <c r="F122" s="41"/>
      <c r="G122" s="50">
        <f aca="true" t="shared" si="17" ref="G122:H127">IF(D122&lt;=0,0,$F122/D122*100)</f>
        <v>0</v>
      </c>
      <c r="H122" s="51">
        <f t="shared" si="17"/>
        <v>0</v>
      </c>
    </row>
    <row r="123" spans="1:8" ht="12.75">
      <c r="A123" s="57">
        <v>7400</v>
      </c>
      <c r="B123" s="5">
        <v>3111</v>
      </c>
      <c r="C123" s="47" t="s">
        <v>97</v>
      </c>
      <c r="D123" s="6"/>
      <c r="E123" s="6">
        <v>100</v>
      </c>
      <c r="F123" s="25">
        <v>84</v>
      </c>
      <c r="G123" s="53">
        <f t="shared" si="17"/>
        <v>0</v>
      </c>
      <c r="H123" s="54">
        <f t="shared" si="17"/>
        <v>84</v>
      </c>
    </row>
    <row r="124" spans="1:8" ht="12.75">
      <c r="A124" s="57">
        <v>7400</v>
      </c>
      <c r="B124" s="5">
        <v>3113</v>
      </c>
      <c r="C124" s="47" t="s">
        <v>23</v>
      </c>
      <c r="D124" s="6"/>
      <c r="E124" s="6">
        <v>791</v>
      </c>
      <c r="F124" s="25">
        <v>791</v>
      </c>
      <c r="G124" s="53">
        <f>IF(D124&lt;=0,0,$F124/D124*100)</f>
        <v>0</v>
      </c>
      <c r="H124" s="54">
        <f>IF(E124&lt;=0,0,$F124/E124*100)</f>
        <v>100</v>
      </c>
    </row>
    <row r="125" spans="1:8" ht="12.75">
      <c r="A125" s="57">
        <v>7400</v>
      </c>
      <c r="B125" s="5">
        <v>3419</v>
      </c>
      <c r="C125" s="47" t="s">
        <v>250</v>
      </c>
      <c r="D125" s="6">
        <v>180</v>
      </c>
      <c r="E125" s="6">
        <v>2793</v>
      </c>
      <c r="F125" s="25">
        <v>2793</v>
      </c>
      <c r="G125" s="53">
        <f t="shared" si="17"/>
        <v>1551.6666666666667</v>
      </c>
      <c r="H125" s="54">
        <f t="shared" si="17"/>
        <v>100</v>
      </c>
    </row>
    <row r="126" spans="1:8" ht="12.75">
      <c r="A126" s="57">
        <v>7400</v>
      </c>
      <c r="B126" s="5">
        <v>6409</v>
      </c>
      <c r="C126" s="11" t="s">
        <v>39</v>
      </c>
      <c r="D126" s="6"/>
      <c r="E126" s="6">
        <v>60492</v>
      </c>
      <c r="F126" s="25">
        <v>59597</v>
      </c>
      <c r="G126" s="53">
        <f t="shared" si="17"/>
        <v>0</v>
      </c>
      <c r="H126" s="54">
        <f t="shared" si="17"/>
        <v>98.52046551610131</v>
      </c>
    </row>
    <row r="127" spans="1:8" ht="12.75">
      <c r="A127" s="34" t="s">
        <v>36</v>
      </c>
      <c r="B127" s="5"/>
      <c r="C127" s="15"/>
      <c r="D127" s="40">
        <f>SUBTOTAL(9,D123:D126)</f>
        <v>180</v>
      </c>
      <c r="E127" s="40">
        <f>SUBTOTAL(9,E123:E126)</f>
        <v>64176</v>
      </c>
      <c r="F127" s="40">
        <f>SUBTOTAL(9,F123:F126)</f>
        <v>63265</v>
      </c>
      <c r="G127" s="50">
        <f t="shared" si="17"/>
        <v>35147.222222222226</v>
      </c>
      <c r="H127" s="51">
        <f t="shared" si="17"/>
        <v>98.58046621790078</v>
      </c>
    </row>
    <row r="128" spans="1:8" ht="12.75">
      <c r="A128" s="70"/>
      <c r="B128" s="71"/>
      <c r="C128" s="72"/>
      <c r="D128" s="73"/>
      <c r="E128" s="73"/>
      <c r="F128" s="74"/>
      <c r="G128" s="75"/>
      <c r="H128" s="76"/>
    </row>
    <row r="129" spans="1:8" ht="12.75">
      <c r="A129" s="70" t="s">
        <v>31</v>
      </c>
      <c r="B129" s="71"/>
      <c r="C129" s="72"/>
      <c r="D129" s="73"/>
      <c r="E129" s="73"/>
      <c r="F129" s="74"/>
      <c r="G129" s="75">
        <f aca="true" t="shared" si="18" ref="G129:H133">IF(D129&lt;=0,0,$F129/D129*100)</f>
        <v>0</v>
      </c>
      <c r="H129" s="76">
        <f t="shared" si="18"/>
        <v>0</v>
      </c>
    </row>
    <row r="130" spans="1:8" ht="12.75">
      <c r="A130" s="77">
        <v>8200</v>
      </c>
      <c r="B130" s="71">
        <v>1014</v>
      </c>
      <c r="C130" s="10" t="s">
        <v>175</v>
      </c>
      <c r="D130" s="78"/>
      <c r="E130" s="78">
        <v>950</v>
      </c>
      <c r="F130" s="79">
        <v>932</v>
      </c>
      <c r="G130" s="53">
        <f t="shared" si="18"/>
        <v>0</v>
      </c>
      <c r="H130" s="54">
        <f t="shared" si="18"/>
        <v>98.10526315789474</v>
      </c>
    </row>
    <row r="131" spans="1:8" ht="12.75">
      <c r="A131" s="77">
        <v>8200</v>
      </c>
      <c r="B131" s="71">
        <v>5311</v>
      </c>
      <c r="C131" s="15" t="s">
        <v>33</v>
      </c>
      <c r="D131" s="78">
        <v>26250</v>
      </c>
      <c r="E131" s="78">
        <v>31179</v>
      </c>
      <c r="F131" s="79">
        <v>30741</v>
      </c>
      <c r="G131" s="53">
        <f>IF(D131&lt;=0,0,$F131/D131*100)</f>
        <v>117.10857142857142</v>
      </c>
      <c r="H131" s="54">
        <f>IF(E131&lt;=0,0,$F131/E131*100)</f>
        <v>98.59520831328778</v>
      </c>
    </row>
    <row r="132" spans="1:8" ht="12.75">
      <c r="A132" s="77">
        <v>8200</v>
      </c>
      <c r="B132" s="71">
        <v>5319</v>
      </c>
      <c r="C132" s="15" t="s">
        <v>210</v>
      </c>
      <c r="D132" s="78"/>
      <c r="E132" s="78">
        <v>92</v>
      </c>
      <c r="F132" s="79">
        <v>92</v>
      </c>
      <c r="G132" s="53">
        <f t="shared" si="18"/>
        <v>0</v>
      </c>
      <c r="H132" s="54">
        <f t="shared" si="18"/>
        <v>100</v>
      </c>
    </row>
    <row r="133" spans="1:8" ht="12.75">
      <c r="A133" s="70" t="s">
        <v>29</v>
      </c>
      <c r="B133" s="71"/>
      <c r="C133" s="72"/>
      <c r="D133" s="40">
        <f>SUBTOTAL(9,D130:D132)</f>
        <v>26250</v>
      </c>
      <c r="E133" s="40">
        <f>SUBTOTAL(9,E130:E132)</f>
        <v>32221</v>
      </c>
      <c r="F133" s="40">
        <f>SUBTOTAL(9,F130:F132)</f>
        <v>31765</v>
      </c>
      <c r="G133" s="50">
        <f t="shared" si="18"/>
        <v>121.00952380952381</v>
      </c>
      <c r="H133" s="51">
        <f t="shared" si="18"/>
        <v>98.58477390521709</v>
      </c>
    </row>
    <row r="134" spans="1:8" ht="10.5" customHeight="1" thickBot="1">
      <c r="A134" s="29"/>
      <c r="B134" s="30"/>
      <c r="C134" s="31"/>
      <c r="D134" s="42"/>
      <c r="E134" s="42"/>
      <c r="F134" s="60"/>
      <c r="G134" s="61">
        <f>IF(D134&lt;=0,0,$F134/D134*100)</f>
        <v>0</v>
      </c>
      <c r="H134" s="62">
        <f>IF(E134&lt;=0,0,$F134/E134*100)</f>
        <v>0</v>
      </c>
    </row>
    <row r="135" spans="1:8" ht="17.25" thickBot="1">
      <c r="A135" s="69" t="s">
        <v>55</v>
      </c>
      <c r="B135" s="65"/>
      <c r="C135" s="66"/>
      <c r="D135" s="63">
        <f>SUBTOTAL(9,D3:D134)</f>
        <v>1993563</v>
      </c>
      <c r="E135" s="63">
        <f>SUBTOTAL(9,E3:E134)</f>
        <v>2508988</v>
      </c>
      <c r="F135" s="63">
        <f>SUBTOTAL(9,F3:F134)</f>
        <v>2229927</v>
      </c>
      <c r="G135" s="265">
        <f>IF(D135&lt;=0,0,$F135/D135*100)</f>
        <v>111.8563596936741</v>
      </c>
      <c r="H135" s="266">
        <f>IF(E135&lt;=0,0,$F135/E135*100)</f>
        <v>88.87754744143854</v>
      </c>
    </row>
    <row r="136" spans="1:8" ht="12.75">
      <c r="A136" s="267"/>
      <c r="B136" s="268"/>
      <c r="C136" s="267"/>
      <c r="D136" s="269"/>
      <c r="E136" s="269"/>
      <c r="F136" s="269"/>
      <c r="G136" s="270"/>
      <c r="H136" s="270"/>
    </row>
    <row r="137" spans="1:8" ht="12.75">
      <c r="A137" s="267"/>
      <c r="B137" s="268"/>
      <c r="C137" s="267"/>
      <c r="D137" s="269"/>
      <c r="E137" s="269"/>
      <c r="F137" s="269"/>
      <c r="G137" s="270"/>
      <c r="H137" s="270"/>
    </row>
    <row r="138" spans="1:8" ht="12.75">
      <c r="A138" s="267"/>
      <c r="B138" s="268"/>
      <c r="C138" s="267"/>
      <c r="D138" s="269"/>
      <c r="E138" s="269"/>
      <c r="F138" s="269"/>
      <c r="G138" s="270"/>
      <c r="H138" s="270"/>
    </row>
    <row r="139" spans="1:8" ht="12.75">
      <c r="A139" s="267"/>
      <c r="B139" s="268"/>
      <c r="C139" s="267"/>
      <c r="D139" s="269"/>
      <c r="E139" s="269"/>
      <c r="F139" s="269"/>
      <c r="G139" s="270"/>
      <c r="H139" s="270"/>
    </row>
    <row r="140" spans="1:8" ht="12.75">
      <c r="A140" s="267"/>
      <c r="B140" s="268"/>
      <c r="C140" s="267"/>
      <c r="D140" s="269"/>
      <c r="E140" s="269"/>
      <c r="F140" s="269"/>
      <c r="G140" s="270"/>
      <c r="H140" s="270"/>
    </row>
    <row r="141" spans="1:8" ht="12.75">
      <c r="A141" s="267"/>
      <c r="B141" s="268"/>
      <c r="C141" s="267"/>
      <c r="D141" s="269"/>
      <c r="E141" s="269"/>
      <c r="F141" s="269"/>
      <c r="G141" s="270"/>
      <c r="H141" s="270"/>
    </row>
    <row r="142" spans="1:8" ht="12.75">
      <c r="A142" s="267"/>
      <c r="B142" s="268"/>
      <c r="C142" s="267"/>
      <c r="D142" s="269"/>
      <c r="E142" s="269"/>
      <c r="F142" s="269"/>
      <c r="G142" s="270"/>
      <c r="H142" s="270"/>
    </row>
    <row r="143" spans="1:8" ht="12.75">
      <c r="A143" s="267"/>
      <c r="B143" s="268"/>
      <c r="C143" s="267"/>
      <c r="D143" s="269"/>
      <c r="E143" s="269"/>
      <c r="F143" s="269"/>
      <c r="G143" s="270"/>
      <c r="H143" s="270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</sheetData>
  <sheetProtection/>
  <mergeCells count="3">
    <mergeCell ref="A116:C116"/>
    <mergeCell ref="A91:C91"/>
    <mergeCell ref="A122:C122"/>
  </mergeCells>
  <printOptions horizontalCentered="1"/>
  <pageMargins left="0.7086614173228347" right="0.6692913385826772" top="0.984251968503937" bottom="0.6299212598425197" header="0.5118110236220472" footer="0.31496062992125984"/>
  <pageSetup fitToHeight="0" horizontalDpi="600" verticalDpi="600" orientation="portrait" paperSize="9" scale="78" r:id="rId1"/>
  <headerFooter alignWithMargins="0">
    <oddHeader>&amp;C&amp;"Times New Roman,Tučné"&amp;14Čerpání rozpočtu kapitálových výdajů města k 31.12.2013 (v tis. Kč)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9"/>
  <sheetViews>
    <sheetView zoomScaleSheetLayoutView="100" zoomScalePageLayoutView="0" workbookViewId="0" topLeftCell="A1">
      <pane xSplit="10" ySplit="1" topLeftCell="K411" activePane="bottomRight" state="frozen"/>
      <selection pane="topLeft" activeCell="A1" sqref="A1"/>
      <selection pane="topRight" activeCell="K1" sqref="K1"/>
      <selection pane="bottomLeft" activeCell="A3" sqref="A3"/>
      <selection pane="bottomRight" activeCell="H436" sqref="H436"/>
    </sheetView>
  </sheetViews>
  <sheetFormatPr defaultColWidth="9.00390625" defaultRowHeight="12.75"/>
  <cols>
    <col min="1" max="1" width="3.625" style="0" bestFit="1" customWidth="1"/>
    <col min="2" max="2" width="6.00390625" style="0" customWidth="1"/>
    <col min="3" max="3" width="4.875" style="0" customWidth="1"/>
    <col min="4" max="4" width="9.00390625" style="0" bestFit="1" customWidth="1"/>
    <col min="5" max="5" width="5.00390625" style="0" bestFit="1" customWidth="1"/>
    <col min="6" max="6" width="5.125" style="0" bestFit="1" customWidth="1"/>
    <col min="7" max="7" width="69.375" style="0" bestFit="1" customWidth="1"/>
    <col min="8" max="8" width="8.875" style="0" bestFit="1" customWidth="1"/>
    <col min="9" max="9" width="9.00390625" style="0" bestFit="1" customWidth="1"/>
    <col min="10" max="10" width="10.00390625" style="0" customWidth="1"/>
    <col min="11" max="14" width="8.875" style="0" bestFit="1" customWidth="1"/>
    <col min="15" max="15" width="9.875" style="0" bestFit="1" customWidth="1"/>
    <col min="16" max="16" width="7.75390625" style="0" customWidth="1"/>
    <col min="17" max="18" width="8.875" style="0" bestFit="1" customWidth="1"/>
    <col min="19" max="19" width="9.875" style="0" bestFit="1" customWidth="1"/>
    <col min="20" max="20" width="8.00390625" style="0" bestFit="1" customWidth="1"/>
  </cols>
  <sheetData>
    <row r="1" spans="1:20" ht="38.25">
      <c r="A1" s="682" t="s">
        <v>312</v>
      </c>
      <c r="B1" s="683" t="s">
        <v>251</v>
      </c>
      <c r="C1" s="684" t="s">
        <v>0</v>
      </c>
      <c r="D1" s="684" t="s">
        <v>724</v>
      </c>
      <c r="E1" s="684" t="s">
        <v>725</v>
      </c>
      <c r="F1" s="684" t="s">
        <v>726</v>
      </c>
      <c r="G1" s="684" t="s">
        <v>727</v>
      </c>
      <c r="H1" s="685" t="s">
        <v>728</v>
      </c>
      <c r="I1" s="685" t="s">
        <v>729</v>
      </c>
      <c r="J1" s="685" t="s">
        <v>730</v>
      </c>
      <c r="K1" s="685" t="s">
        <v>647</v>
      </c>
      <c r="L1" s="685" t="s">
        <v>731</v>
      </c>
      <c r="M1" s="685" t="s">
        <v>265</v>
      </c>
      <c r="N1" s="685" t="s">
        <v>314</v>
      </c>
      <c r="O1" s="685" t="s">
        <v>307</v>
      </c>
      <c r="P1" s="685" t="s">
        <v>732</v>
      </c>
      <c r="Q1" s="685" t="s">
        <v>733</v>
      </c>
      <c r="R1" s="685" t="s">
        <v>734</v>
      </c>
      <c r="S1" s="684" t="s">
        <v>735</v>
      </c>
      <c r="T1" s="684" t="s">
        <v>736</v>
      </c>
    </row>
    <row r="2" spans="1:20" ht="12.75">
      <c r="A2" s="686">
        <v>1</v>
      </c>
      <c r="B2" s="687">
        <v>8200</v>
      </c>
      <c r="C2" s="688" t="s">
        <v>653</v>
      </c>
      <c r="D2" s="689">
        <v>300800</v>
      </c>
      <c r="E2" s="690"/>
      <c r="F2" s="691"/>
      <c r="G2" s="691" t="s">
        <v>737</v>
      </c>
      <c r="H2" s="689"/>
      <c r="I2" s="692"/>
      <c r="J2" s="693"/>
      <c r="K2" s="693"/>
      <c r="L2" s="694">
        <f>209</f>
        <v>209</v>
      </c>
      <c r="M2" s="693"/>
      <c r="N2" s="693">
        <v>950</v>
      </c>
      <c r="O2" s="693">
        <v>932</v>
      </c>
      <c r="P2" s="695">
        <f>IF(N2&lt;=0," ",O2/N2)</f>
        <v>0.9810526315789474</v>
      </c>
      <c r="Q2" s="696"/>
      <c r="R2" s="696"/>
      <c r="S2" s="697"/>
      <c r="T2" s="689" t="s">
        <v>738</v>
      </c>
    </row>
    <row r="3" spans="1:20" ht="12.75">
      <c r="A3" s="686"/>
      <c r="B3" s="687"/>
      <c r="C3" s="698" t="s">
        <v>739</v>
      </c>
      <c r="D3" s="689"/>
      <c r="E3" s="690"/>
      <c r="F3" s="691"/>
      <c r="G3" s="691"/>
      <c r="H3" s="689"/>
      <c r="I3" s="692"/>
      <c r="J3" s="693">
        <f aca="true" t="shared" si="0" ref="J3:O3">SUBTOTAL(9,J2:J2)</f>
        <v>0</v>
      </c>
      <c r="K3" s="693">
        <f t="shared" si="0"/>
        <v>0</v>
      </c>
      <c r="L3" s="694">
        <f t="shared" si="0"/>
        <v>209</v>
      </c>
      <c r="M3" s="693">
        <f t="shared" si="0"/>
        <v>0</v>
      </c>
      <c r="N3" s="693">
        <f t="shared" si="0"/>
        <v>950</v>
      </c>
      <c r="O3" s="693">
        <f t="shared" si="0"/>
        <v>932</v>
      </c>
      <c r="P3" s="695">
        <f aca="true" t="shared" si="1" ref="P3:P66">IF(N3&lt;=0," ",O3/N3)</f>
        <v>0.9810526315789474</v>
      </c>
      <c r="Q3" s="696">
        <f>SUBTOTAL(9,Q2:Q2)</f>
        <v>0</v>
      </c>
      <c r="R3" s="696">
        <f>SUBTOTAL(9,R2:R2)</f>
        <v>0</v>
      </c>
      <c r="S3" s="697">
        <f>SUBTOTAL(9,S2:S2)</f>
        <v>0</v>
      </c>
      <c r="T3" s="689"/>
    </row>
    <row r="4" spans="1:20" ht="12.75">
      <c r="A4" s="686">
        <f>A2+1</f>
        <v>2</v>
      </c>
      <c r="B4" s="688" t="s">
        <v>299</v>
      </c>
      <c r="C4" s="689" t="s">
        <v>655</v>
      </c>
      <c r="D4" s="689">
        <v>300299</v>
      </c>
      <c r="E4" s="689">
        <v>6349</v>
      </c>
      <c r="F4" s="691"/>
      <c r="G4" s="691" t="s">
        <v>740</v>
      </c>
      <c r="H4" s="689"/>
      <c r="I4" s="689"/>
      <c r="J4" s="693"/>
      <c r="K4" s="693"/>
      <c r="L4" s="694"/>
      <c r="M4" s="693"/>
      <c r="N4" s="693">
        <v>2179</v>
      </c>
      <c r="O4" s="693">
        <v>2179</v>
      </c>
      <c r="P4" s="695">
        <f t="shared" si="1"/>
        <v>1</v>
      </c>
      <c r="Q4" s="696"/>
      <c r="R4" s="696"/>
      <c r="S4" s="697"/>
      <c r="T4" s="689" t="s">
        <v>741</v>
      </c>
    </row>
    <row r="5" spans="1:20" ht="12.75">
      <c r="A5" s="686">
        <f>A4+1</f>
        <v>3</v>
      </c>
      <c r="B5" s="688" t="s">
        <v>742</v>
      </c>
      <c r="C5" s="689" t="s">
        <v>655</v>
      </c>
      <c r="D5" s="689">
        <v>30129125</v>
      </c>
      <c r="E5" s="689">
        <v>6351</v>
      </c>
      <c r="F5" s="691"/>
      <c r="G5" s="691" t="s">
        <v>743</v>
      </c>
      <c r="H5" s="689"/>
      <c r="I5" s="689"/>
      <c r="J5" s="693"/>
      <c r="K5" s="693"/>
      <c r="L5" s="694">
        <f>190</f>
        <v>190</v>
      </c>
      <c r="M5" s="693"/>
      <c r="N5" s="693"/>
      <c r="O5" s="693"/>
      <c r="P5" s="695" t="str">
        <f t="shared" si="1"/>
        <v> </v>
      </c>
      <c r="Q5" s="696">
        <v>1325</v>
      </c>
      <c r="R5" s="696"/>
      <c r="S5" s="697"/>
      <c r="T5" s="689" t="s">
        <v>744</v>
      </c>
    </row>
    <row r="6" spans="1:20" ht="12.75">
      <c r="A6" s="686"/>
      <c r="B6" s="688"/>
      <c r="C6" s="699" t="s">
        <v>745</v>
      </c>
      <c r="D6" s="689"/>
      <c r="E6" s="689"/>
      <c r="F6" s="691"/>
      <c r="G6" s="691"/>
      <c r="H6" s="689"/>
      <c r="I6" s="689"/>
      <c r="J6" s="693">
        <f aca="true" t="shared" si="2" ref="J6:O6">SUBTOTAL(9,J4:J5)</f>
        <v>0</v>
      </c>
      <c r="K6" s="693">
        <f t="shared" si="2"/>
        <v>0</v>
      </c>
      <c r="L6" s="694">
        <f t="shared" si="2"/>
        <v>190</v>
      </c>
      <c r="M6" s="693">
        <f t="shared" si="2"/>
        <v>0</v>
      </c>
      <c r="N6" s="693">
        <f t="shared" si="2"/>
        <v>2179</v>
      </c>
      <c r="O6" s="693">
        <f t="shared" si="2"/>
        <v>2179</v>
      </c>
      <c r="P6" s="695">
        <f t="shared" si="1"/>
        <v>1</v>
      </c>
      <c r="Q6" s="696">
        <f>SUBTOTAL(9,Q4:Q5)</f>
        <v>1325</v>
      </c>
      <c r="R6" s="696">
        <f>SUBTOTAL(9,R4:R5)</f>
        <v>0</v>
      </c>
      <c r="S6" s="697">
        <f>SUBTOTAL(9,S4:S5)</f>
        <v>0</v>
      </c>
      <c r="T6" s="689"/>
    </row>
    <row r="7" spans="1:20" ht="12.75">
      <c r="A7" s="686">
        <f>A5+1</f>
        <v>4</v>
      </c>
      <c r="B7" s="688" t="s">
        <v>300</v>
      </c>
      <c r="C7" s="687" t="s">
        <v>657</v>
      </c>
      <c r="D7" s="689">
        <v>2827</v>
      </c>
      <c r="E7" s="687">
        <v>6121</v>
      </c>
      <c r="F7" s="691"/>
      <c r="G7" s="691" t="s">
        <v>746</v>
      </c>
      <c r="H7" s="689">
        <v>2014</v>
      </c>
      <c r="I7" s="689">
        <v>2014</v>
      </c>
      <c r="J7" s="693">
        <v>5962</v>
      </c>
      <c r="K7" s="693"/>
      <c r="L7" s="694"/>
      <c r="M7" s="693"/>
      <c r="N7" s="693"/>
      <c r="O7" s="693"/>
      <c r="P7" s="695" t="str">
        <f t="shared" si="1"/>
        <v> </v>
      </c>
      <c r="Q7" s="696">
        <v>5962</v>
      </c>
      <c r="R7" s="696"/>
      <c r="S7" s="697"/>
      <c r="T7" s="700" t="s">
        <v>747</v>
      </c>
    </row>
    <row r="8" spans="1:20" ht="12.75">
      <c r="A8" s="686">
        <f aca="true" t="shared" si="3" ref="A8:A48">A7+1</f>
        <v>5</v>
      </c>
      <c r="B8" s="688" t="s">
        <v>300</v>
      </c>
      <c r="C8" s="687" t="s">
        <v>657</v>
      </c>
      <c r="D8" s="689">
        <v>2828</v>
      </c>
      <c r="E8" s="687">
        <v>6121</v>
      </c>
      <c r="F8" s="691"/>
      <c r="G8" s="691" t="s">
        <v>748</v>
      </c>
      <c r="H8" s="689">
        <v>2014</v>
      </c>
      <c r="I8" s="689">
        <v>2015</v>
      </c>
      <c r="J8" s="693">
        <v>9000</v>
      </c>
      <c r="K8" s="693"/>
      <c r="L8" s="694"/>
      <c r="M8" s="693"/>
      <c r="N8" s="693"/>
      <c r="O8" s="693"/>
      <c r="P8" s="695" t="str">
        <f t="shared" si="1"/>
        <v> </v>
      </c>
      <c r="Q8" s="696">
        <v>500</v>
      </c>
      <c r="R8" s="696">
        <v>8500</v>
      </c>
      <c r="S8" s="697"/>
      <c r="T8" s="700" t="s">
        <v>747</v>
      </c>
    </row>
    <row r="9" spans="1:20" ht="12.75">
      <c r="A9" s="686">
        <f t="shared" si="3"/>
        <v>6</v>
      </c>
      <c r="B9" s="688" t="s">
        <v>300</v>
      </c>
      <c r="C9" s="687" t="s">
        <v>657</v>
      </c>
      <c r="D9" s="689">
        <v>2829</v>
      </c>
      <c r="E9" s="687">
        <v>6121</v>
      </c>
      <c r="F9" s="691"/>
      <c r="G9" s="691" t="s">
        <v>749</v>
      </c>
      <c r="H9" s="689">
        <v>2014</v>
      </c>
      <c r="I9" s="689">
        <v>2015</v>
      </c>
      <c r="J9" s="693">
        <v>5064</v>
      </c>
      <c r="K9" s="693">
        <v>324</v>
      </c>
      <c r="L9" s="694"/>
      <c r="M9" s="693"/>
      <c r="N9" s="693"/>
      <c r="O9" s="693"/>
      <c r="P9" s="695" t="str">
        <f t="shared" si="1"/>
        <v> </v>
      </c>
      <c r="Q9" s="696">
        <v>300</v>
      </c>
      <c r="R9" s="696">
        <v>4764</v>
      </c>
      <c r="S9" s="697"/>
      <c r="T9" s="700" t="s">
        <v>747</v>
      </c>
    </row>
    <row r="10" spans="1:20" ht="12.75">
      <c r="A10" s="686">
        <f t="shared" si="3"/>
        <v>7</v>
      </c>
      <c r="B10" s="688" t="s">
        <v>300</v>
      </c>
      <c r="C10" s="687" t="s">
        <v>657</v>
      </c>
      <c r="D10" s="689">
        <v>2830</v>
      </c>
      <c r="E10" s="687">
        <v>6121</v>
      </c>
      <c r="F10" s="691"/>
      <c r="G10" s="691" t="s">
        <v>750</v>
      </c>
      <c r="H10" s="689">
        <v>2014</v>
      </c>
      <c r="I10" s="689">
        <v>2015</v>
      </c>
      <c r="J10" s="693">
        <v>2650</v>
      </c>
      <c r="K10" s="693"/>
      <c r="L10" s="694"/>
      <c r="M10" s="693"/>
      <c r="N10" s="693"/>
      <c r="O10" s="693"/>
      <c r="P10" s="695" t="str">
        <f t="shared" si="1"/>
        <v> </v>
      </c>
      <c r="Q10" s="696">
        <v>1500</v>
      </c>
      <c r="R10" s="696">
        <v>1150</v>
      </c>
      <c r="S10" s="697"/>
      <c r="T10" s="700" t="s">
        <v>747</v>
      </c>
    </row>
    <row r="11" spans="1:20" ht="12.75">
      <c r="A11" s="686">
        <f t="shared" si="3"/>
        <v>8</v>
      </c>
      <c r="B11" s="688" t="s">
        <v>300</v>
      </c>
      <c r="C11" s="687" t="s">
        <v>657</v>
      </c>
      <c r="D11" s="689">
        <v>2831</v>
      </c>
      <c r="E11" s="687">
        <v>6121</v>
      </c>
      <c r="F11" s="691"/>
      <c r="G11" s="691" t="s">
        <v>751</v>
      </c>
      <c r="H11" s="689">
        <v>2014</v>
      </c>
      <c r="I11" s="689">
        <v>2015</v>
      </c>
      <c r="J11" s="693">
        <v>169835</v>
      </c>
      <c r="K11" s="693"/>
      <c r="L11" s="694"/>
      <c r="M11" s="693"/>
      <c r="N11" s="693"/>
      <c r="O11" s="693"/>
      <c r="P11" s="695" t="str">
        <f t="shared" si="1"/>
        <v> </v>
      </c>
      <c r="Q11" s="696">
        <v>3000</v>
      </c>
      <c r="R11" s="696">
        <v>66835</v>
      </c>
      <c r="S11" s="697">
        <v>100000</v>
      </c>
      <c r="T11" s="700" t="s">
        <v>747</v>
      </c>
    </row>
    <row r="12" spans="1:20" ht="12.75">
      <c r="A12" s="686">
        <f t="shared" si="3"/>
        <v>9</v>
      </c>
      <c r="B12" s="688" t="s">
        <v>300</v>
      </c>
      <c r="C12" s="687" t="s">
        <v>657</v>
      </c>
      <c r="D12" s="689">
        <v>2832</v>
      </c>
      <c r="E12" s="687">
        <v>6121</v>
      </c>
      <c r="F12" s="691"/>
      <c r="G12" s="691" t="s">
        <v>752</v>
      </c>
      <c r="H12" s="689">
        <v>2014</v>
      </c>
      <c r="I12" s="689">
        <v>2016</v>
      </c>
      <c r="J12" s="693">
        <v>115000</v>
      </c>
      <c r="K12" s="693"/>
      <c r="L12" s="694"/>
      <c r="M12" s="693"/>
      <c r="N12" s="693"/>
      <c r="O12" s="693"/>
      <c r="P12" s="695" t="str">
        <f t="shared" si="1"/>
        <v> </v>
      </c>
      <c r="Q12" s="696">
        <v>2500</v>
      </c>
      <c r="R12" s="696">
        <v>60000</v>
      </c>
      <c r="S12" s="697">
        <v>52500</v>
      </c>
      <c r="T12" s="700" t="s">
        <v>747</v>
      </c>
    </row>
    <row r="13" spans="1:20" ht="12.75">
      <c r="A13" s="686">
        <f t="shared" si="3"/>
        <v>10</v>
      </c>
      <c r="B13" s="688" t="s">
        <v>300</v>
      </c>
      <c r="C13" s="687" t="s">
        <v>657</v>
      </c>
      <c r="D13" s="689">
        <v>2833</v>
      </c>
      <c r="E13" s="687">
        <v>6121</v>
      </c>
      <c r="F13" s="691"/>
      <c r="G13" s="691" t="s">
        <v>753</v>
      </c>
      <c r="H13" s="689">
        <v>2014</v>
      </c>
      <c r="I13" s="689">
        <v>2016</v>
      </c>
      <c r="J13" s="693">
        <v>16300</v>
      </c>
      <c r="K13" s="693"/>
      <c r="L13" s="694"/>
      <c r="M13" s="693"/>
      <c r="N13" s="693"/>
      <c r="O13" s="693"/>
      <c r="P13" s="695" t="str">
        <f t="shared" si="1"/>
        <v> </v>
      </c>
      <c r="Q13" s="696">
        <v>650</v>
      </c>
      <c r="R13" s="696">
        <v>12000</v>
      </c>
      <c r="S13" s="697">
        <v>3650</v>
      </c>
      <c r="T13" s="700" t="s">
        <v>747</v>
      </c>
    </row>
    <row r="14" spans="1:20" ht="12.75">
      <c r="A14" s="686">
        <f t="shared" si="3"/>
        <v>11</v>
      </c>
      <c r="B14" s="688" t="s">
        <v>300</v>
      </c>
      <c r="C14" s="687" t="s">
        <v>657</v>
      </c>
      <c r="D14" s="689">
        <v>2834</v>
      </c>
      <c r="E14" s="687">
        <v>6121</v>
      </c>
      <c r="F14" s="691"/>
      <c r="G14" s="691" t="s">
        <v>754</v>
      </c>
      <c r="H14" s="689">
        <v>2014</v>
      </c>
      <c r="I14" s="689">
        <v>2017</v>
      </c>
      <c r="J14" s="693">
        <v>277000</v>
      </c>
      <c r="K14" s="693">
        <v>97000</v>
      </c>
      <c r="L14" s="694"/>
      <c r="M14" s="693"/>
      <c r="N14" s="693"/>
      <c r="O14" s="693"/>
      <c r="P14" s="695" t="str">
        <f t="shared" si="1"/>
        <v> </v>
      </c>
      <c r="Q14" s="696">
        <v>4000</v>
      </c>
      <c r="R14" s="696">
        <v>13000</v>
      </c>
      <c r="S14" s="697">
        <f>85000+175000</f>
        <v>260000</v>
      </c>
      <c r="T14" s="700" t="s">
        <v>747</v>
      </c>
    </row>
    <row r="15" spans="1:20" ht="12.75">
      <c r="A15" s="686">
        <f t="shared" si="3"/>
        <v>12</v>
      </c>
      <c r="B15" s="688" t="s">
        <v>300</v>
      </c>
      <c r="C15" s="687" t="s">
        <v>657</v>
      </c>
      <c r="D15" s="689">
        <v>2835</v>
      </c>
      <c r="E15" s="687">
        <v>6121</v>
      </c>
      <c r="F15" s="691"/>
      <c r="G15" s="691" t="s">
        <v>755</v>
      </c>
      <c r="H15" s="689">
        <v>2014</v>
      </c>
      <c r="I15" s="689">
        <v>2017</v>
      </c>
      <c r="J15" s="693">
        <v>177600</v>
      </c>
      <c r="K15" s="693">
        <v>75000</v>
      </c>
      <c r="L15" s="694"/>
      <c r="M15" s="693"/>
      <c r="N15" s="693"/>
      <c r="O15" s="693"/>
      <c r="P15" s="695" t="str">
        <f t="shared" si="1"/>
        <v> </v>
      </c>
      <c r="Q15" s="696">
        <v>2500</v>
      </c>
      <c r="R15" s="696">
        <v>13600</v>
      </c>
      <c r="S15" s="697">
        <f>83800+77700</f>
        <v>161500</v>
      </c>
      <c r="T15" s="700" t="s">
        <v>747</v>
      </c>
    </row>
    <row r="16" spans="1:20" ht="12.75">
      <c r="A16" s="686">
        <f t="shared" si="3"/>
        <v>13</v>
      </c>
      <c r="B16" s="688" t="s">
        <v>300</v>
      </c>
      <c r="C16" s="687" t="s">
        <v>657</v>
      </c>
      <c r="D16" s="689">
        <v>2836</v>
      </c>
      <c r="E16" s="687">
        <v>6121</v>
      </c>
      <c r="F16" s="691"/>
      <c r="G16" s="691" t="s">
        <v>756</v>
      </c>
      <c r="H16" s="689">
        <v>2014</v>
      </c>
      <c r="I16" s="689">
        <v>2019</v>
      </c>
      <c r="J16" s="693">
        <v>454000</v>
      </c>
      <c r="K16" s="693"/>
      <c r="L16" s="694"/>
      <c r="M16" s="693"/>
      <c r="N16" s="693"/>
      <c r="O16" s="693"/>
      <c r="P16" s="695" t="str">
        <f t="shared" si="1"/>
        <v> </v>
      </c>
      <c r="Q16" s="696">
        <v>250</v>
      </c>
      <c r="R16" s="696">
        <v>3000</v>
      </c>
      <c r="S16" s="697">
        <f>12000+438750</f>
        <v>450750</v>
      </c>
      <c r="T16" s="700" t="s">
        <v>747</v>
      </c>
    </row>
    <row r="17" spans="1:20" ht="12.75">
      <c r="A17" s="686">
        <f t="shared" si="3"/>
        <v>14</v>
      </c>
      <c r="B17" s="688" t="s">
        <v>300</v>
      </c>
      <c r="C17" s="687" t="s">
        <v>657</v>
      </c>
      <c r="D17" s="689">
        <v>2837</v>
      </c>
      <c r="E17" s="687">
        <v>6121</v>
      </c>
      <c r="F17" s="691"/>
      <c r="G17" s="691" t="s">
        <v>757</v>
      </c>
      <c r="H17" s="689">
        <v>2014</v>
      </c>
      <c r="I17" s="689">
        <v>2018</v>
      </c>
      <c r="J17" s="693">
        <v>589200</v>
      </c>
      <c r="K17" s="693"/>
      <c r="L17" s="694"/>
      <c r="M17" s="693"/>
      <c r="N17" s="693"/>
      <c r="O17" s="693"/>
      <c r="P17" s="695" t="str">
        <f t="shared" si="1"/>
        <v> </v>
      </c>
      <c r="Q17" s="696">
        <v>7500</v>
      </c>
      <c r="R17" s="696">
        <v>57500</v>
      </c>
      <c r="S17" s="697">
        <f>88000+436200</f>
        <v>524200</v>
      </c>
      <c r="T17" s="700" t="s">
        <v>747</v>
      </c>
    </row>
    <row r="18" spans="1:20" ht="12.75">
      <c r="A18" s="686">
        <f t="shared" si="3"/>
        <v>15</v>
      </c>
      <c r="B18" s="688" t="s">
        <v>300</v>
      </c>
      <c r="C18" s="687" t="s">
        <v>657</v>
      </c>
      <c r="D18" s="689">
        <v>2838</v>
      </c>
      <c r="E18" s="687">
        <v>6121</v>
      </c>
      <c r="F18" s="691"/>
      <c r="G18" s="691" t="s">
        <v>758</v>
      </c>
      <c r="H18" s="689">
        <v>2014</v>
      </c>
      <c r="I18" s="689">
        <v>2024</v>
      </c>
      <c r="J18" s="693">
        <v>1000000</v>
      </c>
      <c r="K18" s="693"/>
      <c r="L18" s="694"/>
      <c r="M18" s="693"/>
      <c r="N18" s="693"/>
      <c r="O18" s="693"/>
      <c r="P18" s="695" t="str">
        <f t="shared" si="1"/>
        <v> </v>
      </c>
      <c r="Q18" s="696">
        <v>7000</v>
      </c>
      <c r="R18" s="696">
        <v>10000</v>
      </c>
      <c r="S18" s="697">
        <f>20000+963000</f>
        <v>983000</v>
      </c>
      <c r="T18" s="700" t="s">
        <v>747</v>
      </c>
    </row>
    <row r="19" spans="1:20" ht="12.75">
      <c r="A19" s="686">
        <f t="shared" si="3"/>
        <v>16</v>
      </c>
      <c r="B19" s="688" t="s">
        <v>300</v>
      </c>
      <c r="C19" s="687" t="s">
        <v>657</v>
      </c>
      <c r="D19" s="689">
        <v>2839</v>
      </c>
      <c r="E19" s="687">
        <v>6121</v>
      </c>
      <c r="F19" s="691"/>
      <c r="G19" s="691" t="s">
        <v>759</v>
      </c>
      <c r="H19" s="689">
        <v>2014</v>
      </c>
      <c r="I19" s="689">
        <v>2015</v>
      </c>
      <c r="J19" s="693">
        <v>7000</v>
      </c>
      <c r="K19" s="693"/>
      <c r="L19" s="694"/>
      <c r="M19" s="693"/>
      <c r="N19" s="693"/>
      <c r="O19" s="693"/>
      <c r="P19" s="695" t="str">
        <f t="shared" si="1"/>
        <v> </v>
      </c>
      <c r="Q19" s="696">
        <v>400</v>
      </c>
      <c r="R19" s="696">
        <v>6600</v>
      </c>
      <c r="S19" s="697"/>
      <c r="T19" s="700" t="s">
        <v>747</v>
      </c>
    </row>
    <row r="20" spans="1:20" ht="12.75">
      <c r="A20" s="686">
        <f t="shared" si="3"/>
        <v>17</v>
      </c>
      <c r="B20" s="688" t="s">
        <v>300</v>
      </c>
      <c r="C20" s="687" t="s">
        <v>657</v>
      </c>
      <c r="D20" s="689">
        <v>2840</v>
      </c>
      <c r="E20" s="687">
        <v>6121</v>
      </c>
      <c r="F20" s="691"/>
      <c r="G20" s="691" t="s">
        <v>760</v>
      </c>
      <c r="H20" s="689">
        <v>2014</v>
      </c>
      <c r="I20" s="689">
        <v>2019</v>
      </c>
      <c r="J20" s="693">
        <v>39420</v>
      </c>
      <c r="K20" s="693"/>
      <c r="L20" s="694"/>
      <c r="M20" s="693"/>
      <c r="N20" s="693"/>
      <c r="O20" s="693"/>
      <c r="P20" s="695" t="str">
        <f t="shared" si="1"/>
        <v> </v>
      </c>
      <c r="Q20" s="696">
        <v>1200</v>
      </c>
      <c r="R20" s="696">
        <v>38220</v>
      </c>
      <c r="S20" s="697"/>
      <c r="T20" s="700" t="s">
        <v>747</v>
      </c>
    </row>
    <row r="21" spans="1:20" ht="12.75">
      <c r="A21" s="686">
        <f t="shared" si="3"/>
        <v>18</v>
      </c>
      <c r="B21" s="688" t="s">
        <v>300</v>
      </c>
      <c r="C21" s="687" t="s">
        <v>657</v>
      </c>
      <c r="D21" s="689">
        <v>2853</v>
      </c>
      <c r="E21" s="687">
        <v>6121</v>
      </c>
      <c r="F21" s="691"/>
      <c r="G21" s="691" t="s">
        <v>761</v>
      </c>
      <c r="H21" s="689">
        <v>2013</v>
      </c>
      <c r="I21" s="689">
        <v>2015</v>
      </c>
      <c r="J21" s="693">
        <v>3000</v>
      </c>
      <c r="K21" s="693"/>
      <c r="L21" s="694"/>
      <c r="M21" s="693"/>
      <c r="N21" s="693">
        <v>3000</v>
      </c>
      <c r="O21" s="693"/>
      <c r="P21" s="695">
        <f t="shared" si="1"/>
        <v>0</v>
      </c>
      <c r="Q21" s="696">
        <v>3000</v>
      </c>
      <c r="R21" s="696"/>
      <c r="S21" s="697"/>
      <c r="T21" s="689" t="s">
        <v>747</v>
      </c>
    </row>
    <row r="22" spans="1:20" ht="12.75">
      <c r="A22" s="686">
        <f t="shared" si="3"/>
        <v>19</v>
      </c>
      <c r="B22" s="688" t="s">
        <v>300</v>
      </c>
      <c r="C22" s="687" t="s">
        <v>657</v>
      </c>
      <c r="D22" s="689">
        <v>2877</v>
      </c>
      <c r="E22" s="689">
        <v>6121</v>
      </c>
      <c r="F22" s="691"/>
      <c r="G22" s="691" t="s">
        <v>762</v>
      </c>
      <c r="H22" s="689">
        <v>2013</v>
      </c>
      <c r="I22" s="689">
        <v>2013</v>
      </c>
      <c r="J22" s="693">
        <v>3340</v>
      </c>
      <c r="K22" s="693"/>
      <c r="L22" s="694"/>
      <c r="M22" s="693"/>
      <c r="N22" s="693">
        <v>140</v>
      </c>
      <c r="O22" s="693"/>
      <c r="P22" s="695">
        <f t="shared" si="1"/>
        <v>0</v>
      </c>
      <c r="Q22" s="696">
        <v>3200</v>
      </c>
      <c r="R22" s="696"/>
      <c r="S22" s="697"/>
      <c r="T22" s="689" t="s">
        <v>747</v>
      </c>
    </row>
    <row r="23" spans="1:20" ht="12.75">
      <c r="A23" s="686">
        <f t="shared" si="3"/>
        <v>20</v>
      </c>
      <c r="B23" s="688" t="s">
        <v>300</v>
      </c>
      <c r="C23" s="687" t="s">
        <v>657</v>
      </c>
      <c r="D23" s="689">
        <v>2883</v>
      </c>
      <c r="E23" s="689">
        <v>6121</v>
      </c>
      <c r="F23" s="691"/>
      <c r="G23" s="691" t="s">
        <v>763</v>
      </c>
      <c r="H23" s="689">
        <v>2013</v>
      </c>
      <c r="I23" s="689">
        <v>2014</v>
      </c>
      <c r="J23" s="693">
        <v>27000</v>
      </c>
      <c r="K23" s="693"/>
      <c r="L23" s="694"/>
      <c r="M23" s="693"/>
      <c r="N23" s="693">
        <v>7000</v>
      </c>
      <c r="O23" s="693">
        <v>6893</v>
      </c>
      <c r="P23" s="695">
        <f t="shared" si="1"/>
        <v>0.9847142857142858</v>
      </c>
      <c r="Q23" s="696">
        <v>20000</v>
      </c>
      <c r="R23" s="696"/>
      <c r="S23" s="697"/>
      <c r="T23" s="689" t="s">
        <v>747</v>
      </c>
    </row>
    <row r="24" spans="1:20" ht="12.75">
      <c r="A24" s="686">
        <f t="shared" si="3"/>
        <v>21</v>
      </c>
      <c r="B24" s="688" t="s">
        <v>299</v>
      </c>
      <c r="C24" s="687" t="s">
        <v>657</v>
      </c>
      <c r="D24" s="689">
        <v>2885</v>
      </c>
      <c r="E24" s="689">
        <v>6121</v>
      </c>
      <c r="F24" s="691"/>
      <c r="G24" s="691" t="s">
        <v>764</v>
      </c>
      <c r="H24" s="689"/>
      <c r="I24" s="689"/>
      <c r="J24" s="693"/>
      <c r="K24" s="693"/>
      <c r="L24" s="694"/>
      <c r="M24" s="693">
        <v>14000</v>
      </c>
      <c r="N24" s="693">
        <v>10000</v>
      </c>
      <c r="O24" s="693">
        <v>9668</v>
      </c>
      <c r="P24" s="695">
        <f t="shared" si="1"/>
        <v>0.9668</v>
      </c>
      <c r="Q24" s="696">
        <v>14000</v>
      </c>
      <c r="R24" s="696"/>
      <c r="S24" s="697"/>
      <c r="T24" s="689" t="s">
        <v>741</v>
      </c>
    </row>
    <row r="25" spans="1:20" ht="12.75">
      <c r="A25" s="686">
        <f t="shared" si="3"/>
        <v>22</v>
      </c>
      <c r="B25" s="701" t="s">
        <v>299</v>
      </c>
      <c r="C25" s="687" t="s">
        <v>657</v>
      </c>
      <c r="D25" s="687">
        <v>2887</v>
      </c>
      <c r="E25" s="687">
        <v>6122</v>
      </c>
      <c r="F25" s="702"/>
      <c r="G25" s="700" t="s">
        <v>765</v>
      </c>
      <c r="H25" s="687">
        <v>2013</v>
      </c>
      <c r="I25" s="687">
        <v>2014</v>
      </c>
      <c r="J25" s="703">
        <v>650</v>
      </c>
      <c r="K25" s="703"/>
      <c r="L25" s="703"/>
      <c r="M25" s="703">
        <v>650</v>
      </c>
      <c r="N25" s="703">
        <v>650</v>
      </c>
      <c r="O25" s="703"/>
      <c r="P25" s="695">
        <f t="shared" si="1"/>
        <v>0</v>
      </c>
      <c r="Q25" s="704"/>
      <c r="R25" s="704"/>
      <c r="S25" s="704"/>
      <c r="T25" s="700" t="s">
        <v>741</v>
      </c>
    </row>
    <row r="26" spans="1:20" ht="12.75">
      <c r="A26" s="686">
        <f t="shared" si="3"/>
        <v>23</v>
      </c>
      <c r="B26" s="688" t="s">
        <v>300</v>
      </c>
      <c r="C26" s="687" t="s">
        <v>657</v>
      </c>
      <c r="D26" s="689">
        <v>2903</v>
      </c>
      <c r="E26" s="689">
        <v>6121</v>
      </c>
      <c r="F26" s="691"/>
      <c r="G26" s="691" t="s">
        <v>766</v>
      </c>
      <c r="H26" s="689">
        <v>2012</v>
      </c>
      <c r="I26" s="689">
        <v>2015</v>
      </c>
      <c r="J26" s="693">
        <v>68500</v>
      </c>
      <c r="K26" s="693"/>
      <c r="L26" s="694"/>
      <c r="M26" s="693">
        <v>6000</v>
      </c>
      <c r="N26" s="693">
        <v>200</v>
      </c>
      <c r="O26" s="693">
        <v>111</v>
      </c>
      <c r="P26" s="695">
        <f t="shared" si="1"/>
        <v>0.555</v>
      </c>
      <c r="Q26" s="696">
        <v>10000</v>
      </c>
      <c r="R26" s="696">
        <v>58300</v>
      </c>
      <c r="S26" s="697"/>
      <c r="T26" s="689" t="s">
        <v>747</v>
      </c>
    </row>
    <row r="27" spans="1:20" ht="12.75">
      <c r="A27" s="686">
        <f t="shared" si="3"/>
        <v>24</v>
      </c>
      <c r="B27" s="688" t="s">
        <v>300</v>
      </c>
      <c r="C27" s="687" t="s">
        <v>657</v>
      </c>
      <c r="D27" s="689">
        <v>2908</v>
      </c>
      <c r="E27" s="689">
        <v>6121</v>
      </c>
      <c r="F27" s="691"/>
      <c r="G27" s="691" t="s">
        <v>767</v>
      </c>
      <c r="H27" s="687">
        <v>2012</v>
      </c>
      <c r="I27" s="687">
        <v>2013</v>
      </c>
      <c r="J27" s="703">
        <v>3025</v>
      </c>
      <c r="K27" s="693"/>
      <c r="L27" s="694">
        <f>2754</f>
        <v>2754</v>
      </c>
      <c r="M27" s="693"/>
      <c r="N27" s="693"/>
      <c r="O27" s="693"/>
      <c r="P27" s="695" t="str">
        <f t="shared" si="1"/>
        <v> </v>
      </c>
      <c r="Q27" s="696"/>
      <c r="R27" s="696"/>
      <c r="S27" s="697"/>
      <c r="T27" s="689" t="s">
        <v>747</v>
      </c>
    </row>
    <row r="28" spans="1:20" ht="12.75">
      <c r="A28" s="686">
        <f t="shared" si="3"/>
        <v>25</v>
      </c>
      <c r="B28" s="688" t="s">
        <v>300</v>
      </c>
      <c r="C28" s="687" t="s">
        <v>657</v>
      </c>
      <c r="D28" s="689">
        <v>2909</v>
      </c>
      <c r="E28" s="689">
        <v>6121</v>
      </c>
      <c r="F28" s="691"/>
      <c r="G28" s="691" t="s">
        <v>768</v>
      </c>
      <c r="H28" s="689">
        <v>2012</v>
      </c>
      <c r="I28" s="689">
        <v>2013</v>
      </c>
      <c r="J28" s="693">
        <v>275</v>
      </c>
      <c r="K28" s="693"/>
      <c r="L28" s="694">
        <f>30</f>
        <v>30</v>
      </c>
      <c r="M28" s="693">
        <v>245</v>
      </c>
      <c r="N28" s="693">
        <v>245</v>
      </c>
      <c r="O28" s="693"/>
      <c r="P28" s="695">
        <f t="shared" si="1"/>
        <v>0</v>
      </c>
      <c r="Q28" s="696"/>
      <c r="R28" s="696"/>
      <c r="S28" s="697"/>
      <c r="T28" s="689" t="s">
        <v>747</v>
      </c>
    </row>
    <row r="29" spans="1:20" ht="12.75">
      <c r="A29" s="686">
        <f t="shared" si="3"/>
        <v>26</v>
      </c>
      <c r="B29" s="705">
        <v>5600</v>
      </c>
      <c r="C29" s="687" t="s">
        <v>657</v>
      </c>
      <c r="D29" s="687">
        <v>2930</v>
      </c>
      <c r="E29" s="687">
        <v>6121</v>
      </c>
      <c r="F29" s="700"/>
      <c r="G29" s="700" t="s">
        <v>769</v>
      </c>
      <c r="H29" s="687">
        <v>2012</v>
      </c>
      <c r="I29" s="687">
        <v>2015</v>
      </c>
      <c r="J29" s="703">
        <v>75200</v>
      </c>
      <c r="K29" s="703"/>
      <c r="L29" s="706"/>
      <c r="M29" s="703">
        <v>5000</v>
      </c>
      <c r="N29" s="703">
        <v>1000</v>
      </c>
      <c r="O29" s="703">
        <v>5</v>
      </c>
      <c r="P29" s="695">
        <f t="shared" si="1"/>
        <v>0.005</v>
      </c>
      <c r="Q29" s="704">
        <v>10000</v>
      </c>
      <c r="R29" s="704">
        <v>64200</v>
      </c>
      <c r="S29" s="704"/>
      <c r="T29" s="700" t="s">
        <v>747</v>
      </c>
    </row>
    <row r="30" spans="1:20" ht="12.75">
      <c r="A30" s="686">
        <f t="shared" si="3"/>
        <v>27</v>
      </c>
      <c r="B30" s="705">
        <v>5600</v>
      </c>
      <c r="C30" s="687" t="s">
        <v>657</v>
      </c>
      <c r="D30" s="687">
        <v>2931</v>
      </c>
      <c r="E30" s="687">
        <v>6121</v>
      </c>
      <c r="F30" s="700"/>
      <c r="G30" s="700" t="s">
        <v>770</v>
      </c>
      <c r="H30" s="687">
        <v>2012</v>
      </c>
      <c r="I30" s="687">
        <v>2015</v>
      </c>
      <c r="J30" s="703">
        <v>91670</v>
      </c>
      <c r="K30" s="703"/>
      <c r="L30" s="706"/>
      <c r="M30" s="703">
        <v>5000</v>
      </c>
      <c r="N30" s="703">
        <v>1000</v>
      </c>
      <c r="O30" s="703">
        <v>5</v>
      </c>
      <c r="P30" s="695">
        <f t="shared" si="1"/>
        <v>0.005</v>
      </c>
      <c r="Q30" s="704">
        <v>10000</v>
      </c>
      <c r="R30" s="704">
        <v>80670</v>
      </c>
      <c r="S30" s="704"/>
      <c r="T30" s="700" t="s">
        <v>747</v>
      </c>
    </row>
    <row r="31" spans="1:20" ht="12.75">
      <c r="A31" s="686">
        <f t="shared" si="3"/>
        <v>28</v>
      </c>
      <c r="B31" s="701" t="s">
        <v>300</v>
      </c>
      <c r="C31" s="687" t="s">
        <v>657</v>
      </c>
      <c r="D31" s="687">
        <v>2963</v>
      </c>
      <c r="E31" s="687">
        <v>6121</v>
      </c>
      <c r="F31" s="700"/>
      <c r="G31" s="700" t="s">
        <v>771</v>
      </c>
      <c r="H31" s="707">
        <v>2011</v>
      </c>
      <c r="I31" s="687">
        <v>2014</v>
      </c>
      <c r="J31" s="703">
        <v>15650</v>
      </c>
      <c r="K31" s="703"/>
      <c r="L31" s="703">
        <f>799</f>
        <v>799</v>
      </c>
      <c r="M31" s="703">
        <v>11000</v>
      </c>
      <c r="N31" s="703">
        <v>6500</v>
      </c>
      <c r="O31" s="703">
        <v>6227</v>
      </c>
      <c r="P31" s="695">
        <f t="shared" si="1"/>
        <v>0.958</v>
      </c>
      <c r="Q31" s="704"/>
      <c r="R31" s="704"/>
      <c r="S31" s="704"/>
      <c r="T31" s="700" t="s">
        <v>747</v>
      </c>
    </row>
    <row r="32" spans="1:20" ht="12.75">
      <c r="A32" s="686">
        <f t="shared" si="3"/>
        <v>29</v>
      </c>
      <c r="B32" s="701" t="s">
        <v>300</v>
      </c>
      <c r="C32" s="687" t="s">
        <v>657</v>
      </c>
      <c r="D32" s="687">
        <v>3094</v>
      </c>
      <c r="E32" s="687">
        <v>6121</v>
      </c>
      <c r="F32" s="700"/>
      <c r="G32" s="700" t="s">
        <v>772</v>
      </c>
      <c r="H32" s="707">
        <v>2009</v>
      </c>
      <c r="I32" s="687">
        <v>2014</v>
      </c>
      <c r="J32" s="703">
        <v>96000</v>
      </c>
      <c r="K32" s="703"/>
      <c r="L32" s="703">
        <f>610+28986</f>
        <v>29596</v>
      </c>
      <c r="M32" s="703">
        <v>20300</v>
      </c>
      <c r="N32" s="703">
        <v>14300</v>
      </c>
      <c r="O32" s="703">
        <v>13623</v>
      </c>
      <c r="P32" s="695">
        <f t="shared" si="1"/>
        <v>0.9526573426573427</v>
      </c>
      <c r="Q32" s="704">
        <v>1000</v>
      </c>
      <c r="R32" s="704"/>
      <c r="S32" s="704"/>
      <c r="T32" s="700" t="s">
        <v>747</v>
      </c>
    </row>
    <row r="33" spans="1:20" ht="12.75">
      <c r="A33" s="686">
        <f t="shared" si="3"/>
        <v>30</v>
      </c>
      <c r="B33" s="701" t="s">
        <v>300</v>
      </c>
      <c r="C33" s="687" t="s">
        <v>657</v>
      </c>
      <c r="D33" s="687">
        <v>3153</v>
      </c>
      <c r="E33" s="687">
        <v>6121</v>
      </c>
      <c r="F33" s="700"/>
      <c r="G33" s="700" t="s">
        <v>773</v>
      </c>
      <c r="H33" s="707">
        <v>2007</v>
      </c>
      <c r="I33" s="687">
        <v>2014</v>
      </c>
      <c r="J33" s="703">
        <v>371860</v>
      </c>
      <c r="K33" s="703"/>
      <c r="L33" s="703">
        <f>25165+14+5484</f>
        <v>30663</v>
      </c>
      <c r="M33" s="703">
        <v>72000</v>
      </c>
      <c r="N33" s="703">
        <v>41220</v>
      </c>
      <c r="O33" s="703">
        <v>40865</v>
      </c>
      <c r="P33" s="695">
        <f t="shared" si="1"/>
        <v>0.9913876758854925</v>
      </c>
      <c r="Q33" s="704">
        <v>20807</v>
      </c>
      <c r="R33" s="704">
        <v>95000</v>
      </c>
      <c r="S33" s="704"/>
      <c r="T33" s="700" t="s">
        <v>747</v>
      </c>
    </row>
    <row r="34" spans="1:20" ht="12.75">
      <c r="A34" s="686">
        <f t="shared" si="3"/>
        <v>31</v>
      </c>
      <c r="B34" s="701" t="s">
        <v>300</v>
      </c>
      <c r="C34" s="687" t="s">
        <v>657</v>
      </c>
      <c r="D34" s="687">
        <v>3227</v>
      </c>
      <c r="E34" s="687">
        <v>6121</v>
      </c>
      <c r="F34" s="700"/>
      <c r="G34" s="700" t="s">
        <v>774</v>
      </c>
      <c r="H34" s="707">
        <v>2006</v>
      </c>
      <c r="I34" s="687">
        <v>2015</v>
      </c>
      <c r="J34" s="703">
        <v>4200</v>
      </c>
      <c r="K34" s="703"/>
      <c r="L34" s="703">
        <v>228</v>
      </c>
      <c r="M34" s="703"/>
      <c r="N34" s="703"/>
      <c r="O34" s="703"/>
      <c r="P34" s="695" t="str">
        <f t="shared" si="1"/>
        <v> </v>
      </c>
      <c r="Q34" s="704"/>
      <c r="R34" s="704">
        <v>3972</v>
      </c>
      <c r="S34" s="704"/>
      <c r="T34" s="700" t="s">
        <v>747</v>
      </c>
    </row>
    <row r="35" spans="1:20" ht="12.75">
      <c r="A35" s="686">
        <f t="shared" si="3"/>
        <v>32</v>
      </c>
      <c r="B35" s="701" t="s">
        <v>300</v>
      </c>
      <c r="C35" s="687" t="s">
        <v>657</v>
      </c>
      <c r="D35" s="687">
        <v>3228</v>
      </c>
      <c r="E35" s="687">
        <v>6121</v>
      </c>
      <c r="F35" s="700"/>
      <c r="G35" s="700" t="s">
        <v>775</v>
      </c>
      <c r="H35" s="707">
        <v>2006</v>
      </c>
      <c r="I35" s="687">
        <v>2015</v>
      </c>
      <c r="J35" s="703">
        <v>3000</v>
      </c>
      <c r="K35" s="703"/>
      <c r="L35" s="703">
        <v>115</v>
      </c>
      <c r="M35" s="703"/>
      <c r="N35" s="703"/>
      <c r="O35" s="703"/>
      <c r="P35" s="695" t="str">
        <f t="shared" si="1"/>
        <v> </v>
      </c>
      <c r="Q35" s="704"/>
      <c r="R35" s="704">
        <v>2885</v>
      </c>
      <c r="S35" s="704"/>
      <c r="T35" s="700" t="s">
        <v>747</v>
      </c>
    </row>
    <row r="36" spans="1:20" ht="12.75">
      <c r="A36" s="686">
        <f t="shared" si="3"/>
        <v>33</v>
      </c>
      <c r="B36" s="701" t="s">
        <v>300</v>
      </c>
      <c r="C36" s="687" t="s">
        <v>657</v>
      </c>
      <c r="D36" s="687">
        <v>3348</v>
      </c>
      <c r="E36" s="687">
        <v>6121</v>
      </c>
      <c r="F36" s="700"/>
      <c r="G36" s="700" t="s">
        <v>776</v>
      </c>
      <c r="H36" s="707">
        <v>2010</v>
      </c>
      <c r="I36" s="707">
        <v>2015</v>
      </c>
      <c r="J36" s="703">
        <v>3000000</v>
      </c>
      <c r="K36" s="703"/>
      <c r="L36" s="703">
        <f>41073+2698+1057</f>
        <v>44828</v>
      </c>
      <c r="M36" s="703">
        <v>1000</v>
      </c>
      <c r="N36" s="703">
        <v>1000</v>
      </c>
      <c r="O36" s="703">
        <v>872</v>
      </c>
      <c r="P36" s="695">
        <f t="shared" si="1"/>
        <v>0.872</v>
      </c>
      <c r="Q36" s="704">
        <v>22448</v>
      </c>
      <c r="R36" s="704"/>
      <c r="S36" s="704">
        <v>2954029</v>
      </c>
      <c r="T36" s="700" t="s">
        <v>747</v>
      </c>
    </row>
    <row r="37" spans="1:20" ht="12.75">
      <c r="A37" s="686">
        <f t="shared" si="3"/>
        <v>34</v>
      </c>
      <c r="B37" s="701" t="s">
        <v>300</v>
      </c>
      <c r="C37" s="687" t="s">
        <v>657</v>
      </c>
      <c r="D37" s="687">
        <v>4220</v>
      </c>
      <c r="E37" s="687">
        <v>6121</v>
      </c>
      <c r="F37" s="700"/>
      <c r="G37" s="700" t="s">
        <v>777</v>
      </c>
      <c r="H37" s="707">
        <v>1999</v>
      </c>
      <c r="I37" s="687">
        <v>2015</v>
      </c>
      <c r="J37" s="703">
        <v>688583</v>
      </c>
      <c r="K37" s="703"/>
      <c r="L37" s="703">
        <v>686439</v>
      </c>
      <c r="M37" s="703"/>
      <c r="N37" s="703"/>
      <c r="O37" s="703"/>
      <c r="P37" s="695" t="str">
        <f t="shared" si="1"/>
        <v> </v>
      </c>
      <c r="Q37" s="704"/>
      <c r="R37" s="704">
        <v>2144</v>
      </c>
      <c r="S37" s="704"/>
      <c r="T37" s="700" t="s">
        <v>747</v>
      </c>
    </row>
    <row r="38" spans="1:20" ht="12.75">
      <c r="A38" s="686">
        <f t="shared" si="3"/>
        <v>35</v>
      </c>
      <c r="B38" s="701" t="s">
        <v>300</v>
      </c>
      <c r="C38" s="687" t="s">
        <v>657</v>
      </c>
      <c r="D38" s="687">
        <v>4276</v>
      </c>
      <c r="E38" s="687">
        <v>6121</v>
      </c>
      <c r="F38" s="700"/>
      <c r="G38" s="700" t="s">
        <v>778</v>
      </c>
      <c r="H38" s="707">
        <v>2001</v>
      </c>
      <c r="I38" s="707">
        <v>2016</v>
      </c>
      <c r="J38" s="703">
        <v>2171000</v>
      </c>
      <c r="K38" s="703"/>
      <c r="L38" s="703">
        <f>305041+124900+1838</f>
        <v>431779</v>
      </c>
      <c r="M38" s="703"/>
      <c r="N38" s="703">
        <v>1000</v>
      </c>
      <c r="O38" s="703">
        <v>555</v>
      </c>
      <c r="P38" s="695">
        <f t="shared" si="1"/>
        <v>0.555</v>
      </c>
      <c r="Q38" s="704">
        <v>96922</v>
      </c>
      <c r="R38" s="704"/>
      <c r="S38" s="704">
        <v>1739059</v>
      </c>
      <c r="T38" s="700" t="s">
        <v>747</v>
      </c>
    </row>
    <row r="39" spans="1:20" ht="12.75">
      <c r="A39" s="686">
        <f t="shared" si="3"/>
        <v>36</v>
      </c>
      <c r="B39" s="701" t="s">
        <v>300</v>
      </c>
      <c r="C39" s="687" t="s">
        <v>657</v>
      </c>
      <c r="D39" s="687">
        <v>4276</v>
      </c>
      <c r="E39" s="687">
        <v>6121</v>
      </c>
      <c r="F39" s="700">
        <v>41</v>
      </c>
      <c r="G39" s="700" t="s">
        <v>778</v>
      </c>
      <c r="H39" s="707"/>
      <c r="I39" s="707"/>
      <c r="J39" s="703"/>
      <c r="K39" s="703"/>
      <c r="L39" s="703"/>
      <c r="M39" s="703"/>
      <c r="N39" s="703"/>
      <c r="O39" s="703"/>
      <c r="P39" s="695" t="str">
        <f t="shared" si="1"/>
        <v> </v>
      </c>
      <c r="Q39" s="704">
        <v>20000</v>
      </c>
      <c r="R39" s="704"/>
      <c r="S39" s="704"/>
      <c r="T39" s="700"/>
    </row>
    <row r="40" spans="1:20" ht="12.75">
      <c r="A40" s="686">
        <f t="shared" si="3"/>
        <v>37</v>
      </c>
      <c r="B40" s="701" t="s">
        <v>300</v>
      </c>
      <c r="C40" s="687" t="s">
        <v>657</v>
      </c>
      <c r="D40" s="687">
        <v>4280</v>
      </c>
      <c r="E40" s="687">
        <v>6121</v>
      </c>
      <c r="F40" s="700"/>
      <c r="G40" s="700" t="s">
        <v>779</v>
      </c>
      <c r="H40" s="707">
        <v>2001</v>
      </c>
      <c r="I40" s="687">
        <v>2016</v>
      </c>
      <c r="J40" s="703">
        <v>188649</v>
      </c>
      <c r="K40" s="703"/>
      <c r="L40" s="703">
        <v>18767</v>
      </c>
      <c r="M40" s="703"/>
      <c r="N40" s="703">
        <v>1000</v>
      </c>
      <c r="O40" s="703">
        <v>998</v>
      </c>
      <c r="P40" s="695">
        <f t="shared" si="1"/>
        <v>0.998</v>
      </c>
      <c r="Q40" s="704">
        <v>5000</v>
      </c>
      <c r="R40" s="704"/>
      <c r="S40" s="704">
        <v>169882</v>
      </c>
      <c r="T40" s="700" t="s">
        <v>747</v>
      </c>
    </row>
    <row r="41" spans="1:20" ht="12.75">
      <c r="A41" s="686">
        <f t="shared" si="3"/>
        <v>38</v>
      </c>
      <c r="B41" s="701" t="s">
        <v>300</v>
      </c>
      <c r="C41" s="687" t="s">
        <v>657</v>
      </c>
      <c r="D41" s="687">
        <v>4281</v>
      </c>
      <c r="E41" s="687">
        <v>6121</v>
      </c>
      <c r="F41" s="700"/>
      <c r="G41" s="700" t="s">
        <v>780</v>
      </c>
      <c r="H41" s="707">
        <v>2001</v>
      </c>
      <c r="I41" s="687">
        <v>2016</v>
      </c>
      <c r="J41" s="703">
        <v>91681</v>
      </c>
      <c r="K41" s="703"/>
      <c r="L41" s="703">
        <f>17419+6000</f>
        <v>23419</v>
      </c>
      <c r="M41" s="703"/>
      <c r="N41" s="703">
        <v>1000</v>
      </c>
      <c r="O41" s="703">
        <v>998</v>
      </c>
      <c r="P41" s="695">
        <f t="shared" si="1"/>
        <v>0.998</v>
      </c>
      <c r="Q41" s="704">
        <v>16599</v>
      </c>
      <c r="R41" s="704"/>
      <c r="S41" s="704">
        <v>68262</v>
      </c>
      <c r="T41" s="700" t="s">
        <v>747</v>
      </c>
    </row>
    <row r="42" spans="1:20" ht="12.75">
      <c r="A42" s="686">
        <f t="shared" si="3"/>
        <v>39</v>
      </c>
      <c r="B42" s="701" t="s">
        <v>300</v>
      </c>
      <c r="C42" s="687" t="s">
        <v>657</v>
      </c>
      <c r="D42" s="687">
        <v>4283</v>
      </c>
      <c r="E42" s="687">
        <v>6121</v>
      </c>
      <c r="F42" s="700"/>
      <c r="G42" s="700" t="s">
        <v>781</v>
      </c>
      <c r="H42" s="707">
        <v>2001</v>
      </c>
      <c r="I42" s="687">
        <v>2014</v>
      </c>
      <c r="J42" s="703">
        <v>25386</v>
      </c>
      <c r="K42" s="703"/>
      <c r="L42" s="703">
        <f>12359+76</f>
        <v>12435</v>
      </c>
      <c r="M42" s="703">
        <v>2500</v>
      </c>
      <c r="N42" s="703">
        <v>2300</v>
      </c>
      <c r="O42" s="703">
        <v>2234</v>
      </c>
      <c r="P42" s="695">
        <f t="shared" si="1"/>
        <v>0.971304347826087</v>
      </c>
      <c r="Q42" s="704"/>
      <c r="R42" s="704"/>
      <c r="S42" s="704"/>
      <c r="T42" s="700" t="s">
        <v>747</v>
      </c>
    </row>
    <row r="43" spans="1:20" ht="12.75">
      <c r="A43" s="686">
        <f t="shared" si="3"/>
        <v>40</v>
      </c>
      <c r="B43" s="701" t="s">
        <v>300</v>
      </c>
      <c r="C43" s="687" t="s">
        <v>657</v>
      </c>
      <c r="D43" s="687">
        <v>4284</v>
      </c>
      <c r="E43" s="687">
        <v>6121</v>
      </c>
      <c r="F43" s="700"/>
      <c r="G43" s="700" t="s">
        <v>782</v>
      </c>
      <c r="H43" s="707">
        <v>2001</v>
      </c>
      <c r="I43" s="687">
        <v>2013</v>
      </c>
      <c r="J43" s="703">
        <v>38747</v>
      </c>
      <c r="K43" s="703"/>
      <c r="L43" s="703">
        <f>10227+2503</f>
        <v>12730</v>
      </c>
      <c r="M43" s="703">
        <v>25817</v>
      </c>
      <c r="N43" s="703">
        <v>26017</v>
      </c>
      <c r="O43" s="703">
        <v>25991</v>
      </c>
      <c r="P43" s="695">
        <f t="shared" si="1"/>
        <v>0.9990006534189184</v>
      </c>
      <c r="Q43" s="704"/>
      <c r="R43" s="704"/>
      <c r="S43" s="704"/>
      <c r="T43" s="700" t="s">
        <v>747</v>
      </c>
    </row>
    <row r="44" spans="1:20" ht="12.75">
      <c r="A44" s="686">
        <f t="shared" si="3"/>
        <v>41</v>
      </c>
      <c r="B44" s="701" t="s">
        <v>300</v>
      </c>
      <c r="C44" s="687" t="s">
        <v>657</v>
      </c>
      <c r="D44" s="687">
        <v>4286</v>
      </c>
      <c r="E44" s="687">
        <v>6121</v>
      </c>
      <c r="F44" s="700"/>
      <c r="G44" s="700" t="s">
        <v>783</v>
      </c>
      <c r="H44" s="707">
        <v>2001</v>
      </c>
      <c r="I44" s="687">
        <v>2016</v>
      </c>
      <c r="J44" s="703">
        <v>127143</v>
      </c>
      <c r="K44" s="703"/>
      <c r="L44" s="703">
        <v>793</v>
      </c>
      <c r="M44" s="703"/>
      <c r="N44" s="703"/>
      <c r="O44" s="703"/>
      <c r="P44" s="695" t="str">
        <f t="shared" si="1"/>
        <v> </v>
      </c>
      <c r="Q44" s="704"/>
      <c r="R44" s="704"/>
      <c r="S44" s="704">
        <v>126350</v>
      </c>
      <c r="T44" s="700" t="s">
        <v>747</v>
      </c>
    </row>
    <row r="45" spans="1:20" ht="12.75">
      <c r="A45" s="686">
        <f t="shared" si="3"/>
        <v>42</v>
      </c>
      <c r="B45" s="701" t="s">
        <v>300</v>
      </c>
      <c r="C45" s="687" t="s">
        <v>657</v>
      </c>
      <c r="D45" s="687">
        <v>4554</v>
      </c>
      <c r="E45" s="687">
        <v>6121</v>
      </c>
      <c r="F45" s="700"/>
      <c r="G45" s="700" t="s">
        <v>784</v>
      </c>
      <c r="H45" s="707">
        <v>2002</v>
      </c>
      <c r="I45" s="687">
        <v>2014</v>
      </c>
      <c r="J45" s="703">
        <v>34440</v>
      </c>
      <c r="K45" s="703"/>
      <c r="L45" s="703">
        <f>472+1488</f>
        <v>1960</v>
      </c>
      <c r="M45" s="703"/>
      <c r="N45" s="703">
        <v>1000</v>
      </c>
      <c r="O45" s="703">
        <v>791</v>
      </c>
      <c r="P45" s="695">
        <f t="shared" si="1"/>
        <v>0.791</v>
      </c>
      <c r="Q45" s="704">
        <v>32480</v>
      </c>
      <c r="R45" s="704">
        <v>20960</v>
      </c>
      <c r="S45" s="704"/>
      <c r="T45" s="700" t="s">
        <v>747</v>
      </c>
    </row>
    <row r="46" spans="1:20" ht="12.75">
      <c r="A46" s="686">
        <f t="shared" si="3"/>
        <v>43</v>
      </c>
      <c r="B46" s="701" t="s">
        <v>300</v>
      </c>
      <c r="C46" s="687" t="s">
        <v>657</v>
      </c>
      <c r="D46" s="687">
        <v>4556</v>
      </c>
      <c r="E46" s="687">
        <v>6121</v>
      </c>
      <c r="F46" s="700"/>
      <c r="G46" s="700" t="s">
        <v>785</v>
      </c>
      <c r="H46" s="707">
        <v>2002</v>
      </c>
      <c r="I46" s="687">
        <v>2015</v>
      </c>
      <c r="J46" s="703">
        <v>185000</v>
      </c>
      <c r="K46" s="703"/>
      <c r="L46" s="703">
        <f>7932+10894</f>
        <v>18826</v>
      </c>
      <c r="M46" s="703">
        <v>43560</v>
      </c>
      <c r="N46" s="703">
        <v>43560</v>
      </c>
      <c r="O46" s="703">
        <v>43136</v>
      </c>
      <c r="P46" s="695">
        <f t="shared" si="1"/>
        <v>0.9902662993572084</v>
      </c>
      <c r="Q46" s="704">
        <v>69000</v>
      </c>
      <c r="R46" s="704">
        <v>53614</v>
      </c>
      <c r="S46" s="704"/>
      <c r="T46" s="700" t="s">
        <v>747</v>
      </c>
    </row>
    <row r="47" spans="1:20" ht="12.75">
      <c r="A47" s="686">
        <f t="shared" si="3"/>
        <v>44</v>
      </c>
      <c r="B47" s="701" t="s">
        <v>300</v>
      </c>
      <c r="C47" s="687" t="s">
        <v>657</v>
      </c>
      <c r="D47" s="687">
        <v>4567</v>
      </c>
      <c r="E47" s="687">
        <v>6121</v>
      </c>
      <c r="F47" s="700"/>
      <c r="G47" s="700" t="s">
        <v>786</v>
      </c>
      <c r="H47" s="707">
        <v>2003</v>
      </c>
      <c r="I47" s="687">
        <v>2016</v>
      </c>
      <c r="J47" s="703">
        <v>40480</v>
      </c>
      <c r="K47" s="703"/>
      <c r="L47" s="703">
        <v>859</v>
      </c>
      <c r="M47" s="703"/>
      <c r="N47" s="703"/>
      <c r="O47" s="703"/>
      <c r="P47" s="695" t="str">
        <f t="shared" si="1"/>
        <v> </v>
      </c>
      <c r="Q47" s="704"/>
      <c r="R47" s="704"/>
      <c r="S47" s="704">
        <v>39621</v>
      </c>
      <c r="T47" s="700" t="s">
        <v>747</v>
      </c>
    </row>
    <row r="48" spans="1:20" ht="12.75">
      <c r="A48" s="686">
        <f t="shared" si="3"/>
        <v>45</v>
      </c>
      <c r="B48" s="701" t="s">
        <v>300</v>
      </c>
      <c r="C48" s="687" t="s">
        <v>657</v>
      </c>
      <c r="D48" s="687">
        <v>4940</v>
      </c>
      <c r="E48" s="687">
        <v>6901</v>
      </c>
      <c r="F48" s="700"/>
      <c r="G48" s="700" t="s">
        <v>787</v>
      </c>
      <c r="H48" s="707"/>
      <c r="I48" s="687"/>
      <c r="J48" s="703"/>
      <c r="K48" s="703"/>
      <c r="L48" s="703"/>
      <c r="M48" s="703">
        <v>74403</v>
      </c>
      <c r="N48" s="703"/>
      <c r="O48" s="703"/>
      <c r="P48" s="695" t="str">
        <f t="shared" si="1"/>
        <v> </v>
      </c>
      <c r="Q48" s="704"/>
      <c r="R48" s="704"/>
      <c r="S48" s="704"/>
      <c r="T48" s="700" t="s">
        <v>747</v>
      </c>
    </row>
    <row r="49" spans="1:20" ht="12.75">
      <c r="A49" s="686"/>
      <c r="B49" s="701"/>
      <c r="C49" s="708" t="s">
        <v>788</v>
      </c>
      <c r="D49" s="687"/>
      <c r="E49" s="687"/>
      <c r="F49" s="700"/>
      <c r="G49" s="700"/>
      <c r="H49" s="707"/>
      <c r="I49" s="687"/>
      <c r="J49" s="703">
        <f aca="true" t="shared" si="4" ref="J49:O49">SUBTOTAL(9,J7:J48)</f>
        <v>10222510</v>
      </c>
      <c r="K49" s="703">
        <f t="shared" si="4"/>
        <v>172324</v>
      </c>
      <c r="L49" s="703">
        <f t="shared" si="4"/>
        <v>1317020</v>
      </c>
      <c r="M49" s="703">
        <f t="shared" si="4"/>
        <v>281475</v>
      </c>
      <c r="N49" s="703">
        <f t="shared" si="4"/>
        <v>162132</v>
      </c>
      <c r="O49" s="703">
        <f t="shared" si="4"/>
        <v>152972</v>
      </c>
      <c r="P49" s="695">
        <f t="shared" si="1"/>
        <v>0.943502824858757</v>
      </c>
      <c r="Q49" s="704">
        <f>SUBTOTAL(9,Q7:Q48)</f>
        <v>391718</v>
      </c>
      <c r="R49" s="704">
        <f>SUBTOTAL(9,R7:R48)</f>
        <v>676914</v>
      </c>
      <c r="S49" s="704">
        <f>SUBTOTAL(9,S7:S48)</f>
        <v>7632803</v>
      </c>
      <c r="T49" s="700"/>
    </row>
    <row r="50" spans="1:20" ht="12.75">
      <c r="A50" s="686">
        <f>A48+1</f>
        <v>46</v>
      </c>
      <c r="B50" s="701" t="s">
        <v>299</v>
      </c>
      <c r="C50" s="687" t="s">
        <v>658</v>
      </c>
      <c r="D50" s="687">
        <v>2819</v>
      </c>
      <c r="E50" s="687">
        <v>6125</v>
      </c>
      <c r="F50" s="700"/>
      <c r="G50" s="700" t="s">
        <v>789</v>
      </c>
      <c r="H50" s="707">
        <v>2014</v>
      </c>
      <c r="I50" s="687">
        <v>2014</v>
      </c>
      <c r="J50" s="703">
        <v>4897</v>
      </c>
      <c r="K50" s="703"/>
      <c r="L50" s="703"/>
      <c r="M50" s="703"/>
      <c r="N50" s="703"/>
      <c r="O50" s="703"/>
      <c r="P50" s="695" t="str">
        <f t="shared" si="1"/>
        <v> </v>
      </c>
      <c r="Q50" s="704">
        <v>4897</v>
      </c>
      <c r="R50" s="704"/>
      <c r="S50" s="704"/>
      <c r="T50" s="700" t="s">
        <v>747</v>
      </c>
    </row>
    <row r="51" spans="1:20" ht="12.75">
      <c r="A51" s="686">
        <f aca="true" t="shared" si="5" ref="A51:A61">A50+1</f>
        <v>47</v>
      </c>
      <c r="B51" s="701" t="s">
        <v>300</v>
      </c>
      <c r="C51" s="687" t="s">
        <v>658</v>
      </c>
      <c r="D51" s="687">
        <v>2822</v>
      </c>
      <c r="E51" s="687">
        <v>6121</v>
      </c>
      <c r="F51" s="700"/>
      <c r="G51" s="700" t="s">
        <v>790</v>
      </c>
      <c r="H51" s="687">
        <v>2014</v>
      </c>
      <c r="I51" s="687">
        <v>2016</v>
      </c>
      <c r="J51" s="703">
        <v>68450</v>
      </c>
      <c r="K51" s="703"/>
      <c r="L51" s="703"/>
      <c r="M51" s="703"/>
      <c r="N51" s="703"/>
      <c r="O51" s="703"/>
      <c r="P51" s="695" t="str">
        <f t="shared" si="1"/>
        <v> </v>
      </c>
      <c r="Q51" s="704"/>
      <c r="R51" s="704">
        <v>39150</v>
      </c>
      <c r="S51" s="704">
        <v>29300</v>
      </c>
      <c r="T51" s="700" t="s">
        <v>747</v>
      </c>
    </row>
    <row r="52" spans="1:20" ht="12.75">
      <c r="A52" s="686">
        <f t="shared" si="5"/>
        <v>48</v>
      </c>
      <c r="B52" s="701" t="s">
        <v>299</v>
      </c>
      <c r="C52" s="687" t="s">
        <v>658</v>
      </c>
      <c r="D52" s="687">
        <v>2826</v>
      </c>
      <c r="E52" s="687">
        <v>6121</v>
      </c>
      <c r="F52" s="700"/>
      <c r="G52" s="700" t="s">
        <v>791</v>
      </c>
      <c r="H52" s="687">
        <v>2014</v>
      </c>
      <c r="I52" s="687">
        <v>2016</v>
      </c>
      <c r="J52" s="703">
        <v>35241</v>
      </c>
      <c r="K52" s="703"/>
      <c r="L52" s="703"/>
      <c r="M52" s="703"/>
      <c r="N52" s="703"/>
      <c r="O52" s="703"/>
      <c r="P52" s="695" t="str">
        <f t="shared" si="1"/>
        <v> </v>
      </c>
      <c r="Q52" s="704">
        <v>9476</v>
      </c>
      <c r="R52" s="704">
        <v>25765</v>
      </c>
      <c r="S52" s="704">
        <v>25765</v>
      </c>
      <c r="T52" s="700" t="s">
        <v>741</v>
      </c>
    </row>
    <row r="53" spans="1:20" ht="12.75">
      <c r="A53" s="686">
        <f t="shared" si="5"/>
        <v>49</v>
      </c>
      <c r="B53" s="701" t="s">
        <v>299</v>
      </c>
      <c r="C53" s="687" t="s">
        <v>658</v>
      </c>
      <c r="D53" s="687">
        <v>2947</v>
      </c>
      <c r="E53" s="687">
        <v>6130</v>
      </c>
      <c r="F53" s="700"/>
      <c r="G53" s="700" t="s">
        <v>792</v>
      </c>
      <c r="H53" s="705"/>
      <c r="I53" s="705"/>
      <c r="J53" s="703"/>
      <c r="K53" s="703"/>
      <c r="L53" s="703">
        <f>38+3599</f>
        <v>3637</v>
      </c>
      <c r="M53" s="703">
        <v>16000</v>
      </c>
      <c r="N53" s="703">
        <v>13304</v>
      </c>
      <c r="O53" s="703">
        <v>13291</v>
      </c>
      <c r="P53" s="695">
        <f t="shared" si="1"/>
        <v>0.9990228502705953</v>
      </c>
      <c r="Q53" s="704">
        <v>8000</v>
      </c>
      <c r="R53" s="704"/>
      <c r="S53" s="704"/>
      <c r="T53" s="700" t="s">
        <v>741</v>
      </c>
    </row>
    <row r="54" spans="1:20" ht="12.75">
      <c r="A54" s="686">
        <f t="shared" si="5"/>
        <v>50</v>
      </c>
      <c r="B54" s="701" t="s">
        <v>299</v>
      </c>
      <c r="C54" s="687" t="s">
        <v>658</v>
      </c>
      <c r="D54" s="687">
        <v>2959</v>
      </c>
      <c r="E54" s="687">
        <v>6201</v>
      </c>
      <c r="F54" s="700"/>
      <c r="G54" s="700" t="s">
        <v>793</v>
      </c>
      <c r="H54" s="705"/>
      <c r="I54" s="705"/>
      <c r="J54" s="703"/>
      <c r="K54" s="703"/>
      <c r="L54" s="703">
        <f>26299+67000</f>
        <v>93299</v>
      </c>
      <c r="M54" s="703"/>
      <c r="N54" s="703"/>
      <c r="O54" s="703"/>
      <c r="P54" s="695" t="str">
        <f t="shared" si="1"/>
        <v> </v>
      </c>
      <c r="Q54" s="704"/>
      <c r="R54" s="704"/>
      <c r="S54" s="704"/>
      <c r="T54" s="700" t="s">
        <v>741</v>
      </c>
    </row>
    <row r="55" spans="1:20" ht="12.75">
      <c r="A55" s="686">
        <f t="shared" si="5"/>
        <v>51</v>
      </c>
      <c r="B55" s="701" t="s">
        <v>300</v>
      </c>
      <c r="C55" s="687" t="s">
        <v>658</v>
      </c>
      <c r="D55" s="687">
        <v>3297</v>
      </c>
      <c r="E55" s="687">
        <v>6121</v>
      </c>
      <c r="F55" s="700"/>
      <c r="G55" s="700" t="s">
        <v>794</v>
      </c>
      <c r="H55" s="707">
        <v>2005</v>
      </c>
      <c r="I55" s="687">
        <v>2015</v>
      </c>
      <c r="J55" s="703">
        <v>72737</v>
      </c>
      <c r="K55" s="703"/>
      <c r="L55" s="703">
        <f>10304+77+28231</f>
        <v>38612</v>
      </c>
      <c r="M55" s="703"/>
      <c r="N55" s="703"/>
      <c r="O55" s="703"/>
      <c r="P55" s="695" t="str">
        <f t="shared" si="1"/>
        <v> </v>
      </c>
      <c r="Q55" s="704"/>
      <c r="R55" s="704">
        <v>34125</v>
      </c>
      <c r="S55" s="704"/>
      <c r="T55" s="700" t="s">
        <v>747</v>
      </c>
    </row>
    <row r="56" spans="1:20" ht="12.75">
      <c r="A56" s="686">
        <f t="shared" si="5"/>
        <v>52</v>
      </c>
      <c r="B56" s="701" t="s">
        <v>300</v>
      </c>
      <c r="C56" s="687" t="s">
        <v>658</v>
      </c>
      <c r="D56" s="687">
        <v>4208</v>
      </c>
      <c r="E56" s="687">
        <v>6121</v>
      </c>
      <c r="F56" s="700"/>
      <c r="G56" s="700" t="s">
        <v>795</v>
      </c>
      <c r="H56" s="687"/>
      <c r="I56" s="687"/>
      <c r="J56" s="703"/>
      <c r="K56" s="703"/>
      <c r="L56" s="703">
        <f>36791+5092+6361</f>
        <v>48244</v>
      </c>
      <c r="M56" s="703">
        <v>4000</v>
      </c>
      <c r="N56" s="703">
        <v>610</v>
      </c>
      <c r="O56" s="703">
        <v>573</v>
      </c>
      <c r="P56" s="695">
        <f t="shared" si="1"/>
        <v>0.9393442622950819</v>
      </c>
      <c r="Q56" s="704">
        <v>6000</v>
      </c>
      <c r="R56" s="704"/>
      <c r="S56" s="704"/>
      <c r="T56" s="700" t="s">
        <v>747</v>
      </c>
    </row>
    <row r="57" spans="1:20" ht="12.75">
      <c r="A57" s="686">
        <f t="shared" si="5"/>
        <v>53</v>
      </c>
      <c r="B57" s="701" t="s">
        <v>299</v>
      </c>
      <c r="C57" s="687" t="s">
        <v>658</v>
      </c>
      <c r="D57" s="687">
        <v>5014</v>
      </c>
      <c r="E57" s="687">
        <v>6119</v>
      </c>
      <c r="F57" s="702" t="s">
        <v>796</v>
      </c>
      <c r="G57" s="700" t="s">
        <v>797</v>
      </c>
      <c r="H57" s="707">
        <v>2009</v>
      </c>
      <c r="I57" s="687">
        <v>2013</v>
      </c>
      <c r="J57" s="703">
        <v>4668</v>
      </c>
      <c r="K57" s="703"/>
      <c r="L57" s="703"/>
      <c r="M57" s="703">
        <v>3550</v>
      </c>
      <c r="N57" s="703">
        <v>1940</v>
      </c>
      <c r="O57" s="703">
        <v>1929</v>
      </c>
      <c r="P57" s="695">
        <f t="shared" si="1"/>
        <v>0.9943298969072165</v>
      </c>
      <c r="Q57" s="704">
        <v>1610</v>
      </c>
      <c r="R57" s="704"/>
      <c r="S57" s="704"/>
      <c r="T57" s="700" t="s">
        <v>741</v>
      </c>
    </row>
    <row r="58" spans="1:20" ht="12.75">
      <c r="A58" s="686">
        <f t="shared" si="5"/>
        <v>54</v>
      </c>
      <c r="B58" s="701" t="s">
        <v>300</v>
      </c>
      <c r="C58" s="687" t="s">
        <v>658</v>
      </c>
      <c r="D58" s="687">
        <v>5020</v>
      </c>
      <c r="E58" s="687">
        <v>6121</v>
      </c>
      <c r="F58" s="702" t="s">
        <v>796</v>
      </c>
      <c r="G58" s="700" t="s">
        <v>798</v>
      </c>
      <c r="H58" s="707">
        <v>2010</v>
      </c>
      <c r="I58" s="687">
        <v>2013</v>
      </c>
      <c r="J58" s="703">
        <v>16100</v>
      </c>
      <c r="K58" s="703">
        <v>6363</v>
      </c>
      <c r="L58" s="703">
        <f>2303+12019</f>
        <v>14322</v>
      </c>
      <c r="M58" s="703">
        <v>1450</v>
      </c>
      <c r="N58" s="703">
        <v>1450</v>
      </c>
      <c r="O58" s="703">
        <v>1436</v>
      </c>
      <c r="P58" s="695">
        <f t="shared" si="1"/>
        <v>0.9903448275862069</v>
      </c>
      <c r="Q58" s="704"/>
      <c r="R58" s="704"/>
      <c r="S58" s="704"/>
      <c r="T58" s="700" t="s">
        <v>747</v>
      </c>
    </row>
    <row r="59" spans="1:20" ht="12.75">
      <c r="A59" s="686">
        <f t="shared" si="5"/>
        <v>55</v>
      </c>
      <c r="B59" s="701" t="s">
        <v>300</v>
      </c>
      <c r="C59" s="687" t="s">
        <v>658</v>
      </c>
      <c r="D59" s="687">
        <v>5023</v>
      </c>
      <c r="E59" s="687">
        <v>6121</v>
      </c>
      <c r="F59" s="702" t="s">
        <v>796</v>
      </c>
      <c r="G59" s="700" t="s">
        <v>799</v>
      </c>
      <c r="H59" s="707">
        <v>2009</v>
      </c>
      <c r="I59" s="687">
        <v>2014</v>
      </c>
      <c r="J59" s="703">
        <v>53923</v>
      </c>
      <c r="K59" s="703">
        <v>48056</v>
      </c>
      <c r="L59" s="703">
        <f>648</f>
        <v>648</v>
      </c>
      <c r="M59" s="703">
        <v>1000</v>
      </c>
      <c r="N59" s="703">
        <v>1000</v>
      </c>
      <c r="O59" s="703">
        <v>217</v>
      </c>
      <c r="P59" s="695">
        <f t="shared" si="1"/>
        <v>0.217</v>
      </c>
      <c r="Q59" s="704">
        <v>10000</v>
      </c>
      <c r="R59" s="704"/>
      <c r="S59" s="704"/>
      <c r="T59" s="700" t="s">
        <v>747</v>
      </c>
    </row>
    <row r="60" spans="1:20" ht="12.75">
      <c r="A60" s="686">
        <f t="shared" si="5"/>
        <v>56</v>
      </c>
      <c r="B60" s="701" t="s">
        <v>300</v>
      </c>
      <c r="C60" s="687" t="s">
        <v>658</v>
      </c>
      <c r="D60" s="687">
        <v>5137</v>
      </c>
      <c r="E60" s="687">
        <v>6121</v>
      </c>
      <c r="F60" s="702" t="s">
        <v>796</v>
      </c>
      <c r="G60" s="700" t="s">
        <v>800</v>
      </c>
      <c r="H60" s="707">
        <v>2010</v>
      </c>
      <c r="I60" s="707">
        <v>2013</v>
      </c>
      <c r="J60" s="703">
        <v>29000</v>
      </c>
      <c r="K60" s="703">
        <v>17959</v>
      </c>
      <c r="L60" s="703">
        <f>15891</f>
        <v>15891</v>
      </c>
      <c r="M60" s="703"/>
      <c r="N60" s="703">
        <v>80</v>
      </c>
      <c r="O60" s="703">
        <v>77</v>
      </c>
      <c r="P60" s="695">
        <f t="shared" si="1"/>
        <v>0.9625</v>
      </c>
      <c r="Q60" s="704"/>
      <c r="R60" s="704"/>
      <c r="S60" s="704"/>
      <c r="T60" s="700" t="s">
        <v>747</v>
      </c>
    </row>
    <row r="61" spans="1:20" ht="12.75">
      <c r="A61" s="686">
        <f t="shared" si="5"/>
        <v>57</v>
      </c>
      <c r="B61" s="701" t="s">
        <v>299</v>
      </c>
      <c r="C61" s="687" t="s">
        <v>658</v>
      </c>
      <c r="D61" s="687">
        <v>5162</v>
      </c>
      <c r="E61" s="687">
        <v>6121</v>
      </c>
      <c r="F61" s="702" t="s">
        <v>796</v>
      </c>
      <c r="G61" s="700" t="s">
        <v>801</v>
      </c>
      <c r="H61" s="687">
        <v>2012</v>
      </c>
      <c r="I61" s="687">
        <v>2016</v>
      </c>
      <c r="J61" s="703">
        <v>10000</v>
      </c>
      <c r="K61" s="703">
        <v>7489</v>
      </c>
      <c r="L61" s="703"/>
      <c r="M61" s="703"/>
      <c r="N61" s="703"/>
      <c r="O61" s="703"/>
      <c r="P61" s="695" t="str">
        <f t="shared" si="1"/>
        <v> </v>
      </c>
      <c r="Q61" s="704">
        <v>320</v>
      </c>
      <c r="R61" s="704"/>
      <c r="S61" s="704"/>
      <c r="T61" s="700" t="s">
        <v>741</v>
      </c>
    </row>
    <row r="62" spans="1:20" ht="12.75">
      <c r="A62" s="686"/>
      <c r="B62" s="701"/>
      <c r="C62" s="708" t="s">
        <v>802</v>
      </c>
      <c r="D62" s="687"/>
      <c r="E62" s="687"/>
      <c r="F62" s="702"/>
      <c r="G62" s="700"/>
      <c r="H62" s="687"/>
      <c r="I62" s="687"/>
      <c r="J62" s="703">
        <f aca="true" t="shared" si="6" ref="J62:O62">SUBTOTAL(9,J50:J61)</f>
        <v>295016</v>
      </c>
      <c r="K62" s="703">
        <f t="shared" si="6"/>
        <v>79867</v>
      </c>
      <c r="L62" s="703">
        <f t="shared" si="6"/>
        <v>214653</v>
      </c>
      <c r="M62" s="703">
        <f t="shared" si="6"/>
        <v>26000</v>
      </c>
      <c r="N62" s="703">
        <f t="shared" si="6"/>
        <v>18384</v>
      </c>
      <c r="O62" s="703">
        <f t="shared" si="6"/>
        <v>17523</v>
      </c>
      <c r="P62" s="695">
        <f t="shared" si="1"/>
        <v>0.9531657963446475</v>
      </c>
      <c r="Q62" s="704">
        <f>SUBTOTAL(9,Q50:Q61)</f>
        <v>40303</v>
      </c>
      <c r="R62" s="704">
        <f>SUBTOTAL(9,R50:R61)</f>
        <v>99040</v>
      </c>
      <c r="S62" s="704">
        <f>SUBTOTAL(9,S50:S61)</f>
        <v>55065</v>
      </c>
      <c r="T62" s="700"/>
    </row>
    <row r="63" spans="1:20" ht="12.75">
      <c r="A63" s="686">
        <f>A61+1</f>
        <v>58</v>
      </c>
      <c r="B63" s="701" t="s">
        <v>300</v>
      </c>
      <c r="C63" s="687" t="s">
        <v>659</v>
      </c>
      <c r="D63" s="687">
        <v>5075</v>
      </c>
      <c r="E63" s="687">
        <v>6121</v>
      </c>
      <c r="F63" s="702" t="s">
        <v>796</v>
      </c>
      <c r="G63" s="700" t="s">
        <v>803</v>
      </c>
      <c r="H63" s="707">
        <v>2009</v>
      </c>
      <c r="I63" s="687">
        <v>2014</v>
      </c>
      <c r="J63" s="703">
        <v>35000</v>
      </c>
      <c r="K63" s="703"/>
      <c r="L63" s="703">
        <f>12010+2904+5474</f>
        <v>20388</v>
      </c>
      <c r="M63" s="703">
        <v>13000</v>
      </c>
      <c r="N63" s="703">
        <v>7000</v>
      </c>
      <c r="O63" s="703">
        <v>1036</v>
      </c>
      <c r="P63" s="695">
        <f t="shared" si="1"/>
        <v>0.148</v>
      </c>
      <c r="Q63" s="704"/>
      <c r="R63" s="704"/>
      <c r="S63" s="704"/>
      <c r="T63" s="700" t="s">
        <v>747</v>
      </c>
    </row>
    <row r="64" spans="1:20" ht="12.75">
      <c r="A64" s="686">
        <f>A63+1</f>
        <v>59</v>
      </c>
      <c r="B64" s="701" t="s">
        <v>300</v>
      </c>
      <c r="C64" s="687" t="s">
        <v>659</v>
      </c>
      <c r="D64" s="687">
        <v>5172</v>
      </c>
      <c r="E64" s="687">
        <v>6121</v>
      </c>
      <c r="F64" s="702" t="s">
        <v>796</v>
      </c>
      <c r="G64" s="700" t="s">
        <v>804</v>
      </c>
      <c r="H64" s="687">
        <v>2013</v>
      </c>
      <c r="I64" s="687">
        <v>2014</v>
      </c>
      <c r="J64" s="703">
        <v>73620</v>
      </c>
      <c r="K64" s="703">
        <v>54659</v>
      </c>
      <c r="L64" s="703"/>
      <c r="M64" s="703"/>
      <c r="N64" s="703">
        <v>2000</v>
      </c>
      <c r="O64" s="703"/>
      <c r="P64" s="695">
        <f t="shared" si="1"/>
        <v>0</v>
      </c>
      <c r="Q64" s="704">
        <v>8000</v>
      </c>
      <c r="R64" s="704"/>
      <c r="S64" s="704"/>
      <c r="T64" s="700" t="s">
        <v>747</v>
      </c>
    </row>
    <row r="65" spans="1:20" ht="12.75">
      <c r="A65" s="686">
        <f>A64+1</f>
        <v>60</v>
      </c>
      <c r="B65" s="701" t="s">
        <v>300</v>
      </c>
      <c r="C65" s="687" t="s">
        <v>659</v>
      </c>
      <c r="D65" s="687">
        <v>5173</v>
      </c>
      <c r="E65" s="687">
        <v>6121</v>
      </c>
      <c r="F65" s="702" t="s">
        <v>796</v>
      </c>
      <c r="G65" s="700" t="s">
        <v>805</v>
      </c>
      <c r="H65" s="687">
        <v>2013</v>
      </c>
      <c r="I65" s="687">
        <v>2014</v>
      </c>
      <c r="J65" s="703">
        <v>54329</v>
      </c>
      <c r="K65" s="703">
        <v>40786</v>
      </c>
      <c r="L65" s="703"/>
      <c r="M65" s="703"/>
      <c r="N65" s="703">
        <v>2000</v>
      </c>
      <c r="O65" s="703"/>
      <c r="P65" s="695">
        <f t="shared" si="1"/>
        <v>0</v>
      </c>
      <c r="Q65" s="704">
        <v>8000</v>
      </c>
      <c r="R65" s="704"/>
      <c r="S65" s="704"/>
      <c r="T65" s="700" t="s">
        <v>747</v>
      </c>
    </row>
    <row r="66" spans="1:20" ht="12.75">
      <c r="A66" s="686">
        <f>A65+1</f>
        <v>61</v>
      </c>
      <c r="B66" s="701" t="s">
        <v>300</v>
      </c>
      <c r="C66" s="687" t="s">
        <v>659</v>
      </c>
      <c r="D66" s="687">
        <v>5174</v>
      </c>
      <c r="E66" s="687">
        <v>6121</v>
      </c>
      <c r="F66" s="702" t="s">
        <v>796</v>
      </c>
      <c r="G66" s="700" t="s">
        <v>806</v>
      </c>
      <c r="H66" s="687">
        <v>2013</v>
      </c>
      <c r="I66" s="687">
        <v>2014</v>
      </c>
      <c r="J66" s="703">
        <v>22666</v>
      </c>
      <c r="K66" s="703">
        <v>13825</v>
      </c>
      <c r="L66" s="703"/>
      <c r="M66" s="703"/>
      <c r="N66" s="703">
        <v>2000</v>
      </c>
      <c r="O66" s="703"/>
      <c r="P66" s="695">
        <f t="shared" si="1"/>
        <v>0</v>
      </c>
      <c r="Q66" s="704">
        <v>8000</v>
      </c>
      <c r="R66" s="704"/>
      <c r="S66" s="704"/>
      <c r="T66" s="700" t="s">
        <v>747</v>
      </c>
    </row>
    <row r="67" spans="1:20" ht="12.75">
      <c r="A67" s="686"/>
      <c r="B67" s="701"/>
      <c r="C67" s="708" t="s">
        <v>807</v>
      </c>
      <c r="D67" s="687"/>
      <c r="E67" s="687"/>
      <c r="F67" s="702"/>
      <c r="G67" s="700"/>
      <c r="H67" s="687"/>
      <c r="I67" s="687"/>
      <c r="J67" s="703">
        <f aca="true" t="shared" si="7" ref="J67:O67">SUBTOTAL(9,J63:J66)</f>
        <v>185615</v>
      </c>
      <c r="K67" s="703">
        <f t="shared" si="7"/>
        <v>109270</v>
      </c>
      <c r="L67" s="703">
        <f t="shared" si="7"/>
        <v>20388</v>
      </c>
      <c r="M67" s="703">
        <f t="shared" si="7"/>
        <v>13000</v>
      </c>
      <c r="N67" s="703">
        <f t="shared" si="7"/>
        <v>13000</v>
      </c>
      <c r="O67" s="703">
        <f t="shared" si="7"/>
        <v>1036</v>
      </c>
      <c r="P67" s="695">
        <f aca="true" t="shared" si="8" ref="P67:P130">IF(N67&lt;=0," ",O67/N67)</f>
        <v>0.07969230769230769</v>
      </c>
      <c r="Q67" s="704">
        <f>SUBTOTAL(9,Q63:Q66)</f>
        <v>24000</v>
      </c>
      <c r="R67" s="704">
        <f>SUBTOTAL(9,R63:R66)</f>
        <v>0</v>
      </c>
      <c r="S67" s="704">
        <f>SUBTOTAL(9,S63:S66)</f>
        <v>0</v>
      </c>
      <c r="T67" s="700"/>
    </row>
    <row r="68" spans="1:20" ht="12.75">
      <c r="A68" s="686">
        <f>A66+1</f>
        <v>62</v>
      </c>
      <c r="B68" s="701" t="s">
        <v>299</v>
      </c>
      <c r="C68" s="687" t="s">
        <v>660</v>
      </c>
      <c r="D68" s="687">
        <v>2843</v>
      </c>
      <c r="E68" s="702">
        <v>6121</v>
      </c>
      <c r="F68" s="702"/>
      <c r="G68" s="700" t="s">
        <v>808</v>
      </c>
      <c r="H68" s="687">
        <v>2013</v>
      </c>
      <c r="I68" s="687">
        <v>2013</v>
      </c>
      <c r="J68" s="703">
        <v>220</v>
      </c>
      <c r="K68" s="703"/>
      <c r="L68" s="703"/>
      <c r="M68" s="703"/>
      <c r="N68" s="703">
        <v>220</v>
      </c>
      <c r="O68" s="703">
        <v>216</v>
      </c>
      <c r="P68" s="695">
        <f t="shared" si="8"/>
        <v>0.9818181818181818</v>
      </c>
      <c r="Q68" s="704"/>
      <c r="R68" s="704"/>
      <c r="S68" s="704"/>
      <c r="T68" s="700" t="s">
        <v>741</v>
      </c>
    </row>
    <row r="69" spans="1:20" ht="12.75">
      <c r="A69" s="686">
        <f>A68+1</f>
        <v>63</v>
      </c>
      <c r="B69" s="701" t="s">
        <v>299</v>
      </c>
      <c r="C69" s="687" t="s">
        <v>660</v>
      </c>
      <c r="D69" s="687">
        <v>2845</v>
      </c>
      <c r="E69" s="687">
        <v>6122</v>
      </c>
      <c r="F69" s="702"/>
      <c r="G69" s="700" t="s">
        <v>809</v>
      </c>
      <c r="H69" s="687">
        <v>2013</v>
      </c>
      <c r="I69" s="687">
        <v>2013</v>
      </c>
      <c r="J69" s="703">
        <v>603</v>
      </c>
      <c r="K69" s="703"/>
      <c r="L69" s="703"/>
      <c r="M69" s="703"/>
      <c r="N69" s="703">
        <v>603</v>
      </c>
      <c r="O69" s="703">
        <v>603</v>
      </c>
      <c r="P69" s="695">
        <f t="shared" si="8"/>
        <v>1</v>
      </c>
      <c r="Q69" s="704"/>
      <c r="R69" s="704"/>
      <c r="S69" s="704"/>
      <c r="T69" s="700" t="s">
        <v>741</v>
      </c>
    </row>
    <row r="70" spans="1:20" ht="12.75">
      <c r="A70" s="686">
        <f>A69+1</f>
        <v>64</v>
      </c>
      <c r="B70" s="701" t="s">
        <v>299</v>
      </c>
      <c r="C70" s="687" t="s">
        <v>660</v>
      </c>
      <c r="D70" s="687">
        <v>5093</v>
      </c>
      <c r="E70" s="687">
        <v>6121</v>
      </c>
      <c r="F70" s="702" t="s">
        <v>796</v>
      </c>
      <c r="G70" s="700" t="s">
        <v>810</v>
      </c>
      <c r="H70" s="707">
        <v>2010</v>
      </c>
      <c r="I70" s="707">
        <v>2013</v>
      </c>
      <c r="J70" s="703"/>
      <c r="K70" s="703"/>
      <c r="L70" s="703">
        <v>86</v>
      </c>
      <c r="M70" s="703"/>
      <c r="N70" s="703">
        <v>590</v>
      </c>
      <c r="O70" s="703">
        <v>554</v>
      </c>
      <c r="P70" s="695">
        <f t="shared" si="8"/>
        <v>0.9389830508474576</v>
      </c>
      <c r="Q70" s="704"/>
      <c r="R70" s="704"/>
      <c r="S70" s="704"/>
      <c r="T70" s="700" t="s">
        <v>741</v>
      </c>
    </row>
    <row r="71" spans="1:20" ht="12.75">
      <c r="A71" s="686">
        <f>A70+1</f>
        <v>65</v>
      </c>
      <c r="B71" s="701" t="s">
        <v>300</v>
      </c>
      <c r="C71" s="687" t="s">
        <v>660</v>
      </c>
      <c r="D71" s="687">
        <v>5093</v>
      </c>
      <c r="E71" s="687">
        <v>6121</v>
      </c>
      <c r="F71" s="702" t="s">
        <v>796</v>
      </c>
      <c r="G71" s="700" t="s">
        <v>810</v>
      </c>
      <c r="H71" s="707">
        <v>2010</v>
      </c>
      <c r="I71" s="707">
        <v>2013</v>
      </c>
      <c r="J71" s="703">
        <v>7150</v>
      </c>
      <c r="K71" s="703">
        <v>2691</v>
      </c>
      <c r="L71" s="703">
        <f>2289</f>
        <v>2289</v>
      </c>
      <c r="M71" s="703">
        <v>4849</v>
      </c>
      <c r="N71" s="703">
        <v>1319</v>
      </c>
      <c r="O71" s="703">
        <v>1319</v>
      </c>
      <c r="P71" s="695">
        <f t="shared" si="8"/>
        <v>1</v>
      </c>
      <c r="Q71" s="704"/>
      <c r="R71" s="704"/>
      <c r="S71" s="704"/>
      <c r="T71" s="700" t="s">
        <v>747</v>
      </c>
    </row>
    <row r="72" spans="1:20" ht="12.75">
      <c r="A72" s="686"/>
      <c r="B72" s="701"/>
      <c r="C72" s="708" t="s">
        <v>811</v>
      </c>
      <c r="D72" s="687"/>
      <c r="E72" s="687"/>
      <c r="F72" s="702"/>
      <c r="G72" s="700"/>
      <c r="H72" s="707"/>
      <c r="I72" s="707"/>
      <c r="J72" s="703">
        <f aca="true" t="shared" si="9" ref="J72:O72">SUBTOTAL(9,J68:J71)</f>
        <v>7973</v>
      </c>
      <c r="K72" s="703">
        <f t="shared" si="9"/>
        <v>2691</v>
      </c>
      <c r="L72" s="703">
        <f t="shared" si="9"/>
        <v>2375</v>
      </c>
      <c r="M72" s="703">
        <f t="shared" si="9"/>
        <v>4849</v>
      </c>
      <c r="N72" s="703">
        <f t="shared" si="9"/>
        <v>2732</v>
      </c>
      <c r="O72" s="703">
        <f t="shared" si="9"/>
        <v>2692</v>
      </c>
      <c r="P72" s="695">
        <f t="shared" si="8"/>
        <v>0.9853587115666179</v>
      </c>
      <c r="Q72" s="704">
        <f>SUBTOTAL(9,Q68:Q71)</f>
        <v>0</v>
      </c>
      <c r="R72" s="704">
        <f>SUBTOTAL(9,R68:R71)</f>
        <v>0</v>
      </c>
      <c r="S72" s="704">
        <f>SUBTOTAL(9,S68:S71)</f>
        <v>0</v>
      </c>
      <c r="T72" s="700"/>
    </row>
    <row r="73" spans="1:20" ht="12.75">
      <c r="A73" s="686">
        <f>A71+1</f>
        <v>66</v>
      </c>
      <c r="B73" s="701" t="s">
        <v>300</v>
      </c>
      <c r="C73" s="709" t="s">
        <v>662</v>
      </c>
      <c r="D73" s="687">
        <v>2849</v>
      </c>
      <c r="E73" s="687">
        <v>6121</v>
      </c>
      <c r="F73" s="700">
        <v>49</v>
      </c>
      <c r="G73" s="700" t="s">
        <v>812</v>
      </c>
      <c r="H73" s="707">
        <v>2013</v>
      </c>
      <c r="I73" s="707">
        <v>2016</v>
      </c>
      <c r="J73" s="703">
        <v>8500</v>
      </c>
      <c r="K73" s="703"/>
      <c r="L73" s="703"/>
      <c r="M73" s="703"/>
      <c r="N73" s="703">
        <v>10</v>
      </c>
      <c r="O73" s="703"/>
      <c r="P73" s="695">
        <f t="shared" si="8"/>
        <v>0</v>
      </c>
      <c r="Q73" s="704">
        <v>500</v>
      </c>
      <c r="R73" s="704"/>
      <c r="S73" s="704"/>
      <c r="T73" s="700" t="s">
        <v>813</v>
      </c>
    </row>
    <row r="74" spans="1:20" ht="12.75">
      <c r="A74" s="686">
        <f aca="true" t="shared" si="10" ref="A74:A96">A73+1</f>
        <v>67</v>
      </c>
      <c r="B74" s="701" t="s">
        <v>300</v>
      </c>
      <c r="C74" s="709" t="s">
        <v>662</v>
      </c>
      <c r="D74" s="687">
        <v>2874</v>
      </c>
      <c r="E74" s="687">
        <v>6121</v>
      </c>
      <c r="F74" s="710">
        <v>49</v>
      </c>
      <c r="G74" s="700" t="s">
        <v>814</v>
      </c>
      <c r="H74" s="687">
        <v>2013</v>
      </c>
      <c r="I74" s="687">
        <v>2018</v>
      </c>
      <c r="J74" s="703">
        <v>1600</v>
      </c>
      <c r="K74" s="703"/>
      <c r="L74" s="703"/>
      <c r="M74" s="703"/>
      <c r="N74" s="703">
        <v>10</v>
      </c>
      <c r="O74" s="703"/>
      <c r="P74" s="695">
        <f t="shared" si="8"/>
        <v>0</v>
      </c>
      <c r="Q74" s="704">
        <v>800</v>
      </c>
      <c r="R74" s="704"/>
      <c r="S74" s="704"/>
      <c r="T74" s="700" t="s">
        <v>813</v>
      </c>
    </row>
    <row r="75" spans="1:20" ht="12.75">
      <c r="A75" s="686">
        <f t="shared" si="10"/>
        <v>68</v>
      </c>
      <c r="B75" s="701" t="s">
        <v>300</v>
      </c>
      <c r="C75" s="709" t="s">
        <v>662</v>
      </c>
      <c r="D75" s="687">
        <v>2875</v>
      </c>
      <c r="E75" s="687">
        <v>6121</v>
      </c>
      <c r="F75" s="710">
        <v>49</v>
      </c>
      <c r="G75" s="700" t="s">
        <v>815</v>
      </c>
      <c r="H75" s="687">
        <v>2013</v>
      </c>
      <c r="I75" s="687">
        <v>2015</v>
      </c>
      <c r="J75" s="703">
        <v>16000</v>
      </c>
      <c r="K75" s="703"/>
      <c r="L75" s="703"/>
      <c r="M75" s="703"/>
      <c r="N75" s="703">
        <v>10</v>
      </c>
      <c r="O75" s="703"/>
      <c r="P75" s="695">
        <f t="shared" si="8"/>
        <v>0</v>
      </c>
      <c r="Q75" s="704">
        <v>9873</v>
      </c>
      <c r="R75" s="704">
        <v>3000</v>
      </c>
      <c r="S75" s="704"/>
      <c r="T75" s="700" t="s">
        <v>813</v>
      </c>
    </row>
    <row r="76" spans="1:20" ht="12.75">
      <c r="A76" s="686">
        <f t="shared" si="10"/>
        <v>69</v>
      </c>
      <c r="B76" s="701" t="s">
        <v>300</v>
      </c>
      <c r="C76" s="709" t="s">
        <v>662</v>
      </c>
      <c r="D76" s="687">
        <v>2882</v>
      </c>
      <c r="E76" s="687">
        <v>6121</v>
      </c>
      <c r="F76" s="710">
        <v>49</v>
      </c>
      <c r="G76" s="700" t="s">
        <v>816</v>
      </c>
      <c r="H76" s="687">
        <v>2013</v>
      </c>
      <c r="I76" s="687">
        <v>2016</v>
      </c>
      <c r="J76" s="703">
        <v>7160</v>
      </c>
      <c r="K76" s="703"/>
      <c r="L76" s="703"/>
      <c r="M76" s="703"/>
      <c r="N76" s="703">
        <v>50</v>
      </c>
      <c r="O76" s="703"/>
      <c r="P76" s="695">
        <f t="shared" si="8"/>
        <v>0</v>
      </c>
      <c r="Q76" s="704">
        <v>750</v>
      </c>
      <c r="R76" s="704"/>
      <c r="S76" s="704">
        <v>6360</v>
      </c>
      <c r="T76" s="700" t="s">
        <v>813</v>
      </c>
    </row>
    <row r="77" spans="1:20" ht="12.75">
      <c r="A77" s="686">
        <f t="shared" si="10"/>
        <v>70</v>
      </c>
      <c r="B77" s="701" t="s">
        <v>300</v>
      </c>
      <c r="C77" s="709" t="s">
        <v>662</v>
      </c>
      <c r="D77" s="687">
        <v>2911</v>
      </c>
      <c r="E77" s="687">
        <v>6121</v>
      </c>
      <c r="F77" s="710">
        <v>49</v>
      </c>
      <c r="G77" s="700" t="s">
        <v>817</v>
      </c>
      <c r="H77" s="687">
        <v>2012</v>
      </c>
      <c r="I77" s="687">
        <v>2014</v>
      </c>
      <c r="J77" s="703">
        <v>3370</v>
      </c>
      <c r="K77" s="703"/>
      <c r="L77" s="703">
        <f>323</f>
        <v>323</v>
      </c>
      <c r="M77" s="703">
        <v>2610</v>
      </c>
      <c r="N77" s="703">
        <v>3027</v>
      </c>
      <c r="O77" s="703">
        <v>3027</v>
      </c>
      <c r="P77" s="695">
        <f t="shared" si="8"/>
        <v>1</v>
      </c>
      <c r="Q77" s="704">
        <v>20</v>
      </c>
      <c r="R77" s="704"/>
      <c r="S77" s="704"/>
      <c r="T77" s="700" t="s">
        <v>813</v>
      </c>
    </row>
    <row r="78" spans="1:20" ht="12.75">
      <c r="A78" s="686">
        <f t="shared" si="10"/>
        <v>71</v>
      </c>
      <c r="B78" s="701" t="s">
        <v>300</v>
      </c>
      <c r="C78" s="709" t="s">
        <v>662</v>
      </c>
      <c r="D78" s="687">
        <v>2916</v>
      </c>
      <c r="E78" s="687">
        <v>6121</v>
      </c>
      <c r="F78" s="710">
        <v>49</v>
      </c>
      <c r="G78" s="700" t="s">
        <v>818</v>
      </c>
      <c r="H78" s="687">
        <v>2012</v>
      </c>
      <c r="I78" s="687">
        <v>2014</v>
      </c>
      <c r="J78" s="703">
        <v>3007</v>
      </c>
      <c r="K78" s="703"/>
      <c r="L78" s="703">
        <f>191</f>
        <v>191</v>
      </c>
      <c r="M78" s="703"/>
      <c r="N78" s="703">
        <v>70</v>
      </c>
      <c r="O78" s="703">
        <v>53</v>
      </c>
      <c r="P78" s="695">
        <f t="shared" si="8"/>
        <v>0.7571428571428571</v>
      </c>
      <c r="Q78" s="704">
        <v>2746</v>
      </c>
      <c r="R78" s="704"/>
      <c r="S78" s="704"/>
      <c r="T78" s="700" t="s">
        <v>813</v>
      </c>
    </row>
    <row r="79" spans="1:20" ht="12.75">
      <c r="A79" s="686">
        <f t="shared" si="10"/>
        <v>72</v>
      </c>
      <c r="B79" s="701" t="s">
        <v>300</v>
      </c>
      <c r="C79" s="709" t="s">
        <v>662</v>
      </c>
      <c r="D79" s="687">
        <v>2917</v>
      </c>
      <c r="E79" s="687">
        <v>6121</v>
      </c>
      <c r="F79" s="710">
        <v>49</v>
      </c>
      <c r="G79" s="700" t="s">
        <v>819</v>
      </c>
      <c r="H79" s="687">
        <v>2012</v>
      </c>
      <c r="I79" s="687">
        <v>2015</v>
      </c>
      <c r="J79" s="703">
        <v>5620</v>
      </c>
      <c r="K79" s="703"/>
      <c r="L79" s="703"/>
      <c r="M79" s="703">
        <v>700</v>
      </c>
      <c r="N79" s="703"/>
      <c r="O79" s="703"/>
      <c r="P79" s="695" t="str">
        <f t="shared" si="8"/>
        <v> </v>
      </c>
      <c r="Q79" s="704">
        <v>1000</v>
      </c>
      <c r="R79" s="704">
        <v>4820</v>
      </c>
      <c r="S79" s="704"/>
      <c r="T79" s="700" t="s">
        <v>813</v>
      </c>
    </row>
    <row r="80" spans="1:20" ht="12.75">
      <c r="A80" s="686">
        <f t="shared" si="10"/>
        <v>73</v>
      </c>
      <c r="B80" s="701">
        <v>5600</v>
      </c>
      <c r="C80" s="709" t="s">
        <v>662</v>
      </c>
      <c r="D80" s="707">
        <v>2940</v>
      </c>
      <c r="E80" s="705" t="s">
        <v>820</v>
      </c>
      <c r="F80" s="700">
        <v>49</v>
      </c>
      <c r="G80" s="700" t="s">
        <v>821</v>
      </c>
      <c r="H80" s="705">
        <v>2011</v>
      </c>
      <c r="I80" s="707">
        <v>2013</v>
      </c>
      <c r="J80" s="703">
        <v>5800</v>
      </c>
      <c r="K80" s="703"/>
      <c r="L80" s="703">
        <f>693</f>
        <v>693</v>
      </c>
      <c r="M80" s="703">
        <v>5605</v>
      </c>
      <c r="N80" s="703">
        <v>5107</v>
      </c>
      <c r="O80" s="703">
        <v>5099</v>
      </c>
      <c r="P80" s="695">
        <f t="shared" si="8"/>
        <v>0.9984335226160173</v>
      </c>
      <c r="Q80" s="704"/>
      <c r="R80" s="704"/>
      <c r="S80" s="704"/>
      <c r="T80" s="700" t="s">
        <v>813</v>
      </c>
    </row>
    <row r="81" spans="1:20" ht="12.75">
      <c r="A81" s="686">
        <f t="shared" si="10"/>
        <v>74</v>
      </c>
      <c r="B81" s="701">
        <v>5600</v>
      </c>
      <c r="C81" s="709" t="s">
        <v>662</v>
      </c>
      <c r="D81" s="707">
        <v>2941</v>
      </c>
      <c r="E81" s="705" t="s">
        <v>820</v>
      </c>
      <c r="F81" s="700">
        <v>49</v>
      </c>
      <c r="G81" s="700" t="s">
        <v>822</v>
      </c>
      <c r="H81" s="705">
        <v>2011</v>
      </c>
      <c r="I81" s="707">
        <v>2013</v>
      </c>
      <c r="J81" s="703">
        <v>2598</v>
      </c>
      <c r="K81" s="703"/>
      <c r="L81" s="703">
        <f>310</f>
        <v>310</v>
      </c>
      <c r="M81" s="703">
        <v>2782</v>
      </c>
      <c r="N81" s="703">
        <v>2288</v>
      </c>
      <c r="O81" s="703">
        <v>2279</v>
      </c>
      <c r="P81" s="695">
        <f t="shared" si="8"/>
        <v>0.9960664335664335</v>
      </c>
      <c r="Q81" s="704"/>
      <c r="R81" s="704"/>
      <c r="S81" s="704"/>
      <c r="T81" s="700" t="s">
        <v>813</v>
      </c>
    </row>
    <row r="82" spans="1:20" ht="12.75">
      <c r="A82" s="686">
        <f t="shared" si="10"/>
        <v>75</v>
      </c>
      <c r="B82" s="701">
        <v>5600</v>
      </c>
      <c r="C82" s="709" t="s">
        <v>662</v>
      </c>
      <c r="D82" s="707">
        <v>2942</v>
      </c>
      <c r="E82" s="705" t="s">
        <v>820</v>
      </c>
      <c r="F82" s="700">
        <v>49</v>
      </c>
      <c r="G82" s="700" t="s">
        <v>823</v>
      </c>
      <c r="H82" s="705">
        <v>2011</v>
      </c>
      <c r="I82" s="705">
        <v>2013</v>
      </c>
      <c r="J82" s="703">
        <v>3225</v>
      </c>
      <c r="K82" s="703"/>
      <c r="L82" s="703">
        <f>505</f>
        <v>505</v>
      </c>
      <c r="M82" s="703">
        <v>2720</v>
      </c>
      <c r="N82" s="703">
        <v>2720</v>
      </c>
      <c r="O82" s="703">
        <v>2689</v>
      </c>
      <c r="P82" s="695">
        <f t="shared" si="8"/>
        <v>0.9886029411764706</v>
      </c>
      <c r="Q82" s="704"/>
      <c r="R82" s="704"/>
      <c r="S82" s="704"/>
      <c r="T82" s="700" t="s">
        <v>813</v>
      </c>
    </row>
    <row r="83" spans="1:20" ht="12.75">
      <c r="A83" s="686">
        <f t="shared" si="10"/>
        <v>76</v>
      </c>
      <c r="B83" s="705">
        <v>5600</v>
      </c>
      <c r="C83" s="709" t="s">
        <v>662</v>
      </c>
      <c r="D83" s="687">
        <v>2953</v>
      </c>
      <c r="E83" s="687">
        <v>6121</v>
      </c>
      <c r="F83" s="700">
        <v>49</v>
      </c>
      <c r="G83" s="700" t="s">
        <v>824</v>
      </c>
      <c r="H83" s="687">
        <v>2011</v>
      </c>
      <c r="I83" s="687">
        <v>2016</v>
      </c>
      <c r="J83" s="703">
        <v>43000</v>
      </c>
      <c r="K83" s="703"/>
      <c r="L83" s="703"/>
      <c r="M83" s="703">
        <v>1000</v>
      </c>
      <c r="N83" s="703"/>
      <c r="O83" s="703"/>
      <c r="P83" s="695" t="str">
        <f t="shared" si="8"/>
        <v> </v>
      </c>
      <c r="Q83" s="704">
        <v>2000</v>
      </c>
      <c r="R83" s="704">
        <v>25000</v>
      </c>
      <c r="S83" s="704">
        <v>15000</v>
      </c>
      <c r="T83" s="700" t="s">
        <v>813</v>
      </c>
    </row>
    <row r="84" spans="1:20" ht="12.75">
      <c r="A84" s="686">
        <f t="shared" si="10"/>
        <v>77</v>
      </c>
      <c r="B84" s="701" t="s">
        <v>300</v>
      </c>
      <c r="C84" s="709" t="s">
        <v>662</v>
      </c>
      <c r="D84" s="687">
        <v>2975</v>
      </c>
      <c r="E84" s="687">
        <v>6121</v>
      </c>
      <c r="F84" s="700">
        <v>49</v>
      </c>
      <c r="G84" s="700" t="s">
        <v>825</v>
      </c>
      <c r="H84" s="707">
        <v>2010</v>
      </c>
      <c r="I84" s="707">
        <v>2014</v>
      </c>
      <c r="J84" s="703">
        <v>23364</v>
      </c>
      <c r="K84" s="703"/>
      <c r="L84" s="703"/>
      <c r="M84" s="703">
        <v>970</v>
      </c>
      <c r="N84" s="703">
        <v>970</v>
      </c>
      <c r="O84" s="703">
        <v>912</v>
      </c>
      <c r="P84" s="695">
        <f t="shared" si="8"/>
        <v>0.9402061855670103</v>
      </c>
      <c r="Q84" s="704">
        <v>22394</v>
      </c>
      <c r="R84" s="704"/>
      <c r="S84" s="704"/>
      <c r="T84" s="700" t="s">
        <v>813</v>
      </c>
    </row>
    <row r="85" spans="1:20" ht="12.75">
      <c r="A85" s="686">
        <f t="shared" si="10"/>
        <v>78</v>
      </c>
      <c r="B85" s="701" t="s">
        <v>300</v>
      </c>
      <c r="C85" s="709" t="s">
        <v>662</v>
      </c>
      <c r="D85" s="687">
        <v>2991</v>
      </c>
      <c r="E85" s="687">
        <v>6121</v>
      </c>
      <c r="F85" s="700">
        <v>49</v>
      </c>
      <c r="G85" s="700" t="s">
        <v>826</v>
      </c>
      <c r="H85" s="707">
        <v>2010</v>
      </c>
      <c r="I85" s="707">
        <v>2013</v>
      </c>
      <c r="J85" s="703">
        <v>6430</v>
      </c>
      <c r="K85" s="703"/>
      <c r="L85" s="703">
        <f>619+2283</f>
        <v>2902</v>
      </c>
      <c r="M85" s="703">
        <v>3615</v>
      </c>
      <c r="N85" s="703">
        <v>3527</v>
      </c>
      <c r="O85" s="703">
        <v>3497</v>
      </c>
      <c r="P85" s="695">
        <f t="shared" si="8"/>
        <v>0.9914941876949248</v>
      </c>
      <c r="Q85" s="704"/>
      <c r="R85" s="704"/>
      <c r="S85" s="704"/>
      <c r="T85" s="700" t="s">
        <v>813</v>
      </c>
    </row>
    <row r="86" spans="1:20" ht="12.75">
      <c r="A86" s="686">
        <f t="shared" si="10"/>
        <v>79</v>
      </c>
      <c r="B86" s="701" t="s">
        <v>300</v>
      </c>
      <c r="C86" s="709" t="s">
        <v>662</v>
      </c>
      <c r="D86" s="687">
        <v>3085</v>
      </c>
      <c r="E86" s="687">
        <v>6121</v>
      </c>
      <c r="F86" s="700">
        <v>49</v>
      </c>
      <c r="G86" s="700" t="s">
        <v>827</v>
      </c>
      <c r="H86" s="707">
        <v>2009</v>
      </c>
      <c r="I86" s="687">
        <v>2013</v>
      </c>
      <c r="J86" s="703">
        <v>88416</v>
      </c>
      <c r="K86" s="703"/>
      <c r="L86" s="703">
        <f>2197+30446+55373</f>
        <v>88016</v>
      </c>
      <c r="M86" s="703">
        <v>374</v>
      </c>
      <c r="N86" s="703">
        <v>400</v>
      </c>
      <c r="O86" s="703">
        <v>390</v>
      </c>
      <c r="P86" s="695">
        <f t="shared" si="8"/>
        <v>0.975</v>
      </c>
      <c r="Q86" s="704"/>
      <c r="R86" s="704"/>
      <c r="S86" s="704"/>
      <c r="T86" s="700" t="s">
        <v>813</v>
      </c>
    </row>
    <row r="87" spans="1:20" ht="12.75">
      <c r="A87" s="686">
        <f t="shared" si="10"/>
        <v>80</v>
      </c>
      <c r="B87" s="701" t="s">
        <v>300</v>
      </c>
      <c r="C87" s="709" t="s">
        <v>662</v>
      </c>
      <c r="D87" s="687">
        <v>3106</v>
      </c>
      <c r="E87" s="687">
        <v>6121</v>
      </c>
      <c r="F87" s="700">
        <v>49</v>
      </c>
      <c r="G87" s="700" t="s">
        <v>828</v>
      </c>
      <c r="H87" s="707">
        <v>2009</v>
      </c>
      <c r="I87" s="707">
        <v>2013</v>
      </c>
      <c r="J87" s="703">
        <v>5464</v>
      </c>
      <c r="K87" s="703"/>
      <c r="L87" s="703">
        <f>556+4238</f>
        <v>4794</v>
      </c>
      <c r="M87" s="703">
        <v>1290</v>
      </c>
      <c r="N87" s="703">
        <v>670</v>
      </c>
      <c r="O87" s="703">
        <v>658</v>
      </c>
      <c r="P87" s="695">
        <f t="shared" si="8"/>
        <v>0.982089552238806</v>
      </c>
      <c r="Q87" s="704"/>
      <c r="R87" s="704"/>
      <c r="S87" s="704"/>
      <c r="T87" s="700" t="s">
        <v>813</v>
      </c>
    </row>
    <row r="88" spans="1:20" ht="12.75">
      <c r="A88" s="686">
        <f t="shared" si="10"/>
        <v>81</v>
      </c>
      <c r="B88" s="701" t="s">
        <v>300</v>
      </c>
      <c r="C88" s="709" t="s">
        <v>662</v>
      </c>
      <c r="D88" s="687">
        <v>3124</v>
      </c>
      <c r="E88" s="687">
        <v>6121</v>
      </c>
      <c r="F88" s="700">
        <v>49</v>
      </c>
      <c r="G88" s="700" t="s">
        <v>829</v>
      </c>
      <c r="H88" s="707">
        <v>2008</v>
      </c>
      <c r="I88" s="687">
        <v>2016</v>
      </c>
      <c r="J88" s="703">
        <v>24900</v>
      </c>
      <c r="K88" s="703"/>
      <c r="L88" s="703">
        <v>986</v>
      </c>
      <c r="M88" s="703"/>
      <c r="N88" s="703"/>
      <c r="O88" s="703"/>
      <c r="P88" s="695" t="str">
        <f t="shared" si="8"/>
        <v> </v>
      </c>
      <c r="Q88" s="704">
        <v>1000</v>
      </c>
      <c r="R88" s="704">
        <v>1000</v>
      </c>
      <c r="S88" s="704">
        <v>23914</v>
      </c>
      <c r="T88" s="700" t="s">
        <v>813</v>
      </c>
    </row>
    <row r="89" spans="1:20" ht="12.75">
      <c r="A89" s="686">
        <f t="shared" si="10"/>
        <v>82</v>
      </c>
      <c r="B89" s="701" t="s">
        <v>300</v>
      </c>
      <c r="C89" s="709" t="s">
        <v>662</v>
      </c>
      <c r="D89" s="687">
        <v>3161</v>
      </c>
      <c r="E89" s="687">
        <v>6121</v>
      </c>
      <c r="F89" s="700">
        <v>49</v>
      </c>
      <c r="G89" s="700" t="s">
        <v>830</v>
      </c>
      <c r="H89" s="707">
        <v>2007</v>
      </c>
      <c r="I89" s="707">
        <v>2017</v>
      </c>
      <c r="J89" s="703">
        <v>1900</v>
      </c>
      <c r="K89" s="703"/>
      <c r="L89" s="703"/>
      <c r="M89" s="703"/>
      <c r="N89" s="703"/>
      <c r="O89" s="703"/>
      <c r="P89" s="695" t="str">
        <f t="shared" si="8"/>
        <v> </v>
      </c>
      <c r="Q89" s="704"/>
      <c r="R89" s="704"/>
      <c r="S89" s="704">
        <v>1900</v>
      </c>
      <c r="T89" s="700" t="s">
        <v>813</v>
      </c>
    </row>
    <row r="90" spans="1:20" ht="12.75">
      <c r="A90" s="686">
        <f t="shared" si="10"/>
        <v>83</v>
      </c>
      <c r="B90" s="701" t="s">
        <v>300</v>
      </c>
      <c r="C90" s="709" t="s">
        <v>662</v>
      </c>
      <c r="D90" s="687">
        <v>3203</v>
      </c>
      <c r="E90" s="687">
        <v>6121</v>
      </c>
      <c r="F90" s="700">
        <v>49</v>
      </c>
      <c r="G90" s="700" t="s">
        <v>831</v>
      </c>
      <c r="H90" s="707">
        <v>2006</v>
      </c>
      <c r="I90" s="707">
        <v>2017</v>
      </c>
      <c r="J90" s="703">
        <v>30000</v>
      </c>
      <c r="K90" s="703"/>
      <c r="L90" s="703">
        <f>18245+913</f>
        <v>19158</v>
      </c>
      <c r="M90" s="703">
        <v>2000</v>
      </c>
      <c r="N90" s="703"/>
      <c r="O90" s="703"/>
      <c r="P90" s="695" t="str">
        <f t="shared" si="8"/>
        <v> </v>
      </c>
      <c r="Q90" s="704">
        <v>2000</v>
      </c>
      <c r="R90" s="704">
        <v>2000</v>
      </c>
      <c r="S90" s="704">
        <f>2000+2842</f>
        <v>4842</v>
      </c>
      <c r="T90" s="700" t="s">
        <v>813</v>
      </c>
    </row>
    <row r="91" spans="1:20" ht="12.75">
      <c r="A91" s="686">
        <f t="shared" si="10"/>
        <v>84</v>
      </c>
      <c r="B91" s="701" t="s">
        <v>300</v>
      </c>
      <c r="C91" s="709" t="s">
        <v>662</v>
      </c>
      <c r="D91" s="687">
        <v>3362</v>
      </c>
      <c r="E91" s="687">
        <v>6121</v>
      </c>
      <c r="F91" s="700">
        <v>49</v>
      </c>
      <c r="G91" s="700" t="s">
        <v>832</v>
      </c>
      <c r="H91" s="707">
        <v>2005</v>
      </c>
      <c r="I91" s="687">
        <v>2013</v>
      </c>
      <c r="J91" s="703">
        <v>9380</v>
      </c>
      <c r="K91" s="703"/>
      <c r="L91" s="703">
        <v>9380</v>
      </c>
      <c r="M91" s="703"/>
      <c r="N91" s="703"/>
      <c r="O91" s="703"/>
      <c r="P91" s="695" t="str">
        <f t="shared" si="8"/>
        <v> </v>
      </c>
      <c r="Q91" s="704"/>
      <c r="R91" s="704"/>
      <c r="S91" s="704">
        <v>38770</v>
      </c>
      <c r="T91" s="700" t="s">
        <v>813</v>
      </c>
    </row>
    <row r="92" spans="1:20" ht="12.75">
      <c r="A92" s="686">
        <f t="shared" si="10"/>
        <v>85</v>
      </c>
      <c r="B92" s="701" t="s">
        <v>300</v>
      </c>
      <c r="C92" s="709" t="s">
        <v>662</v>
      </c>
      <c r="D92" s="687">
        <v>3403</v>
      </c>
      <c r="E92" s="687">
        <v>6121</v>
      </c>
      <c r="F92" s="700">
        <v>49</v>
      </c>
      <c r="G92" s="700" t="s">
        <v>833</v>
      </c>
      <c r="H92" s="707">
        <v>2004</v>
      </c>
      <c r="I92" s="687">
        <v>2013</v>
      </c>
      <c r="J92" s="703">
        <v>103</v>
      </c>
      <c r="K92" s="703"/>
      <c r="L92" s="703">
        <v>103</v>
      </c>
      <c r="M92" s="703"/>
      <c r="N92" s="703"/>
      <c r="O92" s="703"/>
      <c r="P92" s="695" t="str">
        <f t="shared" si="8"/>
        <v> </v>
      </c>
      <c r="Q92" s="704"/>
      <c r="R92" s="704"/>
      <c r="S92" s="704"/>
      <c r="T92" s="700" t="s">
        <v>813</v>
      </c>
    </row>
    <row r="93" spans="1:20" ht="12.75">
      <c r="A93" s="686">
        <f t="shared" si="10"/>
        <v>86</v>
      </c>
      <c r="B93" s="701" t="s">
        <v>300</v>
      </c>
      <c r="C93" s="709" t="s">
        <v>662</v>
      </c>
      <c r="D93" s="687">
        <v>3404</v>
      </c>
      <c r="E93" s="687">
        <v>6121</v>
      </c>
      <c r="F93" s="700">
        <v>49</v>
      </c>
      <c r="G93" s="700" t="s">
        <v>834</v>
      </c>
      <c r="H93" s="707">
        <v>2004</v>
      </c>
      <c r="I93" s="707">
        <v>2014</v>
      </c>
      <c r="J93" s="703">
        <v>13087</v>
      </c>
      <c r="K93" s="703"/>
      <c r="L93" s="703">
        <f>194</f>
        <v>194</v>
      </c>
      <c r="M93" s="703"/>
      <c r="N93" s="703">
        <v>60</v>
      </c>
      <c r="O93" s="703">
        <v>52</v>
      </c>
      <c r="P93" s="695">
        <f t="shared" si="8"/>
        <v>0.8666666666666667</v>
      </c>
      <c r="Q93" s="704">
        <v>12833</v>
      </c>
      <c r="R93" s="704"/>
      <c r="S93" s="704"/>
      <c r="T93" s="700" t="s">
        <v>813</v>
      </c>
    </row>
    <row r="94" spans="1:20" ht="12.75">
      <c r="A94" s="686">
        <f t="shared" si="10"/>
        <v>87</v>
      </c>
      <c r="B94" s="701" t="s">
        <v>300</v>
      </c>
      <c r="C94" s="709" t="s">
        <v>662</v>
      </c>
      <c r="D94" s="687">
        <v>3409</v>
      </c>
      <c r="E94" s="687">
        <v>6121</v>
      </c>
      <c r="F94" s="700">
        <v>49</v>
      </c>
      <c r="G94" s="700" t="s">
        <v>835</v>
      </c>
      <c r="H94" s="707">
        <v>2004</v>
      </c>
      <c r="I94" s="687">
        <v>2017</v>
      </c>
      <c r="J94" s="703">
        <v>3670</v>
      </c>
      <c r="K94" s="703"/>
      <c r="L94" s="703"/>
      <c r="M94" s="703"/>
      <c r="N94" s="703"/>
      <c r="O94" s="703"/>
      <c r="P94" s="695" t="str">
        <f t="shared" si="8"/>
        <v> </v>
      </c>
      <c r="Q94" s="704"/>
      <c r="R94" s="704"/>
      <c r="S94" s="704">
        <v>3670</v>
      </c>
      <c r="T94" s="700" t="s">
        <v>813</v>
      </c>
    </row>
    <row r="95" spans="1:20" ht="12.75">
      <c r="A95" s="686">
        <f t="shared" si="10"/>
        <v>88</v>
      </c>
      <c r="B95" s="701" t="s">
        <v>300</v>
      </c>
      <c r="C95" s="709" t="s">
        <v>662</v>
      </c>
      <c r="D95" s="687">
        <v>4052</v>
      </c>
      <c r="E95" s="687">
        <v>6122</v>
      </c>
      <c r="F95" s="700">
        <v>49</v>
      </c>
      <c r="G95" s="700" t="s">
        <v>836</v>
      </c>
      <c r="H95" s="707">
        <v>1996</v>
      </c>
      <c r="I95" s="687">
        <v>2018</v>
      </c>
      <c r="J95" s="703">
        <v>98988</v>
      </c>
      <c r="K95" s="703"/>
      <c r="L95" s="703">
        <f>55189+5000+5000</f>
        <v>65189</v>
      </c>
      <c r="M95" s="703">
        <v>5000</v>
      </c>
      <c r="N95" s="703">
        <v>5000</v>
      </c>
      <c r="O95" s="703">
        <v>3969</v>
      </c>
      <c r="P95" s="695">
        <f t="shared" si="8"/>
        <v>0.7938</v>
      </c>
      <c r="Q95" s="704">
        <v>5000</v>
      </c>
      <c r="R95" s="704">
        <v>5000</v>
      </c>
      <c r="S95" s="704">
        <v>23799</v>
      </c>
      <c r="T95" s="700" t="s">
        <v>813</v>
      </c>
    </row>
    <row r="96" spans="1:20" ht="12.75">
      <c r="A96" s="686">
        <f t="shared" si="10"/>
        <v>89</v>
      </c>
      <c r="B96" s="701" t="s">
        <v>300</v>
      </c>
      <c r="C96" s="709" t="s">
        <v>662</v>
      </c>
      <c r="D96" s="687">
        <v>4193</v>
      </c>
      <c r="E96" s="687">
        <v>6121</v>
      </c>
      <c r="F96" s="700">
        <v>49</v>
      </c>
      <c r="G96" s="700" t="s">
        <v>837</v>
      </c>
      <c r="H96" s="707">
        <v>1998</v>
      </c>
      <c r="I96" s="707">
        <v>2018</v>
      </c>
      <c r="J96" s="703">
        <v>251230</v>
      </c>
      <c r="K96" s="703"/>
      <c r="L96" s="703">
        <f>162395+5548+166</f>
        <v>168109</v>
      </c>
      <c r="M96" s="703">
        <v>14000</v>
      </c>
      <c r="N96" s="703">
        <v>650</v>
      </c>
      <c r="O96" s="703">
        <v>616</v>
      </c>
      <c r="P96" s="695">
        <f t="shared" si="8"/>
        <v>0.9476923076923077</v>
      </c>
      <c r="Q96" s="704">
        <v>28000</v>
      </c>
      <c r="R96" s="704">
        <v>12000</v>
      </c>
      <c r="S96" s="704">
        <v>69121</v>
      </c>
      <c r="T96" s="700" t="s">
        <v>813</v>
      </c>
    </row>
    <row r="97" spans="1:20" ht="12.75">
      <c r="A97" s="686"/>
      <c r="B97" s="701"/>
      <c r="C97" s="711" t="s">
        <v>838</v>
      </c>
      <c r="D97" s="687"/>
      <c r="E97" s="687"/>
      <c r="F97" s="700"/>
      <c r="G97" s="700"/>
      <c r="H97" s="707"/>
      <c r="I97" s="707"/>
      <c r="J97" s="703">
        <f aca="true" t="shared" si="11" ref="J97:O97">SUBTOTAL(9,J73:J96)</f>
        <v>656812</v>
      </c>
      <c r="K97" s="703">
        <f t="shared" si="11"/>
        <v>0</v>
      </c>
      <c r="L97" s="703">
        <f t="shared" si="11"/>
        <v>360853</v>
      </c>
      <c r="M97" s="703">
        <f t="shared" si="11"/>
        <v>42666</v>
      </c>
      <c r="N97" s="703">
        <f t="shared" si="11"/>
        <v>24569</v>
      </c>
      <c r="O97" s="703">
        <f t="shared" si="11"/>
        <v>23241</v>
      </c>
      <c r="P97" s="695">
        <f t="shared" si="8"/>
        <v>0.9459481460376897</v>
      </c>
      <c r="Q97" s="704">
        <f>SUBTOTAL(9,Q73:Q96)</f>
        <v>88916</v>
      </c>
      <c r="R97" s="704">
        <f>SUBTOTAL(9,R73:R96)</f>
        <v>52820</v>
      </c>
      <c r="S97" s="704">
        <f>SUBTOTAL(9,S73:S96)</f>
        <v>187376</v>
      </c>
      <c r="T97" s="700"/>
    </row>
    <row r="98" spans="1:20" ht="12.75">
      <c r="A98" s="686">
        <f>A96+1</f>
        <v>90</v>
      </c>
      <c r="B98" s="701" t="s">
        <v>300</v>
      </c>
      <c r="C98" s="687" t="s">
        <v>663</v>
      </c>
      <c r="D98" s="687">
        <v>2846</v>
      </c>
      <c r="E98" s="687">
        <v>6121</v>
      </c>
      <c r="F98" s="700">
        <v>49</v>
      </c>
      <c r="G98" s="700" t="s">
        <v>839</v>
      </c>
      <c r="H98" s="707">
        <v>2013</v>
      </c>
      <c r="I98" s="687">
        <v>2018</v>
      </c>
      <c r="J98" s="703">
        <v>53000</v>
      </c>
      <c r="K98" s="703"/>
      <c r="L98" s="703"/>
      <c r="M98" s="703"/>
      <c r="N98" s="703">
        <v>10</v>
      </c>
      <c r="O98" s="703"/>
      <c r="P98" s="695">
        <f t="shared" si="8"/>
        <v>0</v>
      </c>
      <c r="Q98" s="704">
        <v>900</v>
      </c>
      <c r="R98" s="704"/>
      <c r="S98" s="704"/>
      <c r="T98" s="700" t="s">
        <v>813</v>
      </c>
    </row>
    <row r="99" spans="1:20" ht="12.75">
      <c r="A99" s="686">
        <f aca="true" t="shared" si="12" ref="A99:A162">A98+1</f>
        <v>91</v>
      </c>
      <c r="B99" s="701" t="s">
        <v>300</v>
      </c>
      <c r="C99" s="687" t="s">
        <v>663</v>
      </c>
      <c r="D99" s="687">
        <v>2847</v>
      </c>
      <c r="E99" s="687">
        <v>6121</v>
      </c>
      <c r="F99" s="700">
        <v>49</v>
      </c>
      <c r="G99" s="700" t="s">
        <v>840</v>
      </c>
      <c r="H99" s="707">
        <v>2013</v>
      </c>
      <c r="I99" s="687">
        <v>2017</v>
      </c>
      <c r="J99" s="703">
        <v>34200</v>
      </c>
      <c r="K99" s="703"/>
      <c r="L99" s="703"/>
      <c r="M99" s="703"/>
      <c r="N99" s="703">
        <v>10</v>
      </c>
      <c r="O99" s="703"/>
      <c r="P99" s="695">
        <f t="shared" si="8"/>
        <v>0</v>
      </c>
      <c r="Q99" s="704">
        <v>1800</v>
      </c>
      <c r="R99" s="704"/>
      <c r="S99" s="704"/>
      <c r="T99" s="700" t="s">
        <v>813</v>
      </c>
    </row>
    <row r="100" spans="1:20" ht="12.75">
      <c r="A100" s="686">
        <f t="shared" si="12"/>
        <v>92</v>
      </c>
      <c r="B100" s="701" t="s">
        <v>300</v>
      </c>
      <c r="C100" s="687" t="s">
        <v>663</v>
      </c>
      <c r="D100" s="687">
        <v>2848</v>
      </c>
      <c r="E100" s="687">
        <v>6121</v>
      </c>
      <c r="F100" s="700">
        <v>49</v>
      </c>
      <c r="G100" s="700" t="s">
        <v>841</v>
      </c>
      <c r="H100" s="707">
        <v>2013</v>
      </c>
      <c r="I100" s="687">
        <v>2017</v>
      </c>
      <c r="J100" s="703">
        <v>33000</v>
      </c>
      <c r="K100" s="703"/>
      <c r="L100" s="703"/>
      <c r="M100" s="703"/>
      <c r="N100" s="703">
        <v>10</v>
      </c>
      <c r="O100" s="703"/>
      <c r="P100" s="695">
        <f t="shared" si="8"/>
        <v>0</v>
      </c>
      <c r="Q100" s="704">
        <v>1800</v>
      </c>
      <c r="R100" s="704"/>
      <c r="S100" s="704"/>
      <c r="T100" s="700" t="s">
        <v>813</v>
      </c>
    </row>
    <row r="101" spans="1:20" ht="12.75">
      <c r="A101" s="686">
        <f t="shared" si="12"/>
        <v>93</v>
      </c>
      <c r="B101" s="701" t="s">
        <v>300</v>
      </c>
      <c r="C101" s="687" t="s">
        <v>663</v>
      </c>
      <c r="D101" s="687">
        <v>2856</v>
      </c>
      <c r="E101" s="687">
        <v>6121</v>
      </c>
      <c r="F101" s="700">
        <v>49</v>
      </c>
      <c r="G101" s="700" t="s">
        <v>842</v>
      </c>
      <c r="H101" s="687">
        <v>2013</v>
      </c>
      <c r="I101" s="707">
        <v>2020</v>
      </c>
      <c r="J101" s="703">
        <v>6500</v>
      </c>
      <c r="K101" s="703"/>
      <c r="L101" s="703"/>
      <c r="M101" s="703"/>
      <c r="N101" s="703">
        <v>10</v>
      </c>
      <c r="O101" s="703"/>
      <c r="P101" s="695">
        <f t="shared" si="8"/>
        <v>0</v>
      </c>
      <c r="Q101" s="704">
        <v>1500</v>
      </c>
      <c r="R101" s="704">
        <v>4500</v>
      </c>
      <c r="S101" s="704"/>
      <c r="T101" s="700" t="s">
        <v>813</v>
      </c>
    </row>
    <row r="102" spans="1:20" ht="12.75">
      <c r="A102" s="686">
        <f t="shared" si="12"/>
        <v>94</v>
      </c>
      <c r="B102" s="701" t="s">
        <v>300</v>
      </c>
      <c r="C102" s="687" t="s">
        <v>663</v>
      </c>
      <c r="D102" s="687">
        <v>2857</v>
      </c>
      <c r="E102" s="687">
        <v>6121</v>
      </c>
      <c r="F102" s="700">
        <v>49</v>
      </c>
      <c r="G102" s="700" t="s">
        <v>843</v>
      </c>
      <c r="H102" s="687">
        <v>2013</v>
      </c>
      <c r="I102" s="707">
        <v>2020</v>
      </c>
      <c r="J102" s="703">
        <v>6500</v>
      </c>
      <c r="K102" s="703"/>
      <c r="L102" s="703"/>
      <c r="M102" s="703"/>
      <c r="N102" s="703">
        <v>10</v>
      </c>
      <c r="O102" s="703"/>
      <c r="P102" s="695">
        <f t="shared" si="8"/>
        <v>0</v>
      </c>
      <c r="Q102" s="704">
        <v>1500</v>
      </c>
      <c r="R102" s="704">
        <v>4500</v>
      </c>
      <c r="S102" s="704"/>
      <c r="T102" s="700" t="s">
        <v>813</v>
      </c>
    </row>
    <row r="103" spans="1:20" ht="12.75">
      <c r="A103" s="686">
        <f t="shared" si="12"/>
        <v>95</v>
      </c>
      <c r="B103" s="701" t="s">
        <v>300</v>
      </c>
      <c r="C103" s="687" t="s">
        <v>663</v>
      </c>
      <c r="D103" s="687">
        <v>2858</v>
      </c>
      <c r="E103" s="687">
        <v>6121</v>
      </c>
      <c r="F103" s="700">
        <v>49</v>
      </c>
      <c r="G103" s="700" t="s">
        <v>844</v>
      </c>
      <c r="H103" s="687">
        <v>2013</v>
      </c>
      <c r="I103" s="707">
        <v>2020</v>
      </c>
      <c r="J103" s="703">
        <v>6000</v>
      </c>
      <c r="K103" s="703"/>
      <c r="L103" s="703"/>
      <c r="M103" s="703"/>
      <c r="N103" s="703">
        <v>10</v>
      </c>
      <c r="O103" s="703">
        <v>1</v>
      </c>
      <c r="P103" s="695">
        <f t="shared" si="8"/>
        <v>0.1</v>
      </c>
      <c r="Q103" s="704">
        <v>2000</v>
      </c>
      <c r="R103" s="704">
        <v>3500</v>
      </c>
      <c r="S103" s="704"/>
      <c r="T103" s="700" t="s">
        <v>813</v>
      </c>
    </row>
    <row r="104" spans="1:20" ht="12.75">
      <c r="A104" s="686">
        <f t="shared" si="12"/>
        <v>96</v>
      </c>
      <c r="B104" s="701" t="s">
        <v>300</v>
      </c>
      <c r="C104" s="687" t="s">
        <v>663</v>
      </c>
      <c r="D104" s="687">
        <v>2859</v>
      </c>
      <c r="E104" s="687">
        <v>6121</v>
      </c>
      <c r="F104" s="700">
        <v>49</v>
      </c>
      <c r="G104" s="700" t="s">
        <v>845</v>
      </c>
      <c r="H104" s="687">
        <v>2013</v>
      </c>
      <c r="I104" s="707">
        <v>2018</v>
      </c>
      <c r="J104" s="703">
        <v>5000</v>
      </c>
      <c r="K104" s="703"/>
      <c r="L104" s="703"/>
      <c r="M104" s="703"/>
      <c r="N104" s="703">
        <v>10</v>
      </c>
      <c r="O104" s="703"/>
      <c r="P104" s="695">
        <f t="shared" si="8"/>
        <v>0</v>
      </c>
      <c r="Q104" s="704">
        <v>4500</v>
      </c>
      <c r="R104" s="704">
        <v>200</v>
      </c>
      <c r="S104" s="704"/>
      <c r="T104" s="700" t="s">
        <v>813</v>
      </c>
    </row>
    <row r="105" spans="1:20" ht="12.75">
      <c r="A105" s="686">
        <f t="shared" si="12"/>
        <v>97</v>
      </c>
      <c r="B105" s="701" t="s">
        <v>300</v>
      </c>
      <c r="C105" s="687" t="s">
        <v>663</v>
      </c>
      <c r="D105" s="687">
        <v>2860</v>
      </c>
      <c r="E105" s="687">
        <v>6121</v>
      </c>
      <c r="F105" s="700">
        <v>49</v>
      </c>
      <c r="G105" s="700" t="s">
        <v>846</v>
      </c>
      <c r="H105" s="687">
        <v>2013</v>
      </c>
      <c r="I105" s="707">
        <v>2015</v>
      </c>
      <c r="J105" s="703">
        <v>3000</v>
      </c>
      <c r="K105" s="703"/>
      <c r="L105" s="703"/>
      <c r="M105" s="703"/>
      <c r="N105" s="703">
        <v>10</v>
      </c>
      <c r="O105" s="703"/>
      <c r="P105" s="695">
        <f t="shared" si="8"/>
        <v>0</v>
      </c>
      <c r="Q105" s="704">
        <v>2900</v>
      </c>
      <c r="R105" s="704">
        <v>90</v>
      </c>
      <c r="S105" s="704"/>
      <c r="T105" s="700" t="s">
        <v>813</v>
      </c>
    </row>
    <row r="106" spans="1:20" ht="12.75">
      <c r="A106" s="686">
        <f t="shared" si="12"/>
        <v>98</v>
      </c>
      <c r="B106" s="701" t="s">
        <v>300</v>
      </c>
      <c r="C106" s="687" t="s">
        <v>663</v>
      </c>
      <c r="D106" s="687">
        <v>2861</v>
      </c>
      <c r="E106" s="687">
        <v>6121</v>
      </c>
      <c r="F106" s="700">
        <v>49</v>
      </c>
      <c r="G106" s="700" t="s">
        <v>847</v>
      </c>
      <c r="H106" s="687">
        <v>2013</v>
      </c>
      <c r="I106" s="707">
        <v>2016</v>
      </c>
      <c r="J106" s="703">
        <v>25811</v>
      </c>
      <c r="K106" s="703"/>
      <c r="L106" s="703"/>
      <c r="M106" s="703"/>
      <c r="N106" s="703">
        <v>10</v>
      </c>
      <c r="O106" s="703"/>
      <c r="P106" s="695">
        <f t="shared" si="8"/>
        <v>0</v>
      </c>
      <c r="Q106" s="704">
        <v>1000</v>
      </c>
      <c r="R106" s="704">
        <v>1000</v>
      </c>
      <c r="S106" s="704">
        <v>12000</v>
      </c>
      <c r="T106" s="700" t="s">
        <v>813</v>
      </c>
    </row>
    <row r="107" spans="1:20" ht="12.75">
      <c r="A107" s="686">
        <f t="shared" si="12"/>
        <v>99</v>
      </c>
      <c r="B107" s="701" t="s">
        <v>300</v>
      </c>
      <c r="C107" s="687" t="s">
        <v>663</v>
      </c>
      <c r="D107" s="687">
        <v>2862</v>
      </c>
      <c r="E107" s="687">
        <v>6121</v>
      </c>
      <c r="F107" s="700">
        <v>49</v>
      </c>
      <c r="G107" s="700" t="s">
        <v>848</v>
      </c>
      <c r="H107" s="687">
        <v>2013</v>
      </c>
      <c r="I107" s="707">
        <v>2018</v>
      </c>
      <c r="J107" s="703">
        <v>53792</v>
      </c>
      <c r="K107" s="703"/>
      <c r="L107" s="703"/>
      <c r="M107" s="703"/>
      <c r="N107" s="703">
        <v>10</v>
      </c>
      <c r="O107" s="703"/>
      <c r="P107" s="695">
        <f t="shared" si="8"/>
        <v>0</v>
      </c>
      <c r="Q107" s="704">
        <v>2500</v>
      </c>
      <c r="R107" s="704">
        <v>200</v>
      </c>
      <c r="S107" s="704"/>
      <c r="T107" s="700" t="s">
        <v>813</v>
      </c>
    </row>
    <row r="108" spans="1:20" ht="12.75">
      <c r="A108" s="686">
        <f t="shared" si="12"/>
        <v>100</v>
      </c>
      <c r="B108" s="701" t="s">
        <v>300</v>
      </c>
      <c r="C108" s="687" t="s">
        <v>663</v>
      </c>
      <c r="D108" s="687">
        <v>2863</v>
      </c>
      <c r="E108" s="687">
        <v>6121</v>
      </c>
      <c r="F108" s="700">
        <v>49</v>
      </c>
      <c r="G108" s="700" t="s">
        <v>849</v>
      </c>
      <c r="H108" s="687">
        <v>2013</v>
      </c>
      <c r="I108" s="707">
        <v>2018</v>
      </c>
      <c r="J108" s="703">
        <v>78000</v>
      </c>
      <c r="K108" s="703"/>
      <c r="L108" s="703"/>
      <c r="M108" s="703"/>
      <c r="N108" s="703">
        <v>10</v>
      </c>
      <c r="O108" s="703"/>
      <c r="P108" s="695">
        <f t="shared" si="8"/>
        <v>0</v>
      </c>
      <c r="Q108" s="704">
        <v>3000</v>
      </c>
      <c r="R108" s="704">
        <v>200</v>
      </c>
      <c r="S108" s="704"/>
      <c r="T108" s="700" t="s">
        <v>813</v>
      </c>
    </row>
    <row r="109" spans="1:20" ht="12.75">
      <c r="A109" s="686">
        <f t="shared" si="12"/>
        <v>101</v>
      </c>
      <c r="B109" s="701" t="s">
        <v>300</v>
      </c>
      <c r="C109" s="687" t="s">
        <v>663</v>
      </c>
      <c r="D109" s="687">
        <v>2864</v>
      </c>
      <c r="E109" s="687">
        <v>6121</v>
      </c>
      <c r="F109" s="700">
        <v>49</v>
      </c>
      <c r="G109" s="700" t="s">
        <v>850</v>
      </c>
      <c r="H109" s="687">
        <v>2013</v>
      </c>
      <c r="I109" s="707">
        <v>2016</v>
      </c>
      <c r="J109" s="703">
        <v>22400</v>
      </c>
      <c r="K109" s="703"/>
      <c r="L109" s="703"/>
      <c r="M109" s="703"/>
      <c r="N109" s="703">
        <v>10</v>
      </c>
      <c r="O109" s="703"/>
      <c r="P109" s="695">
        <f t="shared" si="8"/>
        <v>0</v>
      </c>
      <c r="Q109" s="704">
        <v>1500</v>
      </c>
      <c r="R109" s="704">
        <v>10890</v>
      </c>
      <c r="S109" s="704">
        <v>10000</v>
      </c>
      <c r="T109" s="700" t="s">
        <v>813</v>
      </c>
    </row>
    <row r="110" spans="1:20" ht="12.75">
      <c r="A110" s="686">
        <f t="shared" si="12"/>
        <v>102</v>
      </c>
      <c r="B110" s="701" t="s">
        <v>300</v>
      </c>
      <c r="C110" s="687" t="s">
        <v>663</v>
      </c>
      <c r="D110" s="687">
        <v>2865</v>
      </c>
      <c r="E110" s="687">
        <v>6121</v>
      </c>
      <c r="F110" s="700">
        <v>49</v>
      </c>
      <c r="G110" s="700" t="s">
        <v>851</v>
      </c>
      <c r="H110" s="687">
        <v>2013</v>
      </c>
      <c r="I110" s="707">
        <v>2017</v>
      </c>
      <c r="J110" s="703">
        <v>88140</v>
      </c>
      <c r="K110" s="703"/>
      <c r="L110" s="703"/>
      <c r="M110" s="703"/>
      <c r="N110" s="703">
        <v>10</v>
      </c>
      <c r="O110" s="703"/>
      <c r="P110" s="695">
        <f t="shared" si="8"/>
        <v>0</v>
      </c>
      <c r="Q110" s="704">
        <v>3000</v>
      </c>
      <c r="R110" s="704">
        <v>200</v>
      </c>
      <c r="S110" s="704">
        <f>10754+74176</f>
        <v>84930</v>
      </c>
      <c r="T110" s="700" t="s">
        <v>813</v>
      </c>
    </row>
    <row r="111" spans="1:20" ht="12.75">
      <c r="A111" s="686">
        <f t="shared" si="12"/>
        <v>103</v>
      </c>
      <c r="B111" s="701" t="s">
        <v>300</v>
      </c>
      <c r="C111" s="687" t="s">
        <v>663</v>
      </c>
      <c r="D111" s="687">
        <v>2866</v>
      </c>
      <c r="E111" s="687">
        <v>6121</v>
      </c>
      <c r="F111" s="700">
        <v>49</v>
      </c>
      <c r="G111" s="700" t="s">
        <v>852</v>
      </c>
      <c r="H111" s="687">
        <v>2013</v>
      </c>
      <c r="I111" s="707">
        <v>2018</v>
      </c>
      <c r="J111" s="703">
        <v>63856</v>
      </c>
      <c r="K111" s="703"/>
      <c r="L111" s="703"/>
      <c r="M111" s="703"/>
      <c r="N111" s="703">
        <v>10</v>
      </c>
      <c r="O111" s="703"/>
      <c r="P111" s="695">
        <f t="shared" si="8"/>
        <v>0</v>
      </c>
      <c r="Q111" s="704">
        <v>2600</v>
      </c>
      <c r="R111" s="704">
        <v>200</v>
      </c>
      <c r="S111" s="704"/>
      <c r="T111" s="700" t="s">
        <v>813</v>
      </c>
    </row>
    <row r="112" spans="1:20" ht="12.75">
      <c r="A112" s="686">
        <f t="shared" si="12"/>
        <v>104</v>
      </c>
      <c r="B112" s="701" t="s">
        <v>300</v>
      </c>
      <c r="C112" s="687" t="s">
        <v>663</v>
      </c>
      <c r="D112" s="687">
        <v>2867</v>
      </c>
      <c r="E112" s="687">
        <v>6121</v>
      </c>
      <c r="F112" s="700">
        <v>49</v>
      </c>
      <c r="G112" s="700" t="s">
        <v>853</v>
      </c>
      <c r="H112" s="687">
        <v>2013</v>
      </c>
      <c r="I112" s="707">
        <v>2018</v>
      </c>
      <c r="J112" s="703">
        <v>86800</v>
      </c>
      <c r="K112" s="703"/>
      <c r="L112" s="703"/>
      <c r="M112" s="703"/>
      <c r="N112" s="703">
        <v>10</v>
      </c>
      <c r="O112" s="703"/>
      <c r="P112" s="695">
        <f t="shared" si="8"/>
        <v>0</v>
      </c>
      <c r="Q112" s="704">
        <v>3000</v>
      </c>
      <c r="R112" s="704">
        <v>2000</v>
      </c>
      <c r="S112" s="704"/>
      <c r="T112" s="700" t="s">
        <v>813</v>
      </c>
    </row>
    <row r="113" spans="1:20" ht="12.75">
      <c r="A113" s="686">
        <f t="shared" si="12"/>
        <v>105</v>
      </c>
      <c r="B113" s="701" t="s">
        <v>300</v>
      </c>
      <c r="C113" s="687" t="s">
        <v>663</v>
      </c>
      <c r="D113" s="687">
        <v>2868</v>
      </c>
      <c r="E113" s="687">
        <v>6121</v>
      </c>
      <c r="F113" s="700">
        <v>49</v>
      </c>
      <c r="G113" s="700" t="s">
        <v>854</v>
      </c>
      <c r="H113" s="687">
        <v>2013</v>
      </c>
      <c r="I113" s="707">
        <v>2017</v>
      </c>
      <c r="J113" s="703">
        <v>8100</v>
      </c>
      <c r="K113" s="703"/>
      <c r="L113" s="703"/>
      <c r="M113" s="703"/>
      <c r="N113" s="703">
        <v>10</v>
      </c>
      <c r="O113" s="703"/>
      <c r="P113" s="695">
        <f t="shared" si="8"/>
        <v>0</v>
      </c>
      <c r="Q113" s="704">
        <v>800</v>
      </c>
      <c r="R113" s="704"/>
      <c r="S113" s="704"/>
      <c r="T113" s="700" t="s">
        <v>813</v>
      </c>
    </row>
    <row r="114" spans="1:20" ht="12.75">
      <c r="A114" s="686">
        <f t="shared" si="12"/>
        <v>106</v>
      </c>
      <c r="B114" s="701" t="s">
        <v>300</v>
      </c>
      <c r="C114" s="687" t="s">
        <v>663</v>
      </c>
      <c r="D114" s="687">
        <v>2869</v>
      </c>
      <c r="E114" s="687">
        <v>6121</v>
      </c>
      <c r="F114" s="700">
        <v>49</v>
      </c>
      <c r="G114" s="700" t="s">
        <v>855</v>
      </c>
      <c r="H114" s="687">
        <v>2013</v>
      </c>
      <c r="I114" s="707">
        <v>2016</v>
      </c>
      <c r="J114" s="703">
        <v>9505</v>
      </c>
      <c r="K114" s="703"/>
      <c r="L114" s="703"/>
      <c r="M114" s="703"/>
      <c r="N114" s="703">
        <v>10</v>
      </c>
      <c r="O114" s="703"/>
      <c r="P114" s="695">
        <f t="shared" si="8"/>
        <v>0</v>
      </c>
      <c r="Q114" s="704">
        <v>800</v>
      </c>
      <c r="R114" s="704">
        <v>6000</v>
      </c>
      <c r="S114" s="704"/>
      <c r="T114" s="700" t="s">
        <v>813</v>
      </c>
    </row>
    <row r="115" spans="1:20" ht="12.75">
      <c r="A115" s="686">
        <f t="shared" si="12"/>
        <v>107</v>
      </c>
      <c r="B115" s="701" t="s">
        <v>300</v>
      </c>
      <c r="C115" s="687" t="s">
        <v>663</v>
      </c>
      <c r="D115" s="687">
        <v>2870</v>
      </c>
      <c r="E115" s="687">
        <v>6121</v>
      </c>
      <c r="F115" s="700">
        <v>49</v>
      </c>
      <c r="G115" s="700" t="s">
        <v>856</v>
      </c>
      <c r="H115" s="687">
        <v>2013</v>
      </c>
      <c r="I115" s="707">
        <v>2018</v>
      </c>
      <c r="J115" s="703">
        <v>65200</v>
      </c>
      <c r="K115" s="703"/>
      <c r="L115" s="703"/>
      <c r="M115" s="703"/>
      <c r="N115" s="703">
        <v>10</v>
      </c>
      <c r="O115" s="703"/>
      <c r="P115" s="695">
        <f t="shared" si="8"/>
        <v>0</v>
      </c>
      <c r="Q115" s="704">
        <v>2000</v>
      </c>
      <c r="R115" s="704">
        <v>200</v>
      </c>
      <c r="S115" s="704"/>
      <c r="T115" s="700" t="s">
        <v>813</v>
      </c>
    </row>
    <row r="116" spans="1:20" ht="12.75">
      <c r="A116" s="686">
        <f t="shared" si="12"/>
        <v>108</v>
      </c>
      <c r="B116" s="701" t="s">
        <v>300</v>
      </c>
      <c r="C116" s="687" t="s">
        <v>663</v>
      </c>
      <c r="D116" s="687">
        <v>2871</v>
      </c>
      <c r="E116" s="687">
        <v>6121</v>
      </c>
      <c r="F116" s="700">
        <v>49</v>
      </c>
      <c r="G116" s="700" t="s">
        <v>857</v>
      </c>
      <c r="H116" s="687">
        <v>2013</v>
      </c>
      <c r="I116" s="707">
        <v>2016</v>
      </c>
      <c r="J116" s="703">
        <v>8500</v>
      </c>
      <c r="K116" s="703"/>
      <c r="L116" s="703"/>
      <c r="M116" s="703"/>
      <c r="N116" s="703">
        <v>10</v>
      </c>
      <c r="O116" s="703"/>
      <c r="P116" s="695">
        <f t="shared" si="8"/>
        <v>0</v>
      </c>
      <c r="Q116" s="704">
        <v>1500</v>
      </c>
      <c r="R116" s="704">
        <v>5000</v>
      </c>
      <c r="S116" s="704"/>
      <c r="T116" s="700" t="s">
        <v>813</v>
      </c>
    </row>
    <row r="117" spans="1:20" ht="12.75">
      <c r="A117" s="686">
        <f t="shared" si="12"/>
        <v>109</v>
      </c>
      <c r="B117" s="701" t="s">
        <v>300</v>
      </c>
      <c r="C117" s="687" t="s">
        <v>663</v>
      </c>
      <c r="D117" s="687">
        <v>2872</v>
      </c>
      <c r="E117" s="687">
        <v>6121</v>
      </c>
      <c r="F117" s="700">
        <v>49</v>
      </c>
      <c r="G117" s="700" t="s">
        <v>858</v>
      </c>
      <c r="H117" s="687">
        <v>2013</v>
      </c>
      <c r="I117" s="707">
        <v>2018</v>
      </c>
      <c r="J117" s="703">
        <v>36500</v>
      </c>
      <c r="K117" s="703"/>
      <c r="L117" s="703"/>
      <c r="M117" s="703"/>
      <c r="N117" s="703">
        <v>10</v>
      </c>
      <c r="O117" s="703"/>
      <c r="P117" s="695">
        <f t="shared" si="8"/>
        <v>0</v>
      </c>
      <c r="Q117" s="704">
        <v>2000</v>
      </c>
      <c r="R117" s="704"/>
      <c r="S117" s="704"/>
      <c r="T117" s="700" t="s">
        <v>813</v>
      </c>
    </row>
    <row r="118" spans="1:20" ht="12.75">
      <c r="A118" s="686">
        <f t="shared" si="12"/>
        <v>110</v>
      </c>
      <c r="B118" s="701" t="s">
        <v>300</v>
      </c>
      <c r="C118" s="687" t="s">
        <v>663</v>
      </c>
      <c r="D118" s="687">
        <v>2873</v>
      </c>
      <c r="E118" s="687">
        <v>6121</v>
      </c>
      <c r="F118" s="700">
        <v>49</v>
      </c>
      <c r="G118" s="700" t="s">
        <v>859</v>
      </c>
      <c r="H118" s="687">
        <v>2013</v>
      </c>
      <c r="I118" s="707">
        <v>2017</v>
      </c>
      <c r="J118" s="703">
        <v>23718</v>
      </c>
      <c r="K118" s="703"/>
      <c r="L118" s="703"/>
      <c r="M118" s="703"/>
      <c r="N118" s="703">
        <v>10</v>
      </c>
      <c r="O118" s="703"/>
      <c r="P118" s="695">
        <f t="shared" si="8"/>
        <v>0</v>
      </c>
      <c r="Q118" s="704">
        <v>1200</v>
      </c>
      <c r="R118" s="704"/>
      <c r="S118" s="704"/>
      <c r="T118" s="700" t="s">
        <v>813</v>
      </c>
    </row>
    <row r="119" spans="1:20" ht="12.75">
      <c r="A119" s="686">
        <f t="shared" si="12"/>
        <v>111</v>
      </c>
      <c r="B119" s="701" t="s">
        <v>300</v>
      </c>
      <c r="C119" s="687" t="s">
        <v>663</v>
      </c>
      <c r="D119" s="687">
        <v>2880</v>
      </c>
      <c r="E119" s="687">
        <v>6121</v>
      </c>
      <c r="F119" s="700">
        <v>49</v>
      </c>
      <c r="G119" s="700" t="s">
        <v>860</v>
      </c>
      <c r="H119" s="687">
        <v>2013</v>
      </c>
      <c r="I119" s="707">
        <v>2018</v>
      </c>
      <c r="J119" s="703">
        <v>24247</v>
      </c>
      <c r="K119" s="703"/>
      <c r="L119" s="703"/>
      <c r="M119" s="703"/>
      <c r="N119" s="703">
        <v>10</v>
      </c>
      <c r="O119" s="703"/>
      <c r="P119" s="695">
        <f t="shared" si="8"/>
        <v>0</v>
      </c>
      <c r="Q119" s="704">
        <v>1000</v>
      </c>
      <c r="R119" s="704"/>
      <c r="S119" s="704">
        <v>24237</v>
      </c>
      <c r="T119" s="700" t="s">
        <v>813</v>
      </c>
    </row>
    <row r="120" spans="1:20" ht="12.75">
      <c r="A120" s="686">
        <f t="shared" si="12"/>
        <v>112</v>
      </c>
      <c r="B120" s="707">
        <v>5600</v>
      </c>
      <c r="C120" s="687" t="s">
        <v>663</v>
      </c>
      <c r="D120" s="687">
        <v>2881</v>
      </c>
      <c r="E120" s="687">
        <v>6121</v>
      </c>
      <c r="F120" s="700">
        <v>49</v>
      </c>
      <c r="G120" s="700" t="s">
        <v>861</v>
      </c>
      <c r="H120" s="687">
        <v>2013</v>
      </c>
      <c r="I120" s="707">
        <v>2016</v>
      </c>
      <c r="J120" s="703">
        <v>46600</v>
      </c>
      <c r="K120" s="703"/>
      <c r="L120" s="703"/>
      <c r="M120" s="703"/>
      <c r="N120" s="703">
        <v>10</v>
      </c>
      <c r="O120" s="703"/>
      <c r="P120" s="695">
        <f t="shared" si="8"/>
        <v>0</v>
      </c>
      <c r="Q120" s="704">
        <v>2000</v>
      </c>
      <c r="R120" s="704">
        <v>24584</v>
      </c>
      <c r="S120" s="704">
        <v>46590</v>
      </c>
      <c r="T120" s="700" t="s">
        <v>813</v>
      </c>
    </row>
    <row r="121" spans="1:20" ht="12.75">
      <c r="A121" s="686">
        <f t="shared" si="12"/>
        <v>113</v>
      </c>
      <c r="B121" s="687">
        <v>5600</v>
      </c>
      <c r="C121" s="687" t="s">
        <v>663</v>
      </c>
      <c r="D121" s="687">
        <v>2889</v>
      </c>
      <c r="E121" s="687">
        <v>6121</v>
      </c>
      <c r="F121" s="700">
        <v>49</v>
      </c>
      <c r="G121" s="700" t="s">
        <v>862</v>
      </c>
      <c r="H121" s="687">
        <v>2012</v>
      </c>
      <c r="I121" s="707">
        <v>2016</v>
      </c>
      <c r="J121" s="703">
        <v>47100</v>
      </c>
      <c r="K121" s="703"/>
      <c r="L121" s="703"/>
      <c r="M121" s="703"/>
      <c r="N121" s="703"/>
      <c r="O121" s="703"/>
      <c r="P121" s="695" t="str">
        <f t="shared" si="8"/>
        <v> </v>
      </c>
      <c r="Q121" s="704">
        <v>2000</v>
      </c>
      <c r="R121" s="704">
        <v>2500</v>
      </c>
      <c r="S121" s="704">
        <v>47100</v>
      </c>
      <c r="T121" s="700" t="s">
        <v>813</v>
      </c>
    </row>
    <row r="122" spans="1:20" ht="12.75">
      <c r="A122" s="686">
        <f t="shared" si="12"/>
        <v>114</v>
      </c>
      <c r="B122" s="705" t="s">
        <v>300</v>
      </c>
      <c r="C122" s="687" t="s">
        <v>663</v>
      </c>
      <c r="D122" s="687">
        <v>2890</v>
      </c>
      <c r="E122" s="687">
        <v>6121</v>
      </c>
      <c r="F122" s="700">
        <v>49</v>
      </c>
      <c r="G122" s="700" t="s">
        <v>863</v>
      </c>
      <c r="H122" s="687">
        <v>2012</v>
      </c>
      <c r="I122" s="707">
        <v>2013</v>
      </c>
      <c r="J122" s="703">
        <v>650</v>
      </c>
      <c r="K122" s="703"/>
      <c r="L122" s="703"/>
      <c r="M122" s="703">
        <v>798</v>
      </c>
      <c r="N122" s="703">
        <v>650</v>
      </c>
      <c r="O122" s="703">
        <v>529</v>
      </c>
      <c r="P122" s="695">
        <f t="shared" si="8"/>
        <v>0.8138461538461539</v>
      </c>
      <c r="Q122" s="704"/>
      <c r="R122" s="704"/>
      <c r="S122" s="704"/>
      <c r="T122" s="700" t="s">
        <v>813</v>
      </c>
    </row>
    <row r="123" spans="1:20" ht="12.75">
      <c r="A123" s="686">
        <f t="shared" si="12"/>
        <v>115</v>
      </c>
      <c r="B123" s="687">
        <v>5600</v>
      </c>
      <c r="C123" s="687" t="s">
        <v>663</v>
      </c>
      <c r="D123" s="687">
        <v>2891</v>
      </c>
      <c r="E123" s="687">
        <v>6121</v>
      </c>
      <c r="F123" s="700">
        <v>49</v>
      </c>
      <c r="G123" s="700" t="s">
        <v>864</v>
      </c>
      <c r="H123" s="687">
        <v>2012</v>
      </c>
      <c r="I123" s="707">
        <v>2017</v>
      </c>
      <c r="J123" s="703">
        <v>70152</v>
      </c>
      <c r="K123" s="703"/>
      <c r="L123" s="703"/>
      <c r="M123" s="703">
        <v>750</v>
      </c>
      <c r="N123" s="703">
        <v>10</v>
      </c>
      <c r="O123" s="703"/>
      <c r="P123" s="695">
        <f t="shared" si="8"/>
        <v>0</v>
      </c>
      <c r="Q123" s="704">
        <v>3000</v>
      </c>
      <c r="R123" s="704">
        <v>5000</v>
      </c>
      <c r="S123" s="704">
        <v>70142</v>
      </c>
      <c r="T123" s="700" t="s">
        <v>813</v>
      </c>
    </row>
    <row r="124" spans="1:20" ht="12.75">
      <c r="A124" s="686">
        <f t="shared" si="12"/>
        <v>116</v>
      </c>
      <c r="B124" s="687">
        <v>5600</v>
      </c>
      <c r="C124" s="687" t="s">
        <v>663</v>
      </c>
      <c r="D124" s="687">
        <v>2892</v>
      </c>
      <c r="E124" s="687">
        <v>6121</v>
      </c>
      <c r="F124" s="700">
        <v>49</v>
      </c>
      <c r="G124" s="700" t="s">
        <v>865</v>
      </c>
      <c r="H124" s="687">
        <v>2012</v>
      </c>
      <c r="I124" s="707">
        <v>2016</v>
      </c>
      <c r="J124" s="703">
        <v>28983</v>
      </c>
      <c r="K124" s="703"/>
      <c r="L124" s="703"/>
      <c r="M124" s="703"/>
      <c r="N124" s="703">
        <v>1000</v>
      </c>
      <c r="O124" s="703">
        <v>967</v>
      </c>
      <c r="P124" s="695">
        <f t="shared" si="8"/>
        <v>0.967</v>
      </c>
      <c r="Q124" s="704">
        <v>1000</v>
      </c>
      <c r="R124" s="704">
        <v>15295</v>
      </c>
      <c r="S124" s="704">
        <v>27983</v>
      </c>
      <c r="T124" s="700" t="s">
        <v>813</v>
      </c>
    </row>
    <row r="125" spans="1:20" ht="12.75">
      <c r="A125" s="686">
        <f t="shared" si="12"/>
        <v>117</v>
      </c>
      <c r="B125" s="687">
        <v>5600</v>
      </c>
      <c r="C125" s="687" t="s">
        <v>663</v>
      </c>
      <c r="D125" s="687">
        <v>2893</v>
      </c>
      <c r="E125" s="687">
        <v>6121</v>
      </c>
      <c r="F125" s="700">
        <v>49</v>
      </c>
      <c r="G125" s="700" t="s">
        <v>866</v>
      </c>
      <c r="H125" s="687">
        <v>2012</v>
      </c>
      <c r="I125" s="707">
        <v>2014</v>
      </c>
      <c r="J125" s="703">
        <v>11053</v>
      </c>
      <c r="K125" s="703"/>
      <c r="L125" s="703"/>
      <c r="M125" s="703">
        <v>750</v>
      </c>
      <c r="N125" s="703">
        <v>600</v>
      </c>
      <c r="O125" s="703">
        <v>547</v>
      </c>
      <c r="P125" s="695">
        <f t="shared" si="8"/>
        <v>0.9116666666666666</v>
      </c>
      <c r="Q125" s="704">
        <v>10453</v>
      </c>
      <c r="R125" s="704"/>
      <c r="S125" s="704"/>
      <c r="T125" s="700" t="s">
        <v>813</v>
      </c>
    </row>
    <row r="126" spans="1:20" ht="12.75">
      <c r="A126" s="686">
        <f t="shared" si="12"/>
        <v>118</v>
      </c>
      <c r="B126" s="687">
        <v>5600</v>
      </c>
      <c r="C126" s="687" t="s">
        <v>663</v>
      </c>
      <c r="D126" s="687">
        <v>2894</v>
      </c>
      <c r="E126" s="687">
        <v>6121</v>
      </c>
      <c r="F126" s="700">
        <v>49</v>
      </c>
      <c r="G126" s="700" t="s">
        <v>867</v>
      </c>
      <c r="H126" s="687">
        <v>2012</v>
      </c>
      <c r="I126" s="707">
        <v>2015</v>
      </c>
      <c r="J126" s="703">
        <v>68220</v>
      </c>
      <c r="K126" s="703"/>
      <c r="L126" s="703"/>
      <c r="M126" s="703"/>
      <c r="N126" s="703">
        <v>200</v>
      </c>
      <c r="O126" s="703">
        <v>159</v>
      </c>
      <c r="P126" s="695">
        <f t="shared" si="8"/>
        <v>0.795</v>
      </c>
      <c r="Q126" s="704">
        <v>4000</v>
      </c>
      <c r="R126" s="704">
        <v>61220</v>
      </c>
      <c r="S126" s="704"/>
      <c r="T126" s="700" t="s">
        <v>813</v>
      </c>
    </row>
    <row r="127" spans="1:20" ht="12.75">
      <c r="A127" s="686">
        <f t="shared" si="12"/>
        <v>119</v>
      </c>
      <c r="B127" s="687">
        <v>5600</v>
      </c>
      <c r="C127" s="687" t="s">
        <v>663</v>
      </c>
      <c r="D127" s="687">
        <v>2895</v>
      </c>
      <c r="E127" s="687">
        <v>6121</v>
      </c>
      <c r="F127" s="700">
        <v>49</v>
      </c>
      <c r="G127" s="700" t="s">
        <v>868</v>
      </c>
      <c r="H127" s="687">
        <v>2012</v>
      </c>
      <c r="I127" s="707">
        <v>2016</v>
      </c>
      <c r="J127" s="703">
        <v>26386</v>
      </c>
      <c r="K127" s="703"/>
      <c r="L127" s="703"/>
      <c r="M127" s="703"/>
      <c r="N127" s="703"/>
      <c r="O127" s="703"/>
      <c r="P127" s="695" t="str">
        <f t="shared" si="8"/>
        <v> </v>
      </c>
      <c r="Q127" s="704">
        <v>1500</v>
      </c>
      <c r="R127" s="704">
        <v>5000</v>
      </c>
      <c r="S127" s="704">
        <v>26386</v>
      </c>
      <c r="T127" s="700" t="s">
        <v>813</v>
      </c>
    </row>
    <row r="128" spans="1:20" ht="12.75">
      <c r="A128" s="686">
        <f t="shared" si="12"/>
        <v>120</v>
      </c>
      <c r="B128" s="687">
        <v>5600</v>
      </c>
      <c r="C128" s="687" t="s">
        <v>663</v>
      </c>
      <c r="D128" s="687">
        <v>2896</v>
      </c>
      <c r="E128" s="687">
        <v>6121</v>
      </c>
      <c r="F128" s="700">
        <v>49</v>
      </c>
      <c r="G128" s="700" t="s">
        <v>869</v>
      </c>
      <c r="H128" s="687">
        <v>2012</v>
      </c>
      <c r="I128" s="707">
        <v>2016</v>
      </c>
      <c r="J128" s="703">
        <v>49000</v>
      </c>
      <c r="K128" s="703"/>
      <c r="L128" s="703"/>
      <c r="M128" s="703">
        <v>800</v>
      </c>
      <c r="N128" s="703"/>
      <c r="O128" s="703"/>
      <c r="P128" s="695" t="str">
        <f t="shared" si="8"/>
        <v> </v>
      </c>
      <c r="Q128" s="704">
        <v>1500</v>
      </c>
      <c r="R128" s="704">
        <v>18000</v>
      </c>
      <c r="S128" s="704">
        <v>29500</v>
      </c>
      <c r="T128" s="700" t="s">
        <v>813</v>
      </c>
    </row>
    <row r="129" spans="1:20" ht="12.75">
      <c r="A129" s="686">
        <f t="shared" si="12"/>
        <v>121</v>
      </c>
      <c r="B129" s="687">
        <v>5600</v>
      </c>
      <c r="C129" s="687" t="s">
        <v>663</v>
      </c>
      <c r="D129" s="687">
        <v>2897</v>
      </c>
      <c r="E129" s="687">
        <v>6121</v>
      </c>
      <c r="F129" s="700">
        <v>49</v>
      </c>
      <c r="G129" s="700" t="s">
        <v>870</v>
      </c>
      <c r="H129" s="687">
        <v>2012</v>
      </c>
      <c r="I129" s="707">
        <v>2016</v>
      </c>
      <c r="J129" s="703">
        <v>8428</v>
      </c>
      <c r="K129" s="703"/>
      <c r="L129" s="703"/>
      <c r="M129" s="703"/>
      <c r="N129" s="703"/>
      <c r="O129" s="703"/>
      <c r="P129" s="695" t="str">
        <f t="shared" si="8"/>
        <v> </v>
      </c>
      <c r="Q129" s="704">
        <v>1000</v>
      </c>
      <c r="R129" s="704">
        <v>2000</v>
      </c>
      <c r="S129" s="704">
        <v>7528</v>
      </c>
      <c r="T129" s="700" t="s">
        <v>813</v>
      </c>
    </row>
    <row r="130" spans="1:20" ht="12.75">
      <c r="A130" s="686">
        <f t="shared" si="12"/>
        <v>122</v>
      </c>
      <c r="B130" s="687">
        <v>5600</v>
      </c>
      <c r="C130" s="687" t="s">
        <v>663</v>
      </c>
      <c r="D130" s="687">
        <v>2898</v>
      </c>
      <c r="E130" s="687">
        <v>6121</v>
      </c>
      <c r="F130" s="700">
        <v>49</v>
      </c>
      <c r="G130" s="700" t="s">
        <v>871</v>
      </c>
      <c r="H130" s="687">
        <v>2012</v>
      </c>
      <c r="I130" s="707">
        <v>2016</v>
      </c>
      <c r="J130" s="703">
        <v>19863</v>
      </c>
      <c r="K130" s="703"/>
      <c r="L130" s="703"/>
      <c r="M130" s="703"/>
      <c r="N130" s="703">
        <v>1000</v>
      </c>
      <c r="O130" s="703">
        <v>995</v>
      </c>
      <c r="P130" s="695">
        <f t="shared" si="8"/>
        <v>0.995</v>
      </c>
      <c r="Q130" s="704">
        <v>1200</v>
      </c>
      <c r="R130" s="704"/>
      <c r="S130" s="704">
        <v>18863</v>
      </c>
      <c r="T130" s="700" t="s">
        <v>813</v>
      </c>
    </row>
    <row r="131" spans="1:20" ht="12.75">
      <c r="A131" s="686">
        <f t="shared" si="12"/>
        <v>123</v>
      </c>
      <c r="B131" s="701" t="s">
        <v>300</v>
      </c>
      <c r="C131" s="687" t="s">
        <v>663</v>
      </c>
      <c r="D131" s="687">
        <v>2910</v>
      </c>
      <c r="E131" s="687">
        <v>6121</v>
      </c>
      <c r="F131" s="700">
        <v>49</v>
      </c>
      <c r="G131" s="700" t="s">
        <v>872</v>
      </c>
      <c r="H131" s="687">
        <v>2012</v>
      </c>
      <c r="I131" s="707">
        <v>2017</v>
      </c>
      <c r="J131" s="703">
        <v>50100</v>
      </c>
      <c r="K131" s="703"/>
      <c r="L131" s="703"/>
      <c r="M131" s="703">
        <v>3400</v>
      </c>
      <c r="N131" s="703">
        <v>1000</v>
      </c>
      <c r="O131" s="703">
        <v>946</v>
      </c>
      <c r="P131" s="695">
        <f aca="true" t="shared" si="13" ref="P131:P194">IF(N131&lt;=0," ",O131/N131)</f>
        <v>0.946</v>
      </c>
      <c r="Q131" s="704">
        <v>1000</v>
      </c>
      <c r="R131" s="704">
        <v>200</v>
      </c>
      <c r="S131" s="704">
        <v>49100</v>
      </c>
      <c r="T131" s="700" t="s">
        <v>813</v>
      </c>
    </row>
    <row r="132" spans="1:20" ht="12.75">
      <c r="A132" s="686">
        <f t="shared" si="12"/>
        <v>124</v>
      </c>
      <c r="B132" s="701" t="s">
        <v>300</v>
      </c>
      <c r="C132" s="687" t="s">
        <v>663</v>
      </c>
      <c r="D132" s="687">
        <v>2914</v>
      </c>
      <c r="E132" s="687">
        <v>6121</v>
      </c>
      <c r="F132" s="700">
        <v>49</v>
      </c>
      <c r="G132" s="700" t="s">
        <v>873</v>
      </c>
      <c r="H132" s="687">
        <v>2012</v>
      </c>
      <c r="I132" s="707">
        <v>2018</v>
      </c>
      <c r="J132" s="703">
        <v>5800</v>
      </c>
      <c r="K132" s="703"/>
      <c r="L132" s="703"/>
      <c r="M132" s="703">
        <v>300</v>
      </c>
      <c r="N132" s="703"/>
      <c r="O132" s="703"/>
      <c r="P132" s="695" t="str">
        <f t="shared" si="13"/>
        <v> </v>
      </c>
      <c r="Q132" s="704"/>
      <c r="R132" s="704">
        <v>5500</v>
      </c>
      <c r="S132" s="704"/>
      <c r="T132" s="700" t="s">
        <v>813</v>
      </c>
    </row>
    <row r="133" spans="1:20" ht="12.75">
      <c r="A133" s="686">
        <f t="shared" si="12"/>
        <v>125</v>
      </c>
      <c r="B133" s="701" t="s">
        <v>300</v>
      </c>
      <c r="C133" s="687" t="s">
        <v>663</v>
      </c>
      <c r="D133" s="687">
        <v>2915</v>
      </c>
      <c r="E133" s="687">
        <v>6121</v>
      </c>
      <c r="F133" s="700">
        <v>49</v>
      </c>
      <c r="G133" s="700" t="s">
        <v>874</v>
      </c>
      <c r="H133" s="687">
        <v>2012</v>
      </c>
      <c r="I133" s="707">
        <v>2017</v>
      </c>
      <c r="J133" s="703">
        <v>26550</v>
      </c>
      <c r="K133" s="703"/>
      <c r="L133" s="703"/>
      <c r="M133" s="703">
        <v>2000</v>
      </c>
      <c r="N133" s="703">
        <v>2000</v>
      </c>
      <c r="O133" s="703">
        <v>1921</v>
      </c>
      <c r="P133" s="695">
        <f t="shared" si="13"/>
        <v>0.9605</v>
      </c>
      <c r="Q133" s="704">
        <v>2000</v>
      </c>
      <c r="R133" s="704"/>
      <c r="S133" s="704">
        <v>24550</v>
      </c>
      <c r="T133" s="700" t="s">
        <v>813</v>
      </c>
    </row>
    <row r="134" spans="1:20" ht="12.75">
      <c r="A134" s="686">
        <f t="shared" si="12"/>
        <v>126</v>
      </c>
      <c r="B134" s="705">
        <v>5600</v>
      </c>
      <c r="C134" s="687" t="s">
        <v>663</v>
      </c>
      <c r="D134" s="687">
        <v>2927</v>
      </c>
      <c r="E134" s="687">
        <v>6121</v>
      </c>
      <c r="F134" s="700">
        <v>49</v>
      </c>
      <c r="G134" s="700" t="s">
        <v>875</v>
      </c>
      <c r="H134" s="687">
        <v>2011</v>
      </c>
      <c r="I134" s="687">
        <v>2017</v>
      </c>
      <c r="J134" s="703">
        <v>71900</v>
      </c>
      <c r="K134" s="703"/>
      <c r="L134" s="703"/>
      <c r="M134" s="703">
        <v>2000</v>
      </c>
      <c r="N134" s="703">
        <v>1000</v>
      </c>
      <c r="O134" s="703">
        <v>949</v>
      </c>
      <c r="P134" s="695">
        <f t="shared" si="13"/>
        <v>0.949</v>
      </c>
      <c r="Q134" s="704">
        <v>1000</v>
      </c>
      <c r="R134" s="704">
        <v>200</v>
      </c>
      <c r="S134" s="704">
        <v>70700</v>
      </c>
      <c r="T134" s="700" t="s">
        <v>813</v>
      </c>
    </row>
    <row r="135" spans="1:20" ht="12.75">
      <c r="A135" s="686">
        <f t="shared" si="12"/>
        <v>127</v>
      </c>
      <c r="B135" s="705">
        <v>5600</v>
      </c>
      <c r="C135" s="687" t="s">
        <v>663</v>
      </c>
      <c r="D135" s="687">
        <v>2928</v>
      </c>
      <c r="E135" s="687">
        <v>6121</v>
      </c>
      <c r="F135" s="700">
        <v>49</v>
      </c>
      <c r="G135" s="700" t="s">
        <v>876</v>
      </c>
      <c r="H135" s="687">
        <v>2011</v>
      </c>
      <c r="I135" s="687">
        <v>2016</v>
      </c>
      <c r="J135" s="703">
        <v>81534</v>
      </c>
      <c r="K135" s="703"/>
      <c r="L135" s="703"/>
      <c r="M135" s="703">
        <v>2000</v>
      </c>
      <c r="N135" s="703"/>
      <c r="O135" s="703"/>
      <c r="P135" s="695" t="str">
        <f t="shared" si="13"/>
        <v> </v>
      </c>
      <c r="Q135" s="704">
        <v>1200</v>
      </c>
      <c r="R135" s="704">
        <v>12930</v>
      </c>
      <c r="S135" s="704">
        <v>80534</v>
      </c>
      <c r="T135" s="700" t="s">
        <v>813</v>
      </c>
    </row>
    <row r="136" spans="1:20" ht="12.75">
      <c r="A136" s="686">
        <f t="shared" si="12"/>
        <v>128</v>
      </c>
      <c r="B136" s="705">
        <v>5600</v>
      </c>
      <c r="C136" s="687" t="s">
        <v>663</v>
      </c>
      <c r="D136" s="687">
        <v>2929</v>
      </c>
      <c r="E136" s="687">
        <v>6121</v>
      </c>
      <c r="F136" s="700">
        <v>49</v>
      </c>
      <c r="G136" s="700" t="s">
        <v>877</v>
      </c>
      <c r="H136" s="687">
        <v>2011</v>
      </c>
      <c r="I136" s="687">
        <v>2016</v>
      </c>
      <c r="J136" s="703">
        <v>50100</v>
      </c>
      <c r="K136" s="703"/>
      <c r="L136" s="703"/>
      <c r="M136" s="703">
        <v>1500</v>
      </c>
      <c r="N136" s="703"/>
      <c r="O136" s="703"/>
      <c r="P136" s="695" t="str">
        <f t="shared" si="13"/>
        <v> </v>
      </c>
      <c r="Q136" s="704">
        <v>2500</v>
      </c>
      <c r="R136" s="704">
        <v>26000</v>
      </c>
      <c r="S136" s="704">
        <v>50100</v>
      </c>
      <c r="T136" s="700" t="s">
        <v>813</v>
      </c>
    </row>
    <row r="137" spans="1:20" ht="12.75">
      <c r="A137" s="686">
        <f t="shared" si="12"/>
        <v>129</v>
      </c>
      <c r="B137" s="705">
        <v>5600</v>
      </c>
      <c r="C137" s="687" t="s">
        <v>663</v>
      </c>
      <c r="D137" s="687">
        <v>2949</v>
      </c>
      <c r="E137" s="687">
        <v>6121</v>
      </c>
      <c r="F137" s="700">
        <v>49</v>
      </c>
      <c r="G137" s="700" t="s">
        <v>878</v>
      </c>
      <c r="H137" s="687">
        <v>2011</v>
      </c>
      <c r="I137" s="687">
        <v>2013</v>
      </c>
      <c r="J137" s="703">
        <v>6564</v>
      </c>
      <c r="K137" s="703"/>
      <c r="L137" s="703">
        <f>670+5884</f>
        <v>6554</v>
      </c>
      <c r="M137" s="703">
        <v>81</v>
      </c>
      <c r="N137" s="703">
        <v>10</v>
      </c>
      <c r="O137" s="703"/>
      <c r="P137" s="695">
        <f t="shared" si="13"/>
        <v>0</v>
      </c>
      <c r="Q137" s="704"/>
      <c r="R137" s="704"/>
      <c r="S137" s="704"/>
      <c r="T137" s="700" t="s">
        <v>813</v>
      </c>
    </row>
    <row r="138" spans="1:20" ht="12.75">
      <c r="A138" s="686">
        <f t="shared" si="12"/>
        <v>130</v>
      </c>
      <c r="B138" s="705">
        <v>5600</v>
      </c>
      <c r="C138" s="687" t="s">
        <v>663</v>
      </c>
      <c r="D138" s="687">
        <v>2951</v>
      </c>
      <c r="E138" s="687">
        <v>6121</v>
      </c>
      <c r="F138" s="700">
        <v>49</v>
      </c>
      <c r="G138" s="700" t="s">
        <v>879</v>
      </c>
      <c r="H138" s="687">
        <v>2011</v>
      </c>
      <c r="I138" s="687">
        <v>2018</v>
      </c>
      <c r="J138" s="703">
        <v>27000</v>
      </c>
      <c r="K138" s="703"/>
      <c r="L138" s="703"/>
      <c r="M138" s="703"/>
      <c r="N138" s="703"/>
      <c r="O138" s="703"/>
      <c r="P138" s="695" t="str">
        <f t="shared" si="13"/>
        <v> </v>
      </c>
      <c r="Q138" s="704">
        <v>1200</v>
      </c>
      <c r="R138" s="704"/>
      <c r="S138" s="704">
        <f>12000+13800</f>
        <v>25800</v>
      </c>
      <c r="T138" s="700" t="s">
        <v>813</v>
      </c>
    </row>
    <row r="139" spans="1:20" ht="12.75">
      <c r="A139" s="686">
        <f t="shared" si="12"/>
        <v>131</v>
      </c>
      <c r="B139" s="705">
        <v>5600</v>
      </c>
      <c r="C139" s="687" t="s">
        <v>663</v>
      </c>
      <c r="D139" s="687">
        <v>2952</v>
      </c>
      <c r="E139" s="687">
        <v>6121</v>
      </c>
      <c r="F139" s="700">
        <v>49</v>
      </c>
      <c r="G139" s="700" t="s">
        <v>880</v>
      </c>
      <c r="H139" s="687">
        <v>2011</v>
      </c>
      <c r="I139" s="687">
        <v>2016</v>
      </c>
      <c r="J139" s="703">
        <v>75475</v>
      </c>
      <c r="K139" s="703"/>
      <c r="L139" s="703">
        <f>1783</f>
        <v>1783</v>
      </c>
      <c r="M139" s="703"/>
      <c r="N139" s="703">
        <v>50</v>
      </c>
      <c r="O139" s="703">
        <v>14</v>
      </c>
      <c r="P139" s="695">
        <f t="shared" si="13"/>
        <v>0.28</v>
      </c>
      <c r="Q139" s="704">
        <v>100</v>
      </c>
      <c r="R139" s="704">
        <v>24000</v>
      </c>
      <c r="S139" s="704">
        <v>49492</v>
      </c>
      <c r="T139" s="700" t="s">
        <v>813</v>
      </c>
    </row>
    <row r="140" spans="1:20" ht="12.75">
      <c r="A140" s="686">
        <f t="shared" si="12"/>
        <v>132</v>
      </c>
      <c r="B140" s="701" t="s">
        <v>300</v>
      </c>
      <c r="C140" s="687" t="s">
        <v>663</v>
      </c>
      <c r="D140" s="687">
        <v>2956</v>
      </c>
      <c r="E140" s="687">
        <v>6121</v>
      </c>
      <c r="F140" s="700"/>
      <c r="G140" s="700" t="s">
        <v>881</v>
      </c>
      <c r="H140" s="707">
        <v>2010</v>
      </c>
      <c r="I140" s="707">
        <v>2014</v>
      </c>
      <c r="J140" s="703">
        <v>655000</v>
      </c>
      <c r="K140" s="703"/>
      <c r="L140" s="703">
        <f>2908+127978+215796</f>
        <v>346682</v>
      </c>
      <c r="M140" s="703">
        <v>198000</v>
      </c>
      <c r="N140" s="703">
        <v>159000</v>
      </c>
      <c r="O140" s="703">
        <v>154241</v>
      </c>
      <c r="P140" s="695">
        <f t="shared" si="13"/>
        <v>0.9700691823899371</v>
      </c>
      <c r="Q140" s="704">
        <v>300</v>
      </c>
      <c r="R140" s="704"/>
      <c r="S140" s="704"/>
      <c r="T140" s="700" t="s">
        <v>747</v>
      </c>
    </row>
    <row r="141" spans="1:20" ht="12.75">
      <c r="A141" s="686">
        <f t="shared" si="12"/>
        <v>133</v>
      </c>
      <c r="B141" s="701" t="s">
        <v>300</v>
      </c>
      <c r="C141" s="687" t="s">
        <v>663</v>
      </c>
      <c r="D141" s="687">
        <v>2969</v>
      </c>
      <c r="E141" s="687">
        <v>6121</v>
      </c>
      <c r="F141" s="700">
        <v>49</v>
      </c>
      <c r="G141" s="700" t="s">
        <v>882</v>
      </c>
      <c r="H141" s="707">
        <v>2010</v>
      </c>
      <c r="I141" s="707">
        <v>2015</v>
      </c>
      <c r="J141" s="703">
        <v>53445</v>
      </c>
      <c r="K141" s="703"/>
      <c r="L141" s="703">
        <f>1946</f>
        <v>1946</v>
      </c>
      <c r="M141" s="703"/>
      <c r="N141" s="703">
        <v>300</v>
      </c>
      <c r="O141" s="703">
        <v>254</v>
      </c>
      <c r="P141" s="695">
        <f t="shared" si="13"/>
        <v>0.8466666666666667</v>
      </c>
      <c r="Q141" s="704">
        <v>48199</v>
      </c>
      <c r="R141" s="704">
        <v>3000</v>
      </c>
      <c r="S141" s="704"/>
      <c r="T141" s="700" t="s">
        <v>813</v>
      </c>
    </row>
    <row r="142" spans="1:20" ht="12.75">
      <c r="A142" s="686">
        <f t="shared" si="12"/>
        <v>134</v>
      </c>
      <c r="B142" s="701" t="s">
        <v>300</v>
      </c>
      <c r="C142" s="687" t="s">
        <v>663</v>
      </c>
      <c r="D142" s="687">
        <v>2970</v>
      </c>
      <c r="E142" s="687">
        <v>6121</v>
      </c>
      <c r="F142" s="700">
        <v>49</v>
      </c>
      <c r="G142" s="700" t="s">
        <v>883</v>
      </c>
      <c r="H142" s="707">
        <v>2010</v>
      </c>
      <c r="I142" s="687">
        <v>2015</v>
      </c>
      <c r="J142" s="703">
        <v>12200</v>
      </c>
      <c r="K142" s="703"/>
      <c r="L142" s="703">
        <f>456</f>
        <v>456</v>
      </c>
      <c r="M142" s="703">
        <v>100</v>
      </c>
      <c r="N142" s="703">
        <v>150</v>
      </c>
      <c r="O142" s="703">
        <v>139</v>
      </c>
      <c r="P142" s="695">
        <f t="shared" si="13"/>
        <v>0.9266666666666666</v>
      </c>
      <c r="Q142" s="704">
        <v>2000</v>
      </c>
      <c r="R142" s="704">
        <v>9644</v>
      </c>
      <c r="S142" s="704"/>
      <c r="T142" s="700" t="s">
        <v>813</v>
      </c>
    </row>
    <row r="143" spans="1:20" ht="12.75">
      <c r="A143" s="686">
        <f t="shared" si="12"/>
        <v>135</v>
      </c>
      <c r="B143" s="701" t="s">
        <v>300</v>
      </c>
      <c r="C143" s="687" t="s">
        <v>663</v>
      </c>
      <c r="D143" s="687">
        <v>2971</v>
      </c>
      <c r="E143" s="687">
        <v>6121</v>
      </c>
      <c r="F143" s="700">
        <v>49</v>
      </c>
      <c r="G143" s="700" t="s">
        <v>884</v>
      </c>
      <c r="H143" s="707">
        <v>2010</v>
      </c>
      <c r="I143" s="687">
        <v>2013</v>
      </c>
      <c r="J143" s="703">
        <v>600</v>
      </c>
      <c r="K143" s="703"/>
      <c r="L143" s="703"/>
      <c r="M143" s="703">
        <v>600</v>
      </c>
      <c r="N143" s="703">
        <v>600</v>
      </c>
      <c r="O143" s="703">
        <v>582</v>
      </c>
      <c r="P143" s="695">
        <f t="shared" si="13"/>
        <v>0.97</v>
      </c>
      <c r="Q143" s="704"/>
      <c r="R143" s="704"/>
      <c r="S143" s="704">
        <v>6400</v>
      </c>
      <c r="T143" s="700" t="s">
        <v>813</v>
      </c>
    </row>
    <row r="144" spans="1:20" ht="12.75">
      <c r="A144" s="686">
        <f t="shared" si="12"/>
        <v>136</v>
      </c>
      <c r="B144" s="701" t="s">
        <v>300</v>
      </c>
      <c r="C144" s="687" t="s">
        <v>663</v>
      </c>
      <c r="D144" s="687">
        <v>2972</v>
      </c>
      <c r="E144" s="687">
        <v>6121</v>
      </c>
      <c r="F144" s="700">
        <v>49</v>
      </c>
      <c r="G144" s="700" t="s">
        <v>885</v>
      </c>
      <c r="H144" s="707">
        <v>2010</v>
      </c>
      <c r="I144" s="687">
        <v>2015</v>
      </c>
      <c r="J144" s="703">
        <v>60850</v>
      </c>
      <c r="K144" s="703"/>
      <c r="L144" s="703"/>
      <c r="M144" s="703">
        <v>1950</v>
      </c>
      <c r="N144" s="703">
        <v>1100</v>
      </c>
      <c r="O144" s="703">
        <v>232</v>
      </c>
      <c r="P144" s="695">
        <f t="shared" si="13"/>
        <v>0.2109090909090909</v>
      </c>
      <c r="Q144" s="704">
        <v>7600</v>
      </c>
      <c r="R144" s="704">
        <v>53350</v>
      </c>
      <c r="S144" s="704"/>
      <c r="T144" s="700" t="s">
        <v>813</v>
      </c>
    </row>
    <row r="145" spans="1:20" ht="12.75">
      <c r="A145" s="686">
        <f t="shared" si="12"/>
        <v>137</v>
      </c>
      <c r="B145" s="701" t="s">
        <v>300</v>
      </c>
      <c r="C145" s="687" t="s">
        <v>663</v>
      </c>
      <c r="D145" s="687">
        <v>2973</v>
      </c>
      <c r="E145" s="687">
        <v>6121</v>
      </c>
      <c r="F145" s="700">
        <v>49</v>
      </c>
      <c r="G145" s="700" t="s">
        <v>886</v>
      </c>
      <c r="H145" s="687">
        <v>2010</v>
      </c>
      <c r="I145" s="687">
        <v>2014</v>
      </c>
      <c r="J145" s="703">
        <v>20800</v>
      </c>
      <c r="K145" s="703"/>
      <c r="L145" s="703">
        <f>954+200</f>
        <v>1154</v>
      </c>
      <c r="M145" s="703">
        <v>9700</v>
      </c>
      <c r="N145" s="703">
        <v>4880</v>
      </c>
      <c r="O145" s="703">
        <v>118</v>
      </c>
      <c r="P145" s="695">
        <f t="shared" si="13"/>
        <v>0.02418032786885246</v>
      </c>
      <c r="Q145" s="704">
        <v>14766</v>
      </c>
      <c r="R145" s="704"/>
      <c r="S145" s="704"/>
      <c r="T145" s="700" t="s">
        <v>813</v>
      </c>
    </row>
    <row r="146" spans="1:20" ht="12.75">
      <c r="A146" s="686">
        <f t="shared" si="12"/>
        <v>138</v>
      </c>
      <c r="B146" s="701" t="s">
        <v>300</v>
      </c>
      <c r="C146" s="687" t="s">
        <v>663</v>
      </c>
      <c r="D146" s="687">
        <v>2974</v>
      </c>
      <c r="E146" s="687">
        <v>6121</v>
      </c>
      <c r="F146" s="700">
        <v>49</v>
      </c>
      <c r="G146" s="700" t="s">
        <v>887</v>
      </c>
      <c r="H146" s="707">
        <v>2010</v>
      </c>
      <c r="I146" s="687">
        <v>2014</v>
      </c>
      <c r="J146" s="703">
        <v>28220</v>
      </c>
      <c r="K146" s="703"/>
      <c r="L146" s="703">
        <f>1138</f>
        <v>1138</v>
      </c>
      <c r="M146" s="703">
        <v>12400</v>
      </c>
      <c r="N146" s="703">
        <v>5075</v>
      </c>
      <c r="O146" s="703">
        <v>203</v>
      </c>
      <c r="P146" s="695">
        <f t="shared" si="13"/>
        <v>0.04</v>
      </c>
      <c r="Q146" s="704">
        <v>22007</v>
      </c>
      <c r="R146" s="704"/>
      <c r="S146" s="704"/>
      <c r="T146" s="700" t="s">
        <v>813</v>
      </c>
    </row>
    <row r="147" spans="1:20" ht="12.75">
      <c r="A147" s="686">
        <f t="shared" si="12"/>
        <v>139</v>
      </c>
      <c r="B147" s="701" t="s">
        <v>300</v>
      </c>
      <c r="C147" s="687" t="s">
        <v>663</v>
      </c>
      <c r="D147" s="687">
        <v>2984</v>
      </c>
      <c r="E147" s="687">
        <v>6121</v>
      </c>
      <c r="F147" s="700">
        <v>49</v>
      </c>
      <c r="G147" s="700" t="s">
        <v>888</v>
      </c>
      <c r="H147" s="707">
        <v>2010</v>
      </c>
      <c r="I147" s="687">
        <v>2016</v>
      </c>
      <c r="J147" s="703">
        <v>25605</v>
      </c>
      <c r="K147" s="703"/>
      <c r="L147" s="703"/>
      <c r="M147" s="703">
        <v>1500</v>
      </c>
      <c r="N147" s="703"/>
      <c r="O147" s="703"/>
      <c r="P147" s="695" t="str">
        <f t="shared" si="13"/>
        <v> </v>
      </c>
      <c r="Q147" s="704">
        <v>2500</v>
      </c>
      <c r="R147" s="704">
        <v>3421</v>
      </c>
      <c r="S147" s="704">
        <v>23505</v>
      </c>
      <c r="T147" s="700" t="s">
        <v>813</v>
      </c>
    </row>
    <row r="148" spans="1:20" ht="12.75">
      <c r="A148" s="686">
        <f t="shared" si="12"/>
        <v>140</v>
      </c>
      <c r="B148" s="701" t="s">
        <v>300</v>
      </c>
      <c r="C148" s="687" t="s">
        <v>663</v>
      </c>
      <c r="D148" s="687">
        <v>2986</v>
      </c>
      <c r="E148" s="687">
        <v>6121</v>
      </c>
      <c r="F148" s="700">
        <v>49</v>
      </c>
      <c r="G148" s="700" t="s">
        <v>889</v>
      </c>
      <c r="H148" s="707">
        <v>2010</v>
      </c>
      <c r="I148" s="687">
        <v>2013</v>
      </c>
      <c r="J148" s="703">
        <v>23522</v>
      </c>
      <c r="K148" s="703"/>
      <c r="L148" s="703">
        <f>979+71</f>
        <v>1050</v>
      </c>
      <c r="M148" s="703">
        <v>22893</v>
      </c>
      <c r="N148" s="703">
        <v>22472</v>
      </c>
      <c r="O148" s="703">
        <v>22250</v>
      </c>
      <c r="P148" s="695">
        <f t="shared" si="13"/>
        <v>0.990121039515842</v>
      </c>
      <c r="Q148" s="704"/>
      <c r="R148" s="704"/>
      <c r="S148" s="704"/>
      <c r="T148" s="700" t="s">
        <v>813</v>
      </c>
    </row>
    <row r="149" spans="1:20" ht="12.75">
      <c r="A149" s="686">
        <f t="shared" si="12"/>
        <v>141</v>
      </c>
      <c r="B149" s="701" t="s">
        <v>300</v>
      </c>
      <c r="C149" s="687" t="s">
        <v>663</v>
      </c>
      <c r="D149" s="687">
        <v>2987</v>
      </c>
      <c r="E149" s="687">
        <v>6121</v>
      </c>
      <c r="F149" s="700">
        <v>49</v>
      </c>
      <c r="G149" s="700" t="s">
        <v>890</v>
      </c>
      <c r="H149" s="707">
        <v>2010</v>
      </c>
      <c r="I149" s="687">
        <v>2014</v>
      </c>
      <c r="J149" s="703">
        <v>44200</v>
      </c>
      <c r="K149" s="703"/>
      <c r="L149" s="703">
        <f>1944</f>
        <v>1944</v>
      </c>
      <c r="M149" s="703">
        <v>6605</v>
      </c>
      <c r="N149" s="703">
        <v>5600</v>
      </c>
      <c r="O149" s="703">
        <v>220</v>
      </c>
      <c r="P149" s="695">
        <f t="shared" si="13"/>
        <v>0.039285714285714285</v>
      </c>
      <c r="Q149" s="704">
        <v>36656</v>
      </c>
      <c r="R149" s="704"/>
      <c r="S149" s="704"/>
      <c r="T149" s="700" t="s">
        <v>813</v>
      </c>
    </row>
    <row r="150" spans="1:20" ht="12.75">
      <c r="A150" s="686">
        <f t="shared" si="12"/>
        <v>142</v>
      </c>
      <c r="B150" s="701" t="s">
        <v>300</v>
      </c>
      <c r="C150" s="687" t="s">
        <v>663</v>
      </c>
      <c r="D150" s="687">
        <v>2989</v>
      </c>
      <c r="E150" s="687">
        <v>6121</v>
      </c>
      <c r="F150" s="700">
        <v>49</v>
      </c>
      <c r="G150" s="700" t="s">
        <v>891</v>
      </c>
      <c r="H150" s="707">
        <v>2010</v>
      </c>
      <c r="I150" s="687">
        <v>2018</v>
      </c>
      <c r="J150" s="703">
        <v>20000</v>
      </c>
      <c r="K150" s="703"/>
      <c r="L150" s="703">
        <f>537+4231+343</f>
        <v>5111</v>
      </c>
      <c r="M150" s="703">
        <v>3000</v>
      </c>
      <c r="N150" s="703">
        <v>400</v>
      </c>
      <c r="O150" s="703">
        <v>390</v>
      </c>
      <c r="P150" s="695">
        <f t="shared" si="13"/>
        <v>0.975</v>
      </c>
      <c r="Q150" s="704">
        <v>6000</v>
      </c>
      <c r="R150" s="704">
        <v>2000</v>
      </c>
      <c r="S150" s="704">
        <v>11289</v>
      </c>
      <c r="T150" s="700" t="s">
        <v>813</v>
      </c>
    </row>
    <row r="151" spans="1:20" ht="12.75">
      <c r="A151" s="686">
        <f t="shared" si="12"/>
        <v>143</v>
      </c>
      <c r="B151" s="701" t="s">
        <v>300</v>
      </c>
      <c r="C151" s="687" t="s">
        <v>663</v>
      </c>
      <c r="D151" s="687">
        <v>2990</v>
      </c>
      <c r="E151" s="687">
        <v>6121</v>
      </c>
      <c r="F151" s="700">
        <v>49</v>
      </c>
      <c r="G151" s="700" t="s">
        <v>892</v>
      </c>
      <c r="H151" s="707">
        <v>2010</v>
      </c>
      <c r="I151" s="687">
        <v>2014</v>
      </c>
      <c r="J151" s="703">
        <v>28735</v>
      </c>
      <c r="K151" s="703"/>
      <c r="L151" s="703">
        <f>1354+78</f>
        <v>1432</v>
      </c>
      <c r="M151" s="703">
        <v>27614</v>
      </c>
      <c r="N151" s="703">
        <v>27303</v>
      </c>
      <c r="O151" s="703">
        <v>27096</v>
      </c>
      <c r="P151" s="695">
        <f t="shared" si="13"/>
        <v>0.9924184155587298</v>
      </c>
      <c r="Q151" s="704">
        <v>36</v>
      </c>
      <c r="R151" s="704"/>
      <c r="S151" s="704"/>
      <c r="T151" s="700" t="s">
        <v>813</v>
      </c>
    </row>
    <row r="152" spans="1:20" ht="12.75">
      <c r="A152" s="686">
        <f t="shared" si="12"/>
        <v>144</v>
      </c>
      <c r="B152" s="701" t="s">
        <v>300</v>
      </c>
      <c r="C152" s="687" t="s">
        <v>663</v>
      </c>
      <c r="D152" s="687">
        <v>3023</v>
      </c>
      <c r="E152" s="687">
        <v>6121</v>
      </c>
      <c r="F152" s="700">
        <v>49</v>
      </c>
      <c r="G152" s="700" t="s">
        <v>893</v>
      </c>
      <c r="H152" s="707">
        <v>2010</v>
      </c>
      <c r="I152" s="687">
        <v>2015</v>
      </c>
      <c r="J152" s="703">
        <v>22300</v>
      </c>
      <c r="K152" s="703"/>
      <c r="L152" s="703">
        <f>669</f>
        <v>669</v>
      </c>
      <c r="M152" s="703">
        <v>1520</v>
      </c>
      <c r="N152" s="703">
        <v>950</v>
      </c>
      <c r="O152" s="703">
        <v>943</v>
      </c>
      <c r="P152" s="695">
        <f t="shared" si="13"/>
        <v>0.9926315789473684</v>
      </c>
      <c r="Q152" s="704">
        <v>8000</v>
      </c>
      <c r="R152" s="704">
        <v>12581</v>
      </c>
      <c r="S152" s="704"/>
      <c r="T152" s="700" t="s">
        <v>813</v>
      </c>
    </row>
    <row r="153" spans="1:20" ht="12.75">
      <c r="A153" s="686">
        <f t="shared" si="12"/>
        <v>145</v>
      </c>
      <c r="B153" s="701" t="s">
        <v>300</v>
      </c>
      <c r="C153" s="687" t="s">
        <v>663</v>
      </c>
      <c r="D153" s="687">
        <v>3024</v>
      </c>
      <c r="E153" s="687">
        <v>6121</v>
      </c>
      <c r="F153" s="700">
        <v>49</v>
      </c>
      <c r="G153" s="700" t="s">
        <v>894</v>
      </c>
      <c r="H153" s="707">
        <v>2010</v>
      </c>
      <c r="I153" s="687">
        <v>2015</v>
      </c>
      <c r="J153" s="703">
        <v>65000</v>
      </c>
      <c r="K153" s="703"/>
      <c r="L153" s="703">
        <f>2030+1</f>
        <v>2031</v>
      </c>
      <c r="M153" s="703">
        <v>5750</v>
      </c>
      <c r="N153" s="703">
        <v>4700</v>
      </c>
      <c r="O153" s="703">
        <v>4687</v>
      </c>
      <c r="P153" s="695">
        <f t="shared" si="13"/>
        <v>0.9972340425531915</v>
      </c>
      <c r="Q153" s="704">
        <v>15000</v>
      </c>
      <c r="R153" s="704">
        <v>24969</v>
      </c>
      <c r="S153" s="704"/>
      <c r="T153" s="700" t="s">
        <v>813</v>
      </c>
    </row>
    <row r="154" spans="1:20" ht="12.75">
      <c r="A154" s="686">
        <f t="shared" si="12"/>
        <v>146</v>
      </c>
      <c r="B154" s="701" t="s">
        <v>300</v>
      </c>
      <c r="C154" s="687" t="s">
        <v>663</v>
      </c>
      <c r="D154" s="687">
        <v>3025</v>
      </c>
      <c r="E154" s="687">
        <v>6121</v>
      </c>
      <c r="F154" s="700">
        <v>49</v>
      </c>
      <c r="G154" s="700" t="s">
        <v>895</v>
      </c>
      <c r="H154" s="707">
        <v>2010</v>
      </c>
      <c r="I154" s="687">
        <v>2013</v>
      </c>
      <c r="J154" s="703">
        <v>19500</v>
      </c>
      <c r="K154" s="703"/>
      <c r="L154" s="703">
        <f>1445+87+17933</f>
        <v>19465</v>
      </c>
      <c r="M154" s="703">
        <v>559</v>
      </c>
      <c r="N154" s="703">
        <v>35</v>
      </c>
      <c r="O154" s="703">
        <v>6</v>
      </c>
      <c r="P154" s="695">
        <f t="shared" si="13"/>
        <v>0.17142857142857143</v>
      </c>
      <c r="Q154" s="704"/>
      <c r="R154" s="704"/>
      <c r="S154" s="704"/>
      <c r="T154" s="700" t="s">
        <v>813</v>
      </c>
    </row>
    <row r="155" spans="1:20" ht="12.75">
      <c r="A155" s="686">
        <f t="shared" si="12"/>
        <v>147</v>
      </c>
      <c r="B155" s="701" t="s">
        <v>300</v>
      </c>
      <c r="C155" s="687" t="s">
        <v>663</v>
      </c>
      <c r="D155" s="687">
        <v>3043</v>
      </c>
      <c r="E155" s="687">
        <v>6121</v>
      </c>
      <c r="F155" s="700">
        <v>49</v>
      </c>
      <c r="G155" s="700" t="s">
        <v>896</v>
      </c>
      <c r="H155" s="707">
        <v>2009</v>
      </c>
      <c r="I155" s="687">
        <v>2018</v>
      </c>
      <c r="J155" s="703">
        <v>158000</v>
      </c>
      <c r="K155" s="703"/>
      <c r="L155" s="703"/>
      <c r="M155" s="703">
        <v>4000</v>
      </c>
      <c r="N155" s="703"/>
      <c r="O155" s="703"/>
      <c r="P155" s="695" t="str">
        <f t="shared" si="13"/>
        <v> </v>
      </c>
      <c r="Q155" s="704">
        <v>4000</v>
      </c>
      <c r="R155" s="704"/>
      <c r="S155" s="704">
        <v>154000</v>
      </c>
      <c r="T155" s="700" t="s">
        <v>813</v>
      </c>
    </row>
    <row r="156" spans="1:20" ht="12.75">
      <c r="A156" s="686">
        <f t="shared" si="12"/>
        <v>148</v>
      </c>
      <c r="B156" s="701" t="s">
        <v>300</v>
      </c>
      <c r="C156" s="687" t="s">
        <v>663</v>
      </c>
      <c r="D156" s="687">
        <v>3045</v>
      </c>
      <c r="E156" s="687">
        <v>6121</v>
      </c>
      <c r="F156" s="700">
        <v>49</v>
      </c>
      <c r="G156" s="700" t="s">
        <v>897</v>
      </c>
      <c r="H156" s="707">
        <v>2009</v>
      </c>
      <c r="I156" s="707">
        <v>2013</v>
      </c>
      <c r="J156" s="703">
        <v>32500</v>
      </c>
      <c r="K156" s="703"/>
      <c r="L156" s="703">
        <f>1703+80+23529</f>
        <v>25312</v>
      </c>
      <c r="M156" s="703">
        <v>7321</v>
      </c>
      <c r="N156" s="703">
        <v>7188</v>
      </c>
      <c r="O156" s="703">
        <v>7181</v>
      </c>
      <c r="P156" s="695">
        <f t="shared" si="13"/>
        <v>0.9990261547022816</v>
      </c>
      <c r="Q156" s="704"/>
      <c r="R156" s="704"/>
      <c r="S156" s="704"/>
      <c r="T156" s="700" t="s">
        <v>813</v>
      </c>
    </row>
    <row r="157" spans="1:20" ht="12.75">
      <c r="A157" s="686">
        <f t="shared" si="12"/>
        <v>149</v>
      </c>
      <c r="B157" s="701" t="s">
        <v>300</v>
      </c>
      <c r="C157" s="687" t="s">
        <v>663</v>
      </c>
      <c r="D157" s="687">
        <v>3055</v>
      </c>
      <c r="E157" s="687">
        <v>6121</v>
      </c>
      <c r="F157" s="700">
        <v>49</v>
      </c>
      <c r="G157" s="700" t="s">
        <v>898</v>
      </c>
      <c r="H157" s="707">
        <v>2009</v>
      </c>
      <c r="I157" s="687">
        <v>2013</v>
      </c>
      <c r="J157" s="703">
        <v>21505</v>
      </c>
      <c r="K157" s="703"/>
      <c r="L157" s="703">
        <f>1724+98</f>
        <v>1822</v>
      </c>
      <c r="M157" s="703">
        <v>19996</v>
      </c>
      <c r="N157" s="703">
        <v>19683</v>
      </c>
      <c r="O157" s="703">
        <v>19407</v>
      </c>
      <c r="P157" s="695">
        <f t="shared" si="13"/>
        <v>0.9859777472946197</v>
      </c>
      <c r="Q157" s="704"/>
      <c r="R157" s="704"/>
      <c r="S157" s="704"/>
      <c r="T157" s="700" t="s">
        <v>813</v>
      </c>
    </row>
    <row r="158" spans="1:20" ht="12.75">
      <c r="A158" s="686">
        <f t="shared" si="12"/>
        <v>150</v>
      </c>
      <c r="B158" s="701" t="s">
        <v>300</v>
      </c>
      <c r="C158" s="687" t="s">
        <v>663</v>
      </c>
      <c r="D158" s="687">
        <v>3082</v>
      </c>
      <c r="E158" s="687">
        <v>6121</v>
      </c>
      <c r="F158" s="700">
        <v>49</v>
      </c>
      <c r="G158" s="700" t="s">
        <v>899</v>
      </c>
      <c r="H158" s="707">
        <v>2009</v>
      </c>
      <c r="I158" s="687">
        <v>2015</v>
      </c>
      <c r="J158" s="703">
        <v>17750</v>
      </c>
      <c r="K158" s="703"/>
      <c r="L158" s="703">
        <f>915</f>
        <v>915</v>
      </c>
      <c r="M158" s="703"/>
      <c r="N158" s="703">
        <v>110</v>
      </c>
      <c r="O158" s="703">
        <v>101</v>
      </c>
      <c r="P158" s="695">
        <f t="shared" si="13"/>
        <v>0.9181818181818182</v>
      </c>
      <c r="Q158" s="704">
        <v>11590</v>
      </c>
      <c r="R158" s="704">
        <v>12735</v>
      </c>
      <c r="S158" s="704"/>
      <c r="T158" s="700" t="s">
        <v>813</v>
      </c>
    </row>
    <row r="159" spans="1:20" ht="12.75">
      <c r="A159" s="686">
        <f t="shared" si="12"/>
        <v>151</v>
      </c>
      <c r="B159" s="701" t="s">
        <v>300</v>
      </c>
      <c r="C159" s="687" t="s">
        <v>663</v>
      </c>
      <c r="D159" s="687">
        <v>3083</v>
      </c>
      <c r="E159" s="687">
        <v>6121</v>
      </c>
      <c r="F159" s="700">
        <v>49</v>
      </c>
      <c r="G159" s="700" t="s">
        <v>900</v>
      </c>
      <c r="H159" s="707">
        <v>2009</v>
      </c>
      <c r="I159" s="687">
        <v>2015</v>
      </c>
      <c r="J159" s="703">
        <v>19250</v>
      </c>
      <c r="K159" s="703"/>
      <c r="L159" s="703">
        <f>942</f>
        <v>942</v>
      </c>
      <c r="M159" s="703"/>
      <c r="N159" s="703">
        <v>100</v>
      </c>
      <c r="O159" s="703">
        <v>61</v>
      </c>
      <c r="P159" s="695">
        <f t="shared" si="13"/>
        <v>0.61</v>
      </c>
      <c r="Q159" s="704">
        <v>10000</v>
      </c>
      <c r="R159" s="704">
        <v>12208</v>
      </c>
      <c r="S159" s="704"/>
      <c r="T159" s="700" t="s">
        <v>813</v>
      </c>
    </row>
    <row r="160" spans="1:20" ht="12.75">
      <c r="A160" s="686">
        <f t="shared" si="12"/>
        <v>152</v>
      </c>
      <c r="B160" s="701" t="s">
        <v>300</v>
      </c>
      <c r="C160" s="687" t="s">
        <v>663</v>
      </c>
      <c r="D160" s="687">
        <v>3105</v>
      </c>
      <c r="E160" s="687">
        <v>6121</v>
      </c>
      <c r="F160" s="700">
        <v>49</v>
      </c>
      <c r="G160" s="700" t="s">
        <v>901</v>
      </c>
      <c r="H160" s="707">
        <v>2008</v>
      </c>
      <c r="I160" s="687">
        <v>2017</v>
      </c>
      <c r="J160" s="703">
        <v>14200</v>
      </c>
      <c r="K160" s="703"/>
      <c r="L160" s="703">
        <v>530</v>
      </c>
      <c r="M160" s="703"/>
      <c r="N160" s="703"/>
      <c r="O160" s="703"/>
      <c r="P160" s="695" t="str">
        <f t="shared" si="13"/>
        <v> </v>
      </c>
      <c r="Q160" s="704"/>
      <c r="R160" s="704">
        <v>200</v>
      </c>
      <c r="S160" s="704">
        <f>5000+8470</f>
        <v>13470</v>
      </c>
      <c r="T160" s="700" t="s">
        <v>813</v>
      </c>
    </row>
    <row r="161" spans="1:20" ht="12.75">
      <c r="A161" s="686">
        <f t="shared" si="12"/>
        <v>153</v>
      </c>
      <c r="B161" s="701" t="s">
        <v>300</v>
      </c>
      <c r="C161" s="687" t="s">
        <v>663</v>
      </c>
      <c r="D161" s="687">
        <v>3126</v>
      </c>
      <c r="E161" s="687">
        <v>6121</v>
      </c>
      <c r="F161" s="700">
        <v>49</v>
      </c>
      <c r="G161" s="700" t="s">
        <v>902</v>
      </c>
      <c r="H161" s="707">
        <v>2008</v>
      </c>
      <c r="I161" s="687">
        <v>2018</v>
      </c>
      <c r="J161" s="703">
        <v>28000</v>
      </c>
      <c r="K161" s="703"/>
      <c r="L161" s="703">
        <f>3692+3209+2566</f>
        <v>9467</v>
      </c>
      <c r="M161" s="703">
        <v>3000</v>
      </c>
      <c r="N161" s="703">
        <v>5000</v>
      </c>
      <c r="O161" s="703">
        <v>4907</v>
      </c>
      <c r="P161" s="695">
        <f t="shared" si="13"/>
        <v>0.9814</v>
      </c>
      <c r="Q161" s="704">
        <v>3300</v>
      </c>
      <c r="R161" s="704">
        <v>3000</v>
      </c>
      <c r="S161" s="704">
        <v>4533</v>
      </c>
      <c r="T161" s="700" t="s">
        <v>813</v>
      </c>
    </row>
    <row r="162" spans="1:20" ht="12.75">
      <c r="A162" s="686">
        <f t="shared" si="12"/>
        <v>154</v>
      </c>
      <c r="B162" s="701" t="s">
        <v>300</v>
      </c>
      <c r="C162" s="687" t="s">
        <v>663</v>
      </c>
      <c r="D162" s="687">
        <v>3140</v>
      </c>
      <c r="E162" s="687">
        <v>6121</v>
      </c>
      <c r="F162" s="700">
        <v>49</v>
      </c>
      <c r="G162" s="700" t="s">
        <v>903</v>
      </c>
      <c r="H162" s="707">
        <v>2008</v>
      </c>
      <c r="I162" s="687">
        <v>2013</v>
      </c>
      <c r="J162" s="703">
        <v>42998</v>
      </c>
      <c r="K162" s="703"/>
      <c r="L162" s="703">
        <f>1782+228+29303</f>
        <v>31313</v>
      </c>
      <c r="M162" s="703">
        <v>12847</v>
      </c>
      <c r="N162" s="703">
        <v>11685</v>
      </c>
      <c r="O162" s="703">
        <v>11420</v>
      </c>
      <c r="P162" s="695">
        <f t="shared" si="13"/>
        <v>0.97732135216089</v>
      </c>
      <c r="Q162" s="704"/>
      <c r="R162" s="704"/>
      <c r="S162" s="704"/>
      <c r="T162" s="700" t="s">
        <v>813</v>
      </c>
    </row>
    <row r="163" spans="1:20" ht="12.75">
      <c r="A163" s="686">
        <f aca="true" t="shared" si="14" ref="A163:A191">A162+1</f>
        <v>155</v>
      </c>
      <c r="B163" s="701" t="s">
        <v>300</v>
      </c>
      <c r="C163" s="687" t="s">
        <v>663</v>
      </c>
      <c r="D163" s="687">
        <v>3141</v>
      </c>
      <c r="E163" s="687">
        <v>6121</v>
      </c>
      <c r="F163" s="700">
        <v>49</v>
      </c>
      <c r="G163" s="700" t="s">
        <v>904</v>
      </c>
      <c r="H163" s="707">
        <v>2008</v>
      </c>
      <c r="I163" s="687">
        <v>2015</v>
      </c>
      <c r="J163" s="703">
        <v>1668</v>
      </c>
      <c r="K163" s="703"/>
      <c r="L163" s="703">
        <v>1667</v>
      </c>
      <c r="M163" s="703"/>
      <c r="N163" s="703"/>
      <c r="O163" s="703"/>
      <c r="P163" s="695" t="str">
        <f t="shared" si="13"/>
        <v> </v>
      </c>
      <c r="Q163" s="704"/>
      <c r="R163" s="704"/>
      <c r="S163" s="704"/>
      <c r="T163" s="700" t="s">
        <v>813</v>
      </c>
    </row>
    <row r="164" spans="1:20" ht="12.75">
      <c r="A164" s="686">
        <f t="shared" si="14"/>
        <v>156</v>
      </c>
      <c r="B164" s="701" t="s">
        <v>300</v>
      </c>
      <c r="C164" s="687" t="s">
        <v>663</v>
      </c>
      <c r="D164" s="687">
        <v>3152</v>
      </c>
      <c r="E164" s="687">
        <v>6121</v>
      </c>
      <c r="F164" s="700"/>
      <c r="G164" s="700" t="s">
        <v>905</v>
      </c>
      <c r="H164" s="707">
        <v>2008</v>
      </c>
      <c r="I164" s="687">
        <v>2015</v>
      </c>
      <c r="J164" s="703">
        <v>61200</v>
      </c>
      <c r="K164" s="703"/>
      <c r="L164" s="703">
        <f>1096+217</f>
        <v>1313</v>
      </c>
      <c r="M164" s="703"/>
      <c r="N164" s="703"/>
      <c r="O164" s="703"/>
      <c r="P164" s="695" t="str">
        <f t="shared" si="13"/>
        <v> </v>
      </c>
      <c r="Q164" s="704"/>
      <c r="R164" s="704">
        <v>59887</v>
      </c>
      <c r="S164" s="704"/>
      <c r="T164" s="700" t="s">
        <v>747</v>
      </c>
    </row>
    <row r="165" spans="1:20" ht="12.75">
      <c r="A165" s="686">
        <f t="shared" si="14"/>
        <v>157</v>
      </c>
      <c r="B165" s="701" t="s">
        <v>300</v>
      </c>
      <c r="C165" s="687" t="s">
        <v>663</v>
      </c>
      <c r="D165" s="687">
        <v>3159</v>
      </c>
      <c r="E165" s="687">
        <v>6121</v>
      </c>
      <c r="F165" s="700">
        <v>49</v>
      </c>
      <c r="G165" s="700" t="s">
        <v>906</v>
      </c>
      <c r="H165" s="707">
        <v>2007</v>
      </c>
      <c r="I165" s="687">
        <v>2015</v>
      </c>
      <c r="J165" s="703">
        <v>16444</v>
      </c>
      <c r="K165" s="703"/>
      <c r="L165" s="703"/>
      <c r="M165" s="703">
        <v>700</v>
      </c>
      <c r="N165" s="703">
        <v>1000</v>
      </c>
      <c r="O165" s="703">
        <v>949</v>
      </c>
      <c r="P165" s="695">
        <f t="shared" si="13"/>
        <v>0.949</v>
      </c>
      <c r="Q165" s="704">
        <v>6000</v>
      </c>
      <c r="R165" s="704">
        <v>9444</v>
      </c>
      <c r="S165" s="704"/>
      <c r="T165" s="700" t="s">
        <v>813</v>
      </c>
    </row>
    <row r="166" spans="1:20" ht="12.75">
      <c r="A166" s="686">
        <f t="shared" si="14"/>
        <v>158</v>
      </c>
      <c r="B166" s="701" t="s">
        <v>300</v>
      </c>
      <c r="C166" s="687" t="s">
        <v>663</v>
      </c>
      <c r="D166" s="687">
        <v>3172</v>
      </c>
      <c r="E166" s="687">
        <v>6121</v>
      </c>
      <c r="F166" s="700"/>
      <c r="G166" s="700" t="s">
        <v>907</v>
      </c>
      <c r="H166" s="687">
        <v>2005</v>
      </c>
      <c r="I166" s="687">
        <v>2015</v>
      </c>
      <c r="J166" s="703">
        <v>71214</v>
      </c>
      <c r="K166" s="703"/>
      <c r="L166" s="703"/>
      <c r="M166" s="703"/>
      <c r="N166" s="703"/>
      <c r="O166" s="703"/>
      <c r="P166" s="695" t="str">
        <f t="shared" si="13"/>
        <v> </v>
      </c>
      <c r="Q166" s="704"/>
      <c r="R166" s="704">
        <v>71214</v>
      </c>
      <c r="S166" s="704"/>
      <c r="T166" s="700" t="s">
        <v>747</v>
      </c>
    </row>
    <row r="167" spans="1:20" ht="12.75">
      <c r="A167" s="686">
        <f t="shared" si="14"/>
        <v>159</v>
      </c>
      <c r="B167" s="701" t="s">
        <v>300</v>
      </c>
      <c r="C167" s="687" t="s">
        <v>663</v>
      </c>
      <c r="D167" s="687">
        <v>3181</v>
      </c>
      <c r="E167" s="687">
        <v>6121</v>
      </c>
      <c r="F167" s="700">
        <v>49</v>
      </c>
      <c r="G167" s="700" t="s">
        <v>908</v>
      </c>
      <c r="H167" s="707">
        <v>2007</v>
      </c>
      <c r="I167" s="707">
        <v>2016</v>
      </c>
      <c r="J167" s="703">
        <v>5400</v>
      </c>
      <c r="K167" s="703"/>
      <c r="L167" s="703">
        <v>332</v>
      </c>
      <c r="M167" s="703"/>
      <c r="N167" s="703"/>
      <c r="O167" s="703"/>
      <c r="P167" s="695" t="str">
        <f t="shared" si="13"/>
        <v> </v>
      </c>
      <c r="Q167" s="704"/>
      <c r="R167" s="704"/>
      <c r="S167" s="704">
        <v>5068</v>
      </c>
      <c r="T167" s="700" t="s">
        <v>813</v>
      </c>
    </row>
    <row r="168" spans="1:20" ht="12.75">
      <c r="A168" s="686">
        <f t="shared" si="14"/>
        <v>160</v>
      </c>
      <c r="B168" s="701" t="s">
        <v>300</v>
      </c>
      <c r="C168" s="687" t="s">
        <v>663</v>
      </c>
      <c r="D168" s="687">
        <v>3185</v>
      </c>
      <c r="E168" s="687">
        <v>6121</v>
      </c>
      <c r="F168" s="700">
        <v>49</v>
      </c>
      <c r="G168" s="700" t="s">
        <v>909</v>
      </c>
      <c r="H168" s="707">
        <v>2007</v>
      </c>
      <c r="I168" s="687">
        <v>2015</v>
      </c>
      <c r="J168" s="703">
        <v>112000</v>
      </c>
      <c r="K168" s="703"/>
      <c r="L168" s="703">
        <f>3923+2975</f>
        <v>6898</v>
      </c>
      <c r="M168" s="703">
        <v>33464</v>
      </c>
      <c r="N168" s="703">
        <v>300</v>
      </c>
      <c r="O168" s="703">
        <v>202</v>
      </c>
      <c r="P168" s="695">
        <f t="shared" si="13"/>
        <v>0.6733333333333333</v>
      </c>
      <c r="Q168" s="704">
        <v>48880</v>
      </c>
      <c r="R168" s="704">
        <v>8758</v>
      </c>
      <c r="S168" s="704"/>
      <c r="T168" s="700" t="s">
        <v>813</v>
      </c>
    </row>
    <row r="169" spans="1:20" ht="12.75">
      <c r="A169" s="686">
        <f t="shared" si="14"/>
        <v>161</v>
      </c>
      <c r="B169" s="701">
        <v>5600</v>
      </c>
      <c r="C169" s="687" t="s">
        <v>663</v>
      </c>
      <c r="D169" s="707">
        <v>3347</v>
      </c>
      <c r="E169" s="687">
        <v>6121</v>
      </c>
      <c r="F169" s="700"/>
      <c r="G169" s="700" t="s">
        <v>910</v>
      </c>
      <c r="H169" s="705">
        <v>2005</v>
      </c>
      <c r="I169" s="707">
        <v>2014</v>
      </c>
      <c r="J169" s="703">
        <v>70000</v>
      </c>
      <c r="K169" s="703"/>
      <c r="L169" s="703">
        <f>52904+649+1118</f>
        <v>54671</v>
      </c>
      <c r="M169" s="703"/>
      <c r="N169" s="703"/>
      <c r="O169" s="703"/>
      <c r="P169" s="695" t="str">
        <f t="shared" si="13"/>
        <v> </v>
      </c>
      <c r="Q169" s="704"/>
      <c r="R169" s="704"/>
      <c r="S169" s="704"/>
      <c r="T169" s="700" t="s">
        <v>747</v>
      </c>
    </row>
    <row r="170" spans="1:20" ht="12.75">
      <c r="A170" s="686">
        <f t="shared" si="14"/>
        <v>162</v>
      </c>
      <c r="B170" s="701" t="s">
        <v>300</v>
      </c>
      <c r="C170" s="687" t="s">
        <v>663</v>
      </c>
      <c r="D170" s="687">
        <v>3350</v>
      </c>
      <c r="E170" s="687">
        <v>6121</v>
      </c>
      <c r="F170" s="700">
        <v>49</v>
      </c>
      <c r="G170" s="700" t="s">
        <v>911</v>
      </c>
      <c r="H170" s="707">
        <v>2005</v>
      </c>
      <c r="I170" s="687">
        <v>2017</v>
      </c>
      <c r="J170" s="703">
        <v>21529</v>
      </c>
      <c r="K170" s="703"/>
      <c r="L170" s="703">
        <f>202</f>
        <v>202</v>
      </c>
      <c r="M170" s="703">
        <v>1100</v>
      </c>
      <c r="N170" s="703">
        <v>900</v>
      </c>
      <c r="O170" s="703">
        <v>840</v>
      </c>
      <c r="P170" s="695">
        <f t="shared" si="13"/>
        <v>0.9333333333333333</v>
      </c>
      <c r="Q170" s="704"/>
      <c r="R170" s="704">
        <v>5000</v>
      </c>
      <c r="S170" s="704">
        <v>15227</v>
      </c>
      <c r="T170" s="700" t="s">
        <v>813</v>
      </c>
    </row>
    <row r="171" spans="1:20" ht="12.75">
      <c r="A171" s="686">
        <f t="shared" si="14"/>
        <v>163</v>
      </c>
      <c r="B171" s="701" t="s">
        <v>300</v>
      </c>
      <c r="C171" s="687" t="s">
        <v>663</v>
      </c>
      <c r="D171" s="687">
        <v>3351</v>
      </c>
      <c r="E171" s="687">
        <v>6121</v>
      </c>
      <c r="F171" s="700">
        <v>49</v>
      </c>
      <c r="G171" s="700" t="s">
        <v>912</v>
      </c>
      <c r="H171" s="707">
        <v>2005</v>
      </c>
      <c r="I171" s="687">
        <v>2013</v>
      </c>
      <c r="J171" s="703">
        <v>49990</v>
      </c>
      <c r="K171" s="703"/>
      <c r="L171" s="703">
        <f>1798+68+37242</f>
        <v>39108</v>
      </c>
      <c r="M171" s="703">
        <v>11218</v>
      </c>
      <c r="N171" s="703">
        <v>10882</v>
      </c>
      <c r="O171" s="703">
        <v>10836</v>
      </c>
      <c r="P171" s="695">
        <f t="shared" si="13"/>
        <v>0.9957728358757582</v>
      </c>
      <c r="Q171" s="704"/>
      <c r="R171" s="704"/>
      <c r="S171" s="704"/>
      <c r="T171" s="700" t="s">
        <v>813</v>
      </c>
    </row>
    <row r="172" spans="1:20" ht="12.75">
      <c r="A172" s="686">
        <f t="shared" si="14"/>
        <v>164</v>
      </c>
      <c r="B172" s="701" t="s">
        <v>300</v>
      </c>
      <c r="C172" s="687" t="s">
        <v>663</v>
      </c>
      <c r="D172" s="687">
        <v>3353</v>
      </c>
      <c r="E172" s="687">
        <v>6121</v>
      </c>
      <c r="F172" s="700">
        <v>49</v>
      </c>
      <c r="G172" s="700" t="s">
        <v>913</v>
      </c>
      <c r="H172" s="707">
        <v>2005</v>
      </c>
      <c r="I172" s="687">
        <v>2016</v>
      </c>
      <c r="J172" s="703">
        <v>46723</v>
      </c>
      <c r="K172" s="703"/>
      <c r="L172" s="703"/>
      <c r="M172" s="703">
        <v>2000</v>
      </c>
      <c r="N172" s="703"/>
      <c r="O172" s="703"/>
      <c r="P172" s="695" t="str">
        <f t="shared" si="13"/>
        <v> </v>
      </c>
      <c r="Q172" s="704">
        <v>1500</v>
      </c>
      <c r="R172" s="704">
        <v>15000</v>
      </c>
      <c r="S172" s="704">
        <v>29023</v>
      </c>
      <c r="T172" s="700" t="s">
        <v>813</v>
      </c>
    </row>
    <row r="173" spans="1:20" ht="12.75">
      <c r="A173" s="686">
        <f t="shared" si="14"/>
        <v>165</v>
      </c>
      <c r="B173" s="701" t="s">
        <v>300</v>
      </c>
      <c r="C173" s="687" t="s">
        <v>663</v>
      </c>
      <c r="D173" s="687">
        <v>3375</v>
      </c>
      <c r="E173" s="687">
        <v>6121</v>
      </c>
      <c r="F173" s="702" t="s">
        <v>914</v>
      </c>
      <c r="G173" s="700" t="s">
        <v>915</v>
      </c>
      <c r="H173" s="687"/>
      <c r="I173" s="687"/>
      <c r="J173" s="703"/>
      <c r="K173" s="703"/>
      <c r="L173" s="703"/>
      <c r="M173" s="703"/>
      <c r="N173" s="703">
        <f>29333+498659</f>
        <v>527992</v>
      </c>
      <c r="O173" s="703">
        <v>527992</v>
      </c>
      <c r="P173" s="695">
        <f t="shared" si="13"/>
        <v>1</v>
      </c>
      <c r="Q173" s="704"/>
      <c r="R173" s="704"/>
      <c r="S173" s="704"/>
      <c r="T173" s="700" t="s">
        <v>747</v>
      </c>
    </row>
    <row r="174" spans="1:20" ht="12.75">
      <c r="A174" s="686">
        <f t="shared" si="14"/>
        <v>166</v>
      </c>
      <c r="B174" s="701" t="s">
        <v>300</v>
      </c>
      <c r="C174" s="687" t="s">
        <v>663</v>
      </c>
      <c r="D174" s="687">
        <v>3375</v>
      </c>
      <c r="E174" s="687">
        <v>6121</v>
      </c>
      <c r="F174" s="700">
        <v>49</v>
      </c>
      <c r="G174" s="700" t="s">
        <v>916</v>
      </c>
      <c r="H174" s="687">
        <v>2012</v>
      </c>
      <c r="I174" s="687">
        <v>2014</v>
      </c>
      <c r="J174" s="703">
        <v>309000</v>
      </c>
      <c r="K174" s="703"/>
      <c r="L174" s="703">
        <f>100000</f>
        <v>100000</v>
      </c>
      <c r="M174" s="703">
        <f>80000+19000</f>
        <v>99000</v>
      </c>
      <c r="N174" s="703">
        <f>80000+19000+93000</f>
        <v>192000</v>
      </c>
      <c r="O174" s="703">
        <v>192000</v>
      </c>
      <c r="P174" s="695">
        <f t="shared" si="13"/>
        <v>1</v>
      </c>
      <c r="Q174" s="704">
        <v>17000</v>
      </c>
      <c r="R174" s="704"/>
      <c r="S174" s="704"/>
      <c r="T174" s="700" t="s">
        <v>813</v>
      </c>
    </row>
    <row r="175" spans="1:20" ht="12.75">
      <c r="A175" s="686">
        <f t="shared" si="14"/>
        <v>167</v>
      </c>
      <c r="B175" s="701" t="s">
        <v>300</v>
      </c>
      <c r="C175" s="687" t="s">
        <v>663</v>
      </c>
      <c r="D175" s="687">
        <v>3375</v>
      </c>
      <c r="E175" s="687">
        <v>6121</v>
      </c>
      <c r="F175" s="700"/>
      <c r="G175" s="700" t="s">
        <v>916</v>
      </c>
      <c r="H175" s="707">
        <v>2004</v>
      </c>
      <c r="I175" s="687">
        <v>2014</v>
      </c>
      <c r="J175" s="703">
        <v>1566301</v>
      </c>
      <c r="K175" s="703">
        <v>738028</v>
      </c>
      <c r="L175" s="703">
        <f>86985+209727</f>
        <v>296712</v>
      </c>
      <c r="M175" s="703">
        <f>147897-19000</f>
        <v>128897</v>
      </c>
      <c r="N175" s="703">
        <f>31178+216263</f>
        <v>247441</v>
      </c>
      <c r="O175" s="703">
        <v>216262</v>
      </c>
      <c r="P175" s="695">
        <f t="shared" si="13"/>
        <v>0.8739942046790952</v>
      </c>
      <c r="Q175" s="704">
        <v>228116</v>
      </c>
      <c r="R175" s="704">
        <v>1254</v>
      </c>
      <c r="S175" s="704"/>
      <c r="T175" s="700" t="s">
        <v>747</v>
      </c>
    </row>
    <row r="176" spans="1:20" ht="12.75">
      <c r="A176" s="686">
        <f t="shared" si="14"/>
        <v>168</v>
      </c>
      <c r="B176" s="701" t="s">
        <v>300</v>
      </c>
      <c r="C176" s="687" t="s">
        <v>663</v>
      </c>
      <c r="D176" s="687">
        <v>3375</v>
      </c>
      <c r="E176" s="687">
        <v>6121</v>
      </c>
      <c r="F176" s="700">
        <v>41</v>
      </c>
      <c r="G176" s="700" t="s">
        <v>916</v>
      </c>
      <c r="H176" s="707"/>
      <c r="I176" s="687"/>
      <c r="J176" s="703"/>
      <c r="K176" s="703"/>
      <c r="L176" s="703"/>
      <c r="M176" s="703"/>
      <c r="N176" s="703"/>
      <c r="O176" s="703"/>
      <c r="P176" s="695" t="str">
        <f t="shared" si="13"/>
        <v> </v>
      </c>
      <c r="Q176" s="704">
        <v>54750</v>
      </c>
      <c r="R176" s="704"/>
      <c r="S176" s="704"/>
      <c r="T176" s="700" t="s">
        <v>747</v>
      </c>
    </row>
    <row r="177" spans="1:20" ht="12.75">
      <c r="A177" s="686">
        <f t="shared" si="14"/>
        <v>169</v>
      </c>
      <c r="B177" s="701" t="s">
        <v>300</v>
      </c>
      <c r="C177" s="687" t="s">
        <v>663</v>
      </c>
      <c r="D177" s="687">
        <v>3393</v>
      </c>
      <c r="E177" s="687">
        <v>6121</v>
      </c>
      <c r="F177" s="700"/>
      <c r="G177" s="700" t="s">
        <v>917</v>
      </c>
      <c r="H177" s="707">
        <v>2004</v>
      </c>
      <c r="I177" s="687">
        <v>2017</v>
      </c>
      <c r="J177" s="703">
        <v>18788</v>
      </c>
      <c r="K177" s="703"/>
      <c r="L177" s="703">
        <v>730</v>
      </c>
      <c r="M177" s="703"/>
      <c r="N177" s="703"/>
      <c r="O177" s="703"/>
      <c r="P177" s="695" t="str">
        <f t="shared" si="13"/>
        <v> </v>
      </c>
      <c r="Q177" s="704">
        <v>1000</v>
      </c>
      <c r="R177" s="704"/>
      <c r="S177" s="704"/>
      <c r="T177" s="700" t="s">
        <v>747</v>
      </c>
    </row>
    <row r="178" spans="1:20" ht="12.75">
      <c r="A178" s="686">
        <f t="shared" si="14"/>
        <v>170</v>
      </c>
      <c r="B178" s="701" t="s">
        <v>300</v>
      </c>
      <c r="C178" s="687" t="s">
        <v>663</v>
      </c>
      <c r="D178" s="687">
        <v>3399</v>
      </c>
      <c r="E178" s="687">
        <v>6121</v>
      </c>
      <c r="F178" s="700">
        <v>49</v>
      </c>
      <c r="G178" s="700" t="s">
        <v>918</v>
      </c>
      <c r="H178" s="707">
        <v>2004</v>
      </c>
      <c r="I178" s="707">
        <v>2015</v>
      </c>
      <c r="J178" s="703">
        <v>6683</v>
      </c>
      <c r="K178" s="703"/>
      <c r="L178" s="703">
        <v>2733</v>
      </c>
      <c r="M178" s="703">
        <v>950</v>
      </c>
      <c r="N178" s="703"/>
      <c r="O178" s="703"/>
      <c r="P178" s="695" t="str">
        <f t="shared" si="13"/>
        <v> </v>
      </c>
      <c r="Q178" s="704">
        <v>3000</v>
      </c>
      <c r="R178" s="704"/>
      <c r="S178" s="704"/>
      <c r="T178" s="700" t="s">
        <v>813</v>
      </c>
    </row>
    <row r="179" spans="1:20" ht="12.75">
      <c r="A179" s="686">
        <f t="shared" si="14"/>
        <v>171</v>
      </c>
      <c r="B179" s="701" t="s">
        <v>300</v>
      </c>
      <c r="C179" s="687" t="s">
        <v>663</v>
      </c>
      <c r="D179" s="687">
        <v>4033</v>
      </c>
      <c r="E179" s="687">
        <v>6121</v>
      </c>
      <c r="F179" s="700">
        <v>49</v>
      </c>
      <c r="G179" s="700" t="s">
        <v>919</v>
      </c>
      <c r="H179" s="707">
        <v>1996</v>
      </c>
      <c r="I179" s="687">
        <v>2019</v>
      </c>
      <c r="J179" s="703">
        <v>22012</v>
      </c>
      <c r="K179" s="703"/>
      <c r="L179" s="703">
        <v>6202</v>
      </c>
      <c r="M179" s="703"/>
      <c r="N179" s="703"/>
      <c r="O179" s="703"/>
      <c r="P179" s="695" t="str">
        <f t="shared" si="13"/>
        <v> </v>
      </c>
      <c r="Q179" s="704"/>
      <c r="R179" s="704"/>
      <c r="S179" s="704">
        <v>15810</v>
      </c>
      <c r="T179" s="700" t="s">
        <v>813</v>
      </c>
    </row>
    <row r="180" spans="1:20" ht="12.75">
      <c r="A180" s="686">
        <f t="shared" si="14"/>
        <v>172</v>
      </c>
      <c r="B180" s="701" t="s">
        <v>300</v>
      </c>
      <c r="C180" s="687" t="s">
        <v>663</v>
      </c>
      <c r="D180" s="687">
        <v>4130</v>
      </c>
      <c r="E180" s="687">
        <v>6121</v>
      </c>
      <c r="F180" s="700">
        <v>49</v>
      </c>
      <c r="G180" s="700" t="s">
        <v>920</v>
      </c>
      <c r="H180" s="707">
        <v>1998</v>
      </c>
      <c r="I180" s="687">
        <v>2018</v>
      </c>
      <c r="J180" s="703">
        <v>200000</v>
      </c>
      <c r="K180" s="703"/>
      <c r="L180" s="703">
        <f>109660+10369+9258</f>
        <v>129287</v>
      </c>
      <c r="M180" s="703">
        <v>36000</v>
      </c>
      <c r="N180" s="703">
        <v>30000</v>
      </c>
      <c r="O180" s="703">
        <v>29436</v>
      </c>
      <c r="P180" s="695">
        <f t="shared" si="13"/>
        <v>0.9812</v>
      </c>
      <c r="Q180" s="704">
        <v>22000</v>
      </c>
      <c r="R180" s="704">
        <v>3000</v>
      </c>
      <c r="S180" s="704">
        <v>20439</v>
      </c>
      <c r="T180" s="700" t="s">
        <v>813</v>
      </c>
    </row>
    <row r="181" spans="1:20" ht="12.75">
      <c r="A181" s="686">
        <f t="shared" si="14"/>
        <v>173</v>
      </c>
      <c r="B181" s="701">
        <v>5600</v>
      </c>
      <c r="C181" s="687" t="s">
        <v>663</v>
      </c>
      <c r="D181" s="707">
        <v>4376</v>
      </c>
      <c r="E181" s="687">
        <v>6121</v>
      </c>
      <c r="F181" s="700"/>
      <c r="G181" s="700" t="s">
        <v>921</v>
      </c>
      <c r="H181" s="705">
        <v>2000</v>
      </c>
      <c r="I181" s="707">
        <v>2013</v>
      </c>
      <c r="J181" s="703">
        <v>61000</v>
      </c>
      <c r="K181" s="703"/>
      <c r="L181" s="703">
        <f>28143+407+15947</f>
        <v>44497</v>
      </c>
      <c r="M181" s="703">
        <f>22857-6707</f>
        <v>16150</v>
      </c>
      <c r="N181" s="703">
        <f>22857-6707</f>
        <v>16150</v>
      </c>
      <c r="O181" s="703">
        <v>15240</v>
      </c>
      <c r="P181" s="695">
        <f t="shared" si="13"/>
        <v>0.9436532507739938</v>
      </c>
      <c r="Q181" s="704"/>
      <c r="R181" s="704"/>
      <c r="S181" s="704">
        <v>353</v>
      </c>
      <c r="T181" s="700" t="s">
        <v>747</v>
      </c>
    </row>
    <row r="182" spans="1:20" ht="12.75">
      <c r="A182" s="686">
        <f t="shared" si="14"/>
        <v>174</v>
      </c>
      <c r="B182" s="701" t="s">
        <v>300</v>
      </c>
      <c r="C182" s="687" t="s">
        <v>663</v>
      </c>
      <c r="D182" s="687">
        <v>4455</v>
      </c>
      <c r="E182" s="687">
        <v>6121</v>
      </c>
      <c r="F182" s="700">
        <v>49</v>
      </c>
      <c r="G182" s="700" t="s">
        <v>922</v>
      </c>
      <c r="H182" s="707">
        <v>2001</v>
      </c>
      <c r="I182" s="687">
        <v>2017</v>
      </c>
      <c r="J182" s="703">
        <v>51093</v>
      </c>
      <c r="K182" s="703"/>
      <c r="L182" s="703">
        <v>505</v>
      </c>
      <c r="M182" s="703"/>
      <c r="N182" s="703"/>
      <c r="O182" s="703"/>
      <c r="P182" s="695" t="str">
        <f t="shared" si="13"/>
        <v> </v>
      </c>
      <c r="Q182" s="704">
        <v>3000</v>
      </c>
      <c r="R182" s="704">
        <v>10704</v>
      </c>
      <c r="S182" s="704">
        <v>36884</v>
      </c>
      <c r="T182" s="700" t="s">
        <v>813</v>
      </c>
    </row>
    <row r="183" spans="1:20" ht="12.75">
      <c r="A183" s="686">
        <f t="shared" si="14"/>
        <v>175</v>
      </c>
      <c r="B183" s="701" t="s">
        <v>300</v>
      </c>
      <c r="C183" s="687" t="s">
        <v>663</v>
      </c>
      <c r="D183" s="687">
        <v>4474</v>
      </c>
      <c r="E183" s="687">
        <v>6121</v>
      </c>
      <c r="F183" s="700">
        <v>49</v>
      </c>
      <c r="G183" s="700" t="s">
        <v>923</v>
      </c>
      <c r="H183" s="707">
        <v>2001</v>
      </c>
      <c r="I183" s="707">
        <v>2015</v>
      </c>
      <c r="J183" s="703">
        <v>47450</v>
      </c>
      <c r="K183" s="703"/>
      <c r="L183" s="703">
        <f>362+1473</f>
        <v>1835</v>
      </c>
      <c r="M183" s="703"/>
      <c r="N183" s="703">
        <v>100</v>
      </c>
      <c r="O183" s="703">
        <v>53</v>
      </c>
      <c r="P183" s="695">
        <f t="shared" si="13"/>
        <v>0.53</v>
      </c>
      <c r="Q183" s="704">
        <v>18897</v>
      </c>
      <c r="R183" s="704">
        <v>24658</v>
      </c>
      <c r="S183" s="704"/>
      <c r="T183" s="700" t="s">
        <v>813</v>
      </c>
    </row>
    <row r="184" spans="1:20" ht="12.75">
      <c r="A184" s="686">
        <f t="shared" si="14"/>
        <v>176</v>
      </c>
      <c r="B184" s="701" t="s">
        <v>300</v>
      </c>
      <c r="C184" s="687" t="s">
        <v>663</v>
      </c>
      <c r="D184" s="687">
        <v>4500</v>
      </c>
      <c r="E184" s="687">
        <v>6121</v>
      </c>
      <c r="F184" s="700">
        <v>49</v>
      </c>
      <c r="G184" s="700" t="s">
        <v>924</v>
      </c>
      <c r="H184" s="707">
        <v>2010</v>
      </c>
      <c r="I184" s="687">
        <v>2015</v>
      </c>
      <c r="J184" s="703">
        <v>104330</v>
      </c>
      <c r="K184" s="703"/>
      <c r="L184" s="703">
        <f>1947+194</f>
        <v>2141</v>
      </c>
      <c r="M184" s="703">
        <v>6000</v>
      </c>
      <c r="N184" s="703">
        <v>4000</v>
      </c>
      <c r="O184" s="703">
        <v>3337</v>
      </c>
      <c r="P184" s="695">
        <f t="shared" si="13"/>
        <v>0.83425</v>
      </c>
      <c r="Q184" s="704">
        <v>5700</v>
      </c>
      <c r="R184" s="704">
        <v>67989</v>
      </c>
      <c r="S184" s="704"/>
      <c r="T184" s="700" t="s">
        <v>813</v>
      </c>
    </row>
    <row r="185" spans="1:20" ht="12.75">
      <c r="A185" s="686">
        <f t="shared" si="14"/>
        <v>177</v>
      </c>
      <c r="B185" s="701" t="s">
        <v>300</v>
      </c>
      <c r="C185" s="687" t="s">
        <v>663</v>
      </c>
      <c r="D185" s="687">
        <v>4644</v>
      </c>
      <c r="E185" s="687">
        <v>6121</v>
      </c>
      <c r="F185" s="700"/>
      <c r="G185" s="700" t="s">
        <v>925</v>
      </c>
      <c r="H185" s="707">
        <v>2002</v>
      </c>
      <c r="I185" s="687">
        <v>2015</v>
      </c>
      <c r="J185" s="703">
        <v>89955</v>
      </c>
      <c r="K185" s="703"/>
      <c r="L185" s="703">
        <f>59379+3331</f>
        <v>62710</v>
      </c>
      <c r="M185" s="703"/>
      <c r="N185" s="703"/>
      <c r="O185" s="703"/>
      <c r="P185" s="695" t="str">
        <f t="shared" si="13"/>
        <v> </v>
      </c>
      <c r="Q185" s="704"/>
      <c r="R185" s="704">
        <v>27245</v>
      </c>
      <c r="S185" s="704"/>
      <c r="T185" s="700" t="s">
        <v>747</v>
      </c>
    </row>
    <row r="186" spans="1:20" ht="12.75">
      <c r="A186" s="686">
        <f t="shared" si="14"/>
        <v>178</v>
      </c>
      <c r="B186" s="701" t="s">
        <v>300</v>
      </c>
      <c r="C186" s="687" t="s">
        <v>663</v>
      </c>
      <c r="D186" s="687">
        <v>4649</v>
      </c>
      <c r="E186" s="687">
        <v>6121</v>
      </c>
      <c r="F186" s="700">
        <v>49</v>
      </c>
      <c r="G186" s="700" t="s">
        <v>926</v>
      </c>
      <c r="H186" s="707">
        <v>2002</v>
      </c>
      <c r="I186" s="687">
        <v>2016</v>
      </c>
      <c r="J186" s="703">
        <v>117143</v>
      </c>
      <c r="K186" s="703"/>
      <c r="L186" s="703">
        <v>767</v>
      </c>
      <c r="M186" s="703"/>
      <c r="N186" s="703"/>
      <c r="O186" s="703"/>
      <c r="P186" s="695" t="str">
        <f t="shared" si="13"/>
        <v> </v>
      </c>
      <c r="Q186" s="704">
        <v>3000</v>
      </c>
      <c r="R186" s="704"/>
      <c r="S186" s="704">
        <v>113376</v>
      </c>
      <c r="T186" s="700" t="s">
        <v>813</v>
      </c>
    </row>
    <row r="187" spans="1:20" ht="12.75">
      <c r="A187" s="686">
        <f t="shared" si="14"/>
        <v>179</v>
      </c>
      <c r="B187" s="701" t="s">
        <v>300</v>
      </c>
      <c r="C187" s="687" t="s">
        <v>663</v>
      </c>
      <c r="D187" s="687">
        <v>4651</v>
      </c>
      <c r="E187" s="687">
        <v>6121</v>
      </c>
      <c r="F187" s="700">
        <v>49</v>
      </c>
      <c r="G187" s="700" t="s">
        <v>927</v>
      </c>
      <c r="H187" s="707">
        <v>2002</v>
      </c>
      <c r="I187" s="687">
        <v>2016</v>
      </c>
      <c r="J187" s="703">
        <v>13025</v>
      </c>
      <c r="K187" s="703"/>
      <c r="L187" s="703">
        <v>99</v>
      </c>
      <c r="M187" s="703"/>
      <c r="N187" s="703"/>
      <c r="O187" s="703"/>
      <c r="P187" s="695" t="str">
        <f t="shared" si="13"/>
        <v> </v>
      </c>
      <c r="Q187" s="704"/>
      <c r="R187" s="704">
        <v>2000</v>
      </c>
      <c r="S187" s="704">
        <v>10926</v>
      </c>
      <c r="T187" s="700" t="s">
        <v>813</v>
      </c>
    </row>
    <row r="188" spans="1:20" ht="12.75">
      <c r="A188" s="686">
        <f t="shared" si="14"/>
        <v>180</v>
      </c>
      <c r="B188" s="701" t="s">
        <v>300</v>
      </c>
      <c r="C188" s="687" t="s">
        <v>663</v>
      </c>
      <c r="D188" s="687">
        <v>4674</v>
      </c>
      <c r="E188" s="687">
        <v>6121</v>
      </c>
      <c r="F188" s="700">
        <v>49</v>
      </c>
      <c r="G188" s="700" t="s">
        <v>928</v>
      </c>
      <c r="H188" s="707">
        <v>2002</v>
      </c>
      <c r="I188" s="707">
        <v>2013</v>
      </c>
      <c r="J188" s="703">
        <v>5950</v>
      </c>
      <c r="K188" s="703"/>
      <c r="L188" s="703">
        <f>333+449</f>
        <v>782</v>
      </c>
      <c r="M188" s="703">
        <v>5168</v>
      </c>
      <c r="N188" s="703">
        <v>5168</v>
      </c>
      <c r="O188" s="703">
        <v>4909</v>
      </c>
      <c r="P188" s="695">
        <f t="shared" si="13"/>
        <v>0.9498839009287926</v>
      </c>
      <c r="Q188" s="704"/>
      <c r="R188" s="704"/>
      <c r="S188" s="704"/>
      <c r="T188" s="700" t="s">
        <v>813</v>
      </c>
    </row>
    <row r="189" spans="1:20" ht="12.75">
      <c r="A189" s="686">
        <f t="shared" si="14"/>
        <v>181</v>
      </c>
      <c r="B189" s="701" t="s">
        <v>300</v>
      </c>
      <c r="C189" s="687" t="s">
        <v>663</v>
      </c>
      <c r="D189" s="687">
        <v>4677</v>
      </c>
      <c r="E189" s="687">
        <v>6121</v>
      </c>
      <c r="F189" s="700"/>
      <c r="G189" s="700" t="s">
        <v>929</v>
      </c>
      <c r="H189" s="707">
        <v>2003</v>
      </c>
      <c r="I189" s="687">
        <v>2014</v>
      </c>
      <c r="J189" s="703">
        <v>284300</v>
      </c>
      <c r="K189" s="703"/>
      <c r="L189" s="703">
        <f>4036+42779+120646</f>
        <v>167461</v>
      </c>
      <c r="M189" s="703">
        <v>69300</v>
      </c>
      <c r="N189" s="703">
        <v>69300</v>
      </c>
      <c r="O189" s="703">
        <v>68288</v>
      </c>
      <c r="P189" s="695">
        <f t="shared" si="13"/>
        <v>0.9853968253968254</v>
      </c>
      <c r="Q189" s="704">
        <v>13000</v>
      </c>
      <c r="R189" s="704"/>
      <c r="S189" s="704"/>
      <c r="T189" s="700" t="s">
        <v>747</v>
      </c>
    </row>
    <row r="190" spans="1:20" ht="12.75">
      <c r="A190" s="686">
        <f t="shared" si="14"/>
        <v>182</v>
      </c>
      <c r="B190" s="701" t="s">
        <v>300</v>
      </c>
      <c r="C190" s="687" t="s">
        <v>663</v>
      </c>
      <c r="D190" s="687">
        <v>4679</v>
      </c>
      <c r="E190" s="687">
        <v>6121</v>
      </c>
      <c r="F190" s="700"/>
      <c r="G190" s="700" t="s">
        <v>930</v>
      </c>
      <c r="H190" s="707">
        <v>2003</v>
      </c>
      <c r="I190" s="687">
        <v>2015</v>
      </c>
      <c r="J190" s="703">
        <v>80109</v>
      </c>
      <c r="K190" s="703"/>
      <c r="L190" s="703">
        <v>614</v>
      </c>
      <c r="M190" s="703"/>
      <c r="N190" s="703"/>
      <c r="O190" s="703"/>
      <c r="P190" s="695" t="str">
        <f t="shared" si="13"/>
        <v> </v>
      </c>
      <c r="Q190" s="704"/>
      <c r="R190" s="704">
        <v>79495</v>
      </c>
      <c r="S190" s="704"/>
      <c r="T190" s="700" t="s">
        <v>747</v>
      </c>
    </row>
    <row r="191" spans="1:20" ht="12.75">
      <c r="A191" s="686">
        <f t="shared" si="14"/>
        <v>183</v>
      </c>
      <c r="B191" s="701" t="s">
        <v>300</v>
      </c>
      <c r="C191" s="687" t="s">
        <v>663</v>
      </c>
      <c r="D191" s="687">
        <v>4740</v>
      </c>
      <c r="E191" s="687">
        <v>6121</v>
      </c>
      <c r="F191" s="700">
        <v>49</v>
      </c>
      <c r="G191" s="700" t="s">
        <v>931</v>
      </c>
      <c r="H191" s="707">
        <v>2003</v>
      </c>
      <c r="I191" s="687">
        <v>2018</v>
      </c>
      <c r="J191" s="703">
        <v>69328</v>
      </c>
      <c r="K191" s="703"/>
      <c r="L191" s="703">
        <v>46270</v>
      </c>
      <c r="M191" s="703"/>
      <c r="N191" s="703"/>
      <c r="O191" s="703"/>
      <c r="P191" s="695" t="str">
        <f t="shared" si="13"/>
        <v> </v>
      </c>
      <c r="Q191" s="704"/>
      <c r="R191" s="704"/>
      <c r="S191" s="704">
        <v>23058</v>
      </c>
      <c r="T191" s="700" t="s">
        <v>813</v>
      </c>
    </row>
    <row r="192" spans="1:20" ht="12.75">
      <c r="A192" s="686"/>
      <c r="B192" s="701"/>
      <c r="C192" s="708" t="s">
        <v>932</v>
      </c>
      <c r="D192" s="687"/>
      <c r="E192" s="687"/>
      <c r="F192" s="700"/>
      <c r="G192" s="700"/>
      <c r="H192" s="707"/>
      <c r="I192" s="687"/>
      <c r="J192" s="703">
        <f aca="true" t="shared" si="15" ref="J192:O192">SUBTOTAL(9,J98:J191)</f>
        <v>6430042</v>
      </c>
      <c r="K192" s="703">
        <f t="shared" si="15"/>
        <v>738028</v>
      </c>
      <c r="L192" s="703">
        <f t="shared" si="15"/>
        <v>1429252</v>
      </c>
      <c r="M192" s="703">
        <f t="shared" si="15"/>
        <v>763681</v>
      </c>
      <c r="N192" s="703">
        <f t="shared" si="15"/>
        <v>1389314</v>
      </c>
      <c r="O192" s="703">
        <f t="shared" si="15"/>
        <v>1331810</v>
      </c>
      <c r="P192" s="695">
        <f t="shared" si="13"/>
        <v>0.9586097887158699</v>
      </c>
      <c r="Q192" s="704">
        <f>SUBTOTAL(9,Q98:Q191)</f>
        <v>697250</v>
      </c>
      <c r="R192" s="704">
        <f>SUBTOTAL(9,R98:R191)</f>
        <v>763865</v>
      </c>
      <c r="S192" s="704">
        <f>SUBTOTAL(9,S98:S191)</f>
        <v>1238896</v>
      </c>
      <c r="T192" s="700"/>
    </row>
    <row r="193" spans="1:20" ht="12.75">
      <c r="A193" s="686">
        <f>A191+1</f>
        <v>184</v>
      </c>
      <c r="B193" s="705">
        <v>5600</v>
      </c>
      <c r="C193" s="687" t="s">
        <v>664</v>
      </c>
      <c r="D193" s="687">
        <v>2944</v>
      </c>
      <c r="E193" s="687">
        <v>6121</v>
      </c>
      <c r="F193" s="700"/>
      <c r="G193" s="700" t="s">
        <v>933</v>
      </c>
      <c r="H193" s="705"/>
      <c r="I193" s="705"/>
      <c r="J193" s="703"/>
      <c r="K193" s="703"/>
      <c r="L193" s="703">
        <f>2303+43</f>
        <v>2346</v>
      </c>
      <c r="M193" s="703"/>
      <c r="N193" s="703"/>
      <c r="O193" s="703"/>
      <c r="P193" s="695" t="str">
        <f t="shared" si="13"/>
        <v> </v>
      </c>
      <c r="Q193" s="704"/>
      <c r="R193" s="704"/>
      <c r="S193" s="704"/>
      <c r="T193" s="700" t="s">
        <v>747</v>
      </c>
    </row>
    <row r="194" spans="1:20" ht="12.75">
      <c r="A194" s="686">
        <f>A193+1</f>
        <v>185</v>
      </c>
      <c r="B194" s="701" t="s">
        <v>934</v>
      </c>
      <c r="C194" s="687" t="s">
        <v>664</v>
      </c>
      <c r="D194" s="687">
        <v>3188</v>
      </c>
      <c r="E194" s="687">
        <v>6121</v>
      </c>
      <c r="F194" s="700"/>
      <c r="G194" s="700" t="s">
        <v>935</v>
      </c>
      <c r="H194" s="687"/>
      <c r="I194" s="687"/>
      <c r="J194" s="703"/>
      <c r="K194" s="703"/>
      <c r="L194" s="703">
        <f>150+68+61</f>
        <v>279</v>
      </c>
      <c r="M194" s="703">
        <v>100</v>
      </c>
      <c r="N194" s="703">
        <v>100</v>
      </c>
      <c r="O194" s="703">
        <v>48</v>
      </c>
      <c r="P194" s="695">
        <f t="shared" si="13"/>
        <v>0.48</v>
      </c>
      <c r="Q194" s="704">
        <v>100</v>
      </c>
      <c r="R194" s="704"/>
      <c r="S194" s="704"/>
      <c r="T194" s="700" t="s">
        <v>936</v>
      </c>
    </row>
    <row r="195" spans="1:20" ht="12.75">
      <c r="A195" s="686">
        <f>A194+1</f>
        <v>186</v>
      </c>
      <c r="B195" s="701" t="s">
        <v>300</v>
      </c>
      <c r="C195" s="687" t="s">
        <v>664</v>
      </c>
      <c r="D195" s="687">
        <v>3340</v>
      </c>
      <c r="E195" s="687">
        <v>6121</v>
      </c>
      <c r="F195" s="700"/>
      <c r="G195" s="700" t="s">
        <v>937</v>
      </c>
      <c r="H195" s="687"/>
      <c r="I195" s="687"/>
      <c r="J195" s="703"/>
      <c r="K195" s="703"/>
      <c r="L195" s="703">
        <f>38873+14845+1685</f>
        <v>55403</v>
      </c>
      <c r="M195" s="703">
        <v>2000</v>
      </c>
      <c r="N195" s="703">
        <v>2000</v>
      </c>
      <c r="O195" s="703">
        <v>2536</v>
      </c>
      <c r="P195" s="695">
        <f aca="true" t="shared" si="16" ref="P195:P258">IF(N195&lt;=0," ",O195/N195)</f>
        <v>1.268</v>
      </c>
      <c r="Q195" s="704">
        <v>2000</v>
      </c>
      <c r="R195" s="704"/>
      <c r="S195" s="704"/>
      <c r="T195" s="700" t="s">
        <v>747</v>
      </c>
    </row>
    <row r="196" spans="1:20" ht="12.75">
      <c r="A196" s="686">
        <f>A195+1</f>
        <v>187</v>
      </c>
      <c r="B196" s="701" t="s">
        <v>300</v>
      </c>
      <c r="C196" s="687" t="s">
        <v>664</v>
      </c>
      <c r="D196" s="687">
        <v>4056</v>
      </c>
      <c r="E196" s="687">
        <v>6121</v>
      </c>
      <c r="F196" s="700">
        <v>49</v>
      </c>
      <c r="G196" s="700" t="s">
        <v>938</v>
      </c>
      <c r="H196" s="687"/>
      <c r="I196" s="687"/>
      <c r="J196" s="703"/>
      <c r="K196" s="703"/>
      <c r="L196" s="703">
        <f>23926+1189+85</f>
        <v>25200</v>
      </c>
      <c r="M196" s="703">
        <v>2000</v>
      </c>
      <c r="N196" s="703">
        <v>2000</v>
      </c>
      <c r="O196" s="703">
        <v>109</v>
      </c>
      <c r="P196" s="695">
        <f t="shared" si="16"/>
        <v>0.0545</v>
      </c>
      <c r="Q196" s="704">
        <v>2000</v>
      </c>
      <c r="R196" s="704"/>
      <c r="S196" s="704"/>
      <c r="T196" s="700" t="s">
        <v>813</v>
      </c>
    </row>
    <row r="197" spans="1:20" ht="12.75">
      <c r="A197" s="686"/>
      <c r="B197" s="701"/>
      <c r="C197" s="708" t="s">
        <v>939</v>
      </c>
      <c r="D197" s="687"/>
      <c r="E197" s="687"/>
      <c r="F197" s="700"/>
      <c r="G197" s="700"/>
      <c r="H197" s="687"/>
      <c r="I197" s="687"/>
      <c r="J197" s="703">
        <f aca="true" t="shared" si="17" ref="J197:O197">SUBTOTAL(9,J193:J196)</f>
        <v>0</v>
      </c>
      <c r="K197" s="703">
        <f t="shared" si="17"/>
        <v>0</v>
      </c>
      <c r="L197" s="703">
        <f t="shared" si="17"/>
        <v>83228</v>
      </c>
      <c r="M197" s="703">
        <f t="shared" si="17"/>
        <v>4100</v>
      </c>
      <c r="N197" s="703">
        <f t="shared" si="17"/>
        <v>4100</v>
      </c>
      <c r="O197" s="703">
        <f t="shared" si="17"/>
        <v>2693</v>
      </c>
      <c r="P197" s="695">
        <f t="shared" si="16"/>
        <v>0.656829268292683</v>
      </c>
      <c r="Q197" s="704">
        <f>SUBTOTAL(9,Q193:Q196)</f>
        <v>4100</v>
      </c>
      <c r="R197" s="704">
        <f>SUBTOTAL(9,R193:R196)</f>
        <v>0</v>
      </c>
      <c r="S197" s="704">
        <f>SUBTOTAL(9,S193:S196)</f>
        <v>0</v>
      </c>
      <c r="T197" s="700"/>
    </row>
    <row r="198" spans="1:20" ht="12.75">
      <c r="A198" s="686">
        <f>A196+1</f>
        <v>188</v>
      </c>
      <c r="B198" s="701" t="s">
        <v>940</v>
      </c>
      <c r="C198" s="687" t="s">
        <v>665</v>
      </c>
      <c r="D198" s="687">
        <v>2954</v>
      </c>
      <c r="E198" s="687">
        <v>6319</v>
      </c>
      <c r="F198" s="700"/>
      <c r="G198" s="700" t="s">
        <v>941</v>
      </c>
      <c r="H198" s="687"/>
      <c r="I198" s="687"/>
      <c r="J198" s="703"/>
      <c r="K198" s="703"/>
      <c r="L198" s="703">
        <f>1072</f>
        <v>1072</v>
      </c>
      <c r="M198" s="703">
        <v>6409</v>
      </c>
      <c r="N198" s="703">
        <v>729</v>
      </c>
      <c r="O198" s="703">
        <v>727</v>
      </c>
      <c r="P198" s="695">
        <f t="shared" si="16"/>
        <v>0.9972565157750343</v>
      </c>
      <c r="Q198" s="704"/>
      <c r="R198" s="704"/>
      <c r="S198" s="704"/>
      <c r="T198" s="700" t="s">
        <v>942</v>
      </c>
    </row>
    <row r="199" spans="1:20" ht="12.75">
      <c r="A199" s="686"/>
      <c r="B199" s="701"/>
      <c r="C199" s="708" t="s">
        <v>943</v>
      </c>
      <c r="D199" s="687"/>
      <c r="E199" s="687"/>
      <c r="F199" s="700"/>
      <c r="G199" s="700"/>
      <c r="H199" s="687"/>
      <c r="I199" s="687"/>
      <c r="J199" s="703">
        <f aca="true" t="shared" si="18" ref="J199:O199">SUBTOTAL(9,J198:J198)</f>
        <v>0</v>
      </c>
      <c r="K199" s="703">
        <f t="shared" si="18"/>
        <v>0</v>
      </c>
      <c r="L199" s="703">
        <f t="shared" si="18"/>
        <v>1072</v>
      </c>
      <c r="M199" s="703">
        <f t="shared" si="18"/>
        <v>6409</v>
      </c>
      <c r="N199" s="703">
        <f t="shared" si="18"/>
        <v>729</v>
      </c>
      <c r="O199" s="703">
        <f t="shared" si="18"/>
        <v>727</v>
      </c>
      <c r="P199" s="695">
        <f t="shared" si="16"/>
        <v>0.9972565157750343</v>
      </c>
      <c r="Q199" s="704">
        <f>SUBTOTAL(9,Q198:Q198)</f>
        <v>0</v>
      </c>
      <c r="R199" s="704">
        <f>SUBTOTAL(9,R198:R198)</f>
        <v>0</v>
      </c>
      <c r="S199" s="704">
        <f>SUBTOTAL(9,S198:S198)</f>
        <v>0</v>
      </c>
      <c r="T199" s="700"/>
    </row>
    <row r="200" spans="1:20" ht="12.75">
      <c r="A200" s="686">
        <f>A198+1</f>
        <v>189</v>
      </c>
      <c r="B200" s="701" t="s">
        <v>300</v>
      </c>
      <c r="C200" s="687" t="s">
        <v>666</v>
      </c>
      <c r="D200" s="687">
        <v>4197</v>
      </c>
      <c r="E200" s="687">
        <v>6121</v>
      </c>
      <c r="F200" s="700"/>
      <c r="G200" s="700" t="s">
        <v>944</v>
      </c>
      <c r="H200" s="707">
        <v>1999</v>
      </c>
      <c r="I200" s="687">
        <v>2014</v>
      </c>
      <c r="J200" s="703">
        <v>85780</v>
      </c>
      <c r="K200" s="703"/>
      <c r="L200" s="703">
        <v>25386</v>
      </c>
      <c r="M200" s="703"/>
      <c r="N200" s="703"/>
      <c r="O200" s="703"/>
      <c r="P200" s="695" t="str">
        <f t="shared" si="16"/>
        <v> </v>
      </c>
      <c r="Q200" s="704"/>
      <c r="R200" s="704"/>
      <c r="S200" s="704">
        <v>60394</v>
      </c>
      <c r="T200" s="700" t="s">
        <v>747</v>
      </c>
    </row>
    <row r="201" spans="1:20" ht="12.75">
      <c r="A201" s="686"/>
      <c r="B201" s="701"/>
      <c r="C201" s="708" t="s">
        <v>945</v>
      </c>
      <c r="D201" s="687"/>
      <c r="E201" s="687"/>
      <c r="F201" s="700"/>
      <c r="G201" s="700"/>
      <c r="H201" s="707"/>
      <c r="I201" s="687"/>
      <c r="J201" s="703">
        <f aca="true" t="shared" si="19" ref="J201:O201">SUBTOTAL(9,J200:J200)</f>
        <v>85780</v>
      </c>
      <c r="K201" s="703">
        <f t="shared" si="19"/>
        <v>0</v>
      </c>
      <c r="L201" s="703">
        <f t="shared" si="19"/>
        <v>25386</v>
      </c>
      <c r="M201" s="703">
        <f t="shared" si="19"/>
        <v>0</v>
      </c>
      <c r="N201" s="703">
        <f t="shared" si="19"/>
        <v>0</v>
      </c>
      <c r="O201" s="703">
        <f t="shared" si="19"/>
        <v>0</v>
      </c>
      <c r="P201" s="695" t="str">
        <f t="shared" si="16"/>
        <v> </v>
      </c>
      <c r="Q201" s="704">
        <f>SUBTOTAL(9,Q200:Q200)</f>
        <v>0</v>
      </c>
      <c r="R201" s="704">
        <f>SUBTOTAL(9,R200:R200)</f>
        <v>0</v>
      </c>
      <c r="S201" s="704">
        <f>SUBTOTAL(9,S200:S200)</f>
        <v>60394</v>
      </c>
      <c r="T201" s="700"/>
    </row>
    <row r="202" spans="1:20" ht="12.75">
      <c r="A202" s="686">
        <f>A200+1</f>
        <v>190</v>
      </c>
      <c r="B202" s="701" t="s">
        <v>300</v>
      </c>
      <c r="C202" s="687" t="s">
        <v>668</v>
      </c>
      <c r="D202" s="687">
        <v>2820</v>
      </c>
      <c r="E202" s="687">
        <v>6121</v>
      </c>
      <c r="F202" s="700"/>
      <c r="G202" s="700" t="s">
        <v>946</v>
      </c>
      <c r="H202" s="707">
        <v>2014</v>
      </c>
      <c r="I202" s="687">
        <v>2014</v>
      </c>
      <c r="J202" s="703">
        <v>1000</v>
      </c>
      <c r="K202" s="703"/>
      <c r="L202" s="703"/>
      <c r="M202" s="703"/>
      <c r="N202" s="703"/>
      <c r="O202" s="703"/>
      <c r="P202" s="695" t="str">
        <f t="shared" si="16"/>
        <v> </v>
      </c>
      <c r="Q202" s="704">
        <v>1000</v>
      </c>
      <c r="R202" s="704"/>
      <c r="S202" s="704"/>
      <c r="T202" s="700" t="s">
        <v>747</v>
      </c>
    </row>
    <row r="203" spans="1:20" ht="12.75">
      <c r="A203" s="686">
        <f>A202+1</f>
        <v>191</v>
      </c>
      <c r="B203" s="701" t="s">
        <v>300</v>
      </c>
      <c r="C203" s="687" t="s">
        <v>668</v>
      </c>
      <c r="D203" s="687">
        <v>3252</v>
      </c>
      <c r="E203" s="687">
        <v>6121</v>
      </c>
      <c r="F203" s="700"/>
      <c r="G203" s="700" t="s">
        <v>947</v>
      </c>
      <c r="H203" s="707">
        <v>2006</v>
      </c>
      <c r="I203" s="707">
        <v>2015</v>
      </c>
      <c r="J203" s="703">
        <v>58900</v>
      </c>
      <c r="K203" s="703"/>
      <c r="L203" s="703">
        <v>2515</v>
      </c>
      <c r="M203" s="703"/>
      <c r="N203" s="703"/>
      <c r="O203" s="703"/>
      <c r="P203" s="695" t="str">
        <f t="shared" si="16"/>
        <v> </v>
      </c>
      <c r="Q203" s="704"/>
      <c r="R203" s="704"/>
      <c r="S203" s="704">
        <v>56385</v>
      </c>
      <c r="T203" s="700" t="s">
        <v>747</v>
      </c>
    </row>
    <row r="204" spans="1:20" ht="12.75">
      <c r="A204" s="686"/>
      <c r="B204" s="701"/>
      <c r="C204" s="708" t="s">
        <v>948</v>
      </c>
      <c r="D204" s="687"/>
      <c r="E204" s="687"/>
      <c r="F204" s="700"/>
      <c r="G204" s="700"/>
      <c r="H204" s="707"/>
      <c r="I204" s="707"/>
      <c r="J204" s="703">
        <f aca="true" t="shared" si="20" ref="J204:O204">SUBTOTAL(9,J202:J203)</f>
        <v>59900</v>
      </c>
      <c r="K204" s="703">
        <f t="shared" si="20"/>
        <v>0</v>
      </c>
      <c r="L204" s="703">
        <f t="shared" si="20"/>
        <v>2515</v>
      </c>
      <c r="M204" s="703">
        <f t="shared" si="20"/>
        <v>0</v>
      </c>
      <c r="N204" s="703">
        <f t="shared" si="20"/>
        <v>0</v>
      </c>
      <c r="O204" s="703">
        <f t="shared" si="20"/>
        <v>0</v>
      </c>
      <c r="P204" s="695" t="str">
        <f t="shared" si="16"/>
        <v> </v>
      </c>
      <c r="Q204" s="704">
        <f>SUBTOTAL(9,Q202:Q203)</f>
        <v>1000</v>
      </c>
      <c r="R204" s="704">
        <f>SUBTOTAL(9,R202:R203)</f>
        <v>0</v>
      </c>
      <c r="S204" s="704">
        <f>SUBTOTAL(9,S202:S203)</f>
        <v>56385</v>
      </c>
      <c r="T204" s="700"/>
    </row>
    <row r="205" spans="1:20" ht="12.75">
      <c r="A205" s="686">
        <f>A203+1</f>
        <v>192</v>
      </c>
      <c r="B205" s="701" t="s">
        <v>300</v>
      </c>
      <c r="C205" s="687" t="s">
        <v>669</v>
      </c>
      <c r="D205" s="687">
        <v>2900</v>
      </c>
      <c r="E205" s="687">
        <v>6121</v>
      </c>
      <c r="F205" s="700">
        <v>41</v>
      </c>
      <c r="G205" s="700" t="s">
        <v>949</v>
      </c>
      <c r="H205" s="687">
        <v>2013</v>
      </c>
      <c r="I205" s="687">
        <v>2015</v>
      </c>
      <c r="J205" s="703">
        <v>15000</v>
      </c>
      <c r="K205" s="703"/>
      <c r="L205" s="703"/>
      <c r="M205" s="703"/>
      <c r="N205" s="703">
        <v>1300</v>
      </c>
      <c r="O205" s="703">
        <v>998</v>
      </c>
      <c r="P205" s="695">
        <f t="shared" si="16"/>
        <v>0.7676923076923077</v>
      </c>
      <c r="Q205" s="704">
        <v>7700</v>
      </c>
      <c r="R205" s="704">
        <v>3700</v>
      </c>
      <c r="S205" s="704">
        <v>2300</v>
      </c>
      <c r="T205" s="700" t="s">
        <v>747</v>
      </c>
    </row>
    <row r="206" spans="1:20" ht="12.75">
      <c r="A206" s="686"/>
      <c r="B206" s="701"/>
      <c r="C206" s="708" t="s">
        <v>950</v>
      </c>
      <c r="D206" s="687"/>
      <c r="E206" s="687"/>
      <c r="F206" s="700"/>
      <c r="G206" s="700"/>
      <c r="H206" s="687"/>
      <c r="I206" s="687"/>
      <c r="J206" s="703">
        <f aca="true" t="shared" si="21" ref="J206:O206">SUBTOTAL(9,J205:J205)</f>
        <v>15000</v>
      </c>
      <c r="K206" s="703">
        <f t="shared" si="21"/>
        <v>0</v>
      </c>
      <c r="L206" s="703">
        <f t="shared" si="21"/>
        <v>0</v>
      </c>
      <c r="M206" s="703">
        <f t="shared" si="21"/>
        <v>0</v>
      </c>
      <c r="N206" s="703">
        <f t="shared" si="21"/>
        <v>1300</v>
      </c>
      <c r="O206" s="703">
        <f t="shared" si="21"/>
        <v>998</v>
      </c>
      <c r="P206" s="695">
        <f t="shared" si="16"/>
        <v>0.7676923076923077</v>
      </c>
      <c r="Q206" s="704">
        <f>SUBTOTAL(9,Q205:Q205)</f>
        <v>7700</v>
      </c>
      <c r="R206" s="704">
        <f>SUBTOTAL(9,R205:R205)</f>
        <v>3700</v>
      </c>
      <c r="S206" s="704">
        <f>SUBTOTAL(9,S205:S205)</f>
        <v>2300</v>
      </c>
      <c r="T206" s="700"/>
    </row>
    <row r="207" spans="1:20" ht="12.75">
      <c r="A207" s="686">
        <f>A205+1</f>
        <v>193</v>
      </c>
      <c r="B207" s="701" t="s">
        <v>300</v>
      </c>
      <c r="C207" s="687" t="s">
        <v>671</v>
      </c>
      <c r="D207" s="687">
        <v>5128</v>
      </c>
      <c r="E207" s="687">
        <v>6121</v>
      </c>
      <c r="F207" s="702" t="s">
        <v>796</v>
      </c>
      <c r="G207" s="700" t="s">
        <v>951</v>
      </c>
      <c r="H207" s="707">
        <v>2010</v>
      </c>
      <c r="I207" s="687">
        <v>2013</v>
      </c>
      <c r="J207" s="703">
        <v>25500</v>
      </c>
      <c r="K207" s="703">
        <v>17683</v>
      </c>
      <c r="L207" s="703">
        <f>171+333</f>
        <v>504</v>
      </c>
      <c r="M207" s="703">
        <v>20000</v>
      </c>
      <c r="N207" s="703">
        <v>24900</v>
      </c>
      <c r="O207" s="703">
        <v>22652</v>
      </c>
      <c r="P207" s="695">
        <f t="shared" si="16"/>
        <v>0.909718875502008</v>
      </c>
      <c r="Q207" s="704"/>
      <c r="R207" s="704"/>
      <c r="S207" s="704"/>
      <c r="T207" s="700" t="s">
        <v>747</v>
      </c>
    </row>
    <row r="208" spans="1:20" ht="12.75">
      <c r="A208" s="686">
        <f aca="true" t="shared" si="22" ref="A208:A214">A207+1</f>
        <v>194</v>
      </c>
      <c r="B208" s="701" t="s">
        <v>300</v>
      </c>
      <c r="C208" s="687" t="s">
        <v>671</v>
      </c>
      <c r="D208" s="687">
        <v>5129</v>
      </c>
      <c r="E208" s="687">
        <v>6121</v>
      </c>
      <c r="F208" s="702" t="s">
        <v>796</v>
      </c>
      <c r="G208" s="700" t="s">
        <v>952</v>
      </c>
      <c r="H208" s="707">
        <v>2010</v>
      </c>
      <c r="I208" s="687">
        <v>2013</v>
      </c>
      <c r="J208" s="703">
        <v>10500</v>
      </c>
      <c r="K208" s="703">
        <v>5150</v>
      </c>
      <c r="L208" s="703">
        <f>222+5583</f>
        <v>5805</v>
      </c>
      <c r="M208" s="703"/>
      <c r="N208" s="703">
        <v>1500</v>
      </c>
      <c r="O208" s="703">
        <v>694</v>
      </c>
      <c r="P208" s="695">
        <f t="shared" si="16"/>
        <v>0.46266666666666667</v>
      </c>
      <c r="Q208" s="704"/>
      <c r="R208" s="704"/>
      <c r="S208" s="704"/>
      <c r="T208" s="700" t="s">
        <v>747</v>
      </c>
    </row>
    <row r="209" spans="1:20" ht="12.75">
      <c r="A209" s="686">
        <f t="shared" si="22"/>
        <v>195</v>
      </c>
      <c r="B209" s="701" t="s">
        <v>300</v>
      </c>
      <c r="C209" s="687" t="s">
        <v>671</v>
      </c>
      <c r="D209" s="687">
        <v>5135</v>
      </c>
      <c r="E209" s="687">
        <v>6121</v>
      </c>
      <c r="F209" s="702" t="s">
        <v>796</v>
      </c>
      <c r="G209" s="700" t="s">
        <v>953</v>
      </c>
      <c r="H209" s="707">
        <v>2010</v>
      </c>
      <c r="I209" s="687">
        <v>2014</v>
      </c>
      <c r="J209" s="703">
        <v>9850</v>
      </c>
      <c r="K209" s="703"/>
      <c r="L209" s="703">
        <f>17</f>
        <v>17</v>
      </c>
      <c r="M209" s="703">
        <v>500</v>
      </c>
      <c r="N209" s="703">
        <v>500</v>
      </c>
      <c r="O209" s="703">
        <v>114</v>
      </c>
      <c r="P209" s="695">
        <f t="shared" si="16"/>
        <v>0.228</v>
      </c>
      <c r="Q209" s="704">
        <v>1000</v>
      </c>
      <c r="R209" s="704"/>
      <c r="S209" s="704"/>
      <c r="T209" s="700" t="s">
        <v>747</v>
      </c>
    </row>
    <row r="210" spans="1:20" ht="12.75">
      <c r="A210" s="686">
        <f t="shared" si="22"/>
        <v>196</v>
      </c>
      <c r="B210" s="701" t="s">
        <v>954</v>
      </c>
      <c r="C210" s="687" t="s">
        <v>671</v>
      </c>
      <c r="D210" s="687">
        <v>5153</v>
      </c>
      <c r="E210" s="687">
        <v>6121</v>
      </c>
      <c r="F210" s="702" t="s">
        <v>796</v>
      </c>
      <c r="G210" s="700" t="s">
        <v>955</v>
      </c>
      <c r="H210" s="687">
        <v>2012</v>
      </c>
      <c r="I210" s="687">
        <v>2014</v>
      </c>
      <c r="J210" s="703">
        <v>7500</v>
      </c>
      <c r="K210" s="703">
        <v>2500</v>
      </c>
      <c r="L210" s="703"/>
      <c r="M210" s="703">
        <v>200</v>
      </c>
      <c r="N210" s="703">
        <v>214</v>
      </c>
      <c r="O210" s="703">
        <v>124</v>
      </c>
      <c r="P210" s="695">
        <f t="shared" si="16"/>
        <v>0.5794392523364486</v>
      </c>
      <c r="Q210" s="704">
        <v>3000</v>
      </c>
      <c r="R210" s="704"/>
      <c r="S210" s="704"/>
      <c r="T210" s="700" t="s">
        <v>956</v>
      </c>
    </row>
    <row r="211" spans="1:20" ht="12.75">
      <c r="A211" s="686">
        <f t="shared" si="22"/>
        <v>197</v>
      </c>
      <c r="B211" s="701" t="s">
        <v>954</v>
      </c>
      <c r="C211" s="687" t="s">
        <v>671</v>
      </c>
      <c r="D211" s="687">
        <v>5154</v>
      </c>
      <c r="E211" s="687">
        <v>6121</v>
      </c>
      <c r="F211" s="702" t="s">
        <v>796</v>
      </c>
      <c r="G211" s="700" t="s">
        <v>957</v>
      </c>
      <c r="H211" s="687">
        <v>2012</v>
      </c>
      <c r="I211" s="687">
        <v>2014</v>
      </c>
      <c r="J211" s="703">
        <v>7300</v>
      </c>
      <c r="K211" s="703">
        <v>2400</v>
      </c>
      <c r="L211" s="703"/>
      <c r="M211" s="703">
        <v>200</v>
      </c>
      <c r="N211" s="703">
        <v>214</v>
      </c>
      <c r="O211" s="703">
        <v>116</v>
      </c>
      <c r="P211" s="695">
        <f t="shared" si="16"/>
        <v>0.5420560747663551</v>
      </c>
      <c r="Q211" s="704">
        <v>3000</v>
      </c>
      <c r="R211" s="704"/>
      <c r="S211" s="704"/>
      <c r="T211" s="700" t="s">
        <v>956</v>
      </c>
    </row>
    <row r="212" spans="1:20" ht="12.75">
      <c r="A212" s="686">
        <f t="shared" si="22"/>
        <v>198</v>
      </c>
      <c r="B212" s="701" t="s">
        <v>954</v>
      </c>
      <c r="C212" s="687" t="s">
        <v>671</v>
      </c>
      <c r="D212" s="687">
        <v>5155</v>
      </c>
      <c r="E212" s="687">
        <v>6121</v>
      </c>
      <c r="F212" s="702" t="s">
        <v>796</v>
      </c>
      <c r="G212" s="700" t="s">
        <v>958</v>
      </c>
      <c r="H212" s="687">
        <v>2012</v>
      </c>
      <c r="I212" s="687">
        <v>2014</v>
      </c>
      <c r="J212" s="703">
        <v>7800</v>
      </c>
      <c r="K212" s="703">
        <v>2800</v>
      </c>
      <c r="L212" s="703"/>
      <c r="M212" s="703">
        <v>200</v>
      </c>
      <c r="N212" s="703">
        <v>214</v>
      </c>
      <c r="O212" s="703">
        <v>124</v>
      </c>
      <c r="P212" s="695">
        <f t="shared" si="16"/>
        <v>0.5794392523364486</v>
      </c>
      <c r="Q212" s="704">
        <v>3000</v>
      </c>
      <c r="R212" s="704"/>
      <c r="S212" s="704"/>
      <c r="T212" s="700" t="s">
        <v>956</v>
      </c>
    </row>
    <row r="213" spans="1:20" ht="12.75">
      <c r="A213" s="686">
        <f t="shared" si="22"/>
        <v>199</v>
      </c>
      <c r="B213" s="701" t="s">
        <v>954</v>
      </c>
      <c r="C213" s="687" t="s">
        <v>671</v>
      </c>
      <c r="D213" s="687">
        <v>5156</v>
      </c>
      <c r="E213" s="687">
        <v>6121</v>
      </c>
      <c r="F213" s="702" t="s">
        <v>796</v>
      </c>
      <c r="G213" s="700" t="s">
        <v>959</v>
      </c>
      <c r="H213" s="687">
        <v>2012</v>
      </c>
      <c r="I213" s="687">
        <v>2014</v>
      </c>
      <c r="J213" s="703">
        <v>8100</v>
      </c>
      <c r="K213" s="703">
        <v>2500</v>
      </c>
      <c r="L213" s="703"/>
      <c r="M213" s="703">
        <v>200</v>
      </c>
      <c r="N213" s="703">
        <v>214</v>
      </c>
      <c r="O213" s="703">
        <v>113</v>
      </c>
      <c r="P213" s="695">
        <f t="shared" si="16"/>
        <v>0.5280373831775701</v>
      </c>
      <c r="Q213" s="704">
        <v>3000</v>
      </c>
      <c r="R213" s="704"/>
      <c r="S213" s="704"/>
      <c r="T213" s="700" t="s">
        <v>956</v>
      </c>
    </row>
    <row r="214" spans="1:20" ht="12.75">
      <c r="A214" s="686">
        <f t="shared" si="22"/>
        <v>200</v>
      </c>
      <c r="B214" s="701" t="s">
        <v>300</v>
      </c>
      <c r="C214" s="687" t="s">
        <v>671</v>
      </c>
      <c r="D214" s="687">
        <v>5188</v>
      </c>
      <c r="E214" s="687">
        <v>6121</v>
      </c>
      <c r="F214" s="702" t="s">
        <v>796</v>
      </c>
      <c r="G214" s="700" t="s">
        <v>960</v>
      </c>
      <c r="H214" s="687">
        <v>2013</v>
      </c>
      <c r="I214" s="687">
        <v>2014</v>
      </c>
      <c r="J214" s="703">
        <v>700</v>
      </c>
      <c r="K214" s="703">
        <v>630</v>
      </c>
      <c r="L214" s="703"/>
      <c r="M214" s="703"/>
      <c r="N214" s="703">
        <v>100</v>
      </c>
      <c r="O214" s="703">
        <v>84</v>
      </c>
      <c r="P214" s="695">
        <f t="shared" si="16"/>
        <v>0.84</v>
      </c>
      <c r="Q214" s="704">
        <v>600</v>
      </c>
      <c r="R214" s="704"/>
      <c r="S214" s="704"/>
      <c r="T214" s="700" t="s">
        <v>747</v>
      </c>
    </row>
    <row r="215" spans="1:20" ht="12.75">
      <c r="A215" s="686"/>
      <c r="B215" s="701"/>
      <c r="C215" s="708" t="s">
        <v>961</v>
      </c>
      <c r="D215" s="687"/>
      <c r="E215" s="687"/>
      <c r="F215" s="702"/>
      <c r="G215" s="700"/>
      <c r="H215" s="687"/>
      <c r="I215" s="687"/>
      <c r="J215" s="703">
        <f aca="true" t="shared" si="23" ref="J215:O215">SUBTOTAL(9,J207:J214)</f>
        <v>77250</v>
      </c>
      <c r="K215" s="703">
        <f t="shared" si="23"/>
        <v>33663</v>
      </c>
      <c r="L215" s="703">
        <f t="shared" si="23"/>
        <v>6326</v>
      </c>
      <c r="M215" s="703">
        <f t="shared" si="23"/>
        <v>21300</v>
      </c>
      <c r="N215" s="703">
        <f t="shared" si="23"/>
        <v>27856</v>
      </c>
      <c r="O215" s="703">
        <f t="shared" si="23"/>
        <v>24021</v>
      </c>
      <c r="P215" s="695">
        <f t="shared" si="16"/>
        <v>0.8623276852383688</v>
      </c>
      <c r="Q215" s="704">
        <f>SUBTOTAL(9,Q207:Q214)</f>
        <v>13600</v>
      </c>
      <c r="R215" s="704">
        <f>SUBTOTAL(9,R207:R214)</f>
        <v>0</v>
      </c>
      <c r="S215" s="704">
        <f>SUBTOTAL(9,S207:S214)</f>
        <v>0</v>
      </c>
      <c r="T215" s="700"/>
    </row>
    <row r="216" spans="1:20" ht="12.75">
      <c r="A216" s="686">
        <f>A214+1</f>
        <v>201</v>
      </c>
      <c r="B216" s="701" t="s">
        <v>300</v>
      </c>
      <c r="C216" s="687" t="s">
        <v>672</v>
      </c>
      <c r="D216" s="687">
        <v>5047</v>
      </c>
      <c r="E216" s="687">
        <v>6121</v>
      </c>
      <c r="F216" s="702" t="s">
        <v>796</v>
      </c>
      <c r="G216" s="700" t="s">
        <v>962</v>
      </c>
      <c r="H216" s="707">
        <v>2009</v>
      </c>
      <c r="I216" s="687">
        <v>2013</v>
      </c>
      <c r="J216" s="703">
        <v>22300</v>
      </c>
      <c r="K216" s="703">
        <v>17432</v>
      </c>
      <c r="L216" s="703">
        <f>281+168+20015</f>
        <v>20464</v>
      </c>
      <c r="M216" s="703">
        <v>250</v>
      </c>
      <c r="N216" s="703">
        <v>800</v>
      </c>
      <c r="O216" s="703">
        <v>732</v>
      </c>
      <c r="P216" s="695">
        <f t="shared" si="16"/>
        <v>0.915</v>
      </c>
      <c r="Q216" s="704"/>
      <c r="R216" s="704"/>
      <c r="S216" s="704"/>
      <c r="T216" s="700" t="s">
        <v>747</v>
      </c>
    </row>
    <row r="217" spans="1:20" ht="12.75">
      <c r="A217" s="686">
        <f aca="true" t="shared" si="24" ref="A217:A240">A216+1</f>
        <v>202</v>
      </c>
      <c r="B217" s="701" t="s">
        <v>300</v>
      </c>
      <c r="C217" s="687" t="s">
        <v>672</v>
      </c>
      <c r="D217" s="687">
        <v>5097</v>
      </c>
      <c r="E217" s="687">
        <v>6121</v>
      </c>
      <c r="F217" s="702" t="s">
        <v>796</v>
      </c>
      <c r="G217" s="700" t="s">
        <v>963</v>
      </c>
      <c r="H217" s="707">
        <v>2010</v>
      </c>
      <c r="I217" s="687">
        <v>2013</v>
      </c>
      <c r="J217" s="703">
        <v>14259</v>
      </c>
      <c r="K217" s="703">
        <v>10860</v>
      </c>
      <c r="L217" s="703">
        <f>94+421</f>
        <v>515</v>
      </c>
      <c r="M217" s="703">
        <v>9700</v>
      </c>
      <c r="N217" s="703">
        <v>700</v>
      </c>
      <c r="O217" s="703">
        <v>1</v>
      </c>
      <c r="P217" s="695">
        <f t="shared" si="16"/>
        <v>0.0014285714285714286</v>
      </c>
      <c r="Q217" s="704">
        <v>7000</v>
      </c>
      <c r="R217" s="704"/>
      <c r="S217" s="704"/>
      <c r="T217" s="700" t="s">
        <v>747</v>
      </c>
    </row>
    <row r="218" spans="1:20" ht="12.75">
      <c r="A218" s="686">
        <f t="shared" si="24"/>
        <v>203</v>
      </c>
      <c r="B218" s="701" t="s">
        <v>300</v>
      </c>
      <c r="C218" s="687" t="s">
        <v>672</v>
      </c>
      <c r="D218" s="687">
        <v>5123</v>
      </c>
      <c r="E218" s="687">
        <v>6121</v>
      </c>
      <c r="F218" s="702" t="s">
        <v>796</v>
      </c>
      <c r="G218" s="700" t="s">
        <v>964</v>
      </c>
      <c r="H218" s="707">
        <v>2010</v>
      </c>
      <c r="I218" s="687">
        <v>2014</v>
      </c>
      <c r="J218" s="703">
        <v>7000</v>
      </c>
      <c r="K218" s="703">
        <v>5000</v>
      </c>
      <c r="L218" s="703">
        <f>120</f>
        <v>120</v>
      </c>
      <c r="M218" s="703">
        <v>200</v>
      </c>
      <c r="N218" s="703">
        <v>200</v>
      </c>
      <c r="O218" s="703">
        <v>151</v>
      </c>
      <c r="P218" s="695">
        <f t="shared" si="16"/>
        <v>0.755</v>
      </c>
      <c r="Q218" s="704">
        <v>1000</v>
      </c>
      <c r="R218" s="704"/>
      <c r="S218" s="704"/>
      <c r="T218" s="700" t="s">
        <v>747</v>
      </c>
    </row>
    <row r="219" spans="1:20" ht="12.75">
      <c r="A219" s="686">
        <f t="shared" si="24"/>
        <v>204</v>
      </c>
      <c r="B219" s="701" t="s">
        <v>300</v>
      </c>
      <c r="C219" s="687" t="s">
        <v>672</v>
      </c>
      <c r="D219" s="687">
        <v>5124</v>
      </c>
      <c r="E219" s="687">
        <v>6121</v>
      </c>
      <c r="F219" s="702" t="s">
        <v>796</v>
      </c>
      <c r="G219" s="700" t="s">
        <v>965</v>
      </c>
      <c r="H219" s="707">
        <v>2010</v>
      </c>
      <c r="I219" s="687">
        <v>2014</v>
      </c>
      <c r="J219" s="703">
        <v>10620</v>
      </c>
      <c r="K219" s="703"/>
      <c r="L219" s="703">
        <f>84+192</f>
        <v>276</v>
      </c>
      <c r="M219" s="703">
        <v>300</v>
      </c>
      <c r="N219" s="703">
        <v>300</v>
      </c>
      <c r="O219" s="703">
        <v>77</v>
      </c>
      <c r="P219" s="695">
        <f t="shared" si="16"/>
        <v>0.25666666666666665</v>
      </c>
      <c r="Q219" s="704">
        <v>1000</v>
      </c>
      <c r="R219" s="704"/>
      <c r="S219" s="704"/>
      <c r="T219" s="700" t="s">
        <v>747</v>
      </c>
    </row>
    <row r="220" spans="1:20" ht="12.75">
      <c r="A220" s="686">
        <f t="shared" si="24"/>
        <v>205</v>
      </c>
      <c r="B220" s="701" t="s">
        <v>300</v>
      </c>
      <c r="C220" s="687" t="s">
        <v>672</v>
      </c>
      <c r="D220" s="687">
        <v>5125</v>
      </c>
      <c r="E220" s="687">
        <v>6121</v>
      </c>
      <c r="F220" s="702" t="s">
        <v>796</v>
      </c>
      <c r="G220" s="700" t="s">
        <v>966</v>
      </c>
      <c r="H220" s="707">
        <v>2010</v>
      </c>
      <c r="I220" s="687">
        <v>2014</v>
      </c>
      <c r="J220" s="703">
        <v>17000</v>
      </c>
      <c r="K220" s="703">
        <v>9466</v>
      </c>
      <c r="L220" s="703">
        <f>192</f>
        <v>192</v>
      </c>
      <c r="M220" s="703"/>
      <c r="N220" s="703">
        <v>500</v>
      </c>
      <c r="O220" s="703">
        <v>2</v>
      </c>
      <c r="P220" s="695">
        <f t="shared" si="16"/>
        <v>0.004</v>
      </c>
      <c r="Q220" s="704">
        <v>1000</v>
      </c>
      <c r="R220" s="704"/>
      <c r="S220" s="704"/>
      <c r="T220" s="700" t="s">
        <v>747</v>
      </c>
    </row>
    <row r="221" spans="1:20" ht="12.75">
      <c r="A221" s="686">
        <f t="shared" si="24"/>
        <v>206</v>
      </c>
      <c r="B221" s="701" t="s">
        <v>300</v>
      </c>
      <c r="C221" s="687" t="s">
        <v>672</v>
      </c>
      <c r="D221" s="687">
        <v>5126</v>
      </c>
      <c r="E221" s="687">
        <v>6121</v>
      </c>
      <c r="F221" s="702" t="s">
        <v>796</v>
      </c>
      <c r="G221" s="700" t="s">
        <v>967</v>
      </c>
      <c r="H221" s="707">
        <v>2010</v>
      </c>
      <c r="I221" s="687">
        <v>2014</v>
      </c>
      <c r="J221" s="703">
        <v>15689</v>
      </c>
      <c r="K221" s="703"/>
      <c r="L221" s="703">
        <f>119+204</f>
        <v>323</v>
      </c>
      <c r="M221" s="703"/>
      <c r="N221" s="703">
        <v>250</v>
      </c>
      <c r="O221" s="703">
        <v>208</v>
      </c>
      <c r="P221" s="695">
        <f t="shared" si="16"/>
        <v>0.832</v>
      </c>
      <c r="Q221" s="704">
        <v>1000</v>
      </c>
      <c r="R221" s="704"/>
      <c r="S221" s="704"/>
      <c r="T221" s="700" t="s">
        <v>747</v>
      </c>
    </row>
    <row r="222" spans="1:20" ht="12.75">
      <c r="A222" s="686">
        <f t="shared" si="24"/>
        <v>207</v>
      </c>
      <c r="B222" s="701" t="s">
        <v>300</v>
      </c>
      <c r="C222" s="687" t="s">
        <v>672</v>
      </c>
      <c r="D222" s="687">
        <v>5127</v>
      </c>
      <c r="E222" s="687">
        <v>6121</v>
      </c>
      <c r="F222" s="702" t="s">
        <v>796</v>
      </c>
      <c r="G222" s="700" t="s">
        <v>968</v>
      </c>
      <c r="H222" s="707">
        <v>2010</v>
      </c>
      <c r="I222" s="707">
        <v>2013</v>
      </c>
      <c r="J222" s="703">
        <v>11700</v>
      </c>
      <c r="K222" s="703">
        <v>7161</v>
      </c>
      <c r="L222" s="703">
        <f>43+36</f>
        <v>79</v>
      </c>
      <c r="M222" s="703">
        <v>10000</v>
      </c>
      <c r="N222" s="703">
        <v>6500</v>
      </c>
      <c r="O222" s="703">
        <v>5674</v>
      </c>
      <c r="P222" s="695">
        <f t="shared" si="16"/>
        <v>0.8729230769230769</v>
      </c>
      <c r="Q222" s="704">
        <v>30</v>
      </c>
      <c r="R222" s="704"/>
      <c r="S222" s="704"/>
      <c r="T222" s="700" t="s">
        <v>747</v>
      </c>
    </row>
    <row r="223" spans="1:20" ht="12.75">
      <c r="A223" s="686">
        <f t="shared" si="24"/>
        <v>208</v>
      </c>
      <c r="B223" s="701" t="s">
        <v>300</v>
      </c>
      <c r="C223" s="687" t="s">
        <v>672</v>
      </c>
      <c r="D223" s="687">
        <v>5130</v>
      </c>
      <c r="E223" s="687">
        <v>6121</v>
      </c>
      <c r="F223" s="702" t="s">
        <v>796</v>
      </c>
      <c r="G223" s="700" t="s">
        <v>969</v>
      </c>
      <c r="H223" s="707">
        <v>2010</v>
      </c>
      <c r="I223" s="687">
        <v>2014</v>
      </c>
      <c r="J223" s="703">
        <v>350</v>
      </c>
      <c r="K223" s="703">
        <v>5760</v>
      </c>
      <c r="L223" s="703">
        <f>120+230</f>
        <v>350</v>
      </c>
      <c r="M223" s="703"/>
      <c r="N223" s="703"/>
      <c r="O223" s="703"/>
      <c r="P223" s="695" t="str">
        <f t="shared" si="16"/>
        <v> </v>
      </c>
      <c r="Q223" s="704"/>
      <c r="R223" s="704"/>
      <c r="S223" s="704"/>
      <c r="T223" s="700" t="s">
        <v>747</v>
      </c>
    </row>
    <row r="224" spans="1:20" ht="12.75">
      <c r="A224" s="686">
        <f t="shared" si="24"/>
        <v>209</v>
      </c>
      <c r="B224" s="701" t="s">
        <v>300</v>
      </c>
      <c r="C224" s="687" t="s">
        <v>672</v>
      </c>
      <c r="D224" s="687">
        <v>5133</v>
      </c>
      <c r="E224" s="687">
        <v>6121</v>
      </c>
      <c r="F224" s="702" t="s">
        <v>796</v>
      </c>
      <c r="G224" s="700" t="s">
        <v>970</v>
      </c>
      <c r="H224" s="707">
        <v>2010</v>
      </c>
      <c r="I224" s="687">
        <v>2014</v>
      </c>
      <c r="J224" s="703">
        <v>232</v>
      </c>
      <c r="K224" s="703"/>
      <c r="L224" s="703">
        <f>198+34</f>
        <v>232</v>
      </c>
      <c r="M224" s="703"/>
      <c r="N224" s="703"/>
      <c r="O224" s="703"/>
      <c r="P224" s="695" t="str">
        <f t="shared" si="16"/>
        <v> </v>
      </c>
      <c r="Q224" s="704"/>
      <c r="R224" s="704"/>
      <c r="S224" s="704"/>
      <c r="T224" s="700" t="s">
        <v>747</v>
      </c>
    </row>
    <row r="225" spans="1:20" ht="12.75">
      <c r="A225" s="686">
        <f t="shared" si="24"/>
        <v>210</v>
      </c>
      <c r="B225" s="701" t="s">
        <v>300</v>
      </c>
      <c r="C225" s="687" t="s">
        <v>672</v>
      </c>
      <c r="D225" s="687">
        <v>5134</v>
      </c>
      <c r="E225" s="687">
        <v>6121</v>
      </c>
      <c r="F225" s="702" t="s">
        <v>796</v>
      </c>
      <c r="G225" s="700" t="s">
        <v>971</v>
      </c>
      <c r="H225" s="707">
        <v>2010</v>
      </c>
      <c r="I225" s="687">
        <v>2013</v>
      </c>
      <c r="J225" s="703">
        <v>14120</v>
      </c>
      <c r="K225" s="703">
        <v>10000</v>
      </c>
      <c r="L225" s="703">
        <f>208</f>
        <v>208</v>
      </c>
      <c r="M225" s="703">
        <v>13538</v>
      </c>
      <c r="N225" s="703">
        <v>3538</v>
      </c>
      <c r="O225" s="703">
        <v>80</v>
      </c>
      <c r="P225" s="695">
        <f t="shared" si="16"/>
        <v>0.022611644997173545</v>
      </c>
      <c r="Q225" s="704">
        <v>10000</v>
      </c>
      <c r="R225" s="704"/>
      <c r="S225" s="704"/>
      <c r="T225" s="700" t="s">
        <v>747</v>
      </c>
    </row>
    <row r="226" spans="1:20" ht="12.75">
      <c r="A226" s="686">
        <f t="shared" si="24"/>
        <v>211</v>
      </c>
      <c r="B226" s="701" t="s">
        <v>300</v>
      </c>
      <c r="C226" s="687" t="s">
        <v>672</v>
      </c>
      <c r="D226" s="687">
        <v>5136</v>
      </c>
      <c r="E226" s="687">
        <v>6121</v>
      </c>
      <c r="F226" s="702" t="s">
        <v>796</v>
      </c>
      <c r="G226" s="700" t="s">
        <v>972</v>
      </c>
      <c r="H226" s="707">
        <v>2010</v>
      </c>
      <c r="I226" s="687">
        <v>2013</v>
      </c>
      <c r="J226" s="703">
        <v>6850</v>
      </c>
      <c r="K226" s="703">
        <v>6086</v>
      </c>
      <c r="L226" s="703">
        <f>1</f>
        <v>1</v>
      </c>
      <c r="M226" s="703">
        <v>5850</v>
      </c>
      <c r="N226" s="703">
        <v>5300</v>
      </c>
      <c r="O226" s="703">
        <v>4156</v>
      </c>
      <c r="P226" s="695">
        <f t="shared" si="16"/>
        <v>0.7841509433962264</v>
      </c>
      <c r="Q226" s="704">
        <v>1000</v>
      </c>
      <c r="R226" s="704"/>
      <c r="S226" s="704"/>
      <c r="T226" s="700" t="s">
        <v>747</v>
      </c>
    </row>
    <row r="227" spans="1:20" ht="12.75">
      <c r="A227" s="686">
        <f t="shared" si="24"/>
        <v>212</v>
      </c>
      <c r="B227" s="701" t="s">
        <v>300</v>
      </c>
      <c r="C227" s="687" t="s">
        <v>672</v>
      </c>
      <c r="D227" s="687">
        <v>5142</v>
      </c>
      <c r="E227" s="687">
        <v>6121</v>
      </c>
      <c r="F227" s="702" t="s">
        <v>796</v>
      </c>
      <c r="G227" s="700" t="s">
        <v>973</v>
      </c>
      <c r="H227" s="687">
        <v>2011</v>
      </c>
      <c r="I227" s="707">
        <v>2013</v>
      </c>
      <c r="J227" s="703">
        <v>28100</v>
      </c>
      <c r="K227" s="703">
        <v>9359</v>
      </c>
      <c r="L227" s="703">
        <f>252</f>
        <v>252</v>
      </c>
      <c r="M227" s="703">
        <v>500</v>
      </c>
      <c r="N227" s="703">
        <v>3000</v>
      </c>
      <c r="O227" s="703">
        <v>124</v>
      </c>
      <c r="P227" s="695">
        <f t="shared" si="16"/>
        <v>0.04133333333333333</v>
      </c>
      <c r="Q227" s="704">
        <v>10000</v>
      </c>
      <c r="R227" s="704"/>
      <c r="S227" s="704"/>
      <c r="T227" s="700" t="s">
        <v>747</v>
      </c>
    </row>
    <row r="228" spans="1:20" ht="12.75">
      <c r="A228" s="686">
        <f t="shared" si="24"/>
        <v>213</v>
      </c>
      <c r="B228" s="701" t="s">
        <v>300</v>
      </c>
      <c r="C228" s="687" t="s">
        <v>672</v>
      </c>
      <c r="D228" s="687">
        <v>5146</v>
      </c>
      <c r="E228" s="687">
        <v>6121</v>
      </c>
      <c r="F228" s="702" t="s">
        <v>796</v>
      </c>
      <c r="G228" s="700" t="s">
        <v>974</v>
      </c>
      <c r="H228" s="687">
        <v>2012</v>
      </c>
      <c r="I228" s="687">
        <v>2014</v>
      </c>
      <c r="J228" s="703">
        <v>45600</v>
      </c>
      <c r="K228" s="703">
        <v>10319</v>
      </c>
      <c r="L228" s="703"/>
      <c r="M228" s="703">
        <v>500</v>
      </c>
      <c r="N228" s="703">
        <v>3000</v>
      </c>
      <c r="O228" s="703">
        <v>263</v>
      </c>
      <c r="P228" s="695">
        <f t="shared" si="16"/>
        <v>0.08766666666666667</v>
      </c>
      <c r="Q228" s="704">
        <v>13000</v>
      </c>
      <c r="R228" s="704"/>
      <c r="S228" s="704"/>
      <c r="T228" s="700" t="s">
        <v>747</v>
      </c>
    </row>
    <row r="229" spans="1:20" ht="12.75">
      <c r="A229" s="686">
        <f t="shared" si="24"/>
        <v>214</v>
      </c>
      <c r="B229" s="701" t="s">
        <v>300</v>
      </c>
      <c r="C229" s="687" t="s">
        <v>672</v>
      </c>
      <c r="D229" s="687">
        <v>5147</v>
      </c>
      <c r="E229" s="687">
        <v>6121</v>
      </c>
      <c r="F229" s="702" t="s">
        <v>796</v>
      </c>
      <c r="G229" s="700" t="s">
        <v>975</v>
      </c>
      <c r="H229" s="687">
        <v>2012</v>
      </c>
      <c r="I229" s="687">
        <v>2014</v>
      </c>
      <c r="J229" s="703">
        <v>26100</v>
      </c>
      <c r="K229" s="703">
        <v>9043</v>
      </c>
      <c r="L229" s="703">
        <f>1</f>
        <v>1</v>
      </c>
      <c r="M229" s="703">
        <v>500</v>
      </c>
      <c r="N229" s="703">
        <v>3700</v>
      </c>
      <c r="O229" s="703">
        <v>1256</v>
      </c>
      <c r="P229" s="695">
        <f t="shared" si="16"/>
        <v>0.33945945945945943</v>
      </c>
      <c r="Q229" s="704">
        <v>10000</v>
      </c>
      <c r="R229" s="704"/>
      <c r="S229" s="704"/>
      <c r="T229" s="700" t="s">
        <v>747</v>
      </c>
    </row>
    <row r="230" spans="1:20" ht="12.75">
      <c r="A230" s="686">
        <f t="shared" si="24"/>
        <v>215</v>
      </c>
      <c r="B230" s="701" t="s">
        <v>954</v>
      </c>
      <c r="C230" s="687" t="s">
        <v>672</v>
      </c>
      <c r="D230" s="687">
        <v>5150</v>
      </c>
      <c r="E230" s="687">
        <v>6121</v>
      </c>
      <c r="F230" s="702" t="s">
        <v>796</v>
      </c>
      <c r="G230" s="700" t="s">
        <v>976</v>
      </c>
      <c r="H230" s="687">
        <v>2012</v>
      </c>
      <c r="I230" s="687">
        <v>2014</v>
      </c>
      <c r="J230" s="703">
        <v>48300</v>
      </c>
      <c r="K230" s="703">
        <v>15800</v>
      </c>
      <c r="L230" s="703"/>
      <c r="M230" s="703">
        <v>200</v>
      </c>
      <c r="N230" s="703">
        <v>500</v>
      </c>
      <c r="O230" s="703">
        <v>213</v>
      </c>
      <c r="P230" s="695">
        <f t="shared" si="16"/>
        <v>0.426</v>
      </c>
      <c r="Q230" s="704">
        <v>3000</v>
      </c>
      <c r="R230" s="704"/>
      <c r="S230" s="704"/>
      <c r="T230" s="700" t="s">
        <v>956</v>
      </c>
    </row>
    <row r="231" spans="1:20" ht="12.75">
      <c r="A231" s="686">
        <f t="shared" si="24"/>
        <v>216</v>
      </c>
      <c r="B231" s="701" t="s">
        <v>954</v>
      </c>
      <c r="C231" s="687" t="s">
        <v>672</v>
      </c>
      <c r="D231" s="687">
        <v>5151</v>
      </c>
      <c r="E231" s="687">
        <v>6121</v>
      </c>
      <c r="F231" s="702" t="s">
        <v>796</v>
      </c>
      <c r="G231" s="700" t="s">
        <v>977</v>
      </c>
      <c r="H231" s="687">
        <v>2012</v>
      </c>
      <c r="I231" s="687">
        <v>2014</v>
      </c>
      <c r="J231" s="703">
        <v>11600</v>
      </c>
      <c r="K231" s="703">
        <v>4700</v>
      </c>
      <c r="L231" s="703"/>
      <c r="M231" s="703">
        <v>200</v>
      </c>
      <c r="N231" s="703">
        <v>214</v>
      </c>
      <c r="O231" s="703">
        <v>124</v>
      </c>
      <c r="P231" s="695">
        <f t="shared" si="16"/>
        <v>0.5794392523364486</v>
      </c>
      <c r="Q231" s="704">
        <v>3000</v>
      </c>
      <c r="R231" s="704"/>
      <c r="S231" s="704"/>
      <c r="T231" s="700" t="s">
        <v>956</v>
      </c>
    </row>
    <row r="232" spans="1:20" ht="12.75">
      <c r="A232" s="686">
        <f t="shared" si="24"/>
        <v>217</v>
      </c>
      <c r="B232" s="701" t="s">
        <v>954</v>
      </c>
      <c r="C232" s="687" t="s">
        <v>672</v>
      </c>
      <c r="D232" s="687">
        <v>5152</v>
      </c>
      <c r="E232" s="687">
        <v>6121</v>
      </c>
      <c r="F232" s="702" t="s">
        <v>796</v>
      </c>
      <c r="G232" s="700" t="s">
        <v>978</v>
      </c>
      <c r="H232" s="687">
        <v>2012</v>
      </c>
      <c r="I232" s="687">
        <v>2014</v>
      </c>
      <c r="J232" s="703">
        <v>16100</v>
      </c>
      <c r="K232" s="703">
        <v>4200</v>
      </c>
      <c r="L232" s="703"/>
      <c r="M232" s="703">
        <v>200</v>
      </c>
      <c r="N232" s="703">
        <v>214</v>
      </c>
      <c r="O232" s="703">
        <v>124</v>
      </c>
      <c r="P232" s="695">
        <f t="shared" si="16"/>
        <v>0.5794392523364486</v>
      </c>
      <c r="Q232" s="704">
        <v>3000</v>
      </c>
      <c r="R232" s="704"/>
      <c r="S232" s="704"/>
      <c r="T232" s="700" t="s">
        <v>956</v>
      </c>
    </row>
    <row r="233" spans="1:20" ht="12.75">
      <c r="A233" s="686">
        <f t="shared" si="24"/>
        <v>218</v>
      </c>
      <c r="B233" s="701" t="s">
        <v>300</v>
      </c>
      <c r="C233" s="687" t="s">
        <v>672</v>
      </c>
      <c r="D233" s="687">
        <v>5177</v>
      </c>
      <c r="E233" s="687">
        <v>6121</v>
      </c>
      <c r="F233" s="702" t="s">
        <v>796</v>
      </c>
      <c r="G233" s="712" t="s">
        <v>979</v>
      </c>
      <c r="H233" s="687">
        <v>2013</v>
      </c>
      <c r="I233" s="687">
        <v>2015</v>
      </c>
      <c r="J233" s="703">
        <v>22124</v>
      </c>
      <c r="K233" s="703">
        <v>18167</v>
      </c>
      <c r="L233" s="703"/>
      <c r="M233" s="703"/>
      <c r="N233" s="703">
        <v>500</v>
      </c>
      <c r="O233" s="703"/>
      <c r="P233" s="695">
        <f t="shared" si="16"/>
        <v>0</v>
      </c>
      <c r="Q233" s="704">
        <v>3000</v>
      </c>
      <c r="R233" s="704"/>
      <c r="S233" s="704"/>
      <c r="T233" s="700" t="s">
        <v>747</v>
      </c>
    </row>
    <row r="234" spans="1:20" ht="12.75">
      <c r="A234" s="686">
        <f t="shared" si="24"/>
        <v>219</v>
      </c>
      <c r="B234" s="701" t="s">
        <v>300</v>
      </c>
      <c r="C234" s="687" t="s">
        <v>672</v>
      </c>
      <c r="D234" s="687">
        <v>5178</v>
      </c>
      <c r="E234" s="687">
        <v>6121</v>
      </c>
      <c r="F234" s="702" t="s">
        <v>796</v>
      </c>
      <c r="G234" s="700" t="s">
        <v>980</v>
      </c>
      <c r="H234" s="687">
        <v>2013</v>
      </c>
      <c r="I234" s="687">
        <v>2015</v>
      </c>
      <c r="J234" s="703">
        <v>6200</v>
      </c>
      <c r="K234" s="703">
        <v>5101</v>
      </c>
      <c r="L234" s="703"/>
      <c r="M234" s="703"/>
      <c r="N234" s="703">
        <v>500</v>
      </c>
      <c r="O234" s="703"/>
      <c r="P234" s="695">
        <f t="shared" si="16"/>
        <v>0</v>
      </c>
      <c r="Q234" s="704">
        <v>3000</v>
      </c>
      <c r="R234" s="704"/>
      <c r="S234" s="704"/>
      <c r="T234" s="700" t="s">
        <v>747</v>
      </c>
    </row>
    <row r="235" spans="1:20" ht="12.75">
      <c r="A235" s="686">
        <f t="shared" si="24"/>
        <v>220</v>
      </c>
      <c r="B235" s="705" t="s">
        <v>981</v>
      </c>
      <c r="C235" s="687" t="s">
        <v>672</v>
      </c>
      <c r="D235" s="687">
        <v>30078222</v>
      </c>
      <c r="E235" s="687">
        <v>6356</v>
      </c>
      <c r="F235" s="702" t="s">
        <v>796</v>
      </c>
      <c r="G235" s="700" t="s">
        <v>982</v>
      </c>
      <c r="H235" s="705"/>
      <c r="I235" s="705"/>
      <c r="J235" s="703"/>
      <c r="K235" s="703"/>
      <c r="L235" s="703"/>
      <c r="M235" s="703"/>
      <c r="N235" s="703">
        <v>170</v>
      </c>
      <c r="O235" s="703">
        <v>170</v>
      </c>
      <c r="P235" s="695">
        <f t="shared" si="16"/>
        <v>1</v>
      </c>
      <c r="Q235" s="704"/>
      <c r="R235" s="704"/>
      <c r="S235" s="704"/>
      <c r="T235" s="700" t="s">
        <v>983</v>
      </c>
    </row>
    <row r="236" spans="1:20" ht="12.75">
      <c r="A236" s="686">
        <f t="shared" si="24"/>
        <v>221</v>
      </c>
      <c r="B236" s="701" t="s">
        <v>981</v>
      </c>
      <c r="C236" s="687" t="s">
        <v>672</v>
      </c>
      <c r="D236" s="687">
        <v>30078243</v>
      </c>
      <c r="E236" s="687">
        <v>6356</v>
      </c>
      <c r="F236" s="702" t="s">
        <v>796</v>
      </c>
      <c r="G236" s="700" t="s">
        <v>984</v>
      </c>
      <c r="H236" s="687"/>
      <c r="I236" s="687"/>
      <c r="J236" s="703"/>
      <c r="K236" s="703"/>
      <c r="L236" s="703"/>
      <c r="M236" s="703"/>
      <c r="N236" s="703">
        <v>100</v>
      </c>
      <c r="O236" s="703">
        <v>100</v>
      </c>
      <c r="P236" s="695">
        <f t="shared" si="16"/>
        <v>1</v>
      </c>
      <c r="Q236" s="704"/>
      <c r="R236" s="704"/>
      <c r="S236" s="704"/>
      <c r="T236" s="700" t="s">
        <v>983</v>
      </c>
    </row>
    <row r="237" spans="1:20" ht="12.75">
      <c r="A237" s="686">
        <f t="shared" si="24"/>
        <v>222</v>
      </c>
      <c r="B237" s="701" t="s">
        <v>981</v>
      </c>
      <c r="C237" s="687" t="s">
        <v>672</v>
      </c>
      <c r="D237" s="687">
        <v>30078284</v>
      </c>
      <c r="E237" s="687">
        <v>6356</v>
      </c>
      <c r="F237" s="702" t="s">
        <v>796</v>
      </c>
      <c r="G237" s="713" t="s">
        <v>985</v>
      </c>
      <c r="H237" s="687"/>
      <c r="I237" s="687"/>
      <c r="J237" s="703"/>
      <c r="K237" s="703"/>
      <c r="L237" s="703"/>
      <c r="M237" s="703"/>
      <c r="N237" s="703">
        <v>308</v>
      </c>
      <c r="O237" s="703">
        <v>308</v>
      </c>
      <c r="P237" s="695">
        <f t="shared" si="16"/>
        <v>1</v>
      </c>
      <c r="Q237" s="704"/>
      <c r="R237" s="704"/>
      <c r="S237" s="704"/>
      <c r="T237" s="700" t="s">
        <v>983</v>
      </c>
    </row>
    <row r="238" spans="1:20" ht="12.75">
      <c r="A238" s="686">
        <f t="shared" si="24"/>
        <v>223</v>
      </c>
      <c r="B238" s="701" t="s">
        <v>981</v>
      </c>
      <c r="C238" s="687" t="s">
        <v>672</v>
      </c>
      <c r="D238" s="687">
        <v>30078286</v>
      </c>
      <c r="E238" s="687">
        <v>6356</v>
      </c>
      <c r="F238" s="702" t="s">
        <v>796</v>
      </c>
      <c r="G238" s="713" t="s">
        <v>986</v>
      </c>
      <c r="H238" s="687"/>
      <c r="I238" s="687"/>
      <c r="J238" s="703"/>
      <c r="K238" s="703"/>
      <c r="L238" s="703"/>
      <c r="M238" s="703"/>
      <c r="N238" s="703">
        <v>67</v>
      </c>
      <c r="O238" s="703">
        <v>67</v>
      </c>
      <c r="P238" s="695">
        <f t="shared" si="16"/>
        <v>1</v>
      </c>
      <c r="Q238" s="704"/>
      <c r="R238" s="704"/>
      <c r="S238" s="704"/>
      <c r="T238" s="700" t="s">
        <v>983</v>
      </c>
    </row>
    <row r="239" spans="1:20" ht="12.75">
      <c r="A239" s="686">
        <f t="shared" si="24"/>
        <v>224</v>
      </c>
      <c r="B239" s="701" t="s">
        <v>981</v>
      </c>
      <c r="C239" s="687" t="s">
        <v>672</v>
      </c>
      <c r="D239" s="687">
        <v>30078299</v>
      </c>
      <c r="E239" s="687">
        <v>6356</v>
      </c>
      <c r="F239" s="702" t="s">
        <v>796</v>
      </c>
      <c r="G239" s="700" t="s">
        <v>987</v>
      </c>
      <c r="H239" s="687"/>
      <c r="I239" s="687"/>
      <c r="J239" s="703"/>
      <c r="K239" s="703"/>
      <c r="L239" s="703">
        <f>12</f>
        <v>12</v>
      </c>
      <c r="M239" s="703"/>
      <c r="N239" s="703">
        <v>46</v>
      </c>
      <c r="O239" s="703">
        <v>46</v>
      </c>
      <c r="P239" s="695">
        <f t="shared" si="16"/>
        <v>1</v>
      </c>
      <c r="Q239" s="704"/>
      <c r="R239" s="704"/>
      <c r="S239" s="704"/>
      <c r="T239" s="700" t="s">
        <v>983</v>
      </c>
    </row>
    <row r="240" spans="1:20" ht="12.75">
      <c r="A240" s="686">
        <f t="shared" si="24"/>
        <v>225</v>
      </c>
      <c r="B240" s="701" t="s">
        <v>981</v>
      </c>
      <c r="C240" s="687" t="s">
        <v>672</v>
      </c>
      <c r="D240" s="687">
        <v>30079143</v>
      </c>
      <c r="E240" s="687">
        <v>6356</v>
      </c>
      <c r="F240" s="702"/>
      <c r="G240" s="713" t="s">
        <v>988</v>
      </c>
      <c r="H240" s="687"/>
      <c r="I240" s="687"/>
      <c r="J240" s="703"/>
      <c r="K240" s="703"/>
      <c r="L240" s="703"/>
      <c r="M240" s="703"/>
      <c r="N240" s="703">
        <v>100</v>
      </c>
      <c r="O240" s="703">
        <v>100</v>
      </c>
      <c r="P240" s="695">
        <f t="shared" si="16"/>
        <v>1</v>
      </c>
      <c r="Q240" s="704"/>
      <c r="R240" s="704"/>
      <c r="S240" s="704"/>
      <c r="T240" s="700" t="s">
        <v>989</v>
      </c>
    </row>
    <row r="241" spans="1:20" ht="12.75">
      <c r="A241" s="686"/>
      <c r="B241" s="701"/>
      <c r="C241" s="708" t="s">
        <v>990</v>
      </c>
      <c r="D241" s="687"/>
      <c r="E241" s="687"/>
      <c r="F241" s="702"/>
      <c r="G241" s="713"/>
      <c r="H241" s="687"/>
      <c r="I241" s="687"/>
      <c r="J241" s="703">
        <f aca="true" t="shared" si="25" ref="J241:O241">SUBTOTAL(9,J216:J240)</f>
        <v>324244</v>
      </c>
      <c r="K241" s="703">
        <f t="shared" si="25"/>
        <v>148454</v>
      </c>
      <c r="L241" s="703">
        <f t="shared" si="25"/>
        <v>23025</v>
      </c>
      <c r="M241" s="703">
        <f t="shared" si="25"/>
        <v>41938</v>
      </c>
      <c r="N241" s="703">
        <f t="shared" si="25"/>
        <v>30507</v>
      </c>
      <c r="O241" s="703">
        <f t="shared" si="25"/>
        <v>13976</v>
      </c>
      <c r="P241" s="695">
        <f t="shared" si="16"/>
        <v>0.458124364899859</v>
      </c>
      <c r="Q241" s="704">
        <f>SUBTOTAL(9,Q216:Q240)</f>
        <v>70030</v>
      </c>
      <c r="R241" s="704">
        <f>SUBTOTAL(9,R216:R240)</f>
        <v>0</v>
      </c>
      <c r="S241" s="704">
        <f>SUBTOTAL(9,S216:S240)</f>
        <v>0</v>
      </c>
      <c r="T241" s="700"/>
    </row>
    <row r="242" spans="1:20" ht="12.75">
      <c r="A242" s="686">
        <f>A240+1</f>
        <v>226</v>
      </c>
      <c r="B242" s="701" t="s">
        <v>981</v>
      </c>
      <c r="C242" s="687" t="s">
        <v>991</v>
      </c>
      <c r="D242" s="687">
        <v>3192</v>
      </c>
      <c r="E242" s="687"/>
      <c r="F242" s="702">
        <v>41</v>
      </c>
      <c r="G242" s="713" t="s">
        <v>992</v>
      </c>
      <c r="H242" s="687"/>
      <c r="I242" s="687"/>
      <c r="J242" s="703"/>
      <c r="K242" s="703"/>
      <c r="L242" s="703"/>
      <c r="M242" s="703"/>
      <c r="N242" s="703"/>
      <c r="O242" s="703"/>
      <c r="P242" s="695" t="str">
        <f t="shared" si="16"/>
        <v> </v>
      </c>
      <c r="Q242" s="704">
        <v>30000</v>
      </c>
      <c r="R242" s="704"/>
      <c r="S242" s="704"/>
      <c r="T242" s="700" t="s">
        <v>989</v>
      </c>
    </row>
    <row r="243" spans="1:20" ht="12.75">
      <c r="A243" s="686"/>
      <c r="B243" s="701"/>
      <c r="C243" s="708" t="s">
        <v>993</v>
      </c>
      <c r="D243" s="687"/>
      <c r="E243" s="687"/>
      <c r="F243" s="702"/>
      <c r="G243" s="713"/>
      <c r="H243" s="687"/>
      <c r="I243" s="687"/>
      <c r="J243" s="703">
        <f aca="true" t="shared" si="26" ref="J243:O243">SUBTOTAL(9,J242:J242)</f>
        <v>0</v>
      </c>
      <c r="K243" s="703">
        <f t="shared" si="26"/>
        <v>0</v>
      </c>
      <c r="L243" s="703">
        <f t="shared" si="26"/>
        <v>0</v>
      </c>
      <c r="M243" s="703">
        <f t="shared" si="26"/>
        <v>0</v>
      </c>
      <c r="N243" s="703">
        <f t="shared" si="26"/>
        <v>0</v>
      </c>
      <c r="O243" s="703">
        <f t="shared" si="26"/>
        <v>0</v>
      </c>
      <c r="P243" s="695" t="str">
        <f t="shared" si="16"/>
        <v> </v>
      </c>
      <c r="Q243" s="704">
        <f>SUBTOTAL(9,Q242:Q242)</f>
        <v>30000</v>
      </c>
      <c r="R243" s="704">
        <f>SUBTOTAL(9,R242:R242)</f>
        <v>0</v>
      </c>
      <c r="S243" s="704">
        <f>SUBTOTAL(9,S242:S242)</f>
        <v>0</v>
      </c>
      <c r="T243" s="700"/>
    </row>
    <row r="244" spans="1:20" ht="12.75">
      <c r="A244" s="686">
        <f>A242+1</f>
        <v>227</v>
      </c>
      <c r="B244" s="705" t="s">
        <v>300</v>
      </c>
      <c r="C244" s="687" t="s">
        <v>674</v>
      </c>
      <c r="D244" s="687">
        <v>2855</v>
      </c>
      <c r="E244" s="687">
        <v>6121</v>
      </c>
      <c r="F244" s="700"/>
      <c r="G244" s="700" t="s">
        <v>994</v>
      </c>
      <c r="H244" s="687">
        <v>2013</v>
      </c>
      <c r="I244" s="687">
        <v>2017</v>
      </c>
      <c r="J244" s="703">
        <v>44100</v>
      </c>
      <c r="K244" s="703"/>
      <c r="L244" s="703"/>
      <c r="M244" s="703"/>
      <c r="N244" s="703">
        <v>1200</v>
      </c>
      <c r="O244" s="703">
        <v>1200</v>
      </c>
      <c r="P244" s="695">
        <f t="shared" si="16"/>
        <v>1</v>
      </c>
      <c r="Q244" s="704">
        <v>6101</v>
      </c>
      <c r="R244" s="704">
        <v>36799</v>
      </c>
      <c r="S244" s="704"/>
      <c r="T244" s="714" t="s">
        <v>995</v>
      </c>
    </row>
    <row r="245" spans="1:20" ht="12.75">
      <c r="A245" s="686">
        <f>A244+1</f>
        <v>228</v>
      </c>
      <c r="B245" s="705">
        <v>5600</v>
      </c>
      <c r="C245" s="687" t="s">
        <v>674</v>
      </c>
      <c r="D245" s="687">
        <v>2948</v>
      </c>
      <c r="E245" s="687">
        <v>6121</v>
      </c>
      <c r="F245" s="700"/>
      <c r="G245" s="700" t="s">
        <v>996</v>
      </c>
      <c r="H245" s="687">
        <v>2011</v>
      </c>
      <c r="I245" s="687">
        <v>2013</v>
      </c>
      <c r="J245" s="703">
        <v>2200</v>
      </c>
      <c r="K245" s="703"/>
      <c r="L245" s="703">
        <f>474</f>
        <v>474</v>
      </c>
      <c r="M245" s="703">
        <v>1726</v>
      </c>
      <c r="N245" s="703"/>
      <c r="O245" s="703"/>
      <c r="P245" s="695" t="str">
        <f t="shared" si="16"/>
        <v> </v>
      </c>
      <c r="Q245" s="704">
        <v>3576</v>
      </c>
      <c r="R245" s="704"/>
      <c r="S245" s="704"/>
      <c r="T245" s="714" t="s">
        <v>995</v>
      </c>
    </row>
    <row r="246" spans="1:20" ht="12.75">
      <c r="A246" s="686">
        <f>A245+1</f>
        <v>229</v>
      </c>
      <c r="B246" s="701" t="s">
        <v>300</v>
      </c>
      <c r="C246" s="687" t="s">
        <v>674</v>
      </c>
      <c r="D246" s="687">
        <v>4534</v>
      </c>
      <c r="E246" s="687">
        <v>6121</v>
      </c>
      <c r="F246" s="700"/>
      <c r="G246" s="700" t="s">
        <v>997</v>
      </c>
      <c r="H246" s="707">
        <v>2002</v>
      </c>
      <c r="I246" s="705">
        <v>2015</v>
      </c>
      <c r="J246" s="703">
        <v>1106000</v>
      </c>
      <c r="K246" s="703"/>
      <c r="L246" s="703">
        <f>362971+38933+868</f>
        <v>402772</v>
      </c>
      <c r="M246" s="703">
        <v>1220</v>
      </c>
      <c r="N246" s="703">
        <v>10000</v>
      </c>
      <c r="O246" s="703">
        <v>9993</v>
      </c>
      <c r="P246" s="695">
        <f t="shared" si="16"/>
        <v>0.9993</v>
      </c>
      <c r="Q246" s="704">
        <v>1200</v>
      </c>
      <c r="R246" s="704"/>
      <c r="S246" s="704">
        <v>642228</v>
      </c>
      <c r="T246" s="700" t="s">
        <v>747</v>
      </c>
    </row>
    <row r="247" spans="1:20" ht="12.75">
      <c r="A247" s="686"/>
      <c r="B247" s="701"/>
      <c r="C247" s="708" t="s">
        <v>998</v>
      </c>
      <c r="D247" s="687"/>
      <c r="E247" s="687"/>
      <c r="F247" s="700"/>
      <c r="G247" s="700"/>
      <c r="H247" s="707"/>
      <c r="I247" s="705"/>
      <c r="J247" s="703">
        <f aca="true" t="shared" si="27" ref="J247:O247">SUBTOTAL(9,J244:J246)</f>
        <v>1152300</v>
      </c>
      <c r="K247" s="703">
        <f t="shared" si="27"/>
        <v>0</v>
      </c>
      <c r="L247" s="703">
        <f t="shared" si="27"/>
        <v>403246</v>
      </c>
      <c r="M247" s="703">
        <f t="shared" si="27"/>
        <v>2946</v>
      </c>
      <c r="N247" s="703">
        <f t="shared" si="27"/>
        <v>11200</v>
      </c>
      <c r="O247" s="703">
        <f t="shared" si="27"/>
        <v>11193</v>
      </c>
      <c r="P247" s="695">
        <f t="shared" si="16"/>
        <v>0.999375</v>
      </c>
      <c r="Q247" s="704">
        <f>SUBTOTAL(9,Q244:Q246)</f>
        <v>10877</v>
      </c>
      <c r="R247" s="704">
        <f>SUBTOTAL(9,R244:R246)</f>
        <v>36799</v>
      </c>
      <c r="S247" s="704">
        <f>SUBTOTAL(9,S244:S246)</f>
        <v>642228</v>
      </c>
      <c r="T247" s="700"/>
    </row>
    <row r="248" spans="1:20" ht="12.75">
      <c r="A248" s="686">
        <f>A246+1</f>
        <v>230</v>
      </c>
      <c r="B248" s="701" t="s">
        <v>300</v>
      </c>
      <c r="C248" s="687" t="s">
        <v>675</v>
      </c>
      <c r="D248" s="687">
        <v>4541</v>
      </c>
      <c r="E248" s="687">
        <v>6121</v>
      </c>
      <c r="F248" s="700"/>
      <c r="G248" s="700" t="s">
        <v>999</v>
      </c>
      <c r="H248" s="707">
        <v>2001</v>
      </c>
      <c r="I248" s="687">
        <v>2014</v>
      </c>
      <c r="J248" s="703">
        <v>1284998</v>
      </c>
      <c r="K248" s="703"/>
      <c r="L248" s="703">
        <v>13245</v>
      </c>
      <c r="M248" s="703"/>
      <c r="N248" s="703"/>
      <c r="O248" s="703"/>
      <c r="P248" s="695" t="str">
        <f t="shared" si="16"/>
        <v> </v>
      </c>
      <c r="Q248" s="704"/>
      <c r="R248" s="704"/>
      <c r="S248" s="704">
        <v>1271753</v>
      </c>
      <c r="T248" s="700" t="s">
        <v>1000</v>
      </c>
    </row>
    <row r="249" spans="1:20" ht="12.75">
      <c r="A249" s="686">
        <f>A248+1</f>
        <v>231</v>
      </c>
      <c r="B249" s="701" t="s">
        <v>262</v>
      </c>
      <c r="C249" s="687" t="s">
        <v>675</v>
      </c>
      <c r="D249" s="687">
        <v>5143</v>
      </c>
      <c r="E249" s="687">
        <v>6429</v>
      </c>
      <c r="F249" s="702" t="s">
        <v>796</v>
      </c>
      <c r="G249" s="700" t="s">
        <v>1001</v>
      </c>
      <c r="H249" s="687">
        <v>2012</v>
      </c>
      <c r="I249" s="687">
        <v>2014</v>
      </c>
      <c r="J249" s="703">
        <v>8500</v>
      </c>
      <c r="K249" s="703"/>
      <c r="L249" s="703">
        <f>2300</f>
        <v>2300</v>
      </c>
      <c r="M249" s="703"/>
      <c r="N249" s="703">
        <v>6200</v>
      </c>
      <c r="O249" s="703">
        <v>6200</v>
      </c>
      <c r="P249" s="695">
        <f t="shared" si="16"/>
        <v>1</v>
      </c>
      <c r="Q249" s="704"/>
      <c r="R249" s="704"/>
      <c r="S249" s="704"/>
      <c r="T249" s="700" t="s">
        <v>1002</v>
      </c>
    </row>
    <row r="250" spans="1:20" ht="12.75">
      <c r="A250" s="686">
        <f>A249+1</f>
        <v>232</v>
      </c>
      <c r="B250" s="701" t="s">
        <v>1003</v>
      </c>
      <c r="C250" s="687" t="s">
        <v>675</v>
      </c>
      <c r="D250" s="687">
        <v>30069129</v>
      </c>
      <c r="E250" s="687">
        <v>6351</v>
      </c>
      <c r="F250" s="702"/>
      <c r="G250" s="700" t="s">
        <v>1004</v>
      </c>
      <c r="H250" s="687"/>
      <c r="I250" s="687"/>
      <c r="J250" s="703"/>
      <c r="K250" s="703"/>
      <c r="L250" s="703"/>
      <c r="M250" s="703"/>
      <c r="N250" s="703"/>
      <c r="O250" s="703"/>
      <c r="P250" s="695" t="str">
        <f t="shared" si="16"/>
        <v> </v>
      </c>
      <c r="Q250" s="704">
        <v>3000</v>
      </c>
      <c r="R250" s="704"/>
      <c r="S250" s="704"/>
      <c r="T250" s="700" t="s">
        <v>1005</v>
      </c>
    </row>
    <row r="251" spans="1:20" ht="12.75">
      <c r="A251" s="686"/>
      <c r="B251" s="701"/>
      <c r="C251" s="708" t="s">
        <v>1006</v>
      </c>
      <c r="D251" s="687"/>
      <c r="E251" s="687"/>
      <c r="F251" s="702"/>
      <c r="G251" s="700"/>
      <c r="H251" s="687"/>
      <c r="I251" s="687"/>
      <c r="J251" s="703">
        <f aca="true" t="shared" si="28" ref="J251:O251">SUBTOTAL(9,J248:J250)</f>
        <v>1293498</v>
      </c>
      <c r="K251" s="703">
        <f t="shared" si="28"/>
        <v>0</v>
      </c>
      <c r="L251" s="703">
        <f t="shared" si="28"/>
        <v>15545</v>
      </c>
      <c r="M251" s="703">
        <f t="shared" si="28"/>
        <v>0</v>
      </c>
      <c r="N251" s="703">
        <f t="shared" si="28"/>
        <v>6200</v>
      </c>
      <c r="O251" s="703">
        <f t="shared" si="28"/>
        <v>6200</v>
      </c>
      <c r="P251" s="695">
        <f t="shared" si="16"/>
        <v>1</v>
      </c>
      <c r="Q251" s="704">
        <f>SUBTOTAL(9,Q248:Q250)</f>
        <v>3000</v>
      </c>
      <c r="R251" s="704">
        <f>SUBTOTAL(9,R248:R250)</f>
        <v>0</v>
      </c>
      <c r="S251" s="704">
        <f>SUBTOTAL(9,S248:S250)</f>
        <v>1271753</v>
      </c>
      <c r="T251" s="700"/>
    </row>
    <row r="252" spans="1:20" ht="12.75">
      <c r="A252" s="686">
        <f>A250+1</f>
        <v>233</v>
      </c>
      <c r="B252" s="701" t="s">
        <v>300</v>
      </c>
      <c r="C252" s="687" t="s">
        <v>676</v>
      </c>
      <c r="D252" s="687">
        <v>5119</v>
      </c>
      <c r="E252" s="687">
        <v>6121</v>
      </c>
      <c r="F252" s="702" t="s">
        <v>796</v>
      </c>
      <c r="G252" s="700" t="s">
        <v>1007</v>
      </c>
      <c r="H252" s="707">
        <v>2010</v>
      </c>
      <c r="I252" s="687">
        <v>2014</v>
      </c>
      <c r="J252" s="703">
        <v>25786</v>
      </c>
      <c r="K252" s="703">
        <v>17379</v>
      </c>
      <c r="L252" s="703">
        <f>1405+494</f>
        <v>1899</v>
      </c>
      <c r="M252" s="703">
        <v>8701</v>
      </c>
      <c r="N252" s="703">
        <v>4701</v>
      </c>
      <c r="O252" s="703">
        <v>478</v>
      </c>
      <c r="P252" s="695">
        <f t="shared" si="16"/>
        <v>0.10168049351201872</v>
      </c>
      <c r="Q252" s="704">
        <v>10000</v>
      </c>
      <c r="R252" s="704"/>
      <c r="S252" s="704"/>
      <c r="T252" s="700" t="s">
        <v>747</v>
      </c>
    </row>
    <row r="253" spans="1:20" ht="12.75">
      <c r="A253" s="686">
        <f>A252+1</f>
        <v>234</v>
      </c>
      <c r="B253" s="701" t="s">
        <v>1003</v>
      </c>
      <c r="C253" s="687" t="s">
        <v>676</v>
      </c>
      <c r="D253" s="687">
        <v>30069121</v>
      </c>
      <c r="E253" s="687">
        <v>6351</v>
      </c>
      <c r="F253" s="702"/>
      <c r="G253" s="700" t="s">
        <v>1008</v>
      </c>
      <c r="H253" s="707"/>
      <c r="I253" s="687"/>
      <c r="J253" s="703"/>
      <c r="K253" s="703"/>
      <c r="L253" s="703"/>
      <c r="M253" s="703"/>
      <c r="N253" s="703">
        <v>90</v>
      </c>
      <c r="O253" s="703">
        <v>90</v>
      </c>
      <c r="P253" s="695">
        <f t="shared" si="16"/>
        <v>1</v>
      </c>
      <c r="Q253" s="704"/>
      <c r="R253" s="704"/>
      <c r="S253" s="704"/>
      <c r="T253" s="700" t="s">
        <v>1009</v>
      </c>
    </row>
    <row r="254" spans="1:20" ht="12.75">
      <c r="A254" s="686"/>
      <c r="B254" s="701"/>
      <c r="C254" s="708" t="s">
        <v>1010</v>
      </c>
      <c r="D254" s="687"/>
      <c r="E254" s="687"/>
      <c r="F254" s="702"/>
      <c r="G254" s="700"/>
      <c r="H254" s="707"/>
      <c r="I254" s="687"/>
      <c r="J254" s="703">
        <f aca="true" t="shared" si="29" ref="J254:O254">SUBTOTAL(9,J252:J253)</f>
        <v>25786</v>
      </c>
      <c r="K254" s="703">
        <f t="shared" si="29"/>
        <v>17379</v>
      </c>
      <c r="L254" s="703">
        <f t="shared" si="29"/>
        <v>1899</v>
      </c>
      <c r="M254" s="703">
        <f t="shared" si="29"/>
        <v>8701</v>
      </c>
      <c r="N254" s="703">
        <f t="shared" si="29"/>
        <v>4791</v>
      </c>
      <c r="O254" s="703">
        <f t="shared" si="29"/>
        <v>568</v>
      </c>
      <c r="P254" s="695">
        <f t="shared" si="16"/>
        <v>0.11855562513045294</v>
      </c>
      <c r="Q254" s="704">
        <f>SUBTOTAL(9,Q252:Q253)</f>
        <v>10000</v>
      </c>
      <c r="R254" s="704">
        <f>SUBTOTAL(9,R252:R253)</f>
        <v>0</v>
      </c>
      <c r="S254" s="704">
        <f>SUBTOTAL(9,S252:S253)</f>
        <v>0</v>
      </c>
      <c r="T254" s="700"/>
    </row>
    <row r="255" spans="1:20" ht="12.75">
      <c r="A255" s="686">
        <f>A253+1</f>
        <v>235</v>
      </c>
      <c r="B255" s="705">
        <v>5600</v>
      </c>
      <c r="C255" s="687" t="s">
        <v>677</v>
      </c>
      <c r="D255" s="687">
        <v>2938</v>
      </c>
      <c r="E255" s="687">
        <v>6121</v>
      </c>
      <c r="F255" s="700"/>
      <c r="G255" s="700" t="s">
        <v>1011</v>
      </c>
      <c r="H255" s="687">
        <v>2011</v>
      </c>
      <c r="I255" s="687">
        <v>2013</v>
      </c>
      <c r="J255" s="703">
        <v>5800</v>
      </c>
      <c r="K255" s="703"/>
      <c r="L255" s="703">
        <f>1327+2285</f>
        <v>3612</v>
      </c>
      <c r="M255" s="703">
        <v>2000</v>
      </c>
      <c r="N255" s="703">
        <v>400</v>
      </c>
      <c r="O255" s="703">
        <v>367</v>
      </c>
      <c r="P255" s="695">
        <f t="shared" si="16"/>
        <v>0.9175</v>
      </c>
      <c r="Q255" s="704"/>
      <c r="R255" s="704"/>
      <c r="S255" s="704"/>
      <c r="T255" s="700" t="s">
        <v>747</v>
      </c>
    </row>
    <row r="256" spans="1:20" ht="12.75">
      <c r="A256" s="686">
        <f>A255+1</f>
        <v>236</v>
      </c>
      <c r="B256" s="701" t="s">
        <v>954</v>
      </c>
      <c r="C256" s="687" t="s">
        <v>677</v>
      </c>
      <c r="D256" s="687">
        <v>5078</v>
      </c>
      <c r="E256" s="687">
        <v>6121</v>
      </c>
      <c r="F256" s="702" t="s">
        <v>796</v>
      </c>
      <c r="G256" s="700" t="s">
        <v>1012</v>
      </c>
      <c r="H256" s="707">
        <v>2009</v>
      </c>
      <c r="I256" s="687">
        <v>2013</v>
      </c>
      <c r="J256" s="703">
        <v>176000</v>
      </c>
      <c r="K256" s="703">
        <v>147838</v>
      </c>
      <c r="L256" s="703">
        <f>12661+96504+59319</f>
        <v>168484</v>
      </c>
      <c r="M256" s="703">
        <v>40</v>
      </c>
      <c r="N256" s="703">
        <v>40</v>
      </c>
      <c r="O256" s="703">
        <v>40</v>
      </c>
      <c r="P256" s="695">
        <f t="shared" si="16"/>
        <v>1</v>
      </c>
      <c r="Q256" s="704"/>
      <c r="R256" s="704"/>
      <c r="S256" s="704"/>
      <c r="T256" s="700" t="s">
        <v>956</v>
      </c>
    </row>
    <row r="257" spans="1:20" ht="12.75">
      <c r="A257" s="686"/>
      <c r="B257" s="701"/>
      <c r="C257" s="708" t="s">
        <v>1013</v>
      </c>
      <c r="D257" s="687"/>
      <c r="E257" s="687"/>
      <c r="F257" s="702"/>
      <c r="G257" s="700"/>
      <c r="H257" s="707"/>
      <c r="I257" s="687"/>
      <c r="J257" s="703">
        <f aca="true" t="shared" si="30" ref="J257:O257">SUBTOTAL(9,J255:J256)</f>
        <v>181800</v>
      </c>
      <c r="K257" s="703">
        <f t="shared" si="30"/>
        <v>147838</v>
      </c>
      <c r="L257" s="703">
        <f t="shared" si="30"/>
        <v>172096</v>
      </c>
      <c r="M257" s="703">
        <f t="shared" si="30"/>
        <v>2040</v>
      </c>
      <c r="N257" s="703">
        <f t="shared" si="30"/>
        <v>440</v>
      </c>
      <c r="O257" s="703">
        <f t="shared" si="30"/>
        <v>407</v>
      </c>
      <c r="P257" s="695">
        <f t="shared" si="16"/>
        <v>0.925</v>
      </c>
      <c r="Q257" s="704">
        <f>SUBTOTAL(9,Q255:Q256)</f>
        <v>0</v>
      </c>
      <c r="R257" s="704">
        <f>SUBTOTAL(9,R255:R256)</f>
        <v>0</v>
      </c>
      <c r="S257" s="704">
        <f>SUBTOTAL(9,S255:S256)</f>
        <v>0</v>
      </c>
      <c r="T257" s="700"/>
    </row>
    <row r="258" spans="1:20" ht="12.75">
      <c r="A258" s="686">
        <f>A256+1</f>
        <v>237</v>
      </c>
      <c r="B258" s="701" t="s">
        <v>954</v>
      </c>
      <c r="C258" s="687" t="s">
        <v>678</v>
      </c>
      <c r="D258" s="687">
        <v>2878</v>
      </c>
      <c r="E258" s="687">
        <v>6122</v>
      </c>
      <c r="F258" s="702"/>
      <c r="G258" s="700" t="s">
        <v>1014</v>
      </c>
      <c r="H258" s="687">
        <v>2013</v>
      </c>
      <c r="I258" s="687"/>
      <c r="J258" s="703">
        <v>50520</v>
      </c>
      <c r="K258" s="703">
        <v>49959</v>
      </c>
      <c r="L258" s="703"/>
      <c r="M258" s="703"/>
      <c r="N258" s="703">
        <v>50141</v>
      </c>
      <c r="O258" s="703">
        <v>50088</v>
      </c>
      <c r="P258" s="695">
        <f t="shared" si="16"/>
        <v>0.9989429807941604</v>
      </c>
      <c r="Q258" s="704"/>
      <c r="R258" s="704"/>
      <c r="S258" s="704"/>
      <c r="T258" s="700" t="s">
        <v>956</v>
      </c>
    </row>
    <row r="259" spans="1:20" ht="12.75">
      <c r="A259" s="686">
        <f>A258+1</f>
        <v>238</v>
      </c>
      <c r="B259" s="705">
        <v>7300</v>
      </c>
      <c r="C259" s="687" t="s">
        <v>678</v>
      </c>
      <c r="D259" s="687">
        <v>3132</v>
      </c>
      <c r="E259" s="687">
        <v>6127</v>
      </c>
      <c r="F259" s="700"/>
      <c r="G259" s="700" t="s">
        <v>1015</v>
      </c>
      <c r="H259" s="707">
        <v>2008</v>
      </c>
      <c r="I259" s="707">
        <v>2014</v>
      </c>
      <c r="J259" s="703">
        <v>10750</v>
      </c>
      <c r="K259" s="703"/>
      <c r="L259" s="703">
        <f>1200+343</f>
        <v>1543</v>
      </c>
      <c r="M259" s="703">
        <v>5000</v>
      </c>
      <c r="N259" s="703">
        <v>6399</v>
      </c>
      <c r="O259" s="703">
        <v>2864</v>
      </c>
      <c r="P259" s="695">
        <f aca="true" t="shared" si="31" ref="P259:P322">IF(N259&lt;=0," ",O259/N259)</f>
        <v>0.4475699328020003</v>
      </c>
      <c r="Q259" s="704">
        <v>911</v>
      </c>
      <c r="R259" s="704">
        <v>3200</v>
      </c>
      <c r="S259" s="704"/>
      <c r="T259" s="700" t="s">
        <v>1009</v>
      </c>
    </row>
    <row r="260" spans="1:20" ht="12.75">
      <c r="A260" s="686">
        <f>A259+1</f>
        <v>239</v>
      </c>
      <c r="B260" s="701" t="s">
        <v>954</v>
      </c>
      <c r="C260" s="687" t="s">
        <v>678</v>
      </c>
      <c r="D260" s="687">
        <v>5120</v>
      </c>
      <c r="E260" s="687">
        <v>6122</v>
      </c>
      <c r="F260" s="702" t="s">
        <v>796</v>
      </c>
      <c r="G260" s="700" t="s">
        <v>1016</v>
      </c>
      <c r="H260" s="707">
        <v>2010</v>
      </c>
      <c r="I260" s="687">
        <v>2013</v>
      </c>
      <c r="J260" s="703">
        <v>266</v>
      </c>
      <c r="K260" s="703">
        <v>190</v>
      </c>
      <c r="L260" s="703">
        <f>265</f>
        <v>265</v>
      </c>
      <c r="M260" s="703"/>
      <c r="N260" s="703">
        <v>4</v>
      </c>
      <c r="O260" s="703">
        <v>4</v>
      </c>
      <c r="P260" s="695">
        <f t="shared" si="31"/>
        <v>1</v>
      </c>
      <c r="Q260" s="704"/>
      <c r="R260" s="704"/>
      <c r="S260" s="704"/>
      <c r="T260" s="700" t="s">
        <v>747</v>
      </c>
    </row>
    <row r="261" spans="1:20" ht="12.75">
      <c r="A261" s="686">
        <f>A260+1</f>
        <v>240</v>
      </c>
      <c r="B261" s="705" t="s">
        <v>934</v>
      </c>
      <c r="C261" s="687" t="s">
        <v>678</v>
      </c>
      <c r="D261" s="687">
        <v>301399</v>
      </c>
      <c r="E261" s="687">
        <v>6313</v>
      </c>
      <c r="F261" s="700"/>
      <c r="G261" s="700" t="s">
        <v>1017</v>
      </c>
      <c r="H261" s="705"/>
      <c r="I261" s="705"/>
      <c r="J261" s="703"/>
      <c r="K261" s="703"/>
      <c r="L261" s="703">
        <f>1483+1500</f>
        <v>2983</v>
      </c>
      <c r="M261" s="703">
        <v>1500</v>
      </c>
      <c r="N261" s="703"/>
      <c r="O261" s="703"/>
      <c r="P261" s="695" t="str">
        <f t="shared" si="31"/>
        <v> </v>
      </c>
      <c r="Q261" s="704"/>
      <c r="R261" s="704"/>
      <c r="S261" s="704"/>
      <c r="T261" s="700" t="s">
        <v>936</v>
      </c>
    </row>
    <row r="262" spans="1:20" ht="12.75">
      <c r="A262" s="686">
        <f>A261+1</f>
        <v>241</v>
      </c>
      <c r="B262" s="701" t="s">
        <v>1003</v>
      </c>
      <c r="C262" s="687" t="s">
        <v>678</v>
      </c>
      <c r="D262" s="687">
        <v>30069127</v>
      </c>
      <c r="E262" s="687"/>
      <c r="F262" s="702"/>
      <c r="G262" s="700" t="s">
        <v>1018</v>
      </c>
      <c r="H262" s="687"/>
      <c r="I262" s="687"/>
      <c r="J262" s="703"/>
      <c r="K262" s="703"/>
      <c r="L262" s="703"/>
      <c r="M262" s="703"/>
      <c r="N262" s="703">
        <v>2750</v>
      </c>
      <c r="O262" s="703">
        <v>2750</v>
      </c>
      <c r="P262" s="695">
        <f t="shared" si="31"/>
        <v>1</v>
      </c>
      <c r="Q262" s="704"/>
      <c r="R262" s="704"/>
      <c r="S262" s="704"/>
      <c r="T262" s="700" t="s">
        <v>1009</v>
      </c>
    </row>
    <row r="263" spans="1:20" ht="12.75">
      <c r="A263" s="686"/>
      <c r="B263" s="701"/>
      <c r="C263" s="708" t="s">
        <v>1019</v>
      </c>
      <c r="D263" s="687"/>
      <c r="E263" s="687"/>
      <c r="F263" s="702"/>
      <c r="G263" s="700"/>
      <c r="H263" s="687"/>
      <c r="I263" s="687"/>
      <c r="J263" s="703">
        <f aca="true" t="shared" si="32" ref="J263:O263">SUBTOTAL(9,J258:J262)</f>
        <v>61536</v>
      </c>
      <c r="K263" s="703">
        <f t="shared" si="32"/>
        <v>50149</v>
      </c>
      <c r="L263" s="703">
        <f t="shared" si="32"/>
        <v>4791</v>
      </c>
      <c r="M263" s="703">
        <f t="shared" si="32"/>
        <v>6500</v>
      </c>
      <c r="N263" s="703">
        <f t="shared" si="32"/>
        <v>59294</v>
      </c>
      <c r="O263" s="703">
        <f t="shared" si="32"/>
        <v>55706</v>
      </c>
      <c r="P263" s="695">
        <f t="shared" si="31"/>
        <v>0.939487975174554</v>
      </c>
      <c r="Q263" s="704">
        <f>SUBTOTAL(9,Q258:Q262)</f>
        <v>911</v>
      </c>
      <c r="R263" s="704">
        <f>SUBTOTAL(9,R258:R262)</f>
        <v>3200</v>
      </c>
      <c r="S263" s="704">
        <f>SUBTOTAL(9,S258:S262)</f>
        <v>0</v>
      </c>
      <c r="T263" s="700"/>
    </row>
    <row r="264" spans="1:20" ht="12.75">
      <c r="A264" s="686">
        <f>A262+1</f>
        <v>242</v>
      </c>
      <c r="B264" s="705">
        <v>5600</v>
      </c>
      <c r="C264" s="687" t="s">
        <v>679</v>
      </c>
      <c r="D264" s="687">
        <v>2825</v>
      </c>
      <c r="E264" s="687">
        <v>6121</v>
      </c>
      <c r="F264" s="702"/>
      <c r="G264" s="700" t="s">
        <v>1020</v>
      </c>
      <c r="H264" s="687">
        <v>2014</v>
      </c>
      <c r="I264" s="687">
        <v>2014</v>
      </c>
      <c r="J264" s="703">
        <v>6800</v>
      </c>
      <c r="K264" s="703"/>
      <c r="L264" s="703"/>
      <c r="M264" s="703"/>
      <c r="N264" s="703"/>
      <c r="O264" s="703"/>
      <c r="P264" s="695" t="str">
        <f t="shared" si="31"/>
        <v> </v>
      </c>
      <c r="Q264" s="704">
        <v>6800</v>
      </c>
      <c r="R264" s="704"/>
      <c r="S264" s="704"/>
      <c r="T264" s="700" t="s">
        <v>747</v>
      </c>
    </row>
    <row r="265" spans="1:20" ht="12.75">
      <c r="A265" s="686">
        <f>A264+1</f>
        <v>243</v>
      </c>
      <c r="B265" s="705">
        <v>5600</v>
      </c>
      <c r="C265" s="687" t="s">
        <v>679</v>
      </c>
      <c r="D265" s="687">
        <v>4530</v>
      </c>
      <c r="E265" s="687">
        <v>6121</v>
      </c>
      <c r="F265" s="700"/>
      <c r="G265" s="700" t="s">
        <v>1021</v>
      </c>
      <c r="H265" s="707">
        <v>2001</v>
      </c>
      <c r="I265" s="687">
        <v>2015</v>
      </c>
      <c r="J265" s="703">
        <v>317310</v>
      </c>
      <c r="K265" s="703"/>
      <c r="L265" s="703">
        <f>174746+9870</f>
        <v>184616</v>
      </c>
      <c r="M265" s="703">
        <v>16400</v>
      </c>
      <c r="N265" s="703">
        <v>400</v>
      </c>
      <c r="O265" s="703">
        <v>382</v>
      </c>
      <c r="P265" s="695">
        <f t="shared" si="31"/>
        <v>0.955</v>
      </c>
      <c r="Q265" s="704">
        <v>18000</v>
      </c>
      <c r="R265" s="704">
        <v>114294</v>
      </c>
      <c r="S265" s="704"/>
      <c r="T265" s="700" t="s">
        <v>747</v>
      </c>
    </row>
    <row r="266" spans="1:20" ht="12.75">
      <c r="A266" s="686">
        <f>A265+1</f>
        <v>244</v>
      </c>
      <c r="B266" s="701" t="s">
        <v>300</v>
      </c>
      <c r="C266" s="687" t="s">
        <v>679</v>
      </c>
      <c r="D266" s="687">
        <v>5082</v>
      </c>
      <c r="E266" s="687">
        <v>6121</v>
      </c>
      <c r="F266" s="702" t="s">
        <v>796</v>
      </c>
      <c r="G266" s="700" t="s">
        <v>1022</v>
      </c>
      <c r="H266" s="707">
        <v>2010</v>
      </c>
      <c r="I266" s="687">
        <v>2013</v>
      </c>
      <c r="J266" s="703">
        <v>165000</v>
      </c>
      <c r="K266" s="703">
        <v>42131</v>
      </c>
      <c r="L266" s="703">
        <f>22614+83423</f>
        <v>106037</v>
      </c>
      <c r="M266" s="703">
        <v>48000</v>
      </c>
      <c r="N266" s="703">
        <v>57000</v>
      </c>
      <c r="O266" s="703">
        <v>53830</v>
      </c>
      <c r="P266" s="695">
        <f t="shared" si="31"/>
        <v>0.9443859649122807</v>
      </c>
      <c r="Q266" s="704"/>
      <c r="R266" s="704"/>
      <c r="S266" s="704"/>
      <c r="T266" s="700" t="s">
        <v>747</v>
      </c>
    </row>
    <row r="267" spans="1:20" ht="12.75">
      <c r="A267" s="686"/>
      <c r="B267" s="701"/>
      <c r="C267" s="708" t="s">
        <v>1023</v>
      </c>
      <c r="D267" s="687"/>
      <c r="E267" s="687"/>
      <c r="F267" s="702"/>
      <c r="G267" s="700"/>
      <c r="H267" s="707"/>
      <c r="I267" s="687"/>
      <c r="J267" s="703">
        <f aca="true" t="shared" si="33" ref="J267:O267">SUBTOTAL(9,J264:J266)</f>
        <v>489110</v>
      </c>
      <c r="K267" s="703">
        <f t="shared" si="33"/>
        <v>42131</v>
      </c>
      <c r="L267" s="703">
        <f t="shared" si="33"/>
        <v>290653</v>
      </c>
      <c r="M267" s="703">
        <f t="shared" si="33"/>
        <v>64400</v>
      </c>
      <c r="N267" s="703">
        <f t="shared" si="33"/>
        <v>57400</v>
      </c>
      <c r="O267" s="703">
        <f t="shared" si="33"/>
        <v>54212</v>
      </c>
      <c r="P267" s="695">
        <f t="shared" si="31"/>
        <v>0.9444599303135889</v>
      </c>
      <c r="Q267" s="704">
        <f>SUBTOTAL(9,Q264:Q266)</f>
        <v>24800</v>
      </c>
      <c r="R267" s="704">
        <f>SUBTOTAL(9,R264:R266)</f>
        <v>114294</v>
      </c>
      <c r="S267" s="704">
        <f>SUBTOTAL(9,S264:S266)</f>
        <v>0</v>
      </c>
      <c r="T267" s="700"/>
    </row>
    <row r="268" spans="1:20" ht="12.75">
      <c r="A268" s="686">
        <f>A266+1</f>
        <v>245</v>
      </c>
      <c r="B268" s="701" t="s">
        <v>1003</v>
      </c>
      <c r="C268" s="687" t="s">
        <v>680</v>
      </c>
      <c r="D268" s="687">
        <v>2985</v>
      </c>
      <c r="E268" s="687">
        <v>6127</v>
      </c>
      <c r="F268" s="700"/>
      <c r="G268" s="700" t="s">
        <v>1024</v>
      </c>
      <c r="H268" s="707">
        <v>2010</v>
      </c>
      <c r="I268" s="687">
        <v>2014</v>
      </c>
      <c r="J268" s="703">
        <v>5300</v>
      </c>
      <c r="K268" s="703"/>
      <c r="L268" s="703">
        <f>369+322</f>
        <v>691</v>
      </c>
      <c r="M268" s="703">
        <v>3800</v>
      </c>
      <c r="N268" s="703">
        <v>3800</v>
      </c>
      <c r="O268" s="703">
        <v>256</v>
      </c>
      <c r="P268" s="695">
        <f t="shared" si="31"/>
        <v>0.06736842105263158</v>
      </c>
      <c r="Q268" s="704">
        <v>3543</v>
      </c>
      <c r="R268" s="704"/>
      <c r="S268" s="704"/>
      <c r="T268" s="700" t="s">
        <v>1009</v>
      </c>
    </row>
    <row r="269" spans="1:20" ht="12.75">
      <c r="A269" s="686">
        <f>A268+1</f>
        <v>246</v>
      </c>
      <c r="B269" s="701" t="s">
        <v>1003</v>
      </c>
      <c r="C269" s="687" t="s">
        <v>680</v>
      </c>
      <c r="D269" s="687">
        <v>3242</v>
      </c>
      <c r="E269" s="687">
        <v>6127</v>
      </c>
      <c r="F269" s="700"/>
      <c r="G269" s="700" t="s">
        <v>1025</v>
      </c>
      <c r="H269" s="707">
        <v>2006</v>
      </c>
      <c r="I269" s="707">
        <v>2015</v>
      </c>
      <c r="J269" s="703">
        <v>20000</v>
      </c>
      <c r="K269" s="703"/>
      <c r="L269" s="703">
        <f>4210+1400</f>
        <v>5610</v>
      </c>
      <c r="M269" s="703"/>
      <c r="N269" s="703"/>
      <c r="O269" s="703"/>
      <c r="P269" s="695" t="str">
        <f t="shared" si="31"/>
        <v> </v>
      </c>
      <c r="Q269" s="704">
        <v>300</v>
      </c>
      <c r="R269" s="704">
        <v>14090</v>
      </c>
      <c r="S269" s="704"/>
      <c r="T269" s="700" t="s">
        <v>1009</v>
      </c>
    </row>
    <row r="270" spans="1:20" ht="12.75">
      <c r="A270" s="686">
        <f>A269+1</f>
        <v>247</v>
      </c>
      <c r="B270" s="701" t="s">
        <v>1003</v>
      </c>
      <c r="C270" s="687" t="s">
        <v>680</v>
      </c>
      <c r="D270" s="687">
        <v>300600</v>
      </c>
      <c r="E270" s="687"/>
      <c r="F270" s="700"/>
      <c r="G270" s="700" t="s">
        <v>1026</v>
      </c>
      <c r="H270" s="687"/>
      <c r="I270" s="687"/>
      <c r="J270" s="703"/>
      <c r="K270" s="703"/>
      <c r="L270" s="703">
        <f>145</f>
        <v>145</v>
      </c>
      <c r="M270" s="703"/>
      <c r="N270" s="703">
        <v>300</v>
      </c>
      <c r="O270" s="703">
        <v>167</v>
      </c>
      <c r="P270" s="695">
        <f t="shared" si="31"/>
        <v>0.5566666666666666</v>
      </c>
      <c r="Q270" s="704"/>
      <c r="R270" s="704"/>
      <c r="S270" s="704"/>
      <c r="T270" s="700" t="s">
        <v>1009</v>
      </c>
    </row>
    <row r="271" spans="1:20" ht="12.75">
      <c r="A271" s="686"/>
      <c r="B271" s="701"/>
      <c r="C271" s="708" t="s">
        <v>1027</v>
      </c>
      <c r="D271" s="687"/>
      <c r="E271" s="687"/>
      <c r="F271" s="700"/>
      <c r="G271" s="700"/>
      <c r="H271" s="687"/>
      <c r="I271" s="687"/>
      <c r="J271" s="703">
        <f aca="true" t="shared" si="34" ref="J271:O271">SUBTOTAL(9,J268:J270)</f>
        <v>25300</v>
      </c>
      <c r="K271" s="703">
        <f t="shared" si="34"/>
        <v>0</v>
      </c>
      <c r="L271" s="703">
        <f t="shared" si="34"/>
        <v>6446</v>
      </c>
      <c r="M271" s="703">
        <f t="shared" si="34"/>
        <v>3800</v>
      </c>
      <c r="N271" s="703">
        <f t="shared" si="34"/>
        <v>4100</v>
      </c>
      <c r="O271" s="703">
        <f t="shared" si="34"/>
        <v>423</v>
      </c>
      <c r="P271" s="695">
        <f t="shared" si="31"/>
        <v>0.10317073170731707</v>
      </c>
      <c r="Q271" s="704">
        <f>SUBTOTAL(9,Q268:Q270)</f>
        <v>3843</v>
      </c>
      <c r="R271" s="704">
        <f>SUBTOTAL(9,R268:R270)</f>
        <v>14090</v>
      </c>
      <c r="S271" s="704">
        <f>SUBTOTAL(9,S268:S270)</f>
        <v>0</v>
      </c>
      <c r="T271" s="700"/>
    </row>
    <row r="272" spans="1:20" ht="12.75">
      <c r="A272" s="686">
        <f>A270+1</f>
        <v>248</v>
      </c>
      <c r="B272" s="701" t="s">
        <v>300</v>
      </c>
      <c r="C272" s="687" t="s">
        <v>682</v>
      </c>
      <c r="D272" s="687">
        <v>2886</v>
      </c>
      <c r="E272" s="687">
        <v>6121</v>
      </c>
      <c r="F272" s="702"/>
      <c r="G272" s="700" t="s">
        <v>1028</v>
      </c>
      <c r="H272" s="687">
        <v>2013</v>
      </c>
      <c r="I272" s="687">
        <v>2013</v>
      </c>
      <c r="J272" s="703">
        <v>9000</v>
      </c>
      <c r="K272" s="703"/>
      <c r="L272" s="703"/>
      <c r="M272" s="703">
        <v>9000</v>
      </c>
      <c r="N272" s="703">
        <v>500</v>
      </c>
      <c r="O272" s="703"/>
      <c r="P272" s="695">
        <f t="shared" si="31"/>
        <v>0</v>
      </c>
      <c r="Q272" s="704">
        <v>4500</v>
      </c>
      <c r="R272" s="704"/>
      <c r="S272" s="704"/>
      <c r="T272" s="700" t="s">
        <v>747</v>
      </c>
    </row>
    <row r="273" spans="1:20" ht="12.75">
      <c r="A273" s="686">
        <f>A272+1</f>
        <v>249</v>
      </c>
      <c r="B273" s="701" t="s">
        <v>300</v>
      </c>
      <c r="C273" s="687" t="s">
        <v>682</v>
      </c>
      <c r="D273" s="687">
        <v>5041</v>
      </c>
      <c r="E273" s="687">
        <v>6121</v>
      </c>
      <c r="F273" s="702" t="s">
        <v>796</v>
      </c>
      <c r="G273" s="700" t="s">
        <v>1029</v>
      </c>
      <c r="H273" s="707">
        <v>2009</v>
      </c>
      <c r="I273" s="687">
        <v>2013</v>
      </c>
      <c r="J273" s="703">
        <v>16500</v>
      </c>
      <c r="K273" s="703">
        <v>12584</v>
      </c>
      <c r="L273" s="703">
        <f>860+168+24</f>
        <v>1052</v>
      </c>
      <c r="M273" s="703">
        <v>300</v>
      </c>
      <c r="N273" s="703">
        <v>300</v>
      </c>
      <c r="O273" s="703">
        <v>1</v>
      </c>
      <c r="P273" s="695">
        <f t="shared" si="31"/>
        <v>0.0033333333333333335</v>
      </c>
      <c r="Q273" s="704">
        <v>10000</v>
      </c>
      <c r="R273" s="704"/>
      <c r="S273" s="704"/>
      <c r="T273" s="700" t="s">
        <v>747</v>
      </c>
    </row>
    <row r="274" spans="1:20" ht="12.75">
      <c r="A274" s="686">
        <f>A273+1</f>
        <v>250</v>
      </c>
      <c r="B274" s="701" t="s">
        <v>300</v>
      </c>
      <c r="C274" s="687" t="s">
        <v>682</v>
      </c>
      <c r="D274" s="687">
        <v>5102</v>
      </c>
      <c r="E274" s="687">
        <v>6121</v>
      </c>
      <c r="F274" s="702" t="s">
        <v>796</v>
      </c>
      <c r="G274" s="700" t="s">
        <v>1030</v>
      </c>
      <c r="H274" s="707">
        <v>2010</v>
      </c>
      <c r="I274" s="687">
        <v>2013</v>
      </c>
      <c r="J274" s="703">
        <v>69000</v>
      </c>
      <c r="K274" s="703">
        <v>19809</v>
      </c>
      <c r="L274" s="703">
        <f>740+742</f>
        <v>1482</v>
      </c>
      <c r="M274" s="703">
        <v>9000</v>
      </c>
      <c r="N274" s="703">
        <v>64800</v>
      </c>
      <c r="O274" s="703">
        <v>64793</v>
      </c>
      <c r="P274" s="695">
        <f t="shared" si="31"/>
        <v>0.9998919753086419</v>
      </c>
      <c r="Q274" s="704">
        <v>1000</v>
      </c>
      <c r="R274" s="704"/>
      <c r="S274" s="704"/>
      <c r="T274" s="700" t="s">
        <v>747</v>
      </c>
    </row>
    <row r="275" spans="1:20" ht="12.75">
      <c r="A275" s="686">
        <f>A274+1</f>
        <v>251</v>
      </c>
      <c r="B275" s="701" t="s">
        <v>300</v>
      </c>
      <c r="C275" s="687" t="s">
        <v>682</v>
      </c>
      <c r="D275" s="687">
        <v>5121</v>
      </c>
      <c r="E275" s="687">
        <v>6121</v>
      </c>
      <c r="F275" s="702" t="s">
        <v>796</v>
      </c>
      <c r="G275" s="700" t="s">
        <v>1031</v>
      </c>
      <c r="H275" s="687">
        <v>2013</v>
      </c>
      <c r="I275" s="687">
        <v>2015</v>
      </c>
      <c r="J275" s="703">
        <v>40000</v>
      </c>
      <c r="K275" s="703">
        <v>32980</v>
      </c>
      <c r="L275" s="703"/>
      <c r="M275" s="703">
        <v>1000</v>
      </c>
      <c r="N275" s="703">
        <v>1000</v>
      </c>
      <c r="O275" s="703">
        <v>257</v>
      </c>
      <c r="P275" s="695">
        <f t="shared" si="31"/>
        <v>0.257</v>
      </c>
      <c r="Q275" s="704">
        <v>1000</v>
      </c>
      <c r="R275" s="704"/>
      <c r="S275" s="704"/>
      <c r="T275" s="700" t="s">
        <v>747</v>
      </c>
    </row>
    <row r="276" spans="1:20" ht="12.75">
      <c r="A276" s="686"/>
      <c r="B276" s="701"/>
      <c r="C276" s="708" t="s">
        <v>1032</v>
      </c>
      <c r="D276" s="687"/>
      <c r="E276" s="687"/>
      <c r="F276" s="702"/>
      <c r="G276" s="700"/>
      <c r="H276" s="687"/>
      <c r="I276" s="687"/>
      <c r="J276" s="703">
        <f aca="true" t="shared" si="35" ref="J276:O276">SUBTOTAL(9,J272:J275)</f>
        <v>134500</v>
      </c>
      <c r="K276" s="703">
        <f t="shared" si="35"/>
        <v>65373</v>
      </c>
      <c r="L276" s="703">
        <f t="shared" si="35"/>
        <v>2534</v>
      </c>
      <c r="M276" s="703">
        <f t="shared" si="35"/>
        <v>19300</v>
      </c>
      <c r="N276" s="703">
        <f t="shared" si="35"/>
        <v>66600</v>
      </c>
      <c r="O276" s="703">
        <f t="shared" si="35"/>
        <v>65051</v>
      </c>
      <c r="P276" s="695">
        <f t="shared" si="31"/>
        <v>0.9767417417417418</v>
      </c>
      <c r="Q276" s="704">
        <f>SUBTOTAL(9,Q272:Q275)</f>
        <v>16500</v>
      </c>
      <c r="R276" s="704">
        <f>SUBTOTAL(9,R272:R275)</f>
        <v>0</v>
      </c>
      <c r="S276" s="704">
        <f>SUBTOTAL(9,S272:S275)</f>
        <v>0</v>
      </c>
      <c r="T276" s="700"/>
    </row>
    <row r="277" spans="1:20" ht="12.75">
      <c r="A277" s="686">
        <f>A275+1</f>
        <v>252</v>
      </c>
      <c r="B277" s="701" t="s">
        <v>981</v>
      </c>
      <c r="C277" s="687" t="s">
        <v>683</v>
      </c>
      <c r="D277" s="687">
        <v>3265</v>
      </c>
      <c r="E277" s="687">
        <v>6121</v>
      </c>
      <c r="F277" s="702"/>
      <c r="G277" s="700" t="s">
        <v>1033</v>
      </c>
      <c r="H277" s="687"/>
      <c r="I277" s="687"/>
      <c r="J277" s="703"/>
      <c r="K277" s="703"/>
      <c r="L277" s="703"/>
      <c r="M277" s="703">
        <v>180</v>
      </c>
      <c r="N277" s="703"/>
      <c r="O277" s="703"/>
      <c r="P277" s="695" t="str">
        <f t="shared" si="31"/>
        <v> </v>
      </c>
      <c r="Q277" s="704"/>
      <c r="R277" s="704"/>
      <c r="S277" s="704"/>
      <c r="T277" s="700" t="s">
        <v>1034</v>
      </c>
    </row>
    <row r="278" spans="1:20" ht="12.75">
      <c r="A278" s="686">
        <f>A277+1</f>
        <v>253</v>
      </c>
      <c r="B278" s="701" t="s">
        <v>300</v>
      </c>
      <c r="C278" s="687" t="s">
        <v>683</v>
      </c>
      <c r="D278" s="687">
        <v>3433</v>
      </c>
      <c r="E278" s="687">
        <v>6121</v>
      </c>
      <c r="F278" s="700"/>
      <c r="G278" s="700" t="s">
        <v>1035</v>
      </c>
      <c r="H278" s="707">
        <v>2003</v>
      </c>
      <c r="I278" s="687">
        <v>2016</v>
      </c>
      <c r="J278" s="703">
        <v>1977550</v>
      </c>
      <c r="K278" s="703"/>
      <c r="L278" s="703">
        <v>24177</v>
      </c>
      <c r="M278" s="703"/>
      <c r="N278" s="703"/>
      <c r="O278" s="703"/>
      <c r="P278" s="695" t="str">
        <f t="shared" si="31"/>
        <v> </v>
      </c>
      <c r="Q278" s="704"/>
      <c r="R278" s="704"/>
      <c r="S278" s="704"/>
      <c r="T278" s="700" t="s">
        <v>747</v>
      </c>
    </row>
    <row r="279" spans="1:20" ht="12.75">
      <c r="A279" s="686">
        <f>A278+1</f>
        <v>254</v>
      </c>
      <c r="B279" s="701" t="s">
        <v>981</v>
      </c>
      <c r="C279" s="687" t="s">
        <v>683</v>
      </c>
      <c r="D279" s="687">
        <v>300700</v>
      </c>
      <c r="E279" s="687">
        <v>6122</v>
      </c>
      <c r="F279" s="702"/>
      <c r="G279" s="700" t="s">
        <v>1036</v>
      </c>
      <c r="H279" s="687"/>
      <c r="I279" s="687"/>
      <c r="J279" s="703"/>
      <c r="K279" s="703"/>
      <c r="L279" s="703">
        <f>2144</f>
        <v>2144</v>
      </c>
      <c r="M279" s="703"/>
      <c r="N279" s="703">
        <v>603</v>
      </c>
      <c r="O279" s="703">
        <v>603</v>
      </c>
      <c r="P279" s="695">
        <f t="shared" si="31"/>
        <v>1</v>
      </c>
      <c r="Q279" s="704"/>
      <c r="R279" s="704"/>
      <c r="S279" s="704"/>
      <c r="T279" s="700" t="s">
        <v>989</v>
      </c>
    </row>
    <row r="280" spans="1:20" ht="12.75">
      <c r="A280" s="686">
        <f>A279+1</f>
        <v>255</v>
      </c>
      <c r="B280" s="701" t="s">
        <v>981</v>
      </c>
      <c r="C280" s="687" t="s">
        <v>683</v>
      </c>
      <c r="D280" s="687">
        <v>300799</v>
      </c>
      <c r="E280" s="687">
        <v>6322</v>
      </c>
      <c r="F280" s="700"/>
      <c r="G280" s="700" t="s">
        <v>1037</v>
      </c>
      <c r="H280" s="687"/>
      <c r="I280" s="687"/>
      <c r="J280" s="703"/>
      <c r="K280" s="703"/>
      <c r="L280" s="703">
        <f>160+470+2991</f>
        <v>3621</v>
      </c>
      <c r="M280" s="703"/>
      <c r="N280" s="703">
        <v>2190</v>
      </c>
      <c r="O280" s="703">
        <v>2190</v>
      </c>
      <c r="P280" s="695">
        <f t="shared" si="31"/>
        <v>1</v>
      </c>
      <c r="Q280" s="704"/>
      <c r="R280" s="704"/>
      <c r="S280" s="704"/>
      <c r="T280" s="700" t="s">
        <v>989</v>
      </c>
    </row>
    <row r="281" spans="1:20" ht="12.75">
      <c r="A281" s="686"/>
      <c r="B281" s="701"/>
      <c r="C281" s="708" t="s">
        <v>1038</v>
      </c>
      <c r="D281" s="687"/>
      <c r="E281" s="687"/>
      <c r="F281" s="700"/>
      <c r="G281" s="700"/>
      <c r="H281" s="687"/>
      <c r="I281" s="687"/>
      <c r="J281" s="703">
        <f aca="true" t="shared" si="36" ref="J281:O281">SUBTOTAL(9,J277:J280)</f>
        <v>1977550</v>
      </c>
      <c r="K281" s="703">
        <f t="shared" si="36"/>
        <v>0</v>
      </c>
      <c r="L281" s="703">
        <f t="shared" si="36"/>
        <v>29942</v>
      </c>
      <c r="M281" s="703">
        <f t="shared" si="36"/>
        <v>180</v>
      </c>
      <c r="N281" s="703">
        <f t="shared" si="36"/>
        <v>2793</v>
      </c>
      <c r="O281" s="703">
        <f t="shared" si="36"/>
        <v>2793</v>
      </c>
      <c r="P281" s="695">
        <f t="shared" si="31"/>
        <v>1</v>
      </c>
      <c r="Q281" s="704">
        <f>SUBTOTAL(9,Q277:Q280)</f>
        <v>0</v>
      </c>
      <c r="R281" s="704">
        <f>SUBTOTAL(9,R277:R280)</f>
        <v>0</v>
      </c>
      <c r="S281" s="704">
        <f>SUBTOTAL(9,S277:S280)</f>
        <v>0</v>
      </c>
      <c r="T281" s="700"/>
    </row>
    <row r="282" spans="1:20" ht="12.75">
      <c r="A282" s="686">
        <f>A280+1</f>
        <v>256</v>
      </c>
      <c r="B282" s="701" t="s">
        <v>300</v>
      </c>
      <c r="C282" s="687" t="s">
        <v>684</v>
      </c>
      <c r="D282" s="687">
        <v>5042</v>
      </c>
      <c r="E282" s="687">
        <v>6121</v>
      </c>
      <c r="F282" s="702" t="s">
        <v>796</v>
      </c>
      <c r="G282" s="700" t="s">
        <v>1039</v>
      </c>
      <c r="H282" s="707">
        <v>2009</v>
      </c>
      <c r="I282" s="707">
        <v>2013</v>
      </c>
      <c r="J282" s="703">
        <v>101500</v>
      </c>
      <c r="K282" s="703">
        <v>81000</v>
      </c>
      <c r="L282" s="703">
        <f>1+2173</f>
        <v>2174</v>
      </c>
      <c r="M282" s="703">
        <v>2100</v>
      </c>
      <c r="N282" s="703">
        <v>2340</v>
      </c>
      <c r="O282" s="703">
        <v>2336</v>
      </c>
      <c r="P282" s="695">
        <f t="shared" si="31"/>
        <v>0.9982905982905983</v>
      </c>
      <c r="Q282" s="704">
        <v>95049</v>
      </c>
      <c r="R282" s="704"/>
      <c r="S282" s="704"/>
      <c r="T282" s="700" t="s">
        <v>747</v>
      </c>
    </row>
    <row r="283" spans="1:20" ht="12.75">
      <c r="A283" s="686">
        <f>A282+1</f>
        <v>257</v>
      </c>
      <c r="B283" s="701" t="s">
        <v>300</v>
      </c>
      <c r="C283" s="687" t="s">
        <v>684</v>
      </c>
      <c r="D283" s="687">
        <v>5055</v>
      </c>
      <c r="E283" s="687">
        <v>6121</v>
      </c>
      <c r="F283" s="702" t="s">
        <v>796</v>
      </c>
      <c r="G283" s="700" t="s">
        <v>1040</v>
      </c>
      <c r="H283" s="707">
        <v>2009</v>
      </c>
      <c r="I283" s="687">
        <v>2013</v>
      </c>
      <c r="J283" s="703">
        <v>3900</v>
      </c>
      <c r="K283" s="703">
        <v>3480</v>
      </c>
      <c r="L283" s="703">
        <v>218</v>
      </c>
      <c r="M283" s="703">
        <v>3600</v>
      </c>
      <c r="N283" s="703">
        <v>3600</v>
      </c>
      <c r="O283" s="703">
        <v>3475</v>
      </c>
      <c r="P283" s="695">
        <f t="shared" si="31"/>
        <v>0.9652777777777778</v>
      </c>
      <c r="Q283" s="704">
        <v>50</v>
      </c>
      <c r="R283" s="704"/>
      <c r="S283" s="704"/>
      <c r="T283" s="700" t="s">
        <v>747</v>
      </c>
    </row>
    <row r="284" spans="1:20" ht="12.75">
      <c r="A284" s="686">
        <f>A283+1</f>
        <v>258</v>
      </c>
      <c r="B284" s="701" t="s">
        <v>954</v>
      </c>
      <c r="C284" s="687" t="s">
        <v>684</v>
      </c>
      <c r="D284" s="687">
        <v>5157</v>
      </c>
      <c r="E284" s="687">
        <v>6121</v>
      </c>
      <c r="F284" s="702" t="s">
        <v>796</v>
      </c>
      <c r="G284" s="700" t="s">
        <v>1041</v>
      </c>
      <c r="H284" s="687">
        <v>2012</v>
      </c>
      <c r="I284" s="687">
        <v>2014</v>
      </c>
      <c r="J284" s="703">
        <v>6700</v>
      </c>
      <c r="K284" s="703">
        <v>2300</v>
      </c>
      <c r="L284" s="703"/>
      <c r="M284" s="703">
        <v>200</v>
      </c>
      <c r="N284" s="703">
        <v>214</v>
      </c>
      <c r="O284" s="703">
        <v>124</v>
      </c>
      <c r="P284" s="695">
        <f t="shared" si="31"/>
        <v>0.5794392523364486</v>
      </c>
      <c r="Q284" s="704">
        <v>3000</v>
      </c>
      <c r="R284" s="704"/>
      <c r="S284" s="704"/>
      <c r="T284" s="700" t="s">
        <v>956</v>
      </c>
    </row>
    <row r="285" spans="1:20" ht="12.75">
      <c r="A285" s="686">
        <f>A284+1</f>
        <v>259</v>
      </c>
      <c r="B285" s="701" t="s">
        <v>300</v>
      </c>
      <c r="C285" s="687" t="s">
        <v>684</v>
      </c>
      <c r="D285" s="687">
        <v>5179</v>
      </c>
      <c r="E285" s="687"/>
      <c r="F285" s="702" t="s">
        <v>796</v>
      </c>
      <c r="G285" s="700" t="s">
        <v>1042</v>
      </c>
      <c r="H285" s="687">
        <v>2013</v>
      </c>
      <c r="I285" s="687">
        <v>2015</v>
      </c>
      <c r="J285" s="703">
        <v>30139</v>
      </c>
      <c r="K285" s="703">
        <v>24800</v>
      </c>
      <c r="L285" s="703"/>
      <c r="M285" s="703"/>
      <c r="N285" s="703">
        <v>500</v>
      </c>
      <c r="O285" s="703">
        <v>19</v>
      </c>
      <c r="P285" s="695">
        <f t="shared" si="31"/>
        <v>0.038</v>
      </c>
      <c r="Q285" s="704">
        <v>3000</v>
      </c>
      <c r="R285" s="704"/>
      <c r="S285" s="704"/>
      <c r="T285" s="700" t="s">
        <v>747</v>
      </c>
    </row>
    <row r="286" spans="1:20" ht="12.75">
      <c r="A286" s="686">
        <f>A285+1</f>
        <v>260</v>
      </c>
      <c r="B286" s="701" t="s">
        <v>300</v>
      </c>
      <c r="C286" s="687" t="s">
        <v>684</v>
      </c>
      <c r="D286" s="687">
        <v>5180</v>
      </c>
      <c r="E286" s="687"/>
      <c r="F286" s="702" t="s">
        <v>796</v>
      </c>
      <c r="G286" s="700" t="s">
        <v>1043</v>
      </c>
      <c r="H286" s="687">
        <v>2013</v>
      </c>
      <c r="I286" s="687">
        <v>2015</v>
      </c>
      <c r="J286" s="703">
        <v>6164</v>
      </c>
      <c r="K286" s="703">
        <v>5072</v>
      </c>
      <c r="L286" s="703"/>
      <c r="M286" s="703"/>
      <c r="N286" s="703">
        <v>500</v>
      </c>
      <c r="O286" s="703">
        <v>19</v>
      </c>
      <c r="P286" s="695">
        <f t="shared" si="31"/>
        <v>0.038</v>
      </c>
      <c r="Q286" s="704">
        <v>3000</v>
      </c>
      <c r="R286" s="704"/>
      <c r="S286" s="704"/>
      <c r="T286" s="700" t="s">
        <v>747</v>
      </c>
    </row>
    <row r="287" spans="1:20" ht="25.5">
      <c r="A287" s="686">
        <f>A286+1</f>
        <v>261</v>
      </c>
      <c r="B287" s="701" t="s">
        <v>300</v>
      </c>
      <c r="C287" s="687" t="s">
        <v>684</v>
      </c>
      <c r="D287" s="687">
        <v>5181</v>
      </c>
      <c r="E287" s="687"/>
      <c r="F287" s="702" t="s">
        <v>796</v>
      </c>
      <c r="G287" s="712" t="s">
        <v>1044</v>
      </c>
      <c r="H287" s="687">
        <v>2013</v>
      </c>
      <c r="I287" s="687">
        <v>2015</v>
      </c>
      <c r="J287" s="703">
        <v>6743</v>
      </c>
      <c r="K287" s="703">
        <v>5548</v>
      </c>
      <c r="L287" s="703"/>
      <c r="M287" s="703"/>
      <c r="N287" s="703">
        <v>500</v>
      </c>
      <c r="O287" s="703">
        <v>5</v>
      </c>
      <c r="P287" s="695">
        <f t="shared" si="31"/>
        <v>0.01</v>
      </c>
      <c r="Q287" s="704">
        <v>3000</v>
      </c>
      <c r="R287" s="704"/>
      <c r="S287" s="704"/>
      <c r="T287" s="700" t="s">
        <v>747</v>
      </c>
    </row>
    <row r="288" spans="1:20" ht="12.75">
      <c r="A288" s="686"/>
      <c r="B288" s="701"/>
      <c r="C288" s="708" t="s">
        <v>1045</v>
      </c>
      <c r="D288" s="687"/>
      <c r="E288" s="687"/>
      <c r="F288" s="702"/>
      <c r="G288" s="712"/>
      <c r="H288" s="687"/>
      <c r="I288" s="687"/>
      <c r="J288" s="703">
        <f aca="true" t="shared" si="37" ref="J288:O288">SUBTOTAL(9,J282:J287)</f>
        <v>155146</v>
      </c>
      <c r="K288" s="703">
        <f t="shared" si="37"/>
        <v>122200</v>
      </c>
      <c r="L288" s="703">
        <f t="shared" si="37"/>
        <v>2392</v>
      </c>
      <c r="M288" s="703">
        <f t="shared" si="37"/>
        <v>5900</v>
      </c>
      <c r="N288" s="703">
        <f t="shared" si="37"/>
        <v>7654</v>
      </c>
      <c r="O288" s="703">
        <f t="shared" si="37"/>
        <v>5978</v>
      </c>
      <c r="P288" s="695">
        <f t="shared" si="31"/>
        <v>0.7810295270446825</v>
      </c>
      <c r="Q288" s="704">
        <f>SUBTOTAL(9,Q282:Q287)</f>
        <v>107099</v>
      </c>
      <c r="R288" s="704">
        <f>SUBTOTAL(9,R282:R287)</f>
        <v>0</v>
      </c>
      <c r="S288" s="704">
        <f>SUBTOTAL(9,S282:S287)</f>
        <v>0</v>
      </c>
      <c r="T288" s="700"/>
    </row>
    <row r="289" spans="1:20" ht="12.75">
      <c r="A289" s="686">
        <f>A287+1</f>
        <v>262</v>
      </c>
      <c r="B289" s="701" t="s">
        <v>300</v>
      </c>
      <c r="C289" s="687" t="s">
        <v>685</v>
      </c>
      <c r="D289" s="687">
        <v>2824</v>
      </c>
      <c r="E289" s="687">
        <v>6121</v>
      </c>
      <c r="F289" s="700"/>
      <c r="G289" s="700" t="s">
        <v>1046</v>
      </c>
      <c r="H289" s="687">
        <v>2014</v>
      </c>
      <c r="I289" s="687">
        <v>2014</v>
      </c>
      <c r="J289" s="703">
        <v>40000</v>
      </c>
      <c r="K289" s="703"/>
      <c r="L289" s="703"/>
      <c r="M289" s="703"/>
      <c r="N289" s="703"/>
      <c r="O289" s="703"/>
      <c r="P289" s="695" t="str">
        <f t="shared" si="31"/>
        <v> </v>
      </c>
      <c r="Q289" s="704">
        <v>35000</v>
      </c>
      <c r="R289" s="704"/>
      <c r="S289" s="704"/>
      <c r="T289" s="700" t="s">
        <v>1034</v>
      </c>
    </row>
    <row r="290" spans="1:20" ht="12.75">
      <c r="A290" s="686">
        <f>A289+1</f>
        <v>263</v>
      </c>
      <c r="B290" s="701" t="s">
        <v>300</v>
      </c>
      <c r="C290" s="687" t="s">
        <v>685</v>
      </c>
      <c r="D290" s="687">
        <v>2824</v>
      </c>
      <c r="E290" s="687">
        <v>6121</v>
      </c>
      <c r="F290" s="700">
        <v>41</v>
      </c>
      <c r="G290" s="700" t="s">
        <v>1046</v>
      </c>
      <c r="H290" s="687"/>
      <c r="I290" s="687"/>
      <c r="J290" s="703"/>
      <c r="K290" s="703"/>
      <c r="L290" s="703"/>
      <c r="M290" s="703"/>
      <c r="N290" s="703"/>
      <c r="O290" s="703"/>
      <c r="P290" s="695" t="str">
        <f t="shared" si="31"/>
        <v> </v>
      </c>
      <c r="Q290" s="704">
        <v>5000</v>
      </c>
      <c r="R290" s="704"/>
      <c r="S290" s="704"/>
      <c r="T290" s="700" t="s">
        <v>1034</v>
      </c>
    </row>
    <row r="291" spans="1:20" ht="12.75">
      <c r="A291" s="686">
        <f>A290+1</f>
        <v>264</v>
      </c>
      <c r="B291" s="701" t="s">
        <v>954</v>
      </c>
      <c r="C291" s="687" t="s">
        <v>685</v>
      </c>
      <c r="D291" s="687">
        <v>5144</v>
      </c>
      <c r="E291" s="687">
        <v>6121</v>
      </c>
      <c r="F291" s="702" t="s">
        <v>796</v>
      </c>
      <c r="G291" s="700" t="s">
        <v>1047</v>
      </c>
      <c r="H291" s="707">
        <v>2012</v>
      </c>
      <c r="I291" s="707">
        <v>2014</v>
      </c>
      <c r="J291" s="703">
        <v>14080</v>
      </c>
      <c r="K291" s="703">
        <v>9899</v>
      </c>
      <c r="L291" s="703">
        <f>132</f>
        <v>132</v>
      </c>
      <c r="M291" s="703">
        <v>1000</v>
      </c>
      <c r="N291" s="703">
        <v>1200</v>
      </c>
      <c r="O291" s="703">
        <v>593</v>
      </c>
      <c r="P291" s="695">
        <f t="shared" si="31"/>
        <v>0.49416666666666664</v>
      </c>
      <c r="Q291" s="704">
        <v>5000</v>
      </c>
      <c r="R291" s="704"/>
      <c r="S291" s="704"/>
      <c r="T291" s="700" t="s">
        <v>956</v>
      </c>
    </row>
    <row r="292" spans="1:20" ht="12.75">
      <c r="A292" s="686">
        <f>A291+1</f>
        <v>265</v>
      </c>
      <c r="B292" s="701" t="s">
        <v>300</v>
      </c>
      <c r="C292" s="687" t="s">
        <v>685</v>
      </c>
      <c r="D292" s="687">
        <v>5182</v>
      </c>
      <c r="E292" s="687"/>
      <c r="F292" s="702" t="s">
        <v>796</v>
      </c>
      <c r="G292" s="700" t="s">
        <v>1048</v>
      </c>
      <c r="H292" s="707">
        <v>2013</v>
      </c>
      <c r="I292" s="707">
        <v>2015</v>
      </c>
      <c r="J292" s="703">
        <v>11495</v>
      </c>
      <c r="K292" s="703">
        <v>9459</v>
      </c>
      <c r="L292" s="703"/>
      <c r="M292" s="703"/>
      <c r="N292" s="703">
        <v>500</v>
      </c>
      <c r="O292" s="703"/>
      <c r="P292" s="695">
        <f t="shared" si="31"/>
        <v>0</v>
      </c>
      <c r="Q292" s="704">
        <v>3000</v>
      </c>
      <c r="R292" s="704"/>
      <c r="S292" s="704"/>
      <c r="T292" s="700" t="s">
        <v>747</v>
      </c>
    </row>
    <row r="293" spans="1:20" ht="12.75">
      <c r="A293" s="686"/>
      <c r="B293" s="701"/>
      <c r="C293" s="708" t="s">
        <v>1049</v>
      </c>
      <c r="D293" s="687"/>
      <c r="E293" s="687"/>
      <c r="F293" s="702"/>
      <c r="G293" s="700"/>
      <c r="H293" s="707"/>
      <c r="I293" s="707"/>
      <c r="J293" s="703">
        <f aca="true" t="shared" si="38" ref="J293:O293">SUBTOTAL(9,J289:J292)</f>
        <v>65575</v>
      </c>
      <c r="K293" s="703">
        <f t="shared" si="38"/>
        <v>19358</v>
      </c>
      <c r="L293" s="703">
        <f t="shared" si="38"/>
        <v>132</v>
      </c>
      <c r="M293" s="703">
        <f t="shared" si="38"/>
        <v>1000</v>
      </c>
      <c r="N293" s="703">
        <f t="shared" si="38"/>
        <v>1700</v>
      </c>
      <c r="O293" s="703">
        <f t="shared" si="38"/>
        <v>593</v>
      </c>
      <c r="P293" s="695">
        <f t="shared" si="31"/>
        <v>0.3488235294117647</v>
      </c>
      <c r="Q293" s="704">
        <f>SUBTOTAL(9,Q289:Q292)</f>
        <v>48000</v>
      </c>
      <c r="R293" s="704">
        <f>SUBTOTAL(9,R289:R292)</f>
        <v>0</v>
      </c>
      <c r="S293" s="704">
        <f>SUBTOTAL(9,S289:S292)</f>
        <v>0</v>
      </c>
      <c r="T293" s="700"/>
    </row>
    <row r="294" spans="1:20" ht="12.75">
      <c r="A294" s="686">
        <f>A292+1</f>
        <v>266</v>
      </c>
      <c r="B294" s="701" t="s">
        <v>300</v>
      </c>
      <c r="C294" s="687" t="s">
        <v>687</v>
      </c>
      <c r="D294" s="687">
        <v>3075</v>
      </c>
      <c r="E294" s="687">
        <v>6121</v>
      </c>
      <c r="F294" s="700"/>
      <c r="G294" s="700" t="s">
        <v>1050</v>
      </c>
      <c r="H294" s="707">
        <v>2009</v>
      </c>
      <c r="I294" s="687">
        <v>2016</v>
      </c>
      <c r="J294" s="703">
        <v>98900</v>
      </c>
      <c r="K294" s="703"/>
      <c r="L294" s="703">
        <f>2203+2685</f>
        <v>4888</v>
      </c>
      <c r="M294" s="703">
        <v>3515</v>
      </c>
      <c r="N294" s="703">
        <v>1000</v>
      </c>
      <c r="O294" s="703">
        <v>97</v>
      </c>
      <c r="P294" s="695">
        <f t="shared" si="31"/>
        <v>0.097</v>
      </c>
      <c r="Q294" s="704">
        <v>26891</v>
      </c>
      <c r="R294" s="704">
        <v>33061</v>
      </c>
      <c r="S294" s="704">
        <v>33060</v>
      </c>
      <c r="T294" s="700" t="s">
        <v>747</v>
      </c>
    </row>
    <row r="295" spans="1:20" ht="12.75">
      <c r="A295" s="686">
        <f>A294+1</f>
        <v>267</v>
      </c>
      <c r="B295" s="701" t="s">
        <v>300</v>
      </c>
      <c r="C295" s="687" t="s">
        <v>687</v>
      </c>
      <c r="D295" s="687">
        <v>3439</v>
      </c>
      <c r="E295" s="687">
        <v>6121</v>
      </c>
      <c r="F295" s="700"/>
      <c r="G295" s="700" t="s">
        <v>1051</v>
      </c>
      <c r="H295" s="707">
        <v>2004</v>
      </c>
      <c r="I295" s="707">
        <v>2015</v>
      </c>
      <c r="J295" s="703">
        <v>61774</v>
      </c>
      <c r="K295" s="703"/>
      <c r="L295" s="703">
        <v>9388</v>
      </c>
      <c r="M295" s="703"/>
      <c r="N295" s="703"/>
      <c r="O295" s="703"/>
      <c r="P295" s="695" t="str">
        <f t="shared" si="31"/>
        <v> </v>
      </c>
      <c r="Q295" s="704"/>
      <c r="R295" s="704">
        <v>52386</v>
      </c>
      <c r="S295" s="704"/>
      <c r="T295" s="700" t="s">
        <v>747</v>
      </c>
    </row>
    <row r="296" spans="1:20" ht="12.75">
      <c r="A296" s="686"/>
      <c r="B296" s="701"/>
      <c r="C296" s="708" t="s">
        <v>1052</v>
      </c>
      <c r="D296" s="687"/>
      <c r="E296" s="687"/>
      <c r="F296" s="700"/>
      <c r="G296" s="700"/>
      <c r="H296" s="707"/>
      <c r="I296" s="707"/>
      <c r="J296" s="703">
        <f aca="true" t="shared" si="39" ref="J296:O296">SUBTOTAL(9,J294:J295)</f>
        <v>160674</v>
      </c>
      <c r="K296" s="703">
        <f t="shared" si="39"/>
        <v>0</v>
      </c>
      <c r="L296" s="703">
        <f t="shared" si="39"/>
        <v>14276</v>
      </c>
      <c r="M296" s="703">
        <f t="shared" si="39"/>
        <v>3515</v>
      </c>
      <c r="N296" s="703">
        <f t="shared" si="39"/>
        <v>1000</v>
      </c>
      <c r="O296" s="703">
        <f t="shared" si="39"/>
        <v>97</v>
      </c>
      <c r="P296" s="695">
        <f t="shared" si="31"/>
        <v>0.097</v>
      </c>
      <c r="Q296" s="704">
        <f>SUBTOTAL(9,Q294:Q295)</f>
        <v>26891</v>
      </c>
      <c r="R296" s="704">
        <f>SUBTOTAL(9,R294:R295)</f>
        <v>85447</v>
      </c>
      <c r="S296" s="704">
        <f>SUBTOTAL(9,S294:S295)</f>
        <v>33060</v>
      </c>
      <c r="T296" s="700"/>
    </row>
    <row r="297" spans="1:20" ht="12.75">
      <c r="A297" s="686">
        <f>A295+1</f>
        <v>268</v>
      </c>
      <c r="B297" s="705">
        <v>5600</v>
      </c>
      <c r="C297" s="687" t="s">
        <v>688</v>
      </c>
      <c r="D297" s="687">
        <v>2923</v>
      </c>
      <c r="E297" s="687">
        <v>6351</v>
      </c>
      <c r="F297" s="700"/>
      <c r="G297" s="700" t="s">
        <v>1053</v>
      </c>
      <c r="H297" s="687">
        <v>2012</v>
      </c>
      <c r="I297" s="687">
        <v>2014</v>
      </c>
      <c r="J297" s="703">
        <v>33000</v>
      </c>
      <c r="K297" s="703"/>
      <c r="L297" s="703">
        <f>17000</f>
        <v>17000</v>
      </c>
      <c r="M297" s="703"/>
      <c r="N297" s="703">
        <v>16000</v>
      </c>
      <c r="O297" s="703">
        <v>16000</v>
      </c>
      <c r="P297" s="695">
        <f t="shared" si="31"/>
        <v>1</v>
      </c>
      <c r="Q297" s="704">
        <v>12000</v>
      </c>
      <c r="R297" s="704"/>
      <c r="S297" s="704"/>
      <c r="T297" s="700" t="s">
        <v>1054</v>
      </c>
    </row>
    <row r="298" spans="1:20" ht="12.75">
      <c r="A298" s="686">
        <f>A297+1</f>
        <v>269</v>
      </c>
      <c r="B298" s="705" t="s">
        <v>262</v>
      </c>
      <c r="C298" s="687" t="s">
        <v>688</v>
      </c>
      <c r="D298" s="687">
        <v>5175</v>
      </c>
      <c r="E298" s="687">
        <v>6451</v>
      </c>
      <c r="F298" s="702" t="s">
        <v>796</v>
      </c>
      <c r="G298" s="715" t="s">
        <v>1055</v>
      </c>
      <c r="H298" s="687">
        <v>2013</v>
      </c>
      <c r="I298" s="687">
        <v>2014</v>
      </c>
      <c r="J298" s="703">
        <v>18603</v>
      </c>
      <c r="K298" s="703">
        <v>18603</v>
      </c>
      <c r="L298" s="703"/>
      <c r="M298" s="703"/>
      <c r="N298" s="703">
        <v>5000</v>
      </c>
      <c r="O298" s="703">
        <v>5000</v>
      </c>
      <c r="P298" s="695">
        <f t="shared" si="31"/>
        <v>1</v>
      </c>
      <c r="Q298" s="704">
        <v>13603</v>
      </c>
      <c r="R298" s="704"/>
      <c r="S298" s="704"/>
      <c r="T298" s="700" t="s">
        <v>1054</v>
      </c>
    </row>
    <row r="299" spans="1:20" ht="12.75">
      <c r="A299" s="686">
        <f>A298+1</f>
        <v>270</v>
      </c>
      <c r="B299" s="705" t="s">
        <v>262</v>
      </c>
      <c r="C299" s="687" t="s">
        <v>688</v>
      </c>
      <c r="D299" s="687">
        <v>5176</v>
      </c>
      <c r="E299" s="687">
        <v>6351</v>
      </c>
      <c r="F299" s="702" t="s">
        <v>796</v>
      </c>
      <c r="G299" s="712" t="s">
        <v>1056</v>
      </c>
      <c r="H299" s="687">
        <v>2013</v>
      </c>
      <c r="I299" s="687">
        <v>2015</v>
      </c>
      <c r="J299" s="703">
        <v>61897</v>
      </c>
      <c r="K299" s="703">
        <v>52896</v>
      </c>
      <c r="L299" s="703"/>
      <c r="M299" s="703"/>
      <c r="N299" s="703">
        <v>9285</v>
      </c>
      <c r="O299" s="703">
        <v>9284</v>
      </c>
      <c r="P299" s="695">
        <f t="shared" si="31"/>
        <v>0.9998922994076468</v>
      </c>
      <c r="Q299" s="704">
        <v>30000</v>
      </c>
      <c r="R299" s="704"/>
      <c r="S299" s="704"/>
      <c r="T299" s="700" t="s">
        <v>1057</v>
      </c>
    </row>
    <row r="300" spans="1:20" ht="12.75">
      <c r="A300" s="686"/>
      <c r="B300" s="705"/>
      <c r="C300" s="708" t="s">
        <v>1058</v>
      </c>
      <c r="D300" s="687"/>
      <c r="E300" s="687"/>
      <c r="F300" s="702"/>
      <c r="G300" s="712"/>
      <c r="H300" s="687"/>
      <c r="I300" s="687"/>
      <c r="J300" s="703">
        <f aca="true" t="shared" si="40" ref="J300:O300">SUBTOTAL(9,J297:J299)</f>
        <v>113500</v>
      </c>
      <c r="K300" s="703">
        <f t="shared" si="40"/>
        <v>71499</v>
      </c>
      <c r="L300" s="703">
        <f t="shared" si="40"/>
        <v>17000</v>
      </c>
      <c r="M300" s="703">
        <f t="shared" si="40"/>
        <v>0</v>
      </c>
      <c r="N300" s="703">
        <f t="shared" si="40"/>
        <v>30285</v>
      </c>
      <c r="O300" s="703">
        <f t="shared" si="40"/>
        <v>30284</v>
      </c>
      <c r="P300" s="695">
        <f t="shared" si="31"/>
        <v>0.9999669803533102</v>
      </c>
      <c r="Q300" s="704">
        <f>SUBTOTAL(9,Q297:Q299)</f>
        <v>55603</v>
      </c>
      <c r="R300" s="704">
        <f>SUBTOTAL(9,R297:R299)</f>
        <v>0</v>
      </c>
      <c r="S300" s="704">
        <f>SUBTOTAL(9,S297:S299)</f>
        <v>0</v>
      </c>
      <c r="T300" s="700"/>
    </row>
    <row r="301" spans="1:20" ht="12.75">
      <c r="A301" s="686">
        <f>A299+1</f>
        <v>271</v>
      </c>
      <c r="B301" s="705" t="s">
        <v>300</v>
      </c>
      <c r="C301" s="687" t="s">
        <v>689</v>
      </c>
      <c r="D301" s="687">
        <v>2821</v>
      </c>
      <c r="E301" s="687">
        <v>6351</v>
      </c>
      <c r="F301" s="700"/>
      <c r="G301" s="700" t="s">
        <v>1059</v>
      </c>
      <c r="H301" s="687">
        <v>2014</v>
      </c>
      <c r="I301" s="687">
        <v>2014</v>
      </c>
      <c r="J301" s="703">
        <v>29750</v>
      </c>
      <c r="K301" s="703"/>
      <c r="L301" s="703"/>
      <c r="M301" s="703"/>
      <c r="N301" s="703"/>
      <c r="O301" s="703"/>
      <c r="P301" s="695" t="str">
        <f t="shared" si="31"/>
        <v> </v>
      </c>
      <c r="Q301" s="704">
        <v>20000</v>
      </c>
      <c r="R301" s="704"/>
      <c r="S301" s="704"/>
      <c r="T301" s="700" t="s">
        <v>1057</v>
      </c>
    </row>
    <row r="302" spans="1:20" ht="12.75">
      <c r="A302" s="686">
        <f>A301+1</f>
        <v>272</v>
      </c>
      <c r="B302" s="705" t="s">
        <v>300</v>
      </c>
      <c r="C302" s="687" t="s">
        <v>689</v>
      </c>
      <c r="D302" s="687">
        <v>2821</v>
      </c>
      <c r="E302" s="687">
        <v>6351</v>
      </c>
      <c r="F302" s="700">
        <v>41</v>
      </c>
      <c r="G302" s="700" t="s">
        <v>1059</v>
      </c>
      <c r="H302" s="687"/>
      <c r="I302" s="687"/>
      <c r="J302" s="703"/>
      <c r="K302" s="703"/>
      <c r="L302" s="703"/>
      <c r="M302" s="703"/>
      <c r="N302" s="703"/>
      <c r="O302" s="703"/>
      <c r="P302" s="695" t="str">
        <f t="shared" si="31"/>
        <v> </v>
      </c>
      <c r="Q302" s="704">
        <v>9750</v>
      </c>
      <c r="R302" s="704"/>
      <c r="S302" s="704"/>
      <c r="T302" s="700" t="s">
        <v>1057</v>
      </c>
    </row>
    <row r="303" spans="1:20" ht="12.75">
      <c r="A303" s="686">
        <f>A302+1</f>
        <v>273</v>
      </c>
      <c r="B303" s="705" t="s">
        <v>300</v>
      </c>
      <c r="C303" s="687" t="s">
        <v>689</v>
      </c>
      <c r="D303" s="687">
        <v>2879</v>
      </c>
      <c r="E303" s="687"/>
      <c r="F303" s="700"/>
      <c r="G303" s="700" t="s">
        <v>1060</v>
      </c>
      <c r="H303" s="687">
        <v>2013</v>
      </c>
      <c r="I303" s="687">
        <v>2013</v>
      </c>
      <c r="J303" s="703"/>
      <c r="K303" s="703"/>
      <c r="L303" s="703"/>
      <c r="M303" s="703"/>
      <c r="N303" s="703">
        <v>16000</v>
      </c>
      <c r="O303" s="703">
        <v>16000</v>
      </c>
      <c r="P303" s="695">
        <f t="shared" si="31"/>
        <v>1</v>
      </c>
      <c r="Q303" s="704">
        <v>3000</v>
      </c>
      <c r="R303" s="704"/>
      <c r="S303" s="704"/>
      <c r="T303" s="700" t="s">
        <v>747</v>
      </c>
    </row>
    <row r="304" spans="1:20" ht="12.75">
      <c r="A304" s="686"/>
      <c r="B304" s="705"/>
      <c r="C304" s="708" t="s">
        <v>1061</v>
      </c>
      <c r="D304" s="687"/>
      <c r="E304" s="687"/>
      <c r="F304" s="700"/>
      <c r="G304" s="700"/>
      <c r="H304" s="687"/>
      <c r="I304" s="687"/>
      <c r="J304" s="703">
        <f aca="true" t="shared" si="41" ref="J304:O304">SUBTOTAL(9,J301:J303)</f>
        <v>29750</v>
      </c>
      <c r="K304" s="703">
        <f t="shared" si="41"/>
        <v>0</v>
      </c>
      <c r="L304" s="703">
        <f t="shared" si="41"/>
        <v>0</v>
      </c>
      <c r="M304" s="703">
        <f t="shared" si="41"/>
        <v>0</v>
      </c>
      <c r="N304" s="703">
        <f t="shared" si="41"/>
        <v>16000</v>
      </c>
      <c r="O304" s="703">
        <f t="shared" si="41"/>
        <v>16000</v>
      </c>
      <c r="P304" s="695">
        <f t="shared" si="31"/>
        <v>1</v>
      </c>
      <c r="Q304" s="704">
        <f>SUBTOTAL(9,Q301:Q303)</f>
        <v>32750</v>
      </c>
      <c r="R304" s="704">
        <f>SUBTOTAL(9,R301:R303)</f>
        <v>0</v>
      </c>
      <c r="S304" s="704">
        <f>SUBTOTAL(9,S301:S303)</f>
        <v>0</v>
      </c>
      <c r="T304" s="700"/>
    </row>
    <row r="305" spans="1:20" ht="12.75">
      <c r="A305" s="686">
        <f>A303+1</f>
        <v>274</v>
      </c>
      <c r="B305" s="701" t="s">
        <v>1062</v>
      </c>
      <c r="C305" s="687" t="s">
        <v>690</v>
      </c>
      <c r="D305" s="687">
        <v>3078</v>
      </c>
      <c r="E305" s="687">
        <v>6121</v>
      </c>
      <c r="F305" s="700"/>
      <c r="G305" s="700" t="s">
        <v>1063</v>
      </c>
      <c r="H305" s="707">
        <v>2009</v>
      </c>
      <c r="I305" s="687">
        <v>2013</v>
      </c>
      <c r="J305" s="703">
        <v>2540</v>
      </c>
      <c r="K305" s="703"/>
      <c r="L305" s="703">
        <f>540+771</f>
        <v>1311</v>
      </c>
      <c r="M305" s="703">
        <v>800</v>
      </c>
      <c r="N305" s="703"/>
      <c r="O305" s="703"/>
      <c r="P305" s="695" t="str">
        <f t="shared" si="31"/>
        <v> </v>
      </c>
      <c r="Q305" s="704">
        <v>800</v>
      </c>
      <c r="R305" s="704"/>
      <c r="S305" s="704"/>
      <c r="T305" s="700" t="s">
        <v>1064</v>
      </c>
    </row>
    <row r="306" spans="1:20" ht="12.75">
      <c r="A306" s="686">
        <f>A305+1</f>
        <v>275</v>
      </c>
      <c r="B306" s="701" t="s">
        <v>262</v>
      </c>
      <c r="C306" s="687" t="s">
        <v>690</v>
      </c>
      <c r="D306" s="687">
        <v>5183</v>
      </c>
      <c r="E306" s="687"/>
      <c r="F306" s="702" t="s">
        <v>796</v>
      </c>
      <c r="G306" s="700" t="s">
        <v>1065</v>
      </c>
      <c r="H306" s="687">
        <v>2013</v>
      </c>
      <c r="I306" s="687">
        <v>2013</v>
      </c>
      <c r="J306" s="703"/>
      <c r="K306" s="703"/>
      <c r="L306" s="703"/>
      <c r="M306" s="703"/>
      <c r="N306" s="703">
        <v>1336</v>
      </c>
      <c r="O306" s="703">
        <v>1336</v>
      </c>
      <c r="P306" s="695">
        <f t="shared" si="31"/>
        <v>1</v>
      </c>
      <c r="Q306" s="704"/>
      <c r="R306" s="704"/>
      <c r="S306" s="704"/>
      <c r="T306" s="700" t="s">
        <v>1002</v>
      </c>
    </row>
    <row r="307" spans="1:20" ht="12.75">
      <c r="A307" s="686"/>
      <c r="B307" s="701"/>
      <c r="C307" s="708" t="s">
        <v>1066</v>
      </c>
      <c r="D307" s="687"/>
      <c r="E307" s="687"/>
      <c r="F307" s="702"/>
      <c r="G307" s="700"/>
      <c r="H307" s="687"/>
      <c r="I307" s="687"/>
      <c r="J307" s="703">
        <f aca="true" t="shared" si="42" ref="J307:O307">SUBTOTAL(9,J305:J306)</f>
        <v>2540</v>
      </c>
      <c r="K307" s="703">
        <f t="shared" si="42"/>
        <v>0</v>
      </c>
      <c r="L307" s="703">
        <f t="shared" si="42"/>
        <v>1311</v>
      </c>
      <c r="M307" s="703">
        <f t="shared" si="42"/>
        <v>800</v>
      </c>
      <c r="N307" s="703">
        <f t="shared" si="42"/>
        <v>1336</v>
      </c>
      <c r="O307" s="703">
        <f t="shared" si="42"/>
        <v>1336</v>
      </c>
      <c r="P307" s="695">
        <f t="shared" si="31"/>
        <v>1</v>
      </c>
      <c r="Q307" s="704">
        <f>SUBTOTAL(9,Q305:Q306)</f>
        <v>800</v>
      </c>
      <c r="R307" s="704">
        <f>SUBTOTAL(9,R305:R306)</f>
        <v>0</v>
      </c>
      <c r="S307" s="704">
        <f>SUBTOTAL(9,S305:S306)</f>
        <v>0</v>
      </c>
      <c r="T307" s="700"/>
    </row>
    <row r="308" spans="1:20" ht="12.75">
      <c r="A308" s="686">
        <f>A306+1</f>
        <v>276</v>
      </c>
      <c r="B308" s="701" t="s">
        <v>300</v>
      </c>
      <c r="C308" s="687" t="s">
        <v>692</v>
      </c>
      <c r="D308" s="687">
        <v>2852</v>
      </c>
      <c r="E308" s="687"/>
      <c r="F308" s="700">
        <v>41</v>
      </c>
      <c r="G308" s="701" t="s">
        <v>1067</v>
      </c>
      <c r="H308" s="687">
        <v>2013</v>
      </c>
      <c r="I308" s="687">
        <v>2015</v>
      </c>
      <c r="J308" s="703">
        <v>23279</v>
      </c>
      <c r="K308" s="703"/>
      <c r="L308" s="703"/>
      <c r="M308" s="703"/>
      <c r="N308" s="703">
        <v>100</v>
      </c>
      <c r="O308" s="703"/>
      <c r="P308" s="695">
        <f t="shared" si="31"/>
        <v>0</v>
      </c>
      <c r="Q308" s="704">
        <v>20410</v>
      </c>
      <c r="R308" s="704">
        <v>2769</v>
      </c>
      <c r="S308" s="704"/>
      <c r="T308" s="700" t="s">
        <v>747</v>
      </c>
    </row>
    <row r="309" spans="1:20" ht="12.75">
      <c r="A309" s="686">
        <f aca="true" t="shared" si="43" ref="A309:A325">A308+1</f>
        <v>277</v>
      </c>
      <c r="B309" s="705" t="s">
        <v>176</v>
      </c>
      <c r="C309" s="687" t="s">
        <v>692</v>
      </c>
      <c r="D309" s="687">
        <v>2905</v>
      </c>
      <c r="E309" s="687">
        <v>6121</v>
      </c>
      <c r="F309" s="700">
        <v>41</v>
      </c>
      <c r="G309" s="712" t="s">
        <v>1068</v>
      </c>
      <c r="H309" s="687">
        <v>2012</v>
      </c>
      <c r="I309" s="687">
        <v>2014</v>
      </c>
      <c r="J309" s="703">
        <v>8000</v>
      </c>
      <c r="K309" s="703"/>
      <c r="L309" s="703">
        <f>70</f>
        <v>70</v>
      </c>
      <c r="M309" s="703">
        <v>7600</v>
      </c>
      <c r="N309" s="703">
        <v>100</v>
      </c>
      <c r="O309" s="703"/>
      <c r="P309" s="695">
        <f t="shared" si="31"/>
        <v>0</v>
      </c>
      <c r="Q309" s="704"/>
      <c r="R309" s="704"/>
      <c r="S309" s="704"/>
      <c r="T309" s="714" t="s">
        <v>1069</v>
      </c>
    </row>
    <row r="310" spans="1:20" ht="12.75">
      <c r="A310" s="686">
        <f t="shared" si="43"/>
        <v>278</v>
      </c>
      <c r="B310" s="705">
        <v>6600</v>
      </c>
      <c r="C310" s="687" t="s">
        <v>692</v>
      </c>
      <c r="D310" s="687">
        <v>2925</v>
      </c>
      <c r="E310" s="687">
        <v>6121</v>
      </c>
      <c r="F310" s="700">
        <v>41</v>
      </c>
      <c r="G310" s="700" t="s">
        <v>1070</v>
      </c>
      <c r="H310" s="687">
        <v>2012</v>
      </c>
      <c r="I310" s="687">
        <v>2015</v>
      </c>
      <c r="J310" s="703">
        <v>15000</v>
      </c>
      <c r="K310" s="703"/>
      <c r="L310" s="703">
        <f>112</f>
        <v>112</v>
      </c>
      <c r="M310" s="703">
        <v>1000</v>
      </c>
      <c r="N310" s="703">
        <v>5887</v>
      </c>
      <c r="O310" s="703">
        <v>970</v>
      </c>
      <c r="P310" s="695">
        <f t="shared" si="31"/>
        <v>0.16476983183285204</v>
      </c>
      <c r="Q310" s="704">
        <v>1000</v>
      </c>
      <c r="R310" s="704">
        <v>4000</v>
      </c>
      <c r="S310" s="704"/>
      <c r="T310" s="714" t="s">
        <v>1071</v>
      </c>
    </row>
    <row r="311" spans="1:20" ht="12.75">
      <c r="A311" s="686">
        <f t="shared" si="43"/>
        <v>279</v>
      </c>
      <c r="B311" s="705" t="s">
        <v>176</v>
      </c>
      <c r="C311" s="687" t="s">
        <v>692</v>
      </c>
      <c r="D311" s="687">
        <v>2932</v>
      </c>
      <c r="E311" s="687">
        <v>6121</v>
      </c>
      <c r="F311" s="700">
        <v>41</v>
      </c>
      <c r="G311" s="700" t="s">
        <v>1072</v>
      </c>
      <c r="H311" s="687">
        <v>2012</v>
      </c>
      <c r="I311" s="687">
        <v>2017</v>
      </c>
      <c r="J311" s="703">
        <v>270000</v>
      </c>
      <c r="K311" s="703"/>
      <c r="L311" s="703">
        <f>322</f>
        <v>322</v>
      </c>
      <c r="M311" s="703">
        <v>10000</v>
      </c>
      <c r="N311" s="703">
        <v>2278</v>
      </c>
      <c r="O311" s="703">
        <v>70</v>
      </c>
      <c r="P311" s="695">
        <f t="shared" si="31"/>
        <v>0.030728709394205442</v>
      </c>
      <c r="Q311" s="704">
        <v>50000</v>
      </c>
      <c r="R311" s="704">
        <v>117400</v>
      </c>
      <c r="S311" s="704">
        <v>100000</v>
      </c>
      <c r="T311" s="714" t="s">
        <v>1069</v>
      </c>
    </row>
    <row r="312" spans="1:20" ht="12.75">
      <c r="A312" s="686">
        <f t="shared" si="43"/>
        <v>280</v>
      </c>
      <c r="B312" s="701" t="s">
        <v>176</v>
      </c>
      <c r="C312" s="687" t="s">
        <v>692</v>
      </c>
      <c r="D312" s="687">
        <v>2978</v>
      </c>
      <c r="E312" s="687">
        <v>6121</v>
      </c>
      <c r="F312" s="700">
        <v>41</v>
      </c>
      <c r="G312" s="700" t="s">
        <v>1073</v>
      </c>
      <c r="H312" s="707">
        <v>2010</v>
      </c>
      <c r="I312" s="687">
        <v>2014</v>
      </c>
      <c r="J312" s="703">
        <v>300000</v>
      </c>
      <c r="K312" s="703"/>
      <c r="L312" s="703">
        <f>96</f>
        <v>96</v>
      </c>
      <c r="M312" s="703">
        <v>120000</v>
      </c>
      <c r="N312" s="703"/>
      <c r="O312" s="703"/>
      <c r="P312" s="695" t="str">
        <f t="shared" si="31"/>
        <v> </v>
      </c>
      <c r="Q312" s="704"/>
      <c r="R312" s="704"/>
      <c r="S312" s="704"/>
      <c r="T312" s="700" t="s">
        <v>1069</v>
      </c>
    </row>
    <row r="313" spans="1:20" ht="12.75">
      <c r="A313" s="686">
        <f t="shared" si="43"/>
        <v>281</v>
      </c>
      <c r="B313" s="701" t="s">
        <v>176</v>
      </c>
      <c r="C313" s="687" t="s">
        <v>692</v>
      </c>
      <c r="D313" s="687">
        <v>3022</v>
      </c>
      <c r="E313" s="687">
        <v>6121</v>
      </c>
      <c r="F313" s="700">
        <v>41</v>
      </c>
      <c r="G313" s="700" t="s">
        <v>1074</v>
      </c>
      <c r="H313" s="707">
        <v>2010</v>
      </c>
      <c r="I313" s="707">
        <v>2012</v>
      </c>
      <c r="J313" s="703">
        <v>68200</v>
      </c>
      <c r="K313" s="703"/>
      <c r="L313" s="703">
        <f>312+2944+64822</f>
        <v>68078</v>
      </c>
      <c r="M313" s="703"/>
      <c r="N313" s="703">
        <v>228</v>
      </c>
      <c r="O313" s="703">
        <v>228</v>
      </c>
      <c r="P313" s="695">
        <f t="shared" si="31"/>
        <v>1</v>
      </c>
      <c r="Q313" s="704"/>
      <c r="R313" s="704"/>
      <c r="S313" s="704"/>
      <c r="T313" s="700" t="s">
        <v>1069</v>
      </c>
    </row>
    <row r="314" spans="1:20" ht="12.75">
      <c r="A314" s="686">
        <f t="shared" si="43"/>
        <v>282</v>
      </c>
      <c r="B314" s="701" t="s">
        <v>213</v>
      </c>
      <c r="C314" s="687" t="s">
        <v>692</v>
      </c>
      <c r="D314" s="687">
        <v>3036</v>
      </c>
      <c r="E314" s="687">
        <v>6121</v>
      </c>
      <c r="F314" s="700">
        <v>41</v>
      </c>
      <c r="G314" s="700" t="s">
        <v>1075</v>
      </c>
      <c r="H314" s="707">
        <v>2010</v>
      </c>
      <c r="I314" s="687">
        <v>2013</v>
      </c>
      <c r="J314" s="703">
        <v>52690</v>
      </c>
      <c r="K314" s="703"/>
      <c r="L314" s="703">
        <f>15390+12856+11707</f>
        <v>39953</v>
      </c>
      <c r="M314" s="703">
        <v>5000</v>
      </c>
      <c r="N314" s="703">
        <v>6635</v>
      </c>
      <c r="O314" s="703">
        <v>2965</v>
      </c>
      <c r="P314" s="695">
        <f t="shared" si="31"/>
        <v>0.4468726450640543</v>
      </c>
      <c r="Q314" s="704">
        <v>6100</v>
      </c>
      <c r="R314" s="704"/>
      <c r="S314" s="704"/>
      <c r="T314" s="700" t="s">
        <v>1071</v>
      </c>
    </row>
    <row r="315" spans="1:20" ht="12.75">
      <c r="A315" s="686">
        <f t="shared" si="43"/>
        <v>283</v>
      </c>
      <c r="B315" s="701" t="s">
        <v>176</v>
      </c>
      <c r="C315" s="687" t="s">
        <v>692</v>
      </c>
      <c r="D315" s="687">
        <v>3129</v>
      </c>
      <c r="E315" s="687">
        <v>6121</v>
      </c>
      <c r="F315" s="700">
        <v>41</v>
      </c>
      <c r="G315" s="700" t="s">
        <v>1076</v>
      </c>
      <c r="H315" s="707">
        <v>2008</v>
      </c>
      <c r="I315" s="687">
        <v>2013</v>
      </c>
      <c r="J315" s="703">
        <v>81200</v>
      </c>
      <c r="K315" s="703"/>
      <c r="L315" s="703"/>
      <c r="M315" s="703"/>
      <c r="N315" s="703"/>
      <c r="O315" s="703"/>
      <c r="P315" s="695" t="str">
        <f t="shared" si="31"/>
        <v> </v>
      </c>
      <c r="Q315" s="704">
        <v>700</v>
      </c>
      <c r="R315" s="704">
        <v>80500</v>
      </c>
      <c r="S315" s="704"/>
      <c r="T315" s="700" t="s">
        <v>1069</v>
      </c>
    </row>
    <row r="316" spans="1:20" ht="12.75">
      <c r="A316" s="686">
        <f t="shared" si="43"/>
        <v>284</v>
      </c>
      <c r="B316" s="701" t="s">
        <v>176</v>
      </c>
      <c r="C316" s="687" t="s">
        <v>692</v>
      </c>
      <c r="D316" s="687">
        <v>3196</v>
      </c>
      <c r="E316" s="687">
        <v>6121</v>
      </c>
      <c r="F316" s="700">
        <v>41</v>
      </c>
      <c r="G316" s="700" t="s">
        <v>1077</v>
      </c>
      <c r="H316" s="707">
        <v>2006</v>
      </c>
      <c r="I316" s="687">
        <v>2013</v>
      </c>
      <c r="J316" s="703">
        <v>37000</v>
      </c>
      <c r="K316" s="703"/>
      <c r="L316" s="703">
        <f>660+360</f>
        <v>1020</v>
      </c>
      <c r="M316" s="703"/>
      <c r="N316" s="703">
        <v>980</v>
      </c>
      <c r="O316" s="703">
        <v>256</v>
      </c>
      <c r="P316" s="695">
        <f t="shared" si="31"/>
        <v>0.2612244897959184</v>
      </c>
      <c r="Q316" s="704">
        <v>10000</v>
      </c>
      <c r="R316" s="704">
        <v>25000</v>
      </c>
      <c r="S316" s="704"/>
      <c r="T316" s="700" t="s">
        <v>1069</v>
      </c>
    </row>
    <row r="317" spans="1:20" ht="12.75">
      <c r="A317" s="686">
        <f t="shared" si="43"/>
        <v>285</v>
      </c>
      <c r="B317" s="701" t="s">
        <v>176</v>
      </c>
      <c r="C317" s="687" t="s">
        <v>692</v>
      </c>
      <c r="D317" s="687">
        <v>5067</v>
      </c>
      <c r="E317" s="687">
        <v>6121</v>
      </c>
      <c r="F317" s="702" t="s">
        <v>796</v>
      </c>
      <c r="G317" s="700" t="s">
        <v>1078</v>
      </c>
      <c r="H317" s="707">
        <v>2009</v>
      </c>
      <c r="I317" s="687">
        <v>2013</v>
      </c>
      <c r="J317" s="703">
        <v>45302</v>
      </c>
      <c r="K317" s="703">
        <v>11676</v>
      </c>
      <c r="L317" s="703">
        <f>1066+1156+28218</f>
        <v>30440</v>
      </c>
      <c r="M317" s="703">
        <v>13080</v>
      </c>
      <c r="N317" s="703">
        <v>14862</v>
      </c>
      <c r="O317" s="703">
        <v>14512</v>
      </c>
      <c r="P317" s="695">
        <f t="shared" si="31"/>
        <v>0.9764500067285695</v>
      </c>
      <c r="Q317" s="704"/>
      <c r="R317" s="704"/>
      <c r="S317" s="704"/>
      <c r="T317" s="700" t="s">
        <v>1069</v>
      </c>
    </row>
    <row r="318" spans="1:20" ht="12.75">
      <c r="A318" s="686">
        <f t="shared" si="43"/>
        <v>286</v>
      </c>
      <c r="B318" s="701" t="s">
        <v>176</v>
      </c>
      <c r="C318" s="687" t="s">
        <v>692</v>
      </c>
      <c r="D318" s="687">
        <v>5068</v>
      </c>
      <c r="E318" s="687">
        <v>6121</v>
      </c>
      <c r="F318" s="702" t="s">
        <v>796</v>
      </c>
      <c r="G318" s="700" t="s">
        <v>1079</v>
      </c>
      <c r="H318" s="707">
        <v>2009</v>
      </c>
      <c r="I318" s="687">
        <v>2014</v>
      </c>
      <c r="J318" s="703">
        <v>71000</v>
      </c>
      <c r="K318" s="703">
        <v>19389</v>
      </c>
      <c r="L318" s="703">
        <f>273+396+1715</f>
        <v>2384</v>
      </c>
      <c r="M318" s="703">
        <v>700</v>
      </c>
      <c r="N318" s="703">
        <v>1700</v>
      </c>
      <c r="O318" s="703">
        <v>653</v>
      </c>
      <c r="P318" s="695">
        <f t="shared" si="31"/>
        <v>0.3841176470588235</v>
      </c>
      <c r="Q318" s="704">
        <v>12000</v>
      </c>
      <c r="R318" s="704"/>
      <c r="S318" s="704"/>
      <c r="T318" s="700" t="s">
        <v>1069</v>
      </c>
    </row>
    <row r="319" spans="1:20" ht="12.75">
      <c r="A319" s="686">
        <f t="shared" si="43"/>
        <v>287</v>
      </c>
      <c r="B319" s="701" t="s">
        <v>176</v>
      </c>
      <c r="C319" s="687" t="s">
        <v>692</v>
      </c>
      <c r="D319" s="687">
        <v>5070</v>
      </c>
      <c r="E319" s="687">
        <v>6121</v>
      </c>
      <c r="F319" s="702" t="s">
        <v>796</v>
      </c>
      <c r="G319" s="700" t="s">
        <v>1080</v>
      </c>
      <c r="H319" s="707">
        <v>2009</v>
      </c>
      <c r="I319" s="687">
        <v>2013</v>
      </c>
      <c r="J319" s="703">
        <v>35865</v>
      </c>
      <c r="K319" s="703">
        <v>9034</v>
      </c>
      <c r="L319" s="703">
        <f>2217+21+20325</f>
        <v>22563</v>
      </c>
      <c r="M319" s="703">
        <v>13127</v>
      </c>
      <c r="N319" s="703">
        <v>13127</v>
      </c>
      <c r="O319" s="703">
        <v>12656</v>
      </c>
      <c r="P319" s="695">
        <f t="shared" si="31"/>
        <v>0.9641197531804677</v>
      </c>
      <c r="Q319" s="704"/>
      <c r="R319" s="704"/>
      <c r="S319" s="704"/>
      <c r="T319" s="700" t="s">
        <v>1069</v>
      </c>
    </row>
    <row r="320" spans="1:20" ht="12.75">
      <c r="A320" s="686">
        <f t="shared" si="43"/>
        <v>288</v>
      </c>
      <c r="B320" s="701" t="s">
        <v>176</v>
      </c>
      <c r="C320" s="687" t="s">
        <v>692</v>
      </c>
      <c r="D320" s="687">
        <v>5071</v>
      </c>
      <c r="E320" s="687">
        <v>6121</v>
      </c>
      <c r="F320" s="702" t="s">
        <v>796</v>
      </c>
      <c r="G320" s="700" t="s">
        <v>1081</v>
      </c>
      <c r="H320" s="707">
        <v>2009</v>
      </c>
      <c r="I320" s="687">
        <v>2014</v>
      </c>
      <c r="J320" s="703">
        <v>52900</v>
      </c>
      <c r="K320" s="703">
        <v>12470</v>
      </c>
      <c r="L320" s="703">
        <f>302+298+2422</f>
        <v>3022</v>
      </c>
      <c r="M320" s="703">
        <v>500</v>
      </c>
      <c r="N320" s="703">
        <v>1800</v>
      </c>
      <c r="O320" s="703">
        <v>852</v>
      </c>
      <c r="P320" s="695">
        <f t="shared" si="31"/>
        <v>0.47333333333333333</v>
      </c>
      <c r="Q320" s="704">
        <v>12000</v>
      </c>
      <c r="R320" s="704"/>
      <c r="S320" s="704"/>
      <c r="T320" s="700" t="s">
        <v>1069</v>
      </c>
    </row>
    <row r="321" spans="1:20" ht="12.75">
      <c r="A321" s="686">
        <f t="shared" si="43"/>
        <v>289</v>
      </c>
      <c r="B321" s="701" t="s">
        <v>176</v>
      </c>
      <c r="C321" s="687" t="s">
        <v>692</v>
      </c>
      <c r="D321" s="687">
        <v>5072</v>
      </c>
      <c r="E321" s="687">
        <v>6121</v>
      </c>
      <c r="F321" s="702" t="s">
        <v>796</v>
      </c>
      <c r="G321" s="700" t="s">
        <v>1082</v>
      </c>
      <c r="H321" s="707">
        <v>2009</v>
      </c>
      <c r="I321" s="687">
        <v>2013</v>
      </c>
      <c r="J321" s="703">
        <v>32000</v>
      </c>
      <c r="K321" s="703">
        <v>8286</v>
      </c>
      <c r="L321" s="703">
        <f>230+300+1110</f>
        <v>1640</v>
      </c>
      <c r="M321" s="703">
        <v>500</v>
      </c>
      <c r="N321" s="703">
        <v>6500</v>
      </c>
      <c r="O321" s="703">
        <v>801</v>
      </c>
      <c r="P321" s="695">
        <f t="shared" si="31"/>
        <v>0.12323076923076923</v>
      </c>
      <c r="Q321" s="704">
        <v>12000</v>
      </c>
      <c r="R321" s="704"/>
      <c r="S321" s="704"/>
      <c r="T321" s="700" t="s">
        <v>1069</v>
      </c>
    </row>
    <row r="322" spans="1:20" ht="12.75">
      <c r="A322" s="686">
        <f t="shared" si="43"/>
        <v>290</v>
      </c>
      <c r="B322" s="701" t="s">
        <v>176</v>
      </c>
      <c r="C322" s="687" t="s">
        <v>692</v>
      </c>
      <c r="D322" s="687">
        <v>5073</v>
      </c>
      <c r="E322" s="687">
        <v>6121</v>
      </c>
      <c r="F322" s="702" t="s">
        <v>796</v>
      </c>
      <c r="G322" s="700" t="s">
        <v>1083</v>
      </c>
      <c r="H322" s="707">
        <v>2009</v>
      </c>
      <c r="I322" s="687">
        <v>2013</v>
      </c>
      <c r="J322" s="703">
        <v>29000</v>
      </c>
      <c r="K322" s="703">
        <v>7759</v>
      </c>
      <c r="L322" s="703">
        <f>255+681+599</f>
        <v>1535</v>
      </c>
      <c r="M322" s="703">
        <v>500</v>
      </c>
      <c r="N322" s="703">
        <v>8500</v>
      </c>
      <c r="O322" s="703">
        <v>3071</v>
      </c>
      <c r="P322" s="695">
        <f t="shared" si="31"/>
        <v>0.3612941176470588</v>
      </c>
      <c r="Q322" s="704">
        <v>12000</v>
      </c>
      <c r="R322" s="704"/>
      <c r="S322" s="704"/>
      <c r="T322" s="700" t="s">
        <v>1069</v>
      </c>
    </row>
    <row r="323" spans="1:20" ht="12.75">
      <c r="A323" s="686">
        <f t="shared" si="43"/>
        <v>291</v>
      </c>
      <c r="B323" s="701" t="s">
        <v>300</v>
      </c>
      <c r="C323" s="687" t="s">
        <v>692</v>
      </c>
      <c r="D323" s="687">
        <v>5145</v>
      </c>
      <c r="E323" s="687">
        <v>6121</v>
      </c>
      <c r="F323" s="702" t="s">
        <v>796</v>
      </c>
      <c r="G323" s="700" t="s">
        <v>1084</v>
      </c>
      <c r="H323" s="707">
        <v>2012</v>
      </c>
      <c r="I323" s="687">
        <v>2013</v>
      </c>
      <c r="J323" s="703">
        <v>454</v>
      </c>
      <c r="K323" s="703">
        <v>254</v>
      </c>
      <c r="L323" s="703"/>
      <c r="M323" s="703">
        <v>454</v>
      </c>
      <c r="N323" s="703">
        <v>454</v>
      </c>
      <c r="O323" s="703">
        <v>326</v>
      </c>
      <c r="P323" s="695">
        <f aca="true" t="shared" si="44" ref="P323:P386">IF(N323&lt;=0," ",O323/N323)</f>
        <v>0.7180616740088106</v>
      </c>
      <c r="Q323" s="704"/>
      <c r="R323" s="704"/>
      <c r="S323" s="704"/>
      <c r="T323" s="700" t="s">
        <v>747</v>
      </c>
    </row>
    <row r="324" spans="1:20" ht="12.75">
      <c r="A324" s="686">
        <f t="shared" si="43"/>
        <v>292</v>
      </c>
      <c r="B324" s="701" t="s">
        <v>176</v>
      </c>
      <c r="C324" s="687" t="s">
        <v>692</v>
      </c>
      <c r="D324" s="687">
        <v>301499</v>
      </c>
      <c r="E324" s="687">
        <v>6324</v>
      </c>
      <c r="F324" s="700">
        <v>41</v>
      </c>
      <c r="G324" s="700" t="s">
        <v>1085</v>
      </c>
      <c r="H324" s="687"/>
      <c r="I324" s="687"/>
      <c r="J324" s="703"/>
      <c r="K324" s="703"/>
      <c r="L324" s="703">
        <f>760</f>
        <v>760</v>
      </c>
      <c r="M324" s="703"/>
      <c r="N324" s="703"/>
      <c r="O324" s="703"/>
      <c r="P324" s="695" t="str">
        <f t="shared" si="44"/>
        <v> </v>
      </c>
      <c r="Q324" s="704"/>
      <c r="R324" s="704"/>
      <c r="S324" s="704"/>
      <c r="T324" s="700" t="s">
        <v>1069</v>
      </c>
    </row>
    <row r="325" spans="1:20" ht="12.75">
      <c r="A325" s="686">
        <f t="shared" si="43"/>
        <v>293</v>
      </c>
      <c r="B325" s="701" t="s">
        <v>176</v>
      </c>
      <c r="C325" s="687" t="s">
        <v>692</v>
      </c>
      <c r="D325" s="687" t="s">
        <v>667</v>
      </c>
      <c r="E325" s="687"/>
      <c r="F325" s="700">
        <v>40</v>
      </c>
      <c r="G325" s="700" t="s">
        <v>1086</v>
      </c>
      <c r="H325" s="687"/>
      <c r="I325" s="687"/>
      <c r="J325" s="703"/>
      <c r="K325" s="703"/>
      <c r="L325" s="703"/>
      <c r="M325" s="703"/>
      <c r="N325" s="703">
        <v>9827</v>
      </c>
      <c r="O325" s="703">
        <v>5906</v>
      </c>
      <c r="P325" s="695">
        <f t="shared" si="44"/>
        <v>0.6009972524676911</v>
      </c>
      <c r="Q325" s="704"/>
      <c r="R325" s="704"/>
      <c r="S325" s="704"/>
      <c r="T325" s="700" t="s">
        <v>1069</v>
      </c>
    </row>
    <row r="326" spans="1:20" ht="12.75">
      <c r="A326" s="686"/>
      <c r="B326" s="701"/>
      <c r="C326" s="708" t="s">
        <v>1087</v>
      </c>
      <c r="D326" s="687"/>
      <c r="E326" s="687"/>
      <c r="F326" s="700"/>
      <c r="G326" s="700"/>
      <c r="H326" s="687"/>
      <c r="I326" s="687"/>
      <c r="J326" s="703">
        <f aca="true" t="shared" si="45" ref="J326:O326">SUBTOTAL(9,J308:J325)</f>
        <v>1121890</v>
      </c>
      <c r="K326" s="703">
        <f t="shared" si="45"/>
        <v>68868</v>
      </c>
      <c r="L326" s="703">
        <f t="shared" si="45"/>
        <v>171995</v>
      </c>
      <c r="M326" s="703">
        <f t="shared" si="45"/>
        <v>172461</v>
      </c>
      <c r="N326" s="703">
        <f t="shared" si="45"/>
        <v>72978</v>
      </c>
      <c r="O326" s="703">
        <f t="shared" si="45"/>
        <v>43266</v>
      </c>
      <c r="P326" s="695">
        <f t="shared" si="44"/>
        <v>0.5928636027295897</v>
      </c>
      <c r="Q326" s="704">
        <f>SUBTOTAL(9,Q308:Q325)</f>
        <v>136210</v>
      </c>
      <c r="R326" s="704">
        <f>SUBTOTAL(9,R308:R325)</f>
        <v>229669</v>
      </c>
      <c r="S326" s="704">
        <f>SUBTOTAL(9,S308:S325)</f>
        <v>100000</v>
      </c>
      <c r="T326" s="700"/>
    </row>
    <row r="327" spans="1:20" ht="12.75">
      <c r="A327" s="686">
        <f>A325+1</f>
        <v>294</v>
      </c>
      <c r="B327" s="705">
        <v>6200</v>
      </c>
      <c r="C327" s="687" t="s">
        <v>693</v>
      </c>
      <c r="D327" s="687">
        <v>3496</v>
      </c>
      <c r="E327" s="687">
        <v>6460</v>
      </c>
      <c r="F327" s="700">
        <v>40</v>
      </c>
      <c r="G327" s="700" t="s">
        <v>1088</v>
      </c>
      <c r="H327" s="705"/>
      <c r="I327" s="705"/>
      <c r="J327" s="703"/>
      <c r="K327" s="703"/>
      <c r="L327" s="703">
        <f>2600+1250</f>
        <v>3850</v>
      </c>
      <c r="M327" s="703"/>
      <c r="N327" s="703">
        <v>2275</v>
      </c>
      <c r="O327" s="703">
        <v>1455</v>
      </c>
      <c r="P327" s="695">
        <f t="shared" si="44"/>
        <v>0.6395604395604395</v>
      </c>
      <c r="Q327" s="704"/>
      <c r="R327" s="704"/>
      <c r="S327" s="704"/>
      <c r="T327" s="700" t="s">
        <v>1069</v>
      </c>
    </row>
    <row r="328" spans="1:20" ht="12.75">
      <c r="A328" s="686"/>
      <c r="B328" s="705"/>
      <c r="C328" s="708" t="s">
        <v>1089</v>
      </c>
      <c r="D328" s="687"/>
      <c r="E328" s="687"/>
      <c r="F328" s="700"/>
      <c r="G328" s="700"/>
      <c r="H328" s="705"/>
      <c r="I328" s="705"/>
      <c r="J328" s="703">
        <f aca="true" t="shared" si="46" ref="J328:O328">SUBTOTAL(9,J327:J327)</f>
        <v>0</v>
      </c>
      <c r="K328" s="703">
        <f t="shared" si="46"/>
        <v>0</v>
      </c>
      <c r="L328" s="703">
        <f t="shared" si="46"/>
        <v>3850</v>
      </c>
      <c r="M328" s="703">
        <f t="shared" si="46"/>
        <v>0</v>
      </c>
      <c r="N328" s="703">
        <f t="shared" si="46"/>
        <v>2275</v>
      </c>
      <c r="O328" s="703">
        <f t="shared" si="46"/>
        <v>1455</v>
      </c>
      <c r="P328" s="695">
        <f t="shared" si="44"/>
        <v>0.6395604395604395</v>
      </c>
      <c r="Q328" s="704">
        <f>SUBTOTAL(9,Q327:Q327)</f>
        <v>0</v>
      </c>
      <c r="R328" s="704">
        <f>SUBTOTAL(9,R327:R327)</f>
        <v>0</v>
      </c>
      <c r="S328" s="704">
        <f>SUBTOTAL(9,S327:S327)</f>
        <v>0</v>
      </c>
      <c r="T328" s="700"/>
    </row>
    <row r="329" spans="1:20" ht="12.75">
      <c r="A329" s="686">
        <f>A327+1</f>
        <v>295</v>
      </c>
      <c r="B329" s="705" t="s">
        <v>300</v>
      </c>
      <c r="C329" s="687" t="s">
        <v>694</v>
      </c>
      <c r="D329" s="687">
        <v>2823</v>
      </c>
      <c r="E329" s="687">
        <v>6121</v>
      </c>
      <c r="F329" s="700"/>
      <c r="G329" s="700" t="s">
        <v>1090</v>
      </c>
      <c r="H329" s="705" t="s">
        <v>1091</v>
      </c>
      <c r="I329" s="705" t="s">
        <v>1092</v>
      </c>
      <c r="J329" s="703">
        <v>4020</v>
      </c>
      <c r="K329" s="703"/>
      <c r="L329" s="703"/>
      <c r="M329" s="703"/>
      <c r="N329" s="703"/>
      <c r="O329" s="703"/>
      <c r="P329" s="695" t="str">
        <f t="shared" si="44"/>
        <v> </v>
      </c>
      <c r="Q329" s="704">
        <v>300</v>
      </c>
      <c r="R329" s="704">
        <v>3720</v>
      </c>
      <c r="S329" s="704"/>
      <c r="T329" s="700" t="s">
        <v>747</v>
      </c>
    </row>
    <row r="330" spans="1:20" ht="12.75">
      <c r="A330" s="686">
        <f>A329+1</f>
        <v>296</v>
      </c>
      <c r="B330" s="701" t="s">
        <v>300</v>
      </c>
      <c r="C330" s="687" t="s">
        <v>694</v>
      </c>
      <c r="D330" s="687">
        <v>4859</v>
      </c>
      <c r="E330" s="687">
        <v>6121</v>
      </c>
      <c r="F330" s="700"/>
      <c r="G330" s="700" t="s">
        <v>1093</v>
      </c>
      <c r="H330" s="707">
        <v>2001</v>
      </c>
      <c r="I330" s="687">
        <v>2016</v>
      </c>
      <c r="J330" s="703">
        <v>4560</v>
      </c>
      <c r="K330" s="703"/>
      <c r="L330" s="703"/>
      <c r="M330" s="703"/>
      <c r="N330" s="703"/>
      <c r="O330" s="703"/>
      <c r="P330" s="695" t="str">
        <f t="shared" si="44"/>
        <v> </v>
      </c>
      <c r="Q330" s="704"/>
      <c r="R330" s="704"/>
      <c r="S330" s="704">
        <v>4560</v>
      </c>
      <c r="T330" s="700" t="s">
        <v>747</v>
      </c>
    </row>
    <row r="331" spans="1:20" ht="12.75">
      <c r="A331" s="686">
        <f>A330+1</f>
        <v>297</v>
      </c>
      <c r="B331" s="701" t="s">
        <v>300</v>
      </c>
      <c r="C331" s="687" t="s">
        <v>694</v>
      </c>
      <c r="D331" s="687">
        <v>4870</v>
      </c>
      <c r="E331" s="687">
        <v>6121</v>
      </c>
      <c r="F331" s="700"/>
      <c r="G331" s="700" t="s">
        <v>1094</v>
      </c>
      <c r="H331" s="707">
        <v>2001</v>
      </c>
      <c r="I331" s="687">
        <v>2016</v>
      </c>
      <c r="J331" s="703">
        <v>17300</v>
      </c>
      <c r="K331" s="703"/>
      <c r="L331" s="703">
        <v>14100</v>
      </c>
      <c r="M331" s="703"/>
      <c r="N331" s="703"/>
      <c r="O331" s="703"/>
      <c r="P331" s="695" t="str">
        <f t="shared" si="44"/>
        <v> </v>
      </c>
      <c r="Q331" s="704"/>
      <c r="R331" s="704"/>
      <c r="S331" s="704">
        <v>3200</v>
      </c>
      <c r="T331" s="700" t="s">
        <v>747</v>
      </c>
    </row>
    <row r="332" spans="1:20" ht="12.75">
      <c r="A332" s="686">
        <f>A331+1</f>
        <v>298</v>
      </c>
      <c r="B332" s="705" t="s">
        <v>1095</v>
      </c>
      <c r="C332" s="687" t="s">
        <v>694</v>
      </c>
      <c r="D332" s="687">
        <v>30019106</v>
      </c>
      <c r="E332" s="687">
        <v>6351</v>
      </c>
      <c r="F332" s="700"/>
      <c r="G332" s="700" t="s">
        <v>1096</v>
      </c>
      <c r="H332" s="705"/>
      <c r="I332" s="705"/>
      <c r="J332" s="703"/>
      <c r="K332" s="703"/>
      <c r="L332" s="703">
        <f>852</f>
        <v>852</v>
      </c>
      <c r="M332" s="703"/>
      <c r="N332" s="703">
        <v>2712</v>
      </c>
      <c r="O332" s="703">
        <v>2633</v>
      </c>
      <c r="P332" s="695">
        <f t="shared" si="44"/>
        <v>0.9708702064896755</v>
      </c>
      <c r="Q332" s="704"/>
      <c r="R332" s="704"/>
      <c r="S332" s="704"/>
      <c r="T332" s="700" t="s">
        <v>1097</v>
      </c>
    </row>
    <row r="333" spans="1:20" ht="12.75">
      <c r="A333" s="686"/>
      <c r="B333" s="705"/>
      <c r="C333" s="708" t="s">
        <v>1098</v>
      </c>
      <c r="D333" s="687"/>
      <c r="E333" s="687"/>
      <c r="F333" s="700"/>
      <c r="G333" s="700"/>
      <c r="H333" s="705"/>
      <c r="I333" s="705"/>
      <c r="J333" s="703">
        <f aca="true" t="shared" si="47" ref="J333:O333">SUBTOTAL(9,J329:J332)</f>
        <v>25880</v>
      </c>
      <c r="K333" s="703">
        <f t="shared" si="47"/>
        <v>0</v>
      </c>
      <c r="L333" s="703">
        <f t="shared" si="47"/>
        <v>14952</v>
      </c>
      <c r="M333" s="703">
        <f t="shared" si="47"/>
        <v>0</v>
      </c>
      <c r="N333" s="703">
        <f t="shared" si="47"/>
        <v>2712</v>
      </c>
      <c r="O333" s="703">
        <f t="shared" si="47"/>
        <v>2633</v>
      </c>
      <c r="P333" s="695">
        <f t="shared" si="44"/>
        <v>0.9708702064896755</v>
      </c>
      <c r="Q333" s="704">
        <f>SUBTOTAL(9,Q329:Q332)</f>
        <v>300</v>
      </c>
      <c r="R333" s="704">
        <f>SUBTOTAL(9,R329:R332)</f>
        <v>3720</v>
      </c>
      <c r="S333" s="704">
        <f>SUBTOTAL(9,S329:S332)</f>
        <v>7760</v>
      </c>
      <c r="T333" s="700"/>
    </row>
    <row r="334" spans="1:20" ht="12.75">
      <c r="A334" s="686">
        <f>A332+1</f>
        <v>299</v>
      </c>
      <c r="B334" s="701" t="s">
        <v>300</v>
      </c>
      <c r="C334" s="687" t="s">
        <v>695</v>
      </c>
      <c r="D334" s="687">
        <v>2958</v>
      </c>
      <c r="E334" s="687">
        <v>6121</v>
      </c>
      <c r="F334" s="700"/>
      <c r="G334" s="700" t="s">
        <v>1099</v>
      </c>
      <c r="H334" s="687">
        <v>2012</v>
      </c>
      <c r="I334" s="687">
        <v>2016</v>
      </c>
      <c r="J334" s="703">
        <v>113521</v>
      </c>
      <c r="K334" s="703"/>
      <c r="L334" s="703"/>
      <c r="M334" s="703"/>
      <c r="N334" s="703"/>
      <c r="O334" s="703"/>
      <c r="P334" s="695" t="str">
        <f t="shared" si="44"/>
        <v> </v>
      </c>
      <c r="Q334" s="704"/>
      <c r="R334" s="704"/>
      <c r="S334" s="704">
        <v>113521</v>
      </c>
      <c r="T334" s="700" t="s">
        <v>747</v>
      </c>
    </row>
    <row r="335" spans="1:20" ht="12.75">
      <c r="A335" s="686"/>
      <c r="B335" s="701"/>
      <c r="C335" s="708" t="s">
        <v>1100</v>
      </c>
      <c r="D335" s="687"/>
      <c r="E335" s="687"/>
      <c r="F335" s="700"/>
      <c r="G335" s="700"/>
      <c r="H335" s="687"/>
      <c r="I335" s="687"/>
      <c r="J335" s="703">
        <f aca="true" t="shared" si="48" ref="J335:O335">SUBTOTAL(9,J334:J334)</f>
        <v>113521</v>
      </c>
      <c r="K335" s="703">
        <f t="shared" si="48"/>
        <v>0</v>
      </c>
      <c r="L335" s="703">
        <f t="shared" si="48"/>
        <v>0</v>
      </c>
      <c r="M335" s="703">
        <f t="shared" si="48"/>
        <v>0</v>
      </c>
      <c r="N335" s="703">
        <f t="shared" si="48"/>
        <v>0</v>
      </c>
      <c r="O335" s="703">
        <f t="shared" si="48"/>
        <v>0</v>
      </c>
      <c r="P335" s="695" t="str">
        <f t="shared" si="44"/>
        <v> </v>
      </c>
      <c r="Q335" s="704">
        <f>SUBTOTAL(9,Q334:Q334)</f>
        <v>0</v>
      </c>
      <c r="R335" s="704">
        <f>SUBTOTAL(9,R334:R334)</f>
        <v>0</v>
      </c>
      <c r="S335" s="704">
        <f>SUBTOTAL(9,S334:S334)</f>
        <v>113521</v>
      </c>
      <c r="T335" s="700"/>
    </row>
    <row r="336" spans="1:20" ht="12.75">
      <c r="A336" s="686">
        <f>A334+1</f>
        <v>300</v>
      </c>
      <c r="B336" s="701" t="s">
        <v>299</v>
      </c>
      <c r="C336" s="687" t="s">
        <v>696</v>
      </c>
      <c r="D336" s="687">
        <v>2850</v>
      </c>
      <c r="E336" s="687">
        <v>6121</v>
      </c>
      <c r="F336" s="700"/>
      <c r="G336" s="700" t="s">
        <v>1101</v>
      </c>
      <c r="H336" s="687">
        <v>2013</v>
      </c>
      <c r="I336" s="687">
        <v>2013</v>
      </c>
      <c r="J336" s="703">
        <v>600</v>
      </c>
      <c r="K336" s="703"/>
      <c r="L336" s="703"/>
      <c r="M336" s="703"/>
      <c r="N336" s="703">
        <v>600</v>
      </c>
      <c r="O336" s="703"/>
      <c r="P336" s="695">
        <f t="shared" si="44"/>
        <v>0</v>
      </c>
      <c r="Q336" s="704">
        <v>2000</v>
      </c>
      <c r="R336" s="704"/>
      <c r="S336" s="704">
        <v>113521</v>
      </c>
      <c r="T336" s="700" t="s">
        <v>741</v>
      </c>
    </row>
    <row r="337" spans="1:20" ht="12.75">
      <c r="A337" s="686"/>
      <c r="B337" s="701"/>
      <c r="C337" s="708" t="s">
        <v>1102</v>
      </c>
      <c r="D337" s="687"/>
      <c r="E337" s="687"/>
      <c r="F337" s="700"/>
      <c r="G337" s="700"/>
      <c r="H337" s="687"/>
      <c r="I337" s="687"/>
      <c r="J337" s="703">
        <f aca="true" t="shared" si="49" ref="J337:O337">SUBTOTAL(9,J336:J336)</f>
        <v>600</v>
      </c>
      <c r="K337" s="703">
        <f t="shared" si="49"/>
        <v>0</v>
      </c>
      <c r="L337" s="703">
        <f t="shared" si="49"/>
        <v>0</v>
      </c>
      <c r="M337" s="703">
        <f t="shared" si="49"/>
        <v>0</v>
      </c>
      <c r="N337" s="703">
        <f t="shared" si="49"/>
        <v>600</v>
      </c>
      <c r="O337" s="703">
        <f t="shared" si="49"/>
        <v>0</v>
      </c>
      <c r="P337" s="695">
        <f t="shared" si="44"/>
        <v>0</v>
      </c>
      <c r="Q337" s="704">
        <f>SUBTOTAL(9,Q336:Q336)</f>
        <v>2000</v>
      </c>
      <c r="R337" s="704">
        <f>SUBTOTAL(9,R336:R336)</f>
        <v>0</v>
      </c>
      <c r="S337" s="704">
        <f>SUBTOTAL(9,S336:S336)</f>
        <v>113521</v>
      </c>
      <c r="T337" s="700"/>
    </row>
    <row r="338" spans="1:20" ht="12.75">
      <c r="A338" s="686">
        <f>A336+1</f>
        <v>301</v>
      </c>
      <c r="B338" s="701" t="s">
        <v>300</v>
      </c>
      <c r="C338" s="687" t="s">
        <v>697</v>
      </c>
      <c r="D338" s="687">
        <v>2818</v>
      </c>
      <c r="E338" s="687">
        <v>6901</v>
      </c>
      <c r="F338" s="700">
        <v>41</v>
      </c>
      <c r="G338" s="700" t="s">
        <v>1103</v>
      </c>
      <c r="H338" s="687"/>
      <c r="I338" s="687"/>
      <c r="J338" s="703"/>
      <c r="K338" s="703"/>
      <c r="L338" s="703"/>
      <c r="M338" s="703"/>
      <c r="N338" s="703"/>
      <c r="O338" s="703"/>
      <c r="P338" s="695" t="str">
        <f t="shared" si="44"/>
        <v> </v>
      </c>
      <c r="Q338" s="704">
        <v>20000</v>
      </c>
      <c r="R338" s="704"/>
      <c r="S338" s="704"/>
      <c r="T338" s="700" t="s">
        <v>747</v>
      </c>
    </row>
    <row r="339" spans="1:20" ht="12.75">
      <c r="A339" s="686">
        <f aca="true" t="shared" si="50" ref="A339:A348">A338+1</f>
        <v>302</v>
      </c>
      <c r="B339" s="701" t="s">
        <v>300</v>
      </c>
      <c r="C339" s="687" t="s">
        <v>697</v>
      </c>
      <c r="D339" s="687">
        <v>2960</v>
      </c>
      <c r="E339" s="687">
        <v>6121</v>
      </c>
      <c r="F339" s="700"/>
      <c r="G339" s="700" t="s">
        <v>1104</v>
      </c>
      <c r="H339" s="707">
        <v>2011</v>
      </c>
      <c r="I339" s="687">
        <v>2013</v>
      </c>
      <c r="J339" s="703">
        <v>2000</v>
      </c>
      <c r="K339" s="703"/>
      <c r="L339" s="703">
        <f>23+359</f>
        <v>382</v>
      </c>
      <c r="M339" s="703">
        <v>117</v>
      </c>
      <c r="N339" s="703">
        <v>117</v>
      </c>
      <c r="O339" s="703">
        <v>74</v>
      </c>
      <c r="P339" s="695">
        <f t="shared" si="44"/>
        <v>0.6324786324786325</v>
      </c>
      <c r="Q339" s="704"/>
      <c r="R339" s="704"/>
      <c r="S339" s="704"/>
      <c r="T339" s="700" t="s">
        <v>747</v>
      </c>
    </row>
    <row r="340" spans="1:20" ht="12.75">
      <c r="A340" s="686">
        <f t="shared" si="50"/>
        <v>303</v>
      </c>
      <c r="B340" s="701" t="s">
        <v>300</v>
      </c>
      <c r="C340" s="687" t="s">
        <v>697</v>
      </c>
      <c r="D340" s="687">
        <v>3130</v>
      </c>
      <c r="E340" s="687">
        <v>6121</v>
      </c>
      <c r="F340" s="700"/>
      <c r="G340" s="700" t="s">
        <v>1105</v>
      </c>
      <c r="H340" s="687"/>
      <c r="I340" s="687"/>
      <c r="J340" s="703"/>
      <c r="K340" s="703"/>
      <c r="L340" s="703">
        <v>10481</v>
      </c>
      <c r="M340" s="703">
        <v>1000</v>
      </c>
      <c r="N340" s="703">
        <v>650</v>
      </c>
      <c r="O340" s="703">
        <v>67</v>
      </c>
      <c r="P340" s="695">
        <f t="shared" si="44"/>
        <v>0.10307692307692308</v>
      </c>
      <c r="Q340" s="704">
        <v>1000</v>
      </c>
      <c r="R340" s="704"/>
      <c r="S340" s="704"/>
      <c r="T340" s="700" t="s">
        <v>747</v>
      </c>
    </row>
    <row r="341" spans="1:20" ht="12.75">
      <c r="A341" s="686">
        <f t="shared" si="50"/>
        <v>304</v>
      </c>
      <c r="B341" s="701" t="s">
        <v>213</v>
      </c>
      <c r="C341" s="687" t="s">
        <v>697</v>
      </c>
      <c r="D341" s="687">
        <v>3283</v>
      </c>
      <c r="E341" s="687">
        <v>6121</v>
      </c>
      <c r="F341" s="700"/>
      <c r="G341" s="700" t="s">
        <v>1106</v>
      </c>
      <c r="H341" s="707">
        <v>2005</v>
      </c>
      <c r="I341" s="687">
        <v>2013</v>
      </c>
      <c r="J341" s="703">
        <f>31457+1000</f>
        <v>32457</v>
      </c>
      <c r="K341" s="703"/>
      <c r="L341" s="703">
        <f>19457+2665+3147</f>
        <v>25269</v>
      </c>
      <c r="M341" s="703"/>
      <c r="N341" s="703">
        <v>3000</v>
      </c>
      <c r="O341" s="703">
        <v>2952</v>
      </c>
      <c r="P341" s="695">
        <f t="shared" si="44"/>
        <v>0.984</v>
      </c>
      <c r="Q341" s="704"/>
      <c r="R341" s="704"/>
      <c r="S341" s="704"/>
      <c r="T341" s="700" t="s">
        <v>1071</v>
      </c>
    </row>
    <row r="342" spans="1:20" ht="12.75">
      <c r="A342" s="686">
        <f t="shared" si="50"/>
        <v>305</v>
      </c>
      <c r="B342" s="701" t="s">
        <v>1107</v>
      </c>
      <c r="C342" s="687" t="s">
        <v>697</v>
      </c>
      <c r="D342" s="687">
        <v>3437</v>
      </c>
      <c r="E342" s="687">
        <v>6130</v>
      </c>
      <c r="F342" s="700"/>
      <c r="G342" s="700" t="s">
        <v>1108</v>
      </c>
      <c r="H342" s="687"/>
      <c r="I342" s="687"/>
      <c r="J342" s="703"/>
      <c r="K342" s="703"/>
      <c r="L342" s="703">
        <f>198140+18830+12751</f>
        <v>229721</v>
      </c>
      <c r="M342" s="703">
        <v>11000</v>
      </c>
      <c r="N342" s="703">
        <v>10453</v>
      </c>
      <c r="O342" s="703">
        <v>10453</v>
      </c>
      <c r="P342" s="695">
        <f t="shared" si="44"/>
        <v>1</v>
      </c>
      <c r="Q342" s="704">
        <v>2500</v>
      </c>
      <c r="R342" s="704"/>
      <c r="S342" s="704"/>
      <c r="T342" s="700" t="s">
        <v>1109</v>
      </c>
    </row>
    <row r="343" spans="1:20" ht="12.75">
      <c r="A343" s="686">
        <f t="shared" si="50"/>
        <v>306</v>
      </c>
      <c r="B343" s="701" t="s">
        <v>262</v>
      </c>
      <c r="C343" s="687" t="s">
        <v>697</v>
      </c>
      <c r="D343" s="687">
        <v>4914</v>
      </c>
      <c r="E343" s="687">
        <v>6119</v>
      </c>
      <c r="F343" s="700"/>
      <c r="G343" s="700" t="s">
        <v>1110</v>
      </c>
      <c r="H343" s="687"/>
      <c r="I343" s="687"/>
      <c r="J343" s="703"/>
      <c r="K343" s="703"/>
      <c r="L343" s="703">
        <f>78719+5450+3938</f>
        <v>88107</v>
      </c>
      <c r="M343" s="703">
        <v>3000</v>
      </c>
      <c r="N343" s="703">
        <v>646</v>
      </c>
      <c r="O343" s="703">
        <v>561</v>
      </c>
      <c r="P343" s="695">
        <f t="shared" si="44"/>
        <v>0.868421052631579</v>
      </c>
      <c r="Q343" s="704">
        <v>5000</v>
      </c>
      <c r="R343" s="704"/>
      <c r="S343" s="704"/>
      <c r="T343" s="700" t="s">
        <v>1002</v>
      </c>
    </row>
    <row r="344" spans="1:20" ht="12.75">
      <c r="A344" s="686">
        <f t="shared" si="50"/>
        <v>307</v>
      </c>
      <c r="B344" s="701" t="s">
        <v>176</v>
      </c>
      <c r="C344" s="687" t="s">
        <v>697</v>
      </c>
      <c r="D344" s="687">
        <v>4925</v>
      </c>
      <c r="E344" s="687">
        <v>6901</v>
      </c>
      <c r="F344" s="700">
        <v>41</v>
      </c>
      <c r="G344" s="700" t="s">
        <v>1111</v>
      </c>
      <c r="H344" s="687"/>
      <c r="I344" s="687"/>
      <c r="J344" s="703"/>
      <c r="K344" s="703"/>
      <c r="L344" s="703"/>
      <c r="M344" s="703">
        <v>240000</v>
      </c>
      <c r="N344" s="703">
        <v>84571</v>
      </c>
      <c r="O344" s="703"/>
      <c r="P344" s="695">
        <f t="shared" si="44"/>
        <v>0</v>
      </c>
      <c r="Q344" s="704">
        <v>162250</v>
      </c>
      <c r="R344" s="704"/>
      <c r="S344" s="704"/>
      <c r="T344" s="700" t="s">
        <v>1069</v>
      </c>
    </row>
    <row r="345" spans="1:20" ht="12.75">
      <c r="A345" s="686">
        <f t="shared" si="50"/>
        <v>308</v>
      </c>
      <c r="B345" s="701" t="s">
        <v>940</v>
      </c>
      <c r="C345" s="687" t="s">
        <v>697</v>
      </c>
      <c r="D345" s="687">
        <v>4988</v>
      </c>
      <c r="E345" s="687"/>
      <c r="F345" s="700"/>
      <c r="G345" s="700" t="s">
        <v>1112</v>
      </c>
      <c r="H345" s="687"/>
      <c r="I345" s="687"/>
      <c r="J345" s="703"/>
      <c r="K345" s="703"/>
      <c r="L345" s="703"/>
      <c r="M345" s="703"/>
      <c r="N345" s="703">
        <v>60</v>
      </c>
      <c r="O345" s="703">
        <v>60</v>
      </c>
      <c r="P345" s="695">
        <f t="shared" si="44"/>
        <v>1</v>
      </c>
      <c r="Q345" s="704"/>
      <c r="R345" s="704"/>
      <c r="S345" s="704"/>
      <c r="T345" s="700" t="s">
        <v>942</v>
      </c>
    </row>
    <row r="346" spans="1:20" ht="12.75">
      <c r="A346" s="686">
        <f t="shared" si="50"/>
        <v>309</v>
      </c>
      <c r="B346" s="701" t="s">
        <v>300</v>
      </c>
      <c r="C346" s="687" t="s">
        <v>697</v>
      </c>
      <c r="D346" s="687">
        <v>5099</v>
      </c>
      <c r="E346" s="687">
        <v>6121</v>
      </c>
      <c r="F346" s="702" t="s">
        <v>796</v>
      </c>
      <c r="G346" s="700" t="s">
        <v>1113</v>
      </c>
      <c r="H346" s="687"/>
      <c r="I346" s="687"/>
      <c r="J346" s="703"/>
      <c r="K346" s="703"/>
      <c r="L346" s="703"/>
      <c r="M346" s="703"/>
      <c r="N346" s="703"/>
      <c r="O346" s="703"/>
      <c r="P346" s="695" t="str">
        <f t="shared" si="44"/>
        <v> </v>
      </c>
      <c r="Q346" s="704">
        <v>20000</v>
      </c>
      <c r="R346" s="704"/>
      <c r="S346" s="704"/>
      <c r="T346" s="700" t="s">
        <v>747</v>
      </c>
    </row>
    <row r="347" spans="1:20" ht="12.75">
      <c r="A347" s="686">
        <f t="shared" si="50"/>
        <v>310</v>
      </c>
      <c r="B347" s="701" t="s">
        <v>300</v>
      </c>
      <c r="C347" s="687" t="s">
        <v>697</v>
      </c>
      <c r="D347" s="687">
        <v>5184</v>
      </c>
      <c r="E347" s="687"/>
      <c r="F347" s="702" t="s">
        <v>796</v>
      </c>
      <c r="G347" s="700" t="s">
        <v>1114</v>
      </c>
      <c r="H347" s="687">
        <v>2013</v>
      </c>
      <c r="I347" s="687">
        <v>2014</v>
      </c>
      <c r="J347" s="703">
        <v>1089</v>
      </c>
      <c r="K347" s="703">
        <v>979</v>
      </c>
      <c r="L347" s="703"/>
      <c r="M347" s="703"/>
      <c r="N347" s="703">
        <v>60</v>
      </c>
      <c r="O347" s="703"/>
      <c r="P347" s="695">
        <f t="shared" si="44"/>
        <v>0</v>
      </c>
      <c r="Q347" s="704">
        <v>700</v>
      </c>
      <c r="R347" s="704"/>
      <c r="S347" s="704"/>
      <c r="T347" s="700" t="s">
        <v>747</v>
      </c>
    </row>
    <row r="348" spans="1:20" ht="12.75">
      <c r="A348" s="686">
        <f t="shared" si="50"/>
        <v>311</v>
      </c>
      <c r="B348" s="701" t="s">
        <v>300</v>
      </c>
      <c r="C348" s="687" t="s">
        <v>697</v>
      </c>
      <c r="D348" s="687">
        <v>300399</v>
      </c>
      <c r="E348" s="687"/>
      <c r="F348" s="700"/>
      <c r="G348" s="700" t="s">
        <v>1115</v>
      </c>
      <c r="H348" s="687"/>
      <c r="I348" s="687"/>
      <c r="J348" s="703"/>
      <c r="K348" s="703"/>
      <c r="L348" s="703">
        <f>699</f>
        <v>699</v>
      </c>
      <c r="M348" s="703"/>
      <c r="N348" s="703"/>
      <c r="O348" s="703"/>
      <c r="P348" s="695" t="str">
        <f t="shared" si="44"/>
        <v> </v>
      </c>
      <c r="Q348" s="704"/>
      <c r="R348" s="704"/>
      <c r="S348" s="704"/>
      <c r="T348" s="700" t="s">
        <v>1071</v>
      </c>
    </row>
    <row r="349" spans="1:20" ht="12.75">
      <c r="A349" s="686"/>
      <c r="B349" s="701"/>
      <c r="C349" s="708" t="s">
        <v>1116</v>
      </c>
      <c r="D349" s="687"/>
      <c r="E349" s="687"/>
      <c r="F349" s="700"/>
      <c r="G349" s="700"/>
      <c r="H349" s="687"/>
      <c r="I349" s="687"/>
      <c r="J349" s="703">
        <f aca="true" t="shared" si="51" ref="J349:O349">SUBTOTAL(9,J338:J348)</f>
        <v>35546</v>
      </c>
      <c r="K349" s="703">
        <f t="shared" si="51"/>
        <v>979</v>
      </c>
      <c r="L349" s="703">
        <f t="shared" si="51"/>
        <v>354659</v>
      </c>
      <c r="M349" s="703">
        <f t="shared" si="51"/>
        <v>255117</v>
      </c>
      <c r="N349" s="703">
        <f t="shared" si="51"/>
        <v>99557</v>
      </c>
      <c r="O349" s="703">
        <f t="shared" si="51"/>
        <v>14167</v>
      </c>
      <c r="P349" s="695">
        <f t="shared" si="44"/>
        <v>0.14230039073093806</v>
      </c>
      <c r="Q349" s="704">
        <f>SUBTOTAL(9,Q338:Q348)</f>
        <v>211450</v>
      </c>
      <c r="R349" s="704">
        <f>SUBTOTAL(9,R338:R348)</f>
        <v>0</v>
      </c>
      <c r="S349" s="704">
        <f>SUBTOTAL(9,S338:S348)</f>
        <v>0</v>
      </c>
      <c r="T349" s="700"/>
    </row>
    <row r="350" spans="1:20" ht="12.75">
      <c r="A350" s="686">
        <f>A348+1</f>
        <v>312</v>
      </c>
      <c r="B350" s="701" t="s">
        <v>934</v>
      </c>
      <c r="C350" s="687" t="s">
        <v>698</v>
      </c>
      <c r="D350" s="687">
        <v>3120</v>
      </c>
      <c r="E350" s="687">
        <v>6201</v>
      </c>
      <c r="F350" s="700"/>
      <c r="G350" s="700" t="s">
        <v>1117</v>
      </c>
      <c r="H350" s="687"/>
      <c r="I350" s="687"/>
      <c r="J350" s="703"/>
      <c r="K350" s="703"/>
      <c r="L350" s="703">
        <f>71000+25000+20000</f>
        <v>116000</v>
      </c>
      <c r="M350" s="703">
        <v>1900</v>
      </c>
      <c r="N350" s="703">
        <v>1900</v>
      </c>
      <c r="O350" s="703">
        <v>1900</v>
      </c>
      <c r="P350" s="695">
        <f t="shared" si="44"/>
        <v>1</v>
      </c>
      <c r="Q350" s="704"/>
      <c r="R350" s="704"/>
      <c r="S350" s="704"/>
      <c r="T350" s="700" t="s">
        <v>936</v>
      </c>
    </row>
    <row r="351" spans="1:20" ht="12.75">
      <c r="A351" s="686"/>
      <c r="B351" s="701"/>
      <c r="C351" s="708" t="s">
        <v>1118</v>
      </c>
      <c r="D351" s="687"/>
      <c r="E351" s="687"/>
      <c r="F351" s="700"/>
      <c r="G351" s="700"/>
      <c r="H351" s="687"/>
      <c r="I351" s="687"/>
      <c r="J351" s="703">
        <f aca="true" t="shared" si="52" ref="J351:O351">SUBTOTAL(9,J350:J350)</f>
        <v>0</v>
      </c>
      <c r="K351" s="703">
        <f t="shared" si="52"/>
        <v>0</v>
      </c>
      <c r="L351" s="703">
        <f t="shared" si="52"/>
        <v>116000</v>
      </c>
      <c r="M351" s="703">
        <f t="shared" si="52"/>
        <v>1900</v>
      </c>
      <c r="N351" s="703">
        <f t="shared" si="52"/>
        <v>1900</v>
      </c>
      <c r="O351" s="703">
        <f t="shared" si="52"/>
        <v>1900</v>
      </c>
      <c r="P351" s="695">
        <f t="shared" si="44"/>
        <v>1</v>
      </c>
      <c r="Q351" s="704">
        <f>SUBTOTAL(9,Q350:Q350)</f>
        <v>0</v>
      </c>
      <c r="R351" s="704">
        <f>SUBTOTAL(9,R350:R350)</f>
        <v>0</v>
      </c>
      <c r="S351" s="704">
        <f>SUBTOTAL(9,S350:S350)</f>
        <v>0</v>
      </c>
      <c r="T351" s="700"/>
    </row>
    <row r="352" spans="1:20" ht="12.75">
      <c r="A352" s="686">
        <f>A350+1</f>
        <v>313</v>
      </c>
      <c r="B352" s="701" t="s">
        <v>300</v>
      </c>
      <c r="C352" s="687" t="s">
        <v>700</v>
      </c>
      <c r="D352" s="687">
        <v>5149</v>
      </c>
      <c r="E352" s="687">
        <v>6122</v>
      </c>
      <c r="F352" s="702" t="s">
        <v>796</v>
      </c>
      <c r="G352" s="700" t="s">
        <v>1119</v>
      </c>
      <c r="H352" s="687">
        <v>2012</v>
      </c>
      <c r="I352" s="687">
        <v>2013</v>
      </c>
      <c r="J352" s="703">
        <v>7098</v>
      </c>
      <c r="K352" s="703">
        <v>5062</v>
      </c>
      <c r="L352" s="703">
        <f>1</f>
        <v>1</v>
      </c>
      <c r="M352" s="703">
        <v>7095</v>
      </c>
      <c r="N352" s="703">
        <v>7095</v>
      </c>
      <c r="O352" s="703">
        <v>6534</v>
      </c>
      <c r="P352" s="695">
        <f t="shared" si="44"/>
        <v>0.9209302325581395</v>
      </c>
      <c r="Q352" s="704"/>
      <c r="R352" s="704"/>
      <c r="S352" s="704"/>
      <c r="T352" s="700" t="s">
        <v>747</v>
      </c>
    </row>
    <row r="353" spans="1:20" ht="12.75">
      <c r="A353" s="686"/>
      <c r="B353" s="701"/>
      <c r="C353" s="708" t="s">
        <v>1120</v>
      </c>
      <c r="D353" s="687"/>
      <c r="E353" s="687"/>
      <c r="F353" s="702"/>
      <c r="G353" s="700"/>
      <c r="H353" s="687"/>
      <c r="I353" s="687"/>
      <c r="J353" s="703">
        <f aca="true" t="shared" si="53" ref="J353:O353">SUBTOTAL(9,J352:J352)</f>
        <v>7098</v>
      </c>
      <c r="K353" s="703">
        <f t="shared" si="53"/>
        <v>5062</v>
      </c>
      <c r="L353" s="703">
        <f t="shared" si="53"/>
        <v>1</v>
      </c>
      <c r="M353" s="703">
        <f t="shared" si="53"/>
        <v>7095</v>
      </c>
      <c r="N353" s="703">
        <f t="shared" si="53"/>
        <v>7095</v>
      </c>
      <c r="O353" s="703">
        <f t="shared" si="53"/>
        <v>6534</v>
      </c>
      <c r="P353" s="695">
        <f t="shared" si="44"/>
        <v>0.9209302325581395</v>
      </c>
      <c r="Q353" s="704">
        <f>SUBTOTAL(9,Q352:Q352)</f>
        <v>0</v>
      </c>
      <c r="R353" s="704">
        <f>SUBTOTAL(9,R352:R352)</f>
        <v>0</v>
      </c>
      <c r="S353" s="704">
        <f>SUBTOTAL(9,S352:S352)</f>
        <v>0</v>
      </c>
      <c r="T353" s="700"/>
    </row>
    <row r="354" spans="1:20" ht="12.75">
      <c r="A354" s="686">
        <f>A352+1</f>
        <v>314</v>
      </c>
      <c r="B354" s="701" t="s">
        <v>300</v>
      </c>
      <c r="C354" s="687" t="s">
        <v>701</v>
      </c>
      <c r="D354" s="687">
        <v>2899</v>
      </c>
      <c r="E354" s="687">
        <v>6121</v>
      </c>
      <c r="F354" s="700"/>
      <c r="G354" s="700" t="s">
        <v>1121</v>
      </c>
      <c r="H354" s="687">
        <v>2013</v>
      </c>
      <c r="I354" s="687">
        <v>2013</v>
      </c>
      <c r="J354" s="703">
        <v>120</v>
      </c>
      <c r="K354" s="703"/>
      <c r="L354" s="703"/>
      <c r="M354" s="703"/>
      <c r="N354" s="703">
        <v>120</v>
      </c>
      <c r="O354" s="703"/>
      <c r="P354" s="695">
        <f t="shared" si="44"/>
        <v>0</v>
      </c>
      <c r="Q354" s="704">
        <v>1380</v>
      </c>
      <c r="R354" s="704"/>
      <c r="S354" s="704"/>
      <c r="T354" s="700" t="s">
        <v>747</v>
      </c>
    </row>
    <row r="355" spans="1:20" ht="12.75">
      <c r="A355" s="686">
        <f>A354+1</f>
        <v>315</v>
      </c>
      <c r="B355" s="705" t="s">
        <v>1095</v>
      </c>
      <c r="C355" s="687" t="s">
        <v>701</v>
      </c>
      <c r="D355" s="687">
        <v>2901</v>
      </c>
      <c r="E355" s="687">
        <v>6121</v>
      </c>
      <c r="F355" s="702"/>
      <c r="G355" s="700" t="s">
        <v>1122</v>
      </c>
      <c r="H355" s="687">
        <v>2012</v>
      </c>
      <c r="I355" s="687">
        <v>2016</v>
      </c>
      <c r="J355" s="703">
        <v>15089</v>
      </c>
      <c r="K355" s="703"/>
      <c r="L355" s="703">
        <f>1874</f>
        <v>1874</v>
      </c>
      <c r="M355" s="703">
        <v>3333</v>
      </c>
      <c r="N355" s="703">
        <v>3333</v>
      </c>
      <c r="O355" s="703">
        <v>3333</v>
      </c>
      <c r="P355" s="695">
        <f t="shared" si="44"/>
        <v>1</v>
      </c>
      <c r="Q355" s="704"/>
      <c r="R355" s="704"/>
      <c r="S355" s="704"/>
      <c r="T355" s="700" t="s">
        <v>1097</v>
      </c>
    </row>
    <row r="356" spans="1:20" ht="12.75">
      <c r="A356" s="686">
        <f>A355+1</f>
        <v>316</v>
      </c>
      <c r="B356" s="705" t="s">
        <v>1095</v>
      </c>
      <c r="C356" s="687" t="s">
        <v>701</v>
      </c>
      <c r="D356" s="687">
        <v>2920</v>
      </c>
      <c r="E356" s="687">
        <v>6121</v>
      </c>
      <c r="F356" s="702"/>
      <c r="G356" s="700" t="s">
        <v>1123</v>
      </c>
      <c r="H356" s="687"/>
      <c r="I356" s="687"/>
      <c r="J356" s="703"/>
      <c r="K356" s="703"/>
      <c r="L356" s="703"/>
      <c r="M356" s="703">
        <v>667</v>
      </c>
      <c r="N356" s="703">
        <v>667</v>
      </c>
      <c r="O356" s="703">
        <v>667</v>
      </c>
      <c r="P356" s="695">
        <f t="shared" si="44"/>
        <v>1</v>
      </c>
      <c r="Q356" s="704"/>
      <c r="R356" s="704"/>
      <c r="S356" s="704"/>
      <c r="T356" s="700" t="s">
        <v>1097</v>
      </c>
    </row>
    <row r="357" spans="1:20" ht="12.75">
      <c r="A357" s="686"/>
      <c r="B357" s="705"/>
      <c r="C357" s="708" t="s">
        <v>1124</v>
      </c>
      <c r="D357" s="687"/>
      <c r="E357" s="687"/>
      <c r="F357" s="702"/>
      <c r="G357" s="700"/>
      <c r="H357" s="687"/>
      <c r="I357" s="687"/>
      <c r="J357" s="703">
        <f aca="true" t="shared" si="54" ref="J357:O357">SUBTOTAL(9,J354:J356)</f>
        <v>15209</v>
      </c>
      <c r="K357" s="703">
        <f t="shared" si="54"/>
        <v>0</v>
      </c>
      <c r="L357" s="703">
        <f t="shared" si="54"/>
        <v>1874</v>
      </c>
      <c r="M357" s="703">
        <f t="shared" si="54"/>
        <v>4000</v>
      </c>
      <c r="N357" s="703">
        <f t="shared" si="54"/>
        <v>4120</v>
      </c>
      <c r="O357" s="703">
        <f t="shared" si="54"/>
        <v>4000</v>
      </c>
      <c r="P357" s="695">
        <f t="shared" si="44"/>
        <v>0.970873786407767</v>
      </c>
      <c r="Q357" s="704">
        <f>SUBTOTAL(9,Q354:Q356)</f>
        <v>1380</v>
      </c>
      <c r="R357" s="704">
        <f>SUBTOTAL(9,R354:R356)</f>
        <v>0</v>
      </c>
      <c r="S357" s="704">
        <f>SUBTOTAL(9,S354:S356)</f>
        <v>0</v>
      </c>
      <c r="T357" s="700"/>
    </row>
    <row r="358" spans="1:20" ht="12.75">
      <c r="A358" s="686">
        <f>A356+1</f>
        <v>317</v>
      </c>
      <c r="B358" s="701" t="s">
        <v>300</v>
      </c>
      <c r="C358" s="687" t="s">
        <v>702</v>
      </c>
      <c r="D358" s="687">
        <v>3119</v>
      </c>
      <c r="E358" s="687">
        <v>6121</v>
      </c>
      <c r="F358" s="700"/>
      <c r="G358" s="700" t="s">
        <v>1125</v>
      </c>
      <c r="H358" s="707">
        <v>2008</v>
      </c>
      <c r="I358" s="687">
        <v>2016</v>
      </c>
      <c r="J358" s="703">
        <v>1525</v>
      </c>
      <c r="K358" s="703"/>
      <c r="L358" s="703">
        <v>52</v>
      </c>
      <c r="M358" s="703"/>
      <c r="N358" s="703"/>
      <c r="O358" s="703"/>
      <c r="P358" s="695" t="str">
        <f t="shared" si="44"/>
        <v> </v>
      </c>
      <c r="Q358" s="704"/>
      <c r="R358" s="704"/>
      <c r="S358" s="704">
        <v>1473</v>
      </c>
      <c r="T358" s="700" t="s">
        <v>747</v>
      </c>
    </row>
    <row r="359" spans="1:20" ht="12.75">
      <c r="A359" s="686">
        <f aca="true" t="shared" si="55" ref="A359:A364">A358+1</f>
        <v>318</v>
      </c>
      <c r="B359" s="701" t="s">
        <v>300</v>
      </c>
      <c r="C359" s="687" t="s">
        <v>702</v>
      </c>
      <c r="D359" s="687">
        <v>3256</v>
      </c>
      <c r="E359" s="687">
        <v>6121</v>
      </c>
      <c r="F359" s="700"/>
      <c r="G359" s="700" t="s">
        <v>1126</v>
      </c>
      <c r="H359" s="707">
        <v>2006</v>
      </c>
      <c r="I359" s="687">
        <v>2014</v>
      </c>
      <c r="J359" s="703">
        <v>52000</v>
      </c>
      <c r="K359" s="703"/>
      <c r="L359" s="703">
        <f>31159+700</f>
        <v>31859</v>
      </c>
      <c r="M359" s="703"/>
      <c r="N359" s="703"/>
      <c r="O359" s="703"/>
      <c r="P359" s="695" t="str">
        <f t="shared" si="44"/>
        <v> </v>
      </c>
      <c r="Q359" s="704"/>
      <c r="R359" s="704"/>
      <c r="S359" s="704"/>
      <c r="T359" s="700" t="s">
        <v>747</v>
      </c>
    </row>
    <row r="360" spans="1:20" ht="12.75">
      <c r="A360" s="686">
        <f t="shared" si="55"/>
        <v>319</v>
      </c>
      <c r="B360" s="701" t="s">
        <v>300</v>
      </c>
      <c r="C360" s="687" t="s">
        <v>702</v>
      </c>
      <c r="D360" s="687">
        <v>4877</v>
      </c>
      <c r="E360" s="687">
        <v>6121</v>
      </c>
      <c r="F360" s="700"/>
      <c r="G360" s="700" t="s">
        <v>1127</v>
      </c>
      <c r="H360" s="707">
        <v>2001</v>
      </c>
      <c r="I360" s="707">
        <v>2016</v>
      </c>
      <c r="J360" s="703">
        <v>20000</v>
      </c>
      <c r="K360" s="703"/>
      <c r="L360" s="703"/>
      <c r="M360" s="703"/>
      <c r="N360" s="703"/>
      <c r="O360" s="703"/>
      <c r="P360" s="695" t="str">
        <f t="shared" si="44"/>
        <v> </v>
      </c>
      <c r="Q360" s="704"/>
      <c r="R360" s="704"/>
      <c r="S360" s="704">
        <v>20000</v>
      </c>
      <c r="T360" s="700" t="s">
        <v>747</v>
      </c>
    </row>
    <row r="361" spans="1:20" ht="12.75">
      <c r="A361" s="686">
        <f t="shared" si="55"/>
        <v>320</v>
      </c>
      <c r="B361" s="701" t="s">
        <v>300</v>
      </c>
      <c r="C361" s="687" t="s">
        <v>702</v>
      </c>
      <c r="D361" s="687">
        <v>4878</v>
      </c>
      <c r="E361" s="687">
        <v>6121</v>
      </c>
      <c r="F361" s="700"/>
      <c r="G361" s="700" t="s">
        <v>1128</v>
      </c>
      <c r="H361" s="707">
        <v>2001</v>
      </c>
      <c r="I361" s="707">
        <v>2014</v>
      </c>
      <c r="J361" s="703">
        <v>54400</v>
      </c>
      <c r="K361" s="703"/>
      <c r="L361" s="703">
        <v>13303</v>
      </c>
      <c r="M361" s="703"/>
      <c r="N361" s="703"/>
      <c r="O361" s="703"/>
      <c r="P361" s="695" t="str">
        <f t="shared" si="44"/>
        <v> </v>
      </c>
      <c r="Q361" s="704"/>
      <c r="R361" s="704"/>
      <c r="S361" s="704">
        <v>41097</v>
      </c>
      <c r="T361" s="700" t="s">
        <v>747</v>
      </c>
    </row>
    <row r="362" spans="1:20" ht="12.75">
      <c r="A362" s="686">
        <f t="shared" si="55"/>
        <v>321</v>
      </c>
      <c r="B362" s="705">
        <v>5600</v>
      </c>
      <c r="C362" s="687" t="s">
        <v>702</v>
      </c>
      <c r="D362" s="687">
        <v>5139</v>
      </c>
      <c r="E362" s="687">
        <v>6121</v>
      </c>
      <c r="F362" s="702" t="s">
        <v>796</v>
      </c>
      <c r="G362" s="700" t="s">
        <v>1129</v>
      </c>
      <c r="H362" s="687">
        <v>2011</v>
      </c>
      <c r="I362" s="687">
        <v>2013</v>
      </c>
      <c r="J362" s="703">
        <v>7439</v>
      </c>
      <c r="K362" s="703">
        <v>6000</v>
      </c>
      <c r="L362" s="703">
        <f>185</f>
        <v>185</v>
      </c>
      <c r="M362" s="703">
        <v>4000</v>
      </c>
      <c r="N362" s="703">
        <v>4000</v>
      </c>
      <c r="O362" s="703">
        <v>3346</v>
      </c>
      <c r="P362" s="695">
        <f t="shared" si="44"/>
        <v>0.8365</v>
      </c>
      <c r="Q362" s="704">
        <v>3000</v>
      </c>
      <c r="R362" s="704"/>
      <c r="S362" s="704"/>
      <c r="T362" s="700" t="s">
        <v>747</v>
      </c>
    </row>
    <row r="363" spans="1:20" ht="12.75">
      <c r="A363" s="686">
        <f t="shared" si="55"/>
        <v>322</v>
      </c>
      <c r="B363" s="705">
        <v>5600</v>
      </c>
      <c r="C363" s="687" t="s">
        <v>702</v>
      </c>
      <c r="D363" s="687">
        <v>5140</v>
      </c>
      <c r="E363" s="687">
        <v>6121</v>
      </c>
      <c r="F363" s="702" t="s">
        <v>796</v>
      </c>
      <c r="G363" s="700" t="s">
        <v>1130</v>
      </c>
      <c r="H363" s="687">
        <v>2011</v>
      </c>
      <c r="I363" s="687">
        <v>2013</v>
      </c>
      <c r="J363" s="703">
        <v>25446</v>
      </c>
      <c r="K363" s="703">
        <v>20703</v>
      </c>
      <c r="L363" s="703">
        <f>11</f>
        <v>11</v>
      </c>
      <c r="M363" s="703">
        <v>8000</v>
      </c>
      <c r="N363" s="703">
        <v>8000</v>
      </c>
      <c r="O363" s="703">
        <v>396</v>
      </c>
      <c r="P363" s="695">
        <f t="shared" si="44"/>
        <v>0.0495</v>
      </c>
      <c r="Q363" s="704">
        <v>10000</v>
      </c>
      <c r="R363" s="704"/>
      <c r="S363" s="704"/>
      <c r="T363" s="700" t="s">
        <v>747</v>
      </c>
    </row>
    <row r="364" spans="1:20" ht="12.75">
      <c r="A364" s="686">
        <f t="shared" si="55"/>
        <v>323</v>
      </c>
      <c r="B364" s="705">
        <v>5600</v>
      </c>
      <c r="C364" s="687" t="s">
        <v>702</v>
      </c>
      <c r="D364" s="687">
        <v>5141</v>
      </c>
      <c r="E364" s="687">
        <v>6121</v>
      </c>
      <c r="F364" s="702" t="s">
        <v>796</v>
      </c>
      <c r="G364" s="700" t="s">
        <v>1131</v>
      </c>
      <c r="H364" s="687">
        <v>2011</v>
      </c>
      <c r="I364" s="687">
        <v>2013</v>
      </c>
      <c r="J364" s="703">
        <v>32900</v>
      </c>
      <c r="K364" s="703">
        <v>23027</v>
      </c>
      <c r="L364" s="703">
        <f>726</f>
        <v>726</v>
      </c>
      <c r="M364" s="703">
        <v>12000</v>
      </c>
      <c r="N364" s="703">
        <v>12000</v>
      </c>
      <c r="O364" s="703">
        <v>4773</v>
      </c>
      <c r="P364" s="695">
        <f t="shared" si="44"/>
        <v>0.39775</v>
      </c>
      <c r="Q364" s="704">
        <v>10000</v>
      </c>
      <c r="R364" s="704"/>
      <c r="S364" s="704"/>
      <c r="T364" s="700" t="s">
        <v>747</v>
      </c>
    </row>
    <row r="365" spans="1:20" ht="12.75">
      <c r="A365" s="686"/>
      <c r="B365" s="705"/>
      <c r="C365" s="708" t="s">
        <v>1132</v>
      </c>
      <c r="D365" s="687"/>
      <c r="E365" s="687"/>
      <c r="F365" s="702"/>
      <c r="G365" s="700"/>
      <c r="H365" s="687"/>
      <c r="I365" s="687"/>
      <c r="J365" s="703">
        <f aca="true" t="shared" si="56" ref="J365:O365">SUBTOTAL(9,J358:J364)</f>
        <v>193710</v>
      </c>
      <c r="K365" s="703">
        <f t="shared" si="56"/>
        <v>49730</v>
      </c>
      <c r="L365" s="703">
        <f t="shared" si="56"/>
        <v>46136</v>
      </c>
      <c r="M365" s="703">
        <f t="shared" si="56"/>
        <v>24000</v>
      </c>
      <c r="N365" s="703">
        <f t="shared" si="56"/>
        <v>24000</v>
      </c>
      <c r="O365" s="703">
        <f t="shared" si="56"/>
        <v>8515</v>
      </c>
      <c r="P365" s="695">
        <f t="shared" si="44"/>
        <v>0.35479166666666667</v>
      </c>
      <c r="Q365" s="704">
        <f>SUBTOTAL(9,Q358:Q364)</f>
        <v>23000</v>
      </c>
      <c r="R365" s="704">
        <f>SUBTOTAL(9,R358:R364)</f>
        <v>0</v>
      </c>
      <c r="S365" s="704">
        <f>SUBTOTAL(9,S358:S364)</f>
        <v>62570</v>
      </c>
      <c r="T365" s="700"/>
    </row>
    <row r="366" spans="1:20" ht="12.75">
      <c r="A366" s="686">
        <f>A364+1</f>
        <v>324</v>
      </c>
      <c r="B366" s="701" t="s">
        <v>300</v>
      </c>
      <c r="C366" s="687" t="s">
        <v>703</v>
      </c>
      <c r="D366" s="687">
        <v>5016</v>
      </c>
      <c r="E366" s="687">
        <v>6121</v>
      </c>
      <c r="F366" s="702" t="s">
        <v>796</v>
      </c>
      <c r="G366" s="700" t="s">
        <v>1133</v>
      </c>
      <c r="H366" s="707">
        <v>2009</v>
      </c>
      <c r="I366" s="707">
        <v>2014</v>
      </c>
      <c r="J366" s="703">
        <v>4615</v>
      </c>
      <c r="K366" s="703"/>
      <c r="L366" s="703">
        <f>1750+1068</f>
        <v>2818</v>
      </c>
      <c r="M366" s="703"/>
      <c r="N366" s="703"/>
      <c r="O366" s="703"/>
      <c r="P366" s="695" t="str">
        <f t="shared" si="44"/>
        <v> </v>
      </c>
      <c r="Q366" s="704"/>
      <c r="R366" s="704"/>
      <c r="S366" s="704"/>
      <c r="T366" s="700" t="s">
        <v>747</v>
      </c>
    </row>
    <row r="367" spans="1:20" ht="12.75">
      <c r="A367" s="686"/>
      <c r="B367" s="701"/>
      <c r="C367" s="708" t="s">
        <v>1134</v>
      </c>
      <c r="D367" s="687"/>
      <c r="E367" s="687"/>
      <c r="F367" s="702"/>
      <c r="G367" s="700"/>
      <c r="H367" s="707"/>
      <c r="I367" s="707"/>
      <c r="J367" s="703">
        <f aca="true" t="shared" si="57" ref="J367:O367">SUBTOTAL(9,J366:J366)</f>
        <v>4615</v>
      </c>
      <c r="K367" s="703">
        <f t="shared" si="57"/>
        <v>0</v>
      </c>
      <c r="L367" s="703">
        <f t="shared" si="57"/>
        <v>2818</v>
      </c>
      <c r="M367" s="703">
        <f t="shared" si="57"/>
        <v>0</v>
      </c>
      <c r="N367" s="703">
        <f t="shared" si="57"/>
        <v>0</v>
      </c>
      <c r="O367" s="703">
        <f t="shared" si="57"/>
        <v>0</v>
      </c>
      <c r="P367" s="695" t="str">
        <f t="shared" si="44"/>
        <v> </v>
      </c>
      <c r="Q367" s="704">
        <f>SUBTOTAL(9,Q366:Q366)</f>
        <v>0</v>
      </c>
      <c r="R367" s="704">
        <f>SUBTOTAL(9,R366:R366)</f>
        <v>0</v>
      </c>
      <c r="S367" s="704">
        <f>SUBTOTAL(9,S366:S366)</f>
        <v>0</v>
      </c>
      <c r="T367" s="700"/>
    </row>
    <row r="368" spans="1:20" ht="12.75">
      <c r="A368" s="686">
        <f>A366+1</f>
        <v>325</v>
      </c>
      <c r="B368" s="701" t="s">
        <v>300</v>
      </c>
      <c r="C368" s="687" t="s">
        <v>704</v>
      </c>
      <c r="D368" s="687">
        <v>3065</v>
      </c>
      <c r="E368" s="687">
        <v>6121</v>
      </c>
      <c r="F368" s="700"/>
      <c r="G368" s="700" t="s">
        <v>1135</v>
      </c>
      <c r="H368" s="707">
        <v>2009</v>
      </c>
      <c r="I368" s="707">
        <v>2019</v>
      </c>
      <c r="J368" s="703">
        <v>6900</v>
      </c>
      <c r="K368" s="703"/>
      <c r="L368" s="703">
        <f>224+382</f>
        <v>606</v>
      </c>
      <c r="M368" s="703"/>
      <c r="N368" s="703"/>
      <c r="O368" s="703"/>
      <c r="P368" s="695" t="str">
        <f t="shared" si="44"/>
        <v> </v>
      </c>
      <c r="Q368" s="704"/>
      <c r="R368" s="704"/>
      <c r="S368" s="704">
        <v>6294</v>
      </c>
      <c r="T368" s="700" t="s">
        <v>747</v>
      </c>
    </row>
    <row r="369" spans="1:20" ht="12.75">
      <c r="A369" s="686"/>
      <c r="B369" s="701"/>
      <c r="C369" s="708" t="s">
        <v>1136</v>
      </c>
      <c r="D369" s="687"/>
      <c r="E369" s="687"/>
      <c r="F369" s="700"/>
      <c r="G369" s="700"/>
      <c r="H369" s="707"/>
      <c r="I369" s="707"/>
      <c r="J369" s="703">
        <f aca="true" t="shared" si="58" ref="J369:O369">SUBTOTAL(9,J368:J368)</f>
        <v>6900</v>
      </c>
      <c r="K369" s="703">
        <f t="shared" si="58"/>
        <v>0</v>
      </c>
      <c r="L369" s="703">
        <f t="shared" si="58"/>
        <v>606</v>
      </c>
      <c r="M369" s="703">
        <f t="shared" si="58"/>
        <v>0</v>
      </c>
      <c r="N369" s="703">
        <f t="shared" si="58"/>
        <v>0</v>
      </c>
      <c r="O369" s="703">
        <f t="shared" si="58"/>
        <v>0</v>
      </c>
      <c r="P369" s="695" t="str">
        <f t="shared" si="44"/>
        <v> </v>
      </c>
      <c r="Q369" s="704">
        <f>SUBTOTAL(9,Q368:Q368)</f>
        <v>0</v>
      </c>
      <c r="R369" s="704">
        <f>SUBTOTAL(9,R368:R368)</f>
        <v>0</v>
      </c>
      <c r="S369" s="704">
        <f>SUBTOTAL(9,S368:S368)</f>
        <v>6294</v>
      </c>
      <c r="T369" s="700"/>
    </row>
    <row r="370" spans="1:20" ht="12.75">
      <c r="A370" s="686">
        <f>A368+1</f>
        <v>326</v>
      </c>
      <c r="B370" s="701" t="s">
        <v>300</v>
      </c>
      <c r="C370" s="687" t="s">
        <v>705</v>
      </c>
      <c r="D370" s="687">
        <v>2841</v>
      </c>
      <c r="E370" s="687">
        <v>6121</v>
      </c>
      <c r="F370" s="700"/>
      <c r="G370" s="700" t="s">
        <v>1137</v>
      </c>
      <c r="H370" s="707">
        <v>2014</v>
      </c>
      <c r="I370" s="707">
        <v>2014</v>
      </c>
      <c r="J370" s="703"/>
      <c r="K370" s="703"/>
      <c r="L370" s="703"/>
      <c r="M370" s="703"/>
      <c r="N370" s="703"/>
      <c r="O370" s="703"/>
      <c r="P370" s="695" t="str">
        <f t="shared" si="44"/>
        <v> </v>
      </c>
      <c r="Q370" s="704">
        <v>49800</v>
      </c>
      <c r="R370" s="704"/>
      <c r="S370" s="704"/>
      <c r="T370" s="700" t="s">
        <v>747</v>
      </c>
    </row>
    <row r="371" spans="1:20" ht="12.75">
      <c r="A371" s="686">
        <f>A368+1</f>
        <v>326</v>
      </c>
      <c r="B371" s="701" t="s">
        <v>300</v>
      </c>
      <c r="C371" s="687" t="s">
        <v>705</v>
      </c>
      <c r="D371" s="687">
        <v>2842</v>
      </c>
      <c r="E371" s="687">
        <v>6351</v>
      </c>
      <c r="F371" s="700"/>
      <c r="G371" s="700" t="s">
        <v>1138</v>
      </c>
      <c r="H371" s="687">
        <v>2013</v>
      </c>
      <c r="I371" s="687">
        <v>2013</v>
      </c>
      <c r="J371" s="703">
        <v>200</v>
      </c>
      <c r="K371" s="703"/>
      <c r="L371" s="703"/>
      <c r="M371" s="703"/>
      <c r="N371" s="703">
        <v>200</v>
      </c>
      <c r="O371" s="703">
        <v>200</v>
      </c>
      <c r="P371" s="695">
        <f t="shared" si="44"/>
        <v>1</v>
      </c>
      <c r="Q371" s="704"/>
      <c r="R371" s="704"/>
      <c r="S371" s="704"/>
      <c r="T371" s="700" t="s">
        <v>747</v>
      </c>
    </row>
    <row r="372" spans="1:20" ht="12.75">
      <c r="A372" s="686">
        <f aca="true" t="shared" si="59" ref="A372:A382">A371+1</f>
        <v>327</v>
      </c>
      <c r="B372" s="701" t="s">
        <v>300</v>
      </c>
      <c r="C372" s="687" t="s">
        <v>705</v>
      </c>
      <c r="D372" s="687">
        <v>2945</v>
      </c>
      <c r="E372" s="687">
        <v>6121</v>
      </c>
      <c r="F372" s="700"/>
      <c r="G372" s="700" t="s">
        <v>1139</v>
      </c>
      <c r="H372" s="687">
        <v>2011</v>
      </c>
      <c r="I372" s="687">
        <v>2013</v>
      </c>
      <c r="J372" s="703">
        <v>2400</v>
      </c>
      <c r="K372" s="703"/>
      <c r="L372" s="703">
        <f>86+108</f>
        <v>194</v>
      </c>
      <c r="M372" s="703">
        <v>2206</v>
      </c>
      <c r="N372" s="703">
        <v>500</v>
      </c>
      <c r="O372" s="703">
        <v>29</v>
      </c>
      <c r="P372" s="695">
        <f t="shared" si="44"/>
        <v>0.058</v>
      </c>
      <c r="Q372" s="704">
        <v>1706</v>
      </c>
      <c r="R372" s="704"/>
      <c r="S372" s="704"/>
      <c r="T372" s="700" t="s">
        <v>747</v>
      </c>
    </row>
    <row r="373" spans="1:20" ht="12.75">
      <c r="A373" s="686">
        <f t="shared" si="59"/>
        <v>328</v>
      </c>
      <c r="B373" s="701" t="s">
        <v>300</v>
      </c>
      <c r="C373" s="687" t="s">
        <v>705</v>
      </c>
      <c r="D373" s="687">
        <v>4889</v>
      </c>
      <c r="E373" s="687">
        <v>6351</v>
      </c>
      <c r="F373" s="700"/>
      <c r="G373" s="700" t="s">
        <v>1140</v>
      </c>
      <c r="H373" s="707">
        <v>2002</v>
      </c>
      <c r="I373" s="687">
        <v>2013</v>
      </c>
      <c r="J373" s="703">
        <v>132950</v>
      </c>
      <c r="K373" s="703"/>
      <c r="L373" s="703">
        <v>88000</v>
      </c>
      <c r="M373" s="703"/>
      <c r="N373" s="703"/>
      <c r="O373" s="703"/>
      <c r="P373" s="695" t="str">
        <f t="shared" si="44"/>
        <v> </v>
      </c>
      <c r="Q373" s="704"/>
      <c r="R373" s="704"/>
      <c r="S373" s="704">
        <v>44950</v>
      </c>
      <c r="T373" s="700" t="s">
        <v>747</v>
      </c>
    </row>
    <row r="374" spans="1:20" ht="12.75">
      <c r="A374" s="686">
        <f t="shared" si="59"/>
        <v>329</v>
      </c>
      <c r="B374" s="701" t="s">
        <v>300</v>
      </c>
      <c r="C374" s="687" t="s">
        <v>705</v>
      </c>
      <c r="D374" s="687">
        <v>5015</v>
      </c>
      <c r="E374" s="687">
        <v>6121</v>
      </c>
      <c r="F374" s="702" t="s">
        <v>796</v>
      </c>
      <c r="G374" s="700" t="s">
        <v>1141</v>
      </c>
      <c r="H374" s="707">
        <v>2009</v>
      </c>
      <c r="I374" s="707">
        <v>2013</v>
      </c>
      <c r="J374" s="703">
        <v>38803</v>
      </c>
      <c r="K374" s="703">
        <v>13767</v>
      </c>
      <c r="L374" s="703">
        <f>2141+17997+17711</f>
        <v>37849</v>
      </c>
      <c r="M374" s="703">
        <v>400</v>
      </c>
      <c r="N374" s="703">
        <v>400</v>
      </c>
      <c r="O374" s="703">
        <v>391</v>
      </c>
      <c r="P374" s="695">
        <f t="shared" si="44"/>
        <v>0.9775</v>
      </c>
      <c r="Q374" s="704">
        <v>400</v>
      </c>
      <c r="R374" s="704"/>
      <c r="S374" s="704"/>
      <c r="T374" s="700" t="s">
        <v>747</v>
      </c>
    </row>
    <row r="375" spans="1:20" ht="12.75">
      <c r="A375" s="686">
        <f t="shared" si="59"/>
        <v>330</v>
      </c>
      <c r="B375" s="701" t="s">
        <v>300</v>
      </c>
      <c r="C375" s="687" t="s">
        <v>705</v>
      </c>
      <c r="D375" s="687">
        <v>5017</v>
      </c>
      <c r="E375" s="687">
        <v>6121</v>
      </c>
      <c r="F375" s="702" t="s">
        <v>796</v>
      </c>
      <c r="G375" s="700" t="s">
        <v>1142</v>
      </c>
      <c r="H375" s="707">
        <v>2009</v>
      </c>
      <c r="I375" s="687">
        <v>2013</v>
      </c>
      <c r="J375" s="703">
        <v>98558</v>
      </c>
      <c r="K375" s="703">
        <v>63000</v>
      </c>
      <c r="L375" s="703">
        <f>16946+44127+34722</f>
        <v>95795</v>
      </c>
      <c r="M375" s="703"/>
      <c r="N375" s="703">
        <v>30</v>
      </c>
      <c r="O375" s="703">
        <v>28</v>
      </c>
      <c r="P375" s="695">
        <f t="shared" si="44"/>
        <v>0.9333333333333333</v>
      </c>
      <c r="Q375" s="704"/>
      <c r="R375" s="704"/>
      <c r="S375" s="704"/>
      <c r="T375" s="700" t="s">
        <v>747</v>
      </c>
    </row>
    <row r="376" spans="1:20" ht="12.75">
      <c r="A376" s="686">
        <f t="shared" si="59"/>
        <v>331</v>
      </c>
      <c r="B376" s="701" t="s">
        <v>300</v>
      </c>
      <c r="C376" s="687" t="s">
        <v>705</v>
      </c>
      <c r="D376" s="687">
        <v>5094</v>
      </c>
      <c r="E376" s="687">
        <v>6121</v>
      </c>
      <c r="F376" s="702" t="s">
        <v>796</v>
      </c>
      <c r="G376" s="700" t="s">
        <v>1143</v>
      </c>
      <c r="H376" s="707">
        <v>2010</v>
      </c>
      <c r="I376" s="707">
        <v>2013</v>
      </c>
      <c r="J376" s="703">
        <v>57200</v>
      </c>
      <c r="K376" s="703">
        <v>35729</v>
      </c>
      <c r="L376" s="703">
        <f>649+1205+3367</f>
        <v>5221</v>
      </c>
      <c r="M376" s="703">
        <v>37000</v>
      </c>
      <c r="N376" s="703">
        <v>51900</v>
      </c>
      <c r="O376" s="703">
        <v>51047</v>
      </c>
      <c r="P376" s="695">
        <f t="shared" si="44"/>
        <v>0.9835645472061657</v>
      </c>
      <c r="Q376" s="704">
        <v>70</v>
      </c>
      <c r="R376" s="704"/>
      <c r="S376" s="704"/>
      <c r="T376" s="700" t="s">
        <v>747</v>
      </c>
    </row>
    <row r="377" spans="1:20" ht="12.75">
      <c r="A377" s="686">
        <f t="shared" si="59"/>
        <v>332</v>
      </c>
      <c r="B377" s="701" t="s">
        <v>300</v>
      </c>
      <c r="C377" s="687" t="s">
        <v>705</v>
      </c>
      <c r="D377" s="687">
        <v>5098</v>
      </c>
      <c r="E377" s="687">
        <v>6121</v>
      </c>
      <c r="F377" s="702" t="s">
        <v>796</v>
      </c>
      <c r="G377" s="700" t="s">
        <v>1144</v>
      </c>
      <c r="H377" s="707">
        <v>2010</v>
      </c>
      <c r="I377" s="707">
        <v>2014</v>
      </c>
      <c r="J377" s="703">
        <v>23240</v>
      </c>
      <c r="K377" s="703">
        <v>19753</v>
      </c>
      <c r="L377" s="703">
        <f>587+881</f>
        <v>1468</v>
      </c>
      <c r="M377" s="703">
        <v>7600</v>
      </c>
      <c r="N377" s="703">
        <v>600</v>
      </c>
      <c r="O377" s="703">
        <v>348</v>
      </c>
      <c r="P377" s="695">
        <f t="shared" si="44"/>
        <v>0.58</v>
      </c>
      <c r="Q377" s="704">
        <v>500</v>
      </c>
      <c r="R377" s="704"/>
      <c r="S377" s="704"/>
      <c r="T377" s="700" t="s">
        <v>747</v>
      </c>
    </row>
    <row r="378" spans="1:20" ht="12.75">
      <c r="A378" s="686">
        <f t="shared" si="59"/>
        <v>333</v>
      </c>
      <c r="B378" s="701" t="s">
        <v>300</v>
      </c>
      <c r="C378" s="687" t="s">
        <v>705</v>
      </c>
      <c r="D378" s="687">
        <v>5105</v>
      </c>
      <c r="E378" s="687">
        <v>6121</v>
      </c>
      <c r="F378" s="702" t="s">
        <v>796</v>
      </c>
      <c r="G378" s="700" t="s">
        <v>1145</v>
      </c>
      <c r="H378" s="707">
        <v>2010</v>
      </c>
      <c r="I378" s="707">
        <v>2013</v>
      </c>
      <c r="J378" s="703">
        <v>11792</v>
      </c>
      <c r="K378" s="703">
        <v>2653</v>
      </c>
      <c r="L378" s="703">
        <f>2560+8433</f>
        <v>10993</v>
      </c>
      <c r="M378" s="703"/>
      <c r="N378" s="703">
        <v>300</v>
      </c>
      <c r="O378" s="703">
        <v>38</v>
      </c>
      <c r="P378" s="695">
        <f t="shared" si="44"/>
        <v>0.12666666666666668</v>
      </c>
      <c r="Q378" s="704"/>
      <c r="R378" s="704"/>
      <c r="S378" s="704"/>
      <c r="T378" s="700" t="s">
        <v>747</v>
      </c>
    </row>
    <row r="379" spans="1:20" ht="12.75">
      <c r="A379" s="686">
        <f t="shared" si="59"/>
        <v>334</v>
      </c>
      <c r="B379" s="701" t="s">
        <v>300</v>
      </c>
      <c r="C379" s="687" t="s">
        <v>705</v>
      </c>
      <c r="D379" s="687">
        <v>5108</v>
      </c>
      <c r="E379" s="687">
        <v>6121</v>
      </c>
      <c r="F379" s="702" t="s">
        <v>796</v>
      </c>
      <c r="G379" s="700" t="s">
        <v>1146</v>
      </c>
      <c r="H379" s="707">
        <v>2010</v>
      </c>
      <c r="I379" s="707">
        <v>2012</v>
      </c>
      <c r="J379" s="703">
        <v>18159</v>
      </c>
      <c r="K379" s="703">
        <v>4918</v>
      </c>
      <c r="L379" s="703">
        <f>1+16056+61</f>
        <v>16118</v>
      </c>
      <c r="M379" s="703">
        <v>200</v>
      </c>
      <c r="N379" s="703">
        <v>200</v>
      </c>
      <c r="O379" s="703"/>
      <c r="P379" s="695">
        <f t="shared" si="44"/>
        <v>0</v>
      </c>
      <c r="Q379" s="704"/>
      <c r="R379" s="704"/>
      <c r="S379" s="704"/>
      <c r="T379" s="700" t="s">
        <v>747</v>
      </c>
    </row>
    <row r="380" spans="1:20" ht="12.75">
      <c r="A380" s="686">
        <f t="shared" si="59"/>
        <v>335</v>
      </c>
      <c r="B380" s="701" t="s">
        <v>300</v>
      </c>
      <c r="C380" s="687" t="s">
        <v>705</v>
      </c>
      <c r="D380" s="687">
        <v>5148</v>
      </c>
      <c r="E380" s="687">
        <v>6121</v>
      </c>
      <c r="F380" s="702" t="s">
        <v>796</v>
      </c>
      <c r="G380" s="700" t="s">
        <v>1147</v>
      </c>
      <c r="H380" s="687">
        <v>2012</v>
      </c>
      <c r="I380" s="687">
        <v>2014</v>
      </c>
      <c r="J380" s="703">
        <v>18300</v>
      </c>
      <c r="K380" s="703">
        <v>15787</v>
      </c>
      <c r="L380" s="703"/>
      <c r="M380" s="703">
        <v>5000</v>
      </c>
      <c r="N380" s="703">
        <v>500</v>
      </c>
      <c r="O380" s="703">
        <v>297</v>
      </c>
      <c r="P380" s="695">
        <f t="shared" si="44"/>
        <v>0.594</v>
      </c>
      <c r="Q380" s="704">
        <v>500</v>
      </c>
      <c r="R380" s="704"/>
      <c r="S380" s="704"/>
      <c r="T380" s="700" t="s">
        <v>747</v>
      </c>
    </row>
    <row r="381" spans="1:20" ht="12.75">
      <c r="A381" s="686">
        <f t="shared" si="59"/>
        <v>336</v>
      </c>
      <c r="B381" s="701" t="s">
        <v>300</v>
      </c>
      <c r="C381" s="687" t="s">
        <v>705</v>
      </c>
      <c r="D381" s="687">
        <v>5165</v>
      </c>
      <c r="E381" s="687"/>
      <c r="F381" s="702" t="s">
        <v>796</v>
      </c>
      <c r="G381" s="700" t="s">
        <v>1148</v>
      </c>
      <c r="H381" s="687">
        <v>2013</v>
      </c>
      <c r="I381" s="687">
        <v>2015</v>
      </c>
      <c r="J381" s="703">
        <v>3209</v>
      </c>
      <c r="K381" s="703">
        <v>1091</v>
      </c>
      <c r="L381" s="703"/>
      <c r="M381" s="703"/>
      <c r="N381" s="703">
        <v>500</v>
      </c>
      <c r="O381" s="703">
        <v>20</v>
      </c>
      <c r="P381" s="695">
        <f t="shared" si="44"/>
        <v>0.04</v>
      </c>
      <c r="Q381" s="704">
        <v>2700</v>
      </c>
      <c r="R381" s="704"/>
      <c r="S381" s="704"/>
      <c r="T381" s="700" t="s">
        <v>747</v>
      </c>
    </row>
    <row r="382" spans="1:20" ht="12.75">
      <c r="A382" s="686">
        <f t="shared" si="59"/>
        <v>337</v>
      </c>
      <c r="B382" s="701" t="s">
        <v>1095</v>
      </c>
      <c r="C382" s="687" t="s">
        <v>705</v>
      </c>
      <c r="D382" s="687">
        <v>30019105</v>
      </c>
      <c r="E382" s="687">
        <v>6351</v>
      </c>
      <c r="F382" s="700"/>
      <c r="G382" s="700" t="s">
        <v>1149</v>
      </c>
      <c r="H382" s="687"/>
      <c r="I382" s="687"/>
      <c r="J382" s="703"/>
      <c r="K382" s="703"/>
      <c r="L382" s="703"/>
      <c r="M382" s="703">
        <v>200</v>
      </c>
      <c r="N382" s="703"/>
      <c r="O382" s="703"/>
      <c r="P382" s="695" t="str">
        <f t="shared" si="44"/>
        <v> </v>
      </c>
      <c r="Q382" s="704"/>
      <c r="R382" s="704"/>
      <c r="S382" s="704"/>
      <c r="T382" s="700" t="s">
        <v>1097</v>
      </c>
    </row>
    <row r="383" spans="1:20" ht="12.75">
      <c r="A383" s="686"/>
      <c r="B383" s="701"/>
      <c r="C383" s="708" t="s">
        <v>1150</v>
      </c>
      <c r="D383" s="687"/>
      <c r="E383" s="687"/>
      <c r="F383" s="700"/>
      <c r="G383" s="700"/>
      <c r="H383" s="687"/>
      <c r="I383" s="687"/>
      <c r="J383" s="703">
        <f aca="true" t="shared" si="60" ref="J383:O383">SUBTOTAL(9,J370:J382)</f>
        <v>404811</v>
      </c>
      <c r="K383" s="703">
        <f t="shared" si="60"/>
        <v>156698</v>
      </c>
      <c r="L383" s="703">
        <f t="shared" si="60"/>
        <v>255638</v>
      </c>
      <c r="M383" s="703">
        <f t="shared" si="60"/>
        <v>52606</v>
      </c>
      <c r="N383" s="703">
        <f t="shared" si="60"/>
        <v>55130</v>
      </c>
      <c r="O383" s="703">
        <f t="shared" si="60"/>
        <v>52398</v>
      </c>
      <c r="P383" s="695">
        <f t="shared" si="44"/>
        <v>0.9504444041356793</v>
      </c>
      <c r="Q383" s="704">
        <f>SUBTOTAL(9,Q370:Q382)</f>
        <v>55676</v>
      </c>
      <c r="R383" s="704">
        <f>SUBTOTAL(9,R370:R382)</f>
        <v>0</v>
      </c>
      <c r="S383" s="704">
        <f>SUBTOTAL(9,S370:S382)</f>
        <v>44950</v>
      </c>
      <c r="T383" s="700"/>
    </row>
    <row r="384" spans="1:20" ht="12.75">
      <c r="A384" s="686">
        <f>A382+1</f>
        <v>338</v>
      </c>
      <c r="B384" s="701" t="s">
        <v>300</v>
      </c>
      <c r="C384" s="687" t="s">
        <v>706</v>
      </c>
      <c r="D384" s="687">
        <v>5096</v>
      </c>
      <c r="E384" s="687">
        <v>6121</v>
      </c>
      <c r="F384" s="702" t="s">
        <v>796</v>
      </c>
      <c r="G384" s="700" t="s">
        <v>1151</v>
      </c>
      <c r="H384" s="707">
        <v>2010</v>
      </c>
      <c r="I384" s="687">
        <v>2013</v>
      </c>
      <c r="J384" s="703">
        <v>35705</v>
      </c>
      <c r="K384" s="703">
        <v>25587</v>
      </c>
      <c r="L384" s="703">
        <f>327+578+3906</f>
        <v>4811</v>
      </c>
      <c r="M384" s="703">
        <v>27000</v>
      </c>
      <c r="N384" s="703">
        <v>12500</v>
      </c>
      <c r="O384" s="703">
        <v>12372</v>
      </c>
      <c r="P384" s="695">
        <f t="shared" si="44"/>
        <v>0.98976</v>
      </c>
      <c r="Q384" s="704">
        <v>14500</v>
      </c>
      <c r="R384" s="704"/>
      <c r="S384" s="704"/>
      <c r="T384" s="700" t="s">
        <v>747</v>
      </c>
    </row>
    <row r="385" spans="1:20" ht="12.75">
      <c r="A385" s="686">
        <f>A384+1</f>
        <v>339</v>
      </c>
      <c r="B385" s="701" t="s">
        <v>1095</v>
      </c>
      <c r="C385" s="687" t="s">
        <v>706</v>
      </c>
      <c r="D385" s="687">
        <v>300199</v>
      </c>
      <c r="E385" s="687"/>
      <c r="F385" s="702"/>
      <c r="G385" s="713" t="s">
        <v>1152</v>
      </c>
      <c r="H385" s="687"/>
      <c r="I385" s="687"/>
      <c r="J385" s="703"/>
      <c r="K385" s="703"/>
      <c r="L385" s="703"/>
      <c r="M385" s="703"/>
      <c r="N385" s="703">
        <v>32</v>
      </c>
      <c r="O385" s="703">
        <v>32</v>
      </c>
      <c r="P385" s="695">
        <f t="shared" si="44"/>
        <v>1</v>
      </c>
      <c r="Q385" s="704"/>
      <c r="R385" s="704"/>
      <c r="S385" s="704"/>
      <c r="T385" s="700" t="s">
        <v>1097</v>
      </c>
    </row>
    <row r="386" spans="1:20" ht="12.75">
      <c r="A386" s="686"/>
      <c r="B386" s="701"/>
      <c r="C386" s="708" t="s">
        <v>1153</v>
      </c>
      <c r="D386" s="687"/>
      <c r="E386" s="687"/>
      <c r="F386" s="702"/>
      <c r="G386" s="713"/>
      <c r="H386" s="687"/>
      <c r="I386" s="687"/>
      <c r="J386" s="703">
        <f aca="true" t="shared" si="61" ref="J386:O386">SUBTOTAL(9,J384:J385)</f>
        <v>35705</v>
      </c>
      <c r="K386" s="703">
        <f t="shared" si="61"/>
        <v>25587</v>
      </c>
      <c r="L386" s="703">
        <f t="shared" si="61"/>
        <v>4811</v>
      </c>
      <c r="M386" s="703">
        <f t="shared" si="61"/>
        <v>27000</v>
      </c>
      <c r="N386" s="703">
        <f t="shared" si="61"/>
        <v>12532</v>
      </c>
      <c r="O386" s="703">
        <f t="shared" si="61"/>
        <v>12404</v>
      </c>
      <c r="P386" s="695">
        <f t="shared" si="44"/>
        <v>0.989786147462496</v>
      </c>
      <c r="Q386" s="704">
        <f>SUBTOTAL(9,Q384:Q385)</f>
        <v>14500</v>
      </c>
      <c r="R386" s="704">
        <f>SUBTOTAL(9,R384:R385)</f>
        <v>0</v>
      </c>
      <c r="S386" s="704">
        <f>SUBTOTAL(9,S384:S385)</f>
        <v>0</v>
      </c>
      <c r="T386" s="700"/>
    </row>
    <row r="387" spans="1:20" ht="12.75">
      <c r="A387" s="686">
        <f>A385+1</f>
        <v>340</v>
      </c>
      <c r="B387" s="705">
        <v>6200</v>
      </c>
      <c r="C387" s="687" t="s">
        <v>708</v>
      </c>
      <c r="D387" s="687">
        <v>2936</v>
      </c>
      <c r="E387" s="687">
        <v>6121</v>
      </c>
      <c r="F387" s="700">
        <v>41</v>
      </c>
      <c r="G387" s="700" t="s">
        <v>1154</v>
      </c>
      <c r="H387" s="687">
        <v>2011</v>
      </c>
      <c r="I387" s="687">
        <v>2014</v>
      </c>
      <c r="J387" s="703">
        <v>42000</v>
      </c>
      <c r="K387" s="703"/>
      <c r="L387" s="703">
        <f>143</f>
        <v>143</v>
      </c>
      <c r="M387" s="703">
        <v>14400</v>
      </c>
      <c r="N387" s="703">
        <v>2356</v>
      </c>
      <c r="O387" s="703">
        <v>1434</v>
      </c>
      <c r="P387" s="695">
        <f aca="true" t="shared" si="62" ref="P387:P428">IF(N387&lt;=0," ",O387/N387)</f>
        <v>0.6086587436332768</v>
      </c>
      <c r="Q387" s="704">
        <v>29501</v>
      </c>
      <c r="R387" s="704">
        <v>10000</v>
      </c>
      <c r="S387" s="704"/>
      <c r="T387" s="714" t="s">
        <v>1069</v>
      </c>
    </row>
    <row r="388" spans="1:20" ht="12.75">
      <c r="A388" s="686">
        <f>A387+1</f>
        <v>341</v>
      </c>
      <c r="B388" s="705">
        <v>6200</v>
      </c>
      <c r="C388" s="687" t="s">
        <v>708</v>
      </c>
      <c r="D388" s="687">
        <v>2937</v>
      </c>
      <c r="E388" s="687">
        <v>6121</v>
      </c>
      <c r="F388" s="700">
        <v>41</v>
      </c>
      <c r="G388" s="700" t="s">
        <v>1155</v>
      </c>
      <c r="H388" s="687">
        <v>2011</v>
      </c>
      <c r="I388" s="687">
        <v>2014</v>
      </c>
      <c r="J388" s="703">
        <v>37000</v>
      </c>
      <c r="K388" s="703"/>
      <c r="L388" s="703">
        <f>396</f>
        <v>396</v>
      </c>
      <c r="M388" s="703">
        <v>14400</v>
      </c>
      <c r="N388" s="703">
        <v>7104</v>
      </c>
      <c r="O388" s="703">
        <v>774</v>
      </c>
      <c r="P388" s="695">
        <f t="shared" si="62"/>
        <v>0.1089527027027027</v>
      </c>
      <c r="Q388" s="704">
        <v>29500</v>
      </c>
      <c r="R388" s="704"/>
      <c r="S388" s="704"/>
      <c r="T388" s="714" t="s">
        <v>1069</v>
      </c>
    </row>
    <row r="389" spans="1:20" ht="12.75">
      <c r="A389" s="686"/>
      <c r="B389" s="705"/>
      <c r="C389" s="708" t="s">
        <v>1156</v>
      </c>
      <c r="D389" s="687"/>
      <c r="E389" s="687"/>
      <c r="F389" s="700"/>
      <c r="G389" s="700"/>
      <c r="H389" s="687"/>
      <c r="I389" s="687"/>
      <c r="J389" s="703">
        <f aca="true" t="shared" si="63" ref="J389:O389">SUBTOTAL(9,J387:J388)</f>
        <v>79000</v>
      </c>
      <c r="K389" s="703">
        <f t="shared" si="63"/>
        <v>0</v>
      </c>
      <c r="L389" s="703">
        <f t="shared" si="63"/>
        <v>539</v>
      </c>
      <c r="M389" s="703">
        <f t="shared" si="63"/>
        <v>28800</v>
      </c>
      <c r="N389" s="703">
        <f t="shared" si="63"/>
        <v>9460</v>
      </c>
      <c r="O389" s="703">
        <f t="shared" si="63"/>
        <v>2208</v>
      </c>
      <c r="P389" s="695">
        <f t="shared" si="62"/>
        <v>0.23340380549682876</v>
      </c>
      <c r="Q389" s="704">
        <f>SUBTOTAL(9,Q387:Q388)</f>
        <v>59001</v>
      </c>
      <c r="R389" s="704">
        <f>SUBTOTAL(9,R387:R388)</f>
        <v>10000</v>
      </c>
      <c r="S389" s="704">
        <f>SUBTOTAL(9,S387:S388)</f>
        <v>0</v>
      </c>
      <c r="T389" s="714"/>
    </row>
    <row r="390" spans="1:20" ht="12.75">
      <c r="A390" s="686">
        <f>A388+1</f>
        <v>342</v>
      </c>
      <c r="B390" s="701" t="s">
        <v>300</v>
      </c>
      <c r="C390" s="687" t="s">
        <v>709</v>
      </c>
      <c r="D390" s="687">
        <v>5086</v>
      </c>
      <c r="E390" s="687">
        <v>6121</v>
      </c>
      <c r="F390" s="702" t="s">
        <v>796</v>
      </c>
      <c r="G390" s="700" t="s">
        <v>1157</v>
      </c>
      <c r="H390" s="707">
        <v>2010</v>
      </c>
      <c r="I390" s="687">
        <v>2013</v>
      </c>
      <c r="J390" s="703">
        <v>18740</v>
      </c>
      <c r="K390" s="703">
        <v>11500</v>
      </c>
      <c r="L390" s="703">
        <f>82+50</f>
        <v>132</v>
      </c>
      <c r="M390" s="703">
        <v>8400</v>
      </c>
      <c r="N390" s="703">
        <v>400</v>
      </c>
      <c r="O390" s="703">
        <v>37</v>
      </c>
      <c r="P390" s="695">
        <f t="shared" si="62"/>
        <v>0.0925</v>
      </c>
      <c r="Q390" s="704">
        <v>5748</v>
      </c>
      <c r="R390" s="704"/>
      <c r="S390" s="704"/>
      <c r="T390" s="700" t="s">
        <v>747</v>
      </c>
    </row>
    <row r="391" spans="1:20" ht="12.75">
      <c r="A391" s="686"/>
      <c r="B391" s="701"/>
      <c r="C391" s="708" t="s">
        <v>1158</v>
      </c>
      <c r="D391" s="687"/>
      <c r="E391" s="687"/>
      <c r="F391" s="702"/>
      <c r="G391" s="700"/>
      <c r="H391" s="707"/>
      <c r="I391" s="687"/>
      <c r="J391" s="703">
        <f aca="true" t="shared" si="64" ref="J391:O391">SUBTOTAL(9,J390:J390)</f>
        <v>18740</v>
      </c>
      <c r="K391" s="703">
        <f t="shared" si="64"/>
        <v>11500</v>
      </c>
      <c r="L391" s="703">
        <f t="shared" si="64"/>
        <v>132</v>
      </c>
      <c r="M391" s="703">
        <f t="shared" si="64"/>
        <v>8400</v>
      </c>
      <c r="N391" s="703">
        <f t="shared" si="64"/>
        <v>400</v>
      </c>
      <c r="O391" s="703">
        <f t="shared" si="64"/>
        <v>37</v>
      </c>
      <c r="P391" s="695">
        <f t="shared" si="62"/>
        <v>0.0925</v>
      </c>
      <c r="Q391" s="704">
        <f>SUBTOTAL(9,Q390:Q390)</f>
        <v>5748</v>
      </c>
      <c r="R391" s="704">
        <f>SUBTOTAL(9,R390:R390)</f>
        <v>0</v>
      </c>
      <c r="S391" s="704">
        <f>SUBTOTAL(9,S390:S390)</f>
        <v>0</v>
      </c>
      <c r="T391" s="700"/>
    </row>
    <row r="392" spans="1:20" ht="12.75">
      <c r="A392" s="686">
        <f>A390+1</f>
        <v>343</v>
      </c>
      <c r="B392" s="701" t="s">
        <v>300</v>
      </c>
      <c r="C392" s="687" t="s">
        <v>710</v>
      </c>
      <c r="D392" s="687">
        <v>5122</v>
      </c>
      <c r="E392" s="687">
        <v>6121</v>
      </c>
      <c r="F392" s="702" t="s">
        <v>796</v>
      </c>
      <c r="G392" s="700" t="s">
        <v>1159</v>
      </c>
      <c r="H392" s="707">
        <v>2010</v>
      </c>
      <c r="I392" s="707">
        <v>2013</v>
      </c>
      <c r="J392" s="703">
        <v>51000</v>
      </c>
      <c r="K392" s="703">
        <v>13974</v>
      </c>
      <c r="L392" s="703">
        <f>216+715</f>
        <v>931</v>
      </c>
      <c r="M392" s="703">
        <v>1000</v>
      </c>
      <c r="N392" s="703">
        <v>1000</v>
      </c>
      <c r="O392" s="703">
        <v>865</v>
      </c>
      <c r="P392" s="695">
        <f t="shared" si="62"/>
        <v>0.865</v>
      </c>
      <c r="Q392" s="704">
        <v>10000</v>
      </c>
      <c r="R392" s="704"/>
      <c r="S392" s="704"/>
      <c r="T392" s="700" t="s">
        <v>747</v>
      </c>
    </row>
    <row r="393" spans="1:20" ht="12.75">
      <c r="A393" s="686"/>
      <c r="B393" s="701"/>
      <c r="C393" s="708" t="s">
        <v>1160</v>
      </c>
      <c r="D393" s="687"/>
      <c r="E393" s="687"/>
      <c r="F393" s="702"/>
      <c r="G393" s="700"/>
      <c r="H393" s="707"/>
      <c r="I393" s="707"/>
      <c r="J393" s="703">
        <f aca="true" t="shared" si="65" ref="J393:O393">SUBTOTAL(9,J392:J392)</f>
        <v>51000</v>
      </c>
      <c r="K393" s="703">
        <f t="shared" si="65"/>
        <v>13974</v>
      </c>
      <c r="L393" s="703">
        <f t="shared" si="65"/>
        <v>931</v>
      </c>
      <c r="M393" s="703">
        <f t="shared" si="65"/>
        <v>1000</v>
      </c>
      <c r="N393" s="703">
        <f t="shared" si="65"/>
        <v>1000</v>
      </c>
      <c r="O393" s="703">
        <f t="shared" si="65"/>
        <v>865</v>
      </c>
      <c r="P393" s="695">
        <f t="shared" si="62"/>
        <v>0.865</v>
      </c>
      <c r="Q393" s="704">
        <f>SUBTOTAL(9,Q392:Q392)</f>
        <v>10000</v>
      </c>
      <c r="R393" s="704">
        <f>SUBTOTAL(9,R392:R392)</f>
        <v>0</v>
      </c>
      <c r="S393" s="704">
        <f>SUBTOTAL(9,S392:S392)</f>
        <v>0</v>
      </c>
      <c r="T393" s="700"/>
    </row>
    <row r="394" spans="1:20" ht="12.75">
      <c r="A394" s="686">
        <f>A392+1</f>
        <v>344</v>
      </c>
      <c r="B394" s="701" t="s">
        <v>300</v>
      </c>
      <c r="C394" s="687" t="s">
        <v>711</v>
      </c>
      <c r="D394" s="687">
        <v>5043</v>
      </c>
      <c r="E394" s="687">
        <v>6121</v>
      </c>
      <c r="F394" s="702" t="s">
        <v>796</v>
      </c>
      <c r="G394" s="700" t="s">
        <v>1161</v>
      </c>
      <c r="H394" s="707">
        <v>2009</v>
      </c>
      <c r="I394" s="687">
        <v>2013</v>
      </c>
      <c r="J394" s="703">
        <v>13200</v>
      </c>
      <c r="K394" s="703">
        <v>10844</v>
      </c>
      <c r="L394" s="703">
        <f>441+5631+5274</f>
        <v>11346</v>
      </c>
      <c r="M394" s="703">
        <v>30</v>
      </c>
      <c r="N394" s="703">
        <v>30</v>
      </c>
      <c r="O394" s="703">
        <v>12</v>
      </c>
      <c r="P394" s="695">
        <f t="shared" si="62"/>
        <v>0.4</v>
      </c>
      <c r="Q394" s="704"/>
      <c r="R394" s="704"/>
      <c r="S394" s="704"/>
      <c r="T394" s="700" t="s">
        <v>747</v>
      </c>
    </row>
    <row r="395" spans="1:20" ht="12.75">
      <c r="A395" s="686"/>
      <c r="B395" s="701"/>
      <c r="C395" s="708" t="s">
        <v>1162</v>
      </c>
      <c r="D395" s="687"/>
      <c r="E395" s="687"/>
      <c r="F395" s="702"/>
      <c r="G395" s="700"/>
      <c r="H395" s="707"/>
      <c r="I395" s="687"/>
      <c r="J395" s="703">
        <f aca="true" t="shared" si="66" ref="J395:O395">SUBTOTAL(9,J394:J394)</f>
        <v>13200</v>
      </c>
      <c r="K395" s="703">
        <f t="shared" si="66"/>
        <v>10844</v>
      </c>
      <c r="L395" s="703">
        <f t="shared" si="66"/>
        <v>11346</v>
      </c>
      <c r="M395" s="703">
        <f t="shared" si="66"/>
        <v>30</v>
      </c>
      <c r="N395" s="703">
        <f t="shared" si="66"/>
        <v>30</v>
      </c>
      <c r="O395" s="703">
        <f t="shared" si="66"/>
        <v>12</v>
      </c>
      <c r="P395" s="695">
        <f t="shared" si="62"/>
        <v>0.4</v>
      </c>
      <c r="Q395" s="704">
        <f>SUBTOTAL(9,Q394:Q394)</f>
        <v>0</v>
      </c>
      <c r="R395" s="704">
        <f>SUBTOTAL(9,R394:R394)</f>
        <v>0</v>
      </c>
      <c r="S395" s="704">
        <f>SUBTOTAL(9,S394:S394)</f>
        <v>0</v>
      </c>
      <c r="T395" s="700"/>
    </row>
    <row r="396" spans="1:20" ht="12.75">
      <c r="A396" s="686">
        <f>A394+1</f>
        <v>345</v>
      </c>
      <c r="B396" s="701" t="s">
        <v>1163</v>
      </c>
      <c r="C396" s="687" t="s">
        <v>713</v>
      </c>
      <c r="D396" s="687">
        <v>2924</v>
      </c>
      <c r="E396" s="687">
        <v>6122</v>
      </c>
      <c r="F396" s="700"/>
      <c r="G396" s="700" t="s">
        <v>1164</v>
      </c>
      <c r="H396" s="687">
        <v>2012</v>
      </c>
      <c r="I396" s="687">
        <v>2015</v>
      </c>
      <c r="J396" s="703">
        <v>81451</v>
      </c>
      <c r="K396" s="703"/>
      <c r="L396" s="703">
        <f>19543</f>
        <v>19543</v>
      </c>
      <c r="M396" s="703">
        <v>26250</v>
      </c>
      <c r="N396" s="703">
        <v>26901</v>
      </c>
      <c r="O396" s="703">
        <v>26614</v>
      </c>
      <c r="P396" s="695">
        <f t="shared" si="62"/>
        <v>0.9893312516263336</v>
      </c>
      <c r="Q396" s="704">
        <v>27291</v>
      </c>
      <c r="R396" s="704">
        <v>7716</v>
      </c>
      <c r="S396" s="704"/>
      <c r="T396" s="700" t="s">
        <v>738</v>
      </c>
    </row>
    <row r="397" spans="1:20" ht="12.75">
      <c r="A397" s="686">
        <f>A396+1</f>
        <v>346</v>
      </c>
      <c r="B397" s="701" t="s">
        <v>1163</v>
      </c>
      <c r="C397" s="687" t="s">
        <v>713</v>
      </c>
      <c r="D397" s="687">
        <v>2977</v>
      </c>
      <c r="E397" s="687">
        <v>6121</v>
      </c>
      <c r="F397" s="700">
        <v>82</v>
      </c>
      <c r="G397" s="700" t="s">
        <v>1165</v>
      </c>
      <c r="H397" s="707">
        <v>2010</v>
      </c>
      <c r="I397" s="687">
        <v>2013</v>
      </c>
      <c r="J397" s="703">
        <v>1438</v>
      </c>
      <c r="K397" s="703"/>
      <c r="L397" s="703">
        <f>81+423+614</f>
        <v>1118</v>
      </c>
      <c r="M397" s="703"/>
      <c r="N397" s="703">
        <v>320</v>
      </c>
      <c r="O397" s="703">
        <v>320</v>
      </c>
      <c r="P397" s="695">
        <f t="shared" si="62"/>
        <v>1</v>
      </c>
      <c r="Q397" s="704"/>
      <c r="R397" s="704"/>
      <c r="S397" s="704"/>
      <c r="T397" s="700" t="s">
        <v>738</v>
      </c>
    </row>
    <row r="398" spans="1:20" ht="12.75">
      <c r="A398" s="686">
        <f>A397+1</f>
        <v>347</v>
      </c>
      <c r="B398" s="701" t="s">
        <v>300</v>
      </c>
      <c r="C398" s="687" t="s">
        <v>713</v>
      </c>
      <c r="D398" s="687">
        <v>3060</v>
      </c>
      <c r="E398" s="687">
        <v>6121</v>
      </c>
      <c r="F398" s="700"/>
      <c r="G398" s="700" t="s">
        <v>1166</v>
      </c>
      <c r="H398" s="707">
        <v>2009</v>
      </c>
      <c r="I398" s="707">
        <v>2015</v>
      </c>
      <c r="J398" s="703">
        <v>18875</v>
      </c>
      <c r="K398" s="703"/>
      <c r="L398" s="703">
        <f>1729+16985</f>
        <v>18714</v>
      </c>
      <c r="M398" s="703"/>
      <c r="N398" s="703"/>
      <c r="O398" s="703"/>
      <c r="P398" s="695" t="str">
        <f t="shared" si="62"/>
        <v> </v>
      </c>
      <c r="Q398" s="704">
        <v>950</v>
      </c>
      <c r="R398" s="704">
        <v>19450</v>
      </c>
      <c r="S398" s="704"/>
      <c r="T398" s="700" t="s">
        <v>747</v>
      </c>
    </row>
    <row r="399" spans="1:20" ht="12.75">
      <c r="A399" s="686">
        <f>A398+1</f>
        <v>348</v>
      </c>
      <c r="B399" s="701" t="s">
        <v>1163</v>
      </c>
      <c r="C399" s="687" t="s">
        <v>713</v>
      </c>
      <c r="D399" s="687">
        <v>300800</v>
      </c>
      <c r="E399" s="687">
        <v>6122</v>
      </c>
      <c r="F399" s="700"/>
      <c r="G399" s="700" t="s">
        <v>737</v>
      </c>
      <c r="H399" s="687"/>
      <c r="I399" s="687"/>
      <c r="J399" s="703"/>
      <c r="K399" s="703"/>
      <c r="L399" s="703">
        <f>16197+8250+5601</f>
        <v>30048</v>
      </c>
      <c r="M399" s="703"/>
      <c r="N399" s="703">
        <v>3788</v>
      </c>
      <c r="O399" s="703">
        <v>3637</v>
      </c>
      <c r="P399" s="695">
        <f t="shared" si="62"/>
        <v>0.9601372756071805</v>
      </c>
      <c r="Q399" s="704">
        <v>5800</v>
      </c>
      <c r="R399" s="704"/>
      <c r="S399" s="704"/>
      <c r="T399" s="700" t="s">
        <v>738</v>
      </c>
    </row>
    <row r="400" spans="1:20" ht="12.75">
      <c r="A400" s="686">
        <f>A399+1</f>
        <v>349</v>
      </c>
      <c r="B400" s="701" t="s">
        <v>1163</v>
      </c>
      <c r="C400" s="687" t="s">
        <v>713</v>
      </c>
      <c r="D400" s="687">
        <v>300899</v>
      </c>
      <c r="E400" s="687"/>
      <c r="F400" s="700"/>
      <c r="G400" s="700" t="s">
        <v>1167</v>
      </c>
      <c r="H400" s="687"/>
      <c r="I400" s="687"/>
      <c r="J400" s="703"/>
      <c r="K400" s="703"/>
      <c r="L400" s="703"/>
      <c r="M400" s="703"/>
      <c r="N400" s="703">
        <v>170</v>
      </c>
      <c r="O400" s="703">
        <v>170</v>
      </c>
      <c r="P400" s="695">
        <f t="shared" si="62"/>
        <v>1</v>
      </c>
      <c r="Q400" s="704"/>
      <c r="R400" s="704"/>
      <c r="S400" s="704"/>
      <c r="T400" s="700" t="s">
        <v>738</v>
      </c>
    </row>
    <row r="401" spans="1:20" ht="12.75">
      <c r="A401" s="686"/>
      <c r="B401" s="701"/>
      <c r="C401" s="708" t="s">
        <v>1168</v>
      </c>
      <c r="D401" s="687"/>
      <c r="E401" s="687"/>
      <c r="F401" s="700"/>
      <c r="G401" s="700"/>
      <c r="H401" s="687"/>
      <c r="I401" s="687"/>
      <c r="J401" s="703">
        <f aca="true" t="shared" si="67" ref="J401:O401">SUBTOTAL(9,J396:J400)</f>
        <v>101764</v>
      </c>
      <c r="K401" s="703">
        <f t="shared" si="67"/>
        <v>0</v>
      </c>
      <c r="L401" s="703">
        <f t="shared" si="67"/>
        <v>69423</v>
      </c>
      <c r="M401" s="703">
        <f t="shared" si="67"/>
        <v>26250</v>
      </c>
      <c r="N401" s="703">
        <f t="shared" si="67"/>
        <v>31179</v>
      </c>
      <c r="O401" s="703">
        <f t="shared" si="67"/>
        <v>30741</v>
      </c>
      <c r="P401" s="695">
        <f t="shared" si="62"/>
        <v>0.9859520831328779</v>
      </c>
      <c r="Q401" s="704">
        <f>SUBTOTAL(9,Q396:Q400)</f>
        <v>34041</v>
      </c>
      <c r="R401" s="704">
        <f>SUBTOTAL(9,R396:R400)</f>
        <v>27166</v>
      </c>
      <c r="S401" s="704">
        <f>SUBTOTAL(9,S396:S400)</f>
        <v>0</v>
      </c>
      <c r="T401" s="700"/>
    </row>
    <row r="402" spans="1:20" ht="12.75">
      <c r="A402" s="686">
        <f>A400+1</f>
        <v>350</v>
      </c>
      <c r="B402" s="701" t="s">
        <v>1163</v>
      </c>
      <c r="C402" s="687" t="s">
        <v>714</v>
      </c>
      <c r="D402" s="687">
        <v>3008</v>
      </c>
      <c r="E402" s="687"/>
      <c r="F402" s="700">
        <v>342</v>
      </c>
      <c r="G402" s="700" t="s">
        <v>737</v>
      </c>
      <c r="H402" s="687"/>
      <c r="I402" s="687"/>
      <c r="J402" s="703"/>
      <c r="K402" s="703"/>
      <c r="L402" s="703">
        <f>94</f>
        <v>94</v>
      </c>
      <c r="M402" s="703"/>
      <c r="N402" s="703">
        <v>92</v>
      </c>
      <c r="O402" s="703">
        <v>92</v>
      </c>
      <c r="P402" s="695">
        <f t="shared" si="62"/>
        <v>1</v>
      </c>
      <c r="Q402" s="704"/>
      <c r="R402" s="704"/>
      <c r="S402" s="704"/>
      <c r="T402" s="700" t="s">
        <v>738</v>
      </c>
    </row>
    <row r="403" spans="1:20" ht="12.75">
      <c r="A403" s="686">
        <f>A402+1</f>
        <v>351</v>
      </c>
      <c r="B403" s="701" t="s">
        <v>1169</v>
      </c>
      <c r="C403" s="687" t="s">
        <v>714</v>
      </c>
      <c r="D403" s="687">
        <v>300599</v>
      </c>
      <c r="E403" s="687">
        <v>6322</v>
      </c>
      <c r="F403" s="700"/>
      <c r="G403" s="700" t="s">
        <v>1170</v>
      </c>
      <c r="H403" s="687"/>
      <c r="I403" s="687"/>
      <c r="J403" s="703"/>
      <c r="K403" s="703"/>
      <c r="L403" s="703">
        <f>150</f>
        <v>150</v>
      </c>
      <c r="M403" s="703"/>
      <c r="N403" s="703">
        <v>62</v>
      </c>
      <c r="O403" s="703">
        <v>62</v>
      </c>
      <c r="P403" s="695">
        <f t="shared" si="62"/>
        <v>1</v>
      </c>
      <c r="Q403" s="704"/>
      <c r="R403" s="704"/>
      <c r="S403" s="704"/>
      <c r="T403" s="700" t="s">
        <v>1171</v>
      </c>
    </row>
    <row r="404" spans="1:20" ht="12.75">
      <c r="A404" s="686"/>
      <c r="B404" s="701"/>
      <c r="C404" s="708" t="s">
        <v>1172</v>
      </c>
      <c r="D404" s="687"/>
      <c r="E404" s="687"/>
      <c r="F404" s="700"/>
      <c r="G404" s="700"/>
      <c r="H404" s="687"/>
      <c r="I404" s="687"/>
      <c r="J404" s="703">
        <f aca="true" t="shared" si="68" ref="J404:O404">SUBTOTAL(9,J402:J403)</f>
        <v>0</v>
      </c>
      <c r="K404" s="703">
        <f t="shared" si="68"/>
        <v>0</v>
      </c>
      <c r="L404" s="703">
        <f t="shared" si="68"/>
        <v>244</v>
      </c>
      <c r="M404" s="703">
        <f t="shared" si="68"/>
        <v>0</v>
      </c>
      <c r="N404" s="703">
        <f t="shared" si="68"/>
        <v>154</v>
      </c>
      <c r="O404" s="703">
        <f t="shared" si="68"/>
        <v>154</v>
      </c>
      <c r="P404" s="695">
        <f t="shared" si="62"/>
        <v>1</v>
      </c>
      <c r="Q404" s="704">
        <f>SUBTOTAL(9,Q402:Q403)</f>
        <v>0</v>
      </c>
      <c r="R404" s="704">
        <f>SUBTOTAL(9,R402:R403)</f>
        <v>0</v>
      </c>
      <c r="S404" s="704">
        <f>SUBTOTAL(9,S402:S403)</f>
        <v>0</v>
      </c>
      <c r="T404" s="700"/>
    </row>
    <row r="405" spans="1:20" ht="12.75">
      <c r="A405" s="686">
        <f>A403+1</f>
        <v>352</v>
      </c>
      <c r="B405" s="701" t="s">
        <v>300</v>
      </c>
      <c r="C405" s="687" t="s">
        <v>716</v>
      </c>
      <c r="D405" s="687">
        <v>3090</v>
      </c>
      <c r="E405" s="687">
        <v>6121</v>
      </c>
      <c r="F405" s="700"/>
      <c r="G405" s="700" t="s">
        <v>1173</v>
      </c>
      <c r="H405" s="707">
        <v>2009</v>
      </c>
      <c r="I405" s="707">
        <v>2012</v>
      </c>
      <c r="J405" s="703">
        <v>11950</v>
      </c>
      <c r="K405" s="703"/>
      <c r="L405" s="703">
        <v>894</v>
      </c>
      <c r="M405" s="703"/>
      <c r="N405" s="703"/>
      <c r="O405" s="703"/>
      <c r="P405" s="695" t="str">
        <f t="shared" si="62"/>
        <v> </v>
      </c>
      <c r="Q405" s="704"/>
      <c r="R405" s="704"/>
      <c r="S405" s="704"/>
      <c r="T405" s="700" t="s">
        <v>747</v>
      </c>
    </row>
    <row r="406" spans="1:20" ht="12.75">
      <c r="A406" s="686">
        <f>A405+1</f>
        <v>353</v>
      </c>
      <c r="B406" s="701" t="s">
        <v>300</v>
      </c>
      <c r="C406" s="687" t="s">
        <v>716</v>
      </c>
      <c r="D406" s="687">
        <v>3091</v>
      </c>
      <c r="E406" s="687">
        <v>6121</v>
      </c>
      <c r="F406" s="700"/>
      <c r="G406" s="700" t="s">
        <v>1174</v>
      </c>
      <c r="H406" s="707">
        <v>2009</v>
      </c>
      <c r="I406" s="707">
        <v>2012</v>
      </c>
      <c r="J406" s="703">
        <v>9250</v>
      </c>
      <c r="K406" s="703"/>
      <c r="L406" s="703">
        <v>848</v>
      </c>
      <c r="M406" s="703"/>
      <c r="N406" s="703"/>
      <c r="O406" s="703"/>
      <c r="P406" s="695" t="str">
        <f t="shared" si="62"/>
        <v> </v>
      </c>
      <c r="Q406" s="704"/>
      <c r="R406" s="704"/>
      <c r="S406" s="704"/>
      <c r="T406" s="700" t="s">
        <v>747</v>
      </c>
    </row>
    <row r="407" spans="1:20" ht="12.75">
      <c r="A407" s="686"/>
      <c r="B407" s="701"/>
      <c r="C407" s="708" t="s">
        <v>1175</v>
      </c>
      <c r="D407" s="687"/>
      <c r="E407" s="687"/>
      <c r="F407" s="700"/>
      <c r="G407" s="700"/>
      <c r="H407" s="707"/>
      <c r="I407" s="707"/>
      <c r="J407" s="703">
        <f aca="true" t="shared" si="69" ref="J407:O407">SUBTOTAL(9,J405:J406)</f>
        <v>21200</v>
      </c>
      <c r="K407" s="703">
        <f t="shared" si="69"/>
        <v>0</v>
      </c>
      <c r="L407" s="703">
        <f t="shared" si="69"/>
        <v>1742</v>
      </c>
      <c r="M407" s="703">
        <f t="shared" si="69"/>
        <v>0</v>
      </c>
      <c r="N407" s="703">
        <f t="shared" si="69"/>
        <v>0</v>
      </c>
      <c r="O407" s="703">
        <f t="shared" si="69"/>
        <v>0</v>
      </c>
      <c r="P407" s="695" t="str">
        <f t="shared" si="62"/>
        <v> </v>
      </c>
      <c r="Q407" s="704">
        <f>SUBTOTAL(9,Q405:Q406)</f>
        <v>0</v>
      </c>
      <c r="R407" s="704">
        <f>SUBTOTAL(9,R405:R406)</f>
        <v>0</v>
      </c>
      <c r="S407" s="704">
        <f>SUBTOTAL(9,S405:S406)</f>
        <v>0</v>
      </c>
      <c r="T407" s="700"/>
    </row>
    <row r="408" spans="1:20" ht="12.75">
      <c r="A408" s="686">
        <f>A406+1</f>
        <v>354</v>
      </c>
      <c r="B408" s="701" t="s">
        <v>300</v>
      </c>
      <c r="C408" s="687" t="s">
        <v>718</v>
      </c>
      <c r="D408" s="687">
        <v>2876</v>
      </c>
      <c r="E408" s="687">
        <v>6121</v>
      </c>
      <c r="F408" s="700"/>
      <c r="G408" s="700" t="s">
        <v>1176</v>
      </c>
      <c r="H408" s="707">
        <v>2013</v>
      </c>
      <c r="I408" s="707">
        <v>2016</v>
      </c>
      <c r="J408" s="703">
        <v>249900</v>
      </c>
      <c r="K408" s="703"/>
      <c r="L408" s="703"/>
      <c r="M408" s="703"/>
      <c r="N408" s="703"/>
      <c r="O408" s="703"/>
      <c r="P408" s="695" t="str">
        <f t="shared" si="62"/>
        <v> </v>
      </c>
      <c r="Q408" s="704">
        <v>3000</v>
      </c>
      <c r="R408" s="704"/>
      <c r="S408" s="704"/>
      <c r="T408" s="700" t="s">
        <v>747</v>
      </c>
    </row>
    <row r="409" spans="1:20" ht="12.75">
      <c r="A409" s="686">
        <f aca="true" t="shared" si="70" ref="A409:A419">A408+1</f>
        <v>355</v>
      </c>
      <c r="B409" s="705">
        <v>5600</v>
      </c>
      <c r="C409" s="687" t="s">
        <v>718</v>
      </c>
      <c r="D409" s="687">
        <v>2957</v>
      </c>
      <c r="E409" s="687">
        <v>6121</v>
      </c>
      <c r="F409" s="700"/>
      <c r="G409" s="700" t="s">
        <v>1177</v>
      </c>
      <c r="H409" s="687">
        <v>2011</v>
      </c>
      <c r="I409" s="687">
        <v>2013</v>
      </c>
      <c r="J409" s="703">
        <v>6800</v>
      </c>
      <c r="K409" s="703"/>
      <c r="L409" s="703">
        <f>510</f>
        <v>510</v>
      </c>
      <c r="M409" s="703"/>
      <c r="N409" s="703"/>
      <c r="O409" s="703"/>
      <c r="P409" s="695" t="str">
        <f t="shared" si="62"/>
        <v> </v>
      </c>
      <c r="Q409" s="704"/>
      <c r="R409" s="704"/>
      <c r="S409" s="704">
        <v>6290</v>
      </c>
      <c r="T409" s="700" t="s">
        <v>1034</v>
      </c>
    </row>
    <row r="410" spans="1:20" ht="12.75">
      <c r="A410" s="686">
        <f t="shared" si="70"/>
        <v>356</v>
      </c>
      <c r="B410" s="701" t="s">
        <v>300</v>
      </c>
      <c r="C410" s="687" t="s">
        <v>718</v>
      </c>
      <c r="D410" s="687">
        <v>3035</v>
      </c>
      <c r="E410" s="687">
        <v>6121</v>
      </c>
      <c r="F410" s="700"/>
      <c r="G410" s="700" t="s">
        <v>1178</v>
      </c>
      <c r="H410" s="707">
        <v>2010</v>
      </c>
      <c r="I410" s="687">
        <v>2013</v>
      </c>
      <c r="J410" s="703">
        <v>22900</v>
      </c>
      <c r="K410" s="703"/>
      <c r="L410" s="703">
        <f>1440+750+20208</f>
        <v>22398</v>
      </c>
      <c r="M410" s="703">
        <v>500</v>
      </c>
      <c r="N410" s="703">
        <v>500</v>
      </c>
      <c r="O410" s="703">
        <v>487</v>
      </c>
      <c r="P410" s="695">
        <f t="shared" si="62"/>
        <v>0.974</v>
      </c>
      <c r="Q410" s="704"/>
      <c r="R410" s="704"/>
      <c r="S410" s="704"/>
      <c r="T410" s="700" t="s">
        <v>747</v>
      </c>
    </row>
    <row r="411" spans="1:20" ht="12.75">
      <c r="A411" s="686">
        <f t="shared" si="70"/>
        <v>357</v>
      </c>
      <c r="B411" s="701" t="s">
        <v>300</v>
      </c>
      <c r="C411" s="687" t="s">
        <v>718</v>
      </c>
      <c r="D411" s="687">
        <v>3087</v>
      </c>
      <c r="E411" s="687">
        <v>6121</v>
      </c>
      <c r="F411" s="700"/>
      <c r="G411" s="700" t="s">
        <v>1179</v>
      </c>
      <c r="H411" s="707">
        <v>2009</v>
      </c>
      <c r="I411" s="687">
        <v>2014</v>
      </c>
      <c r="J411" s="703">
        <v>15058</v>
      </c>
      <c r="K411" s="703"/>
      <c r="L411" s="703">
        <v>4858</v>
      </c>
      <c r="M411" s="703"/>
      <c r="N411" s="703"/>
      <c r="O411" s="703"/>
      <c r="P411" s="695" t="str">
        <f t="shared" si="62"/>
        <v> </v>
      </c>
      <c r="Q411" s="704">
        <v>10200</v>
      </c>
      <c r="R411" s="704"/>
      <c r="S411" s="704"/>
      <c r="T411" s="700" t="s">
        <v>747</v>
      </c>
    </row>
    <row r="412" spans="1:20" ht="12.75">
      <c r="A412" s="686">
        <f t="shared" si="70"/>
        <v>358</v>
      </c>
      <c r="B412" s="701" t="s">
        <v>1180</v>
      </c>
      <c r="C412" s="687" t="s">
        <v>718</v>
      </c>
      <c r="D412" s="687">
        <v>3102</v>
      </c>
      <c r="E412" s="687">
        <v>6111</v>
      </c>
      <c r="F412" s="700"/>
      <c r="G412" s="700" t="s">
        <v>1181</v>
      </c>
      <c r="H412" s="705"/>
      <c r="I412" s="705"/>
      <c r="J412" s="703"/>
      <c r="K412" s="703"/>
      <c r="L412" s="703">
        <f>13499+13499</f>
        <v>26998</v>
      </c>
      <c r="M412" s="703">
        <v>13500</v>
      </c>
      <c r="N412" s="703">
        <v>13500</v>
      </c>
      <c r="O412" s="703">
        <v>13500</v>
      </c>
      <c r="P412" s="695">
        <f t="shared" si="62"/>
        <v>1</v>
      </c>
      <c r="Q412" s="704">
        <v>13500</v>
      </c>
      <c r="R412" s="704"/>
      <c r="S412" s="704"/>
      <c r="T412" s="700" t="s">
        <v>1182</v>
      </c>
    </row>
    <row r="413" spans="1:20" ht="12.75">
      <c r="A413" s="686">
        <f t="shared" si="70"/>
        <v>359</v>
      </c>
      <c r="B413" s="701" t="s">
        <v>300</v>
      </c>
      <c r="C413" s="687" t="s">
        <v>718</v>
      </c>
      <c r="D413" s="687">
        <v>3150</v>
      </c>
      <c r="E413" s="687">
        <v>6121</v>
      </c>
      <c r="F413" s="700"/>
      <c r="G413" s="700" t="s">
        <v>1183</v>
      </c>
      <c r="H413" s="707">
        <v>2008</v>
      </c>
      <c r="I413" s="707">
        <v>2012</v>
      </c>
      <c r="J413" s="703">
        <v>27500</v>
      </c>
      <c r="K413" s="703"/>
      <c r="L413" s="703">
        <v>1561</v>
      </c>
      <c r="M413" s="703"/>
      <c r="N413" s="703"/>
      <c r="O413" s="703"/>
      <c r="P413" s="695" t="str">
        <f t="shared" si="62"/>
        <v> </v>
      </c>
      <c r="Q413" s="704"/>
      <c r="R413" s="704"/>
      <c r="S413" s="704">
        <v>25939</v>
      </c>
      <c r="T413" s="700" t="s">
        <v>747</v>
      </c>
    </row>
    <row r="414" spans="1:20" ht="12.75">
      <c r="A414" s="686">
        <f t="shared" si="70"/>
        <v>360</v>
      </c>
      <c r="B414" s="701" t="s">
        <v>213</v>
      </c>
      <c r="C414" s="687" t="s">
        <v>718</v>
      </c>
      <c r="D414" s="687">
        <v>3282</v>
      </c>
      <c r="E414" s="687">
        <v>6121</v>
      </c>
      <c r="F414" s="700"/>
      <c r="G414" s="700" t="s">
        <v>1184</v>
      </c>
      <c r="H414" s="707">
        <v>2005</v>
      </c>
      <c r="I414" s="707">
        <v>2013</v>
      </c>
      <c r="J414" s="703">
        <f>19334+1000</f>
        <v>20334</v>
      </c>
      <c r="K414" s="703"/>
      <c r="L414" s="703">
        <f>10534+3295+1449</f>
        <v>15278</v>
      </c>
      <c r="M414" s="703"/>
      <c r="N414" s="703">
        <v>4500</v>
      </c>
      <c r="O414" s="703">
        <v>4473</v>
      </c>
      <c r="P414" s="695">
        <f t="shared" si="62"/>
        <v>0.994</v>
      </c>
      <c r="Q414" s="704"/>
      <c r="R414" s="704"/>
      <c r="S414" s="704"/>
      <c r="T414" s="700" t="s">
        <v>1071</v>
      </c>
    </row>
    <row r="415" spans="1:20" ht="12.75">
      <c r="A415" s="686">
        <f t="shared" si="70"/>
        <v>361</v>
      </c>
      <c r="B415" s="701" t="s">
        <v>1180</v>
      </c>
      <c r="C415" s="687" t="s">
        <v>718</v>
      </c>
      <c r="D415" s="687">
        <v>3432</v>
      </c>
      <c r="E415" s="687">
        <v>6111</v>
      </c>
      <c r="F415" s="700"/>
      <c r="G415" s="700" t="s">
        <v>1185</v>
      </c>
      <c r="H415" s="705"/>
      <c r="I415" s="705"/>
      <c r="J415" s="703"/>
      <c r="K415" s="703"/>
      <c r="L415" s="703">
        <f>182960+18566+23472</f>
        <v>224998</v>
      </c>
      <c r="M415" s="703">
        <v>17000</v>
      </c>
      <c r="N415" s="703">
        <v>14000</v>
      </c>
      <c r="O415" s="703">
        <v>4538</v>
      </c>
      <c r="P415" s="695">
        <f t="shared" si="62"/>
        <v>0.3241428571428571</v>
      </c>
      <c r="Q415" s="704">
        <v>13975</v>
      </c>
      <c r="R415" s="704"/>
      <c r="S415" s="704"/>
      <c r="T415" s="700" t="s">
        <v>1182</v>
      </c>
    </row>
    <row r="416" spans="1:20" ht="12.75">
      <c r="A416" s="686">
        <f t="shared" si="70"/>
        <v>362</v>
      </c>
      <c r="B416" s="701" t="s">
        <v>1180</v>
      </c>
      <c r="C416" s="687" t="s">
        <v>718</v>
      </c>
      <c r="D416" s="687">
        <v>3476</v>
      </c>
      <c r="E416" s="687">
        <v>6111</v>
      </c>
      <c r="F416" s="700"/>
      <c r="G416" s="700" t="s">
        <v>1186</v>
      </c>
      <c r="H416" s="705"/>
      <c r="I416" s="705"/>
      <c r="J416" s="703"/>
      <c r="K416" s="703"/>
      <c r="L416" s="703">
        <f>186000+20798+13685</f>
        <v>220483</v>
      </c>
      <c r="M416" s="703">
        <f>12700+3504+11700</f>
        <v>27904</v>
      </c>
      <c r="N416" s="703">
        <v>20404</v>
      </c>
      <c r="O416" s="703">
        <v>18970</v>
      </c>
      <c r="P416" s="695">
        <f t="shared" si="62"/>
        <v>0.9297196628112135</v>
      </c>
      <c r="Q416" s="704">
        <v>25799</v>
      </c>
      <c r="R416" s="704"/>
      <c r="S416" s="704"/>
      <c r="T416" s="700" t="s">
        <v>1182</v>
      </c>
    </row>
    <row r="417" spans="1:20" ht="12.75">
      <c r="A417" s="686">
        <f t="shared" si="70"/>
        <v>363</v>
      </c>
      <c r="B417" s="705">
        <v>4100</v>
      </c>
      <c r="C417" s="687" t="s">
        <v>718</v>
      </c>
      <c r="D417" s="687">
        <v>5036</v>
      </c>
      <c r="E417" s="687">
        <v>6121</v>
      </c>
      <c r="F417" s="702" t="s">
        <v>796</v>
      </c>
      <c r="G417" s="700" t="s">
        <v>1187</v>
      </c>
      <c r="H417" s="707">
        <v>2009</v>
      </c>
      <c r="I417" s="707">
        <v>2014</v>
      </c>
      <c r="J417" s="703">
        <v>72000</v>
      </c>
      <c r="K417" s="703">
        <v>60486</v>
      </c>
      <c r="L417" s="703">
        <f>1389+71160</f>
        <v>72549</v>
      </c>
      <c r="M417" s="703"/>
      <c r="N417" s="703"/>
      <c r="O417" s="703"/>
      <c r="P417" s="695" t="str">
        <f t="shared" si="62"/>
        <v> </v>
      </c>
      <c r="Q417" s="704"/>
      <c r="R417" s="704"/>
      <c r="S417" s="704"/>
      <c r="T417" s="700" t="s">
        <v>1002</v>
      </c>
    </row>
    <row r="418" spans="1:20" ht="12.75">
      <c r="A418" s="686">
        <f t="shared" si="70"/>
        <v>364</v>
      </c>
      <c r="B418" s="701" t="s">
        <v>1180</v>
      </c>
      <c r="C418" s="687" t="s">
        <v>718</v>
      </c>
      <c r="D418" s="687">
        <v>5112</v>
      </c>
      <c r="E418" s="687">
        <v>6111</v>
      </c>
      <c r="F418" s="702" t="s">
        <v>796</v>
      </c>
      <c r="G418" s="700" t="s">
        <v>1188</v>
      </c>
      <c r="H418" s="707">
        <v>2010</v>
      </c>
      <c r="I418" s="707">
        <v>2013</v>
      </c>
      <c r="J418" s="703">
        <v>30685</v>
      </c>
      <c r="K418" s="703">
        <v>35229</v>
      </c>
      <c r="L418" s="703">
        <f>24956</f>
        <v>24956</v>
      </c>
      <c r="M418" s="703"/>
      <c r="N418" s="703"/>
      <c r="O418" s="703"/>
      <c r="P418" s="695" t="str">
        <f t="shared" si="62"/>
        <v> </v>
      </c>
      <c r="Q418" s="704">
        <v>3250</v>
      </c>
      <c r="R418" s="704"/>
      <c r="S418" s="704"/>
      <c r="T418" s="700" t="s">
        <v>1182</v>
      </c>
    </row>
    <row r="419" spans="1:20" ht="12.75">
      <c r="A419" s="686">
        <f t="shared" si="70"/>
        <v>365</v>
      </c>
      <c r="B419" s="701" t="s">
        <v>1189</v>
      </c>
      <c r="C419" s="687" t="s">
        <v>718</v>
      </c>
      <c r="D419" s="687">
        <v>300000</v>
      </c>
      <c r="E419" s="687">
        <v>6122</v>
      </c>
      <c r="F419" s="700"/>
      <c r="G419" s="700" t="s">
        <v>1190</v>
      </c>
      <c r="H419" s="687"/>
      <c r="I419" s="687"/>
      <c r="J419" s="703"/>
      <c r="K419" s="703"/>
      <c r="L419" s="703">
        <f>1860+755</f>
        <v>2615</v>
      </c>
      <c r="M419" s="703"/>
      <c r="N419" s="703">
        <v>330</v>
      </c>
      <c r="O419" s="703">
        <v>314</v>
      </c>
      <c r="P419" s="695">
        <f t="shared" si="62"/>
        <v>0.9515151515151515</v>
      </c>
      <c r="Q419" s="704">
        <v>1550</v>
      </c>
      <c r="R419" s="704"/>
      <c r="S419" s="704"/>
      <c r="T419" s="700" t="s">
        <v>1191</v>
      </c>
    </row>
    <row r="420" spans="1:20" ht="12.75">
      <c r="A420" s="686"/>
      <c r="B420" s="701"/>
      <c r="C420" s="708" t="s">
        <v>1192</v>
      </c>
      <c r="D420" s="687"/>
      <c r="E420" s="687"/>
      <c r="F420" s="700"/>
      <c r="G420" s="700"/>
      <c r="H420" s="687"/>
      <c r="I420" s="687"/>
      <c r="J420" s="703">
        <f aca="true" t="shared" si="71" ref="J420:O420">SUBTOTAL(9,J408:J419)</f>
        <v>445177</v>
      </c>
      <c r="K420" s="703">
        <f t="shared" si="71"/>
        <v>95715</v>
      </c>
      <c r="L420" s="703">
        <f t="shared" si="71"/>
        <v>617204</v>
      </c>
      <c r="M420" s="703">
        <f t="shared" si="71"/>
        <v>58904</v>
      </c>
      <c r="N420" s="703">
        <f t="shared" si="71"/>
        <v>53234</v>
      </c>
      <c r="O420" s="703">
        <f t="shared" si="71"/>
        <v>42282</v>
      </c>
      <c r="P420" s="695">
        <f t="shared" si="62"/>
        <v>0.7942668219558928</v>
      </c>
      <c r="Q420" s="704">
        <f>SUBTOTAL(9,Q408:Q419)</f>
        <v>71274</v>
      </c>
      <c r="R420" s="704">
        <f>SUBTOTAL(9,R408:R419)</f>
        <v>0</v>
      </c>
      <c r="S420" s="704">
        <f>SUBTOTAL(9,S408:S419)</f>
        <v>32229</v>
      </c>
      <c r="T420" s="700"/>
    </row>
    <row r="421" spans="1:20" ht="12.75">
      <c r="A421" s="686">
        <f>A419+1</f>
        <v>366</v>
      </c>
      <c r="B421" s="701" t="s">
        <v>1193</v>
      </c>
      <c r="C421" s="687" t="s">
        <v>720</v>
      </c>
      <c r="D421" s="687">
        <v>3074</v>
      </c>
      <c r="E421" s="687">
        <v>6129</v>
      </c>
      <c r="F421" s="700"/>
      <c r="G421" s="700" t="s">
        <v>1194</v>
      </c>
      <c r="H421" s="707">
        <v>2009</v>
      </c>
      <c r="I421" s="707">
        <v>2018</v>
      </c>
      <c r="J421" s="703">
        <v>15000</v>
      </c>
      <c r="K421" s="703"/>
      <c r="L421" s="703">
        <f>685+768+641</f>
        <v>2094</v>
      </c>
      <c r="M421" s="703">
        <v>1500</v>
      </c>
      <c r="N421" s="703">
        <v>1500</v>
      </c>
      <c r="O421" s="703">
        <v>1023</v>
      </c>
      <c r="P421" s="695">
        <f t="shared" si="62"/>
        <v>0.682</v>
      </c>
      <c r="Q421" s="704">
        <v>1500</v>
      </c>
      <c r="R421" s="704">
        <v>1500</v>
      </c>
      <c r="S421" s="704">
        <f>1500+6906</f>
        <v>8406</v>
      </c>
      <c r="T421" s="700" t="s">
        <v>1195</v>
      </c>
    </row>
    <row r="422" spans="1:20" ht="12.75">
      <c r="A422" s="686"/>
      <c r="B422" s="701"/>
      <c r="C422" s="708" t="s">
        <v>1196</v>
      </c>
      <c r="D422" s="687"/>
      <c r="E422" s="687"/>
      <c r="F422" s="700"/>
      <c r="G422" s="700"/>
      <c r="H422" s="707"/>
      <c r="I422" s="707"/>
      <c r="J422" s="703">
        <f aca="true" t="shared" si="72" ref="J422:O422">SUBTOTAL(9,J421:J421)</f>
        <v>15000</v>
      </c>
      <c r="K422" s="703">
        <f t="shared" si="72"/>
        <v>0</v>
      </c>
      <c r="L422" s="703">
        <f t="shared" si="72"/>
        <v>2094</v>
      </c>
      <c r="M422" s="703">
        <f t="shared" si="72"/>
        <v>1500</v>
      </c>
      <c r="N422" s="703">
        <f t="shared" si="72"/>
        <v>1500</v>
      </c>
      <c r="O422" s="703">
        <f t="shared" si="72"/>
        <v>1023</v>
      </c>
      <c r="P422" s="695">
        <f t="shared" si="62"/>
        <v>0.682</v>
      </c>
      <c r="Q422" s="704">
        <f>SUBTOTAL(9,Q421:Q421)</f>
        <v>1500</v>
      </c>
      <c r="R422" s="704">
        <f>SUBTOTAL(9,R421:R421)</f>
        <v>1500</v>
      </c>
      <c r="S422" s="704">
        <f>SUBTOTAL(9,S421:S421)</f>
        <v>8406</v>
      </c>
      <c r="T422" s="700"/>
    </row>
    <row r="423" spans="1:20" ht="12.75">
      <c r="A423" s="686">
        <f>A421+1</f>
        <v>367</v>
      </c>
      <c r="B423" s="701" t="s">
        <v>232</v>
      </c>
      <c r="C423" s="687" t="s">
        <v>722</v>
      </c>
      <c r="D423" s="687" t="s">
        <v>667</v>
      </c>
      <c r="E423" s="687">
        <v>6341</v>
      </c>
      <c r="F423" s="700">
        <v>41</v>
      </c>
      <c r="G423" s="700" t="s">
        <v>1197</v>
      </c>
      <c r="H423" s="687"/>
      <c r="I423" s="687"/>
      <c r="J423" s="703"/>
      <c r="K423" s="703"/>
      <c r="L423" s="703">
        <f>71730+80796</f>
        <v>152526</v>
      </c>
      <c r="M423" s="703"/>
      <c r="N423" s="703">
        <v>104218</v>
      </c>
      <c r="O423" s="703">
        <v>104218</v>
      </c>
      <c r="P423" s="695">
        <f t="shared" si="62"/>
        <v>1</v>
      </c>
      <c r="Q423" s="704"/>
      <c r="R423" s="704"/>
      <c r="S423" s="704"/>
      <c r="T423" s="700" t="s">
        <v>1034</v>
      </c>
    </row>
    <row r="424" spans="1:20" ht="12.75">
      <c r="A424" s="686">
        <f>A423+1</f>
        <v>368</v>
      </c>
      <c r="B424" s="701" t="s">
        <v>232</v>
      </c>
      <c r="C424" s="687" t="s">
        <v>722</v>
      </c>
      <c r="D424" s="687" t="s">
        <v>667</v>
      </c>
      <c r="E424" s="687">
        <v>6341</v>
      </c>
      <c r="F424" s="700">
        <v>41</v>
      </c>
      <c r="G424" s="700" t="s">
        <v>1198</v>
      </c>
      <c r="H424" s="687"/>
      <c r="I424" s="687"/>
      <c r="J424" s="703"/>
      <c r="K424" s="703"/>
      <c r="L424" s="703"/>
      <c r="M424" s="703"/>
      <c r="N424" s="703">
        <v>8240</v>
      </c>
      <c r="O424" s="703">
        <v>8240</v>
      </c>
      <c r="P424" s="695">
        <f t="shared" si="62"/>
        <v>1</v>
      </c>
      <c r="Q424" s="704"/>
      <c r="R424" s="704"/>
      <c r="S424" s="704"/>
      <c r="T424" s="700" t="s">
        <v>1034</v>
      </c>
    </row>
    <row r="425" spans="1:20" ht="12.75">
      <c r="A425" s="686">
        <f>A424+1</f>
        <v>369</v>
      </c>
      <c r="B425" s="701" t="s">
        <v>232</v>
      </c>
      <c r="C425" s="687" t="s">
        <v>722</v>
      </c>
      <c r="D425" s="687" t="s">
        <v>667</v>
      </c>
      <c r="E425" s="687">
        <v>6341</v>
      </c>
      <c r="F425" s="700"/>
      <c r="G425" s="700" t="s">
        <v>1199</v>
      </c>
      <c r="H425" s="687"/>
      <c r="I425" s="687"/>
      <c r="J425" s="703"/>
      <c r="K425" s="703"/>
      <c r="L425" s="703"/>
      <c r="M425" s="703"/>
      <c r="N425" s="703">
        <v>7637</v>
      </c>
      <c r="O425" s="703">
        <v>7637</v>
      </c>
      <c r="P425" s="695">
        <f t="shared" si="62"/>
        <v>1</v>
      </c>
      <c r="Q425" s="704"/>
      <c r="R425" s="704"/>
      <c r="S425" s="704"/>
      <c r="T425" s="700" t="s">
        <v>1034</v>
      </c>
    </row>
    <row r="426" spans="1:20" ht="12.75">
      <c r="A426" s="686">
        <f>A425+1</f>
        <v>370</v>
      </c>
      <c r="B426" s="701" t="s">
        <v>981</v>
      </c>
      <c r="C426" s="687" t="s">
        <v>722</v>
      </c>
      <c r="D426" s="687" t="s">
        <v>667</v>
      </c>
      <c r="E426" s="687">
        <v>6341</v>
      </c>
      <c r="F426" s="700"/>
      <c r="G426" s="700" t="s">
        <v>1200</v>
      </c>
      <c r="H426" s="687"/>
      <c r="I426" s="687"/>
      <c r="J426" s="703"/>
      <c r="K426" s="703"/>
      <c r="L426" s="703">
        <f>79855+1550</f>
        <v>81405</v>
      </c>
      <c r="M426" s="703"/>
      <c r="N426" s="703">
        <v>60492</v>
      </c>
      <c r="O426" s="703">
        <v>59597</v>
      </c>
      <c r="P426" s="695">
        <f t="shared" si="62"/>
        <v>0.9852046551610131</v>
      </c>
      <c r="Q426" s="704"/>
      <c r="R426" s="704"/>
      <c r="S426" s="704"/>
      <c r="T426" s="700" t="s">
        <v>1034</v>
      </c>
    </row>
    <row r="427" spans="1:20" ht="12.75">
      <c r="A427" s="686"/>
      <c r="B427" s="716"/>
      <c r="C427" s="717" t="s">
        <v>1201</v>
      </c>
      <c r="D427" s="718"/>
      <c r="E427" s="718"/>
      <c r="F427" s="719"/>
      <c r="G427" s="719"/>
      <c r="H427" s="718"/>
      <c r="I427" s="718"/>
      <c r="J427" s="720">
        <f aca="true" t="shared" si="73" ref="J427:O427">SUBTOTAL(9,J423:J426)</f>
        <v>0</v>
      </c>
      <c r="K427" s="720">
        <f t="shared" si="73"/>
        <v>0</v>
      </c>
      <c r="L427" s="720">
        <f t="shared" si="73"/>
        <v>233931</v>
      </c>
      <c r="M427" s="720">
        <f t="shared" si="73"/>
        <v>0</v>
      </c>
      <c r="N427" s="720">
        <f t="shared" si="73"/>
        <v>180587</v>
      </c>
      <c r="O427" s="720">
        <f t="shared" si="73"/>
        <v>179692</v>
      </c>
      <c r="P427" s="695">
        <f t="shared" si="62"/>
        <v>0.9950439400399808</v>
      </c>
      <c r="Q427" s="721">
        <f>SUBTOTAL(9,Q423:Q426)</f>
        <v>0</v>
      </c>
      <c r="R427" s="721">
        <f>SUBTOTAL(9,R423:R426)</f>
        <v>0</v>
      </c>
      <c r="S427" s="721">
        <f>SUBTOTAL(9,S423:S426)</f>
        <v>0</v>
      </c>
      <c r="T427" s="719"/>
    </row>
    <row r="428" spans="1:20" ht="12.75">
      <c r="A428" s="686"/>
      <c r="B428" s="716"/>
      <c r="C428" s="717" t="s">
        <v>1202</v>
      </c>
      <c r="D428" s="718"/>
      <c r="E428" s="718"/>
      <c r="F428" s="719"/>
      <c r="G428" s="719"/>
      <c r="H428" s="718"/>
      <c r="I428" s="718"/>
      <c r="J428" s="720">
        <f aca="true" t="shared" si="74" ref="J428:O428">SUBTOTAL(9,J2:J426)</f>
        <v>26939273</v>
      </c>
      <c r="K428" s="720">
        <f t="shared" si="74"/>
        <v>2259181</v>
      </c>
      <c r="L428" s="720">
        <f t="shared" si="74"/>
        <v>6359681</v>
      </c>
      <c r="M428" s="720">
        <f t="shared" si="74"/>
        <v>1993563</v>
      </c>
      <c r="N428" s="720">
        <f t="shared" si="74"/>
        <v>2508988</v>
      </c>
      <c r="O428" s="720">
        <f t="shared" si="74"/>
        <v>2229927</v>
      </c>
      <c r="P428" s="695">
        <f t="shared" si="62"/>
        <v>0.8887754744143854</v>
      </c>
      <c r="Q428" s="721">
        <f>SUBTOTAL(9,Q2:Q426)</f>
        <v>2337096</v>
      </c>
      <c r="R428" s="721">
        <f>SUBTOTAL(9,R2:R426)</f>
        <v>2122224</v>
      </c>
      <c r="S428" s="721">
        <f>SUBTOTAL(9,S2:S426)</f>
        <v>11669511</v>
      </c>
      <c r="T428" s="719"/>
    </row>
    <row r="429" spans="1:20" ht="12.75">
      <c r="A429" s="722"/>
      <c r="B429" s="723"/>
      <c r="C429" s="724"/>
      <c r="D429" s="724"/>
      <c r="E429" s="724"/>
      <c r="F429" s="725"/>
      <c r="G429" s="725"/>
      <c r="H429" s="724"/>
      <c r="I429" s="724"/>
      <c r="J429" s="726"/>
      <c r="K429" s="726"/>
      <c r="L429" s="726"/>
      <c r="M429" s="722"/>
      <c r="N429" s="722"/>
      <c r="O429" s="722"/>
      <c r="P429" s="726"/>
      <c r="Q429" s="726"/>
      <c r="R429" s="726"/>
      <c r="S429" s="727"/>
      <c r="T429" s="725"/>
    </row>
    <row r="430" spans="1:20" ht="12.75">
      <c r="A430" s="722"/>
      <c r="B430" s="728"/>
      <c r="C430" s="729"/>
      <c r="D430" s="730"/>
      <c r="E430" s="730"/>
      <c r="F430" s="729"/>
      <c r="G430" s="729"/>
      <c r="H430" s="730"/>
      <c r="I430" s="730"/>
      <c r="J430" s="729"/>
      <c r="K430" s="729"/>
      <c r="L430" s="729"/>
      <c r="M430" s="731"/>
      <c r="N430" s="731"/>
      <c r="O430" s="731"/>
      <c r="P430" s="731"/>
      <c r="Q430" s="729"/>
      <c r="R430" s="729"/>
      <c r="S430" s="729"/>
      <c r="T430" s="729"/>
    </row>
    <row r="431" spans="1:20" ht="38.25">
      <c r="A431" s="722"/>
      <c r="B431" s="728"/>
      <c r="C431" s="722"/>
      <c r="D431" s="722"/>
      <c r="E431" s="722"/>
      <c r="F431" s="722"/>
      <c r="G431" s="732" t="s">
        <v>1203</v>
      </c>
      <c r="H431" s="733" t="s">
        <v>265</v>
      </c>
      <c r="I431" s="733" t="s">
        <v>314</v>
      </c>
      <c r="J431" s="733" t="s">
        <v>1204</v>
      </c>
      <c r="K431" s="733" t="s">
        <v>1205</v>
      </c>
      <c r="L431" s="722"/>
      <c r="M431" s="722"/>
      <c r="N431" s="722"/>
      <c r="O431" s="722"/>
      <c r="P431" s="722"/>
      <c r="Q431" s="734"/>
      <c r="R431" s="734"/>
      <c r="S431" s="735"/>
      <c r="T431" s="729"/>
    </row>
    <row r="432" spans="1:20" ht="12.75">
      <c r="A432" s="722"/>
      <c r="B432" s="728"/>
      <c r="C432" s="722"/>
      <c r="D432" s="722"/>
      <c r="E432" s="722"/>
      <c r="F432" s="722"/>
      <c r="G432" s="729"/>
      <c r="H432" s="729"/>
      <c r="I432" s="729"/>
      <c r="J432" s="729"/>
      <c r="K432" s="729"/>
      <c r="L432" s="722"/>
      <c r="M432" s="726"/>
      <c r="N432" s="726"/>
      <c r="O432" s="726"/>
      <c r="P432" s="722"/>
      <c r="Q432" s="729"/>
      <c r="R432" s="729"/>
      <c r="S432" s="729"/>
      <c r="T432" s="729"/>
    </row>
    <row r="433" spans="1:20" ht="12.75">
      <c r="A433" s="722"/>
      <c r="B433" s="728"/>
      <c r="C433" s="722"/>
      <c r="D433" s="722"/>
      <c r="E433" s="722"/>
      <c r="F433" s="722"/>
      <c r="G433" s="729" t="s">
        <v>1206</v>
      </c>
      <c r="H433" s="736">
        <f>SUBTOTAL(9,M$2:M$430)-H434-H435-H436-H437</f>
        <v>877549</v>
      </c>
      <c r="I433" s="736">
        <f>SUBTOTAL(9,N$2:N$430)-I434-I435-I436-I437</f>
        <v>1494460</v>
      </c>
      <c r="J433" s="736">
        <f>SUBTOTAL(9,O$2:O$430)-J434-J435-J436-J437</f>
        <v>1424333</v>
      </c>
      <c r="K433" s="737">
        <f>IF(I433&lt;=0," ",J433/I433*100)</f>
        <v>95.30753583234079</v>
      </c>
      <c r="L433" s="722"/>
      <c r="M433" s="738"/>
      <c r="N433" s="738"/>
      <c r="O433" s="739"/>
      <c r="P433" s="739"/>
      <c r="Q433" s="738"/>
      <c r="R433" s="738"/>
      <c r="S433" s="738"/>
      <c r="T433" s="738"/>
    </row>
    <row r="434" spans="1:20" ht="12.75">
      <c r="A434" s="722"/>
      <c r="B434" s="728"/>
      <c r="C434" s="722"/>
      <c r="D434" s="722"/>
      <c r="E434" s="722"/>
      <c r="F434" s="722"/>
      <c r="G434" s="729" t="s">
        <v>1207</v>
      </c>
      <c r="H434" s="736">
        <f>_xlfn.SUMIFS(M$2:M$430,($F$2:$F$430),49)</f>
        <v>396000</v>
      </c>
      <c r="I434" s="736">
        <f>_xlfn.SUMIFS(N$2:N$430,($F$2:$F$430),49)</f>
        <v>396000</v>
      </c>
      <c r="J434" s="736">
        <f>_xlfn.SUMIFS(O$2:O$430,($F$2:$F$430),49)</f>
        <v>373137</v>
      </c>
      <c r="K434" s="737">
        <f>IF(I434&lt;=0," ",J434/I434*100)</f>
        <v>94.22651515151516</v>
      </c>
      <c r="L434" s="722"/>
      <c r="M434" s="738"/>
      <c r="N434" s="738"/>
      <c r="O434" s="739"/>
      <c r="P434" s="739"/>
      <c r="Q434" s="738"/>
      <c r="R434" s="738"/>
      <c r="S434" s="738"/>
      <c r="T434" s="738"/>
    </row>
    <row r="435" spans="1:20" ht="12.75">
      <c r="A435" s="722"/>
      <c r="B435" s="728"/>
      <c r="C435" s="722"/>
      <c r="D435" s="722"/>
      <c r="E435" s="722"/>
      <c r="F435" s="722"/>
      <c r="G435" s="729" t="s">
        <v>1208</v>
      </c>
      <c r="H435" s="736">
        <f>_xlfn.SUMIFS($M$2:$M$426,$D$2:$D$426,"&gt;5000",$D$2:$D$426,"&lt;=5999")</f>
        <v>307614</v>
      </c>
      <c r="I435" s="736">
        <f>_xlfn.SUMIFS($N$2:$N$426,$D$2:$D$426,"&gt;5000",$D$2:$D$426,"&lt;=5999")</f>
        <v>382429</v>
      </c>
      <c r="J435" s="736">
        <f>_xlfn.SUMIFS($O$2:$O$426,$D$2:$D$426,"&gt;5000",$D$2:$D$426,"&lt;=5999")</f>
        <v>304943</v>
      </c>
      <c r="K435" s="737">
        <f>IF(I435&lt;=0," ",J435/I435*100)</f>
        <v>79.73846125686075</v>
      </c>
      <c r="L435" s="722"/>
      <c r="M435" s="738"/>
      <c r="N435" s="738"/>
      <c r="O435" s="740"/>
      <c r="P435" s="740"/>
      <c r="Q435" s="738"/>
      <c r="R435" s="738"/>
      <c r="S435" s="738"/>
      <c r="T435" s="738"/>
    </row>
    <row r="436" spans="1:20" ht="12.75">
      <c r="A436" s="722"/>
      <c r="B436" s="728"/>
      <c r="C436" s="722"/>
      <c r="D436" s="722"/>
      <c r="E436" s="722"/>
      <c r="F436" s="722"/>
      <c r="G436" s="729" t="s">
        <v>1209</v>
      </c>
      <c r="H436" s="736"/>
      <c r="I436" s="736">
        <f>_xlfn.SUMIFS(N$2:N$430,($F$2:$F$430),40)</f>
        <v>12102</v>
      </c>
      <c r="J436" s="736">
        <f>_xlfn.SUMIFS(O$2:O$430,($F$2:$F$430),40)</f>
        <v>7361</v>
      </c>
      <c r="K436" s="737">
        <f>IF(I436&lt;=0," ",J436/I436*100)</f>
        <v>60.82465708147413</v>
      </c>
      <c r="L436" s="722"/>
      <c r="M436" s="738"/>
      <c r="N436" s="738"/>
      <c r="O436" s="739"/>
      <c r="P436" s="739"/>
      <c r="Q436" s="738"/>
      <c r="R436" s="738"/>
      <c r="S436" s="738"/>
      <c r="T436" s="738"/>
    </row>
    <row r="437" spans="1:20" ht="13.5" thickBot="1">
      <c r="A437" s="722"/>
      <c r="B437" s="728"/>
      <c r="C437" s="722"/>
      <c r="D437" s="722"/>
      <c r="E437" s="722"/>
      <c r="F437" s="722"/>
      <c r="G437" s="729" t="s">
        <v>1210</v>
      </c>
      <c r="H437" s="736">
        <f>_xlfn.SUMIFS(M$2:M$430,($F$2:$F$430),41)</f>
        <v>412400</v>
      </c>
      <c r="I437" s="736">
        <f>_xlfn.SUMIFS(N$2:N$430,($F$2:$F$430),41)</f>
        <v>223997</v>
      </c>
      <c r="J437" s="736">
        <f>_xlfn.SUMIFS(O$2:O$430,($F$2:$F$430),41)</f>
        <v>120153</v>
      </c>
      <c r="K437" s="737">
        <f>IF(I437&lt;=0," ",J437/I437*100)</f>
        <v>53.64045054174833</v>
      </c>
      <c r="L437" s="722"/>
      <c r="M437" s="741"/>
      <c r="N437" s="741"/>
      <c r="O437" s="739"/>
      <c r="P437" s="739"/>
      <c r="Q437" s="738"/>
      <c r="R437" s="738"/>
      <c r="S437" s="738"/>
      <c r="T437" s="738"/>
    </row>
    <row r="438" spans="1:20" ht="13.5" thickBot="1">
      <c r="A438" s="722"/>
      <c r="B438" s="728"/>
      <c r="C438" s="722"/>
      <c r="D438" s="722"/>
      <c r="E438" s="722"/>
      <c r="F438" s="722"/>
      <c r="G438" s="742" t="s">
        <v>1211</v>
      </c>
      <c r="H438" s="743">
        <f>SUM(H433:H437)</f>
        <v>1993563</v>
      </c>
      <c r="I438" s="743">
        <f>SUM(I433:I437)</f>
        <v>2508988</v>
      </c>
      <c r="J438" s="743">
        <f>SUM(J433:J437)</f>
        <v>2229927</v>
      </c>
      <c r="K438" s="744">
        <f>J438/I438*100</f>
        <v>88.87754744143854</v>
      </c>
      <c r="L438" s="722"/>
      <c r="M438" s="739"/>
      <c r="N438" s="739"/>
      <c r="O438" s="739"/>
      <c r="P438" s="739"/>
      <c r="Q438" s="738"/>
      <c r="R438" s="738"/>
      <c r="S438" s="738"/>
      <c r="T438" s="738"/>
    </row>
    <row r="439" spans="1:20" ht="12.75">
      <c r="A439" s="722"/>
      <c r="B439" s="722"/>
      <c r="C439" s="722"/>
      <c r="D439" s="722"/>
      <c r="E439" s="722"/>
      <c r="F439" s="722"/>
      <c r="G439" s="722"/>
      <c r="H439" s="722"/>
      <c r="I439" s="722"/>
      <c r="J439" s="722"/>
      <c r="K439" s="722"/>
      <c r="L439" s="722"/>
      <c r="M439" s="722"/>
      <c r="N439" s="722"/>
      <c r="O439" s="722"/>
      <c r="P439" s="722"/>
      <c r="Q439" s="722"/>
      <c r="R439" s="722"/>
      <c r="S439" s="722"/>
      <c r="T439" s="722"/>
    </row>
  </sheetData>
  <sheetProtection/>
  <conditionalFormatting sqref="H2:J50 H53:J429 B2:G429 K2:T429">
    <cfRule type="expression" priority="27" dxfId="34">
      <formula>LEFT($C2,7)="Celkový"</formula>
    </cfRule>
    <cfRule type="expression" priority="28" dxfId="35">
      <formula>LEFT($C2,6)="Celkem"</formula>
    </cfRule>
  </conditionalFormatting>
  <conditionalFormatting sqref="I297:P297">
    <cfRule type="expression" priority="25" dxfId="36">
      <formula>LEFT($C297,7)="Celkový"</formula>
    </cfRule>
    <cfRule type="expression" priority="26" dxfId="37">
      <formula>LEFT($C297,6)="Celkem"</formula>
    </cfRule>
  </conditionalFormatting>
  <conditionalFormatting sqref="G7:G20">
    <cfRule type="expression" priority="23" dxfId="36">
      <formula>LEFT($C7,7)="Celkový"</formula>
    </cfRule>
    <cfRule type="expression" priority="24" dxfId="37">
      <formula>LEFT($C7,6)="Celkem"</formula>
    </cfRule>
  </conditionalFormatting>
  <conditionalFormatting sqref="G50:G52">
    <cfRule type="expression" priority="21" dxfId="36">
      <formula>LEFT($C50,7)="Celkový"</formula>
    </cfRule>
    <cfRule type="expression" priority="22" dxfId="37">
      <formula>LEFT($C50,6)="Celkem"</formula>
    </cfRule>
  </conditionalFormatting>
  <conditionalFormatting sqref="H51:J52">
    <cfRule type="expression" priority="29" dxfId="34">
      <formula>LEFT($C50,7)="Celkový"</formula>
    </cfRule>
    <cfRule type="expression" priority="30" dxfId="35">
      <formula>LEFT($C50,6)="Celkem"</formula>
    </cfRule>
  </conditionalFormatting>
  <conditionalFormatting sqref="G177">
    <cfRule type="expression" priority="19" dxfId="36">
      <formula>LEFT($C177,7)="Celkový"</formula>
    </cfRule>
    <cfRule type="expression" priority="20" dxfId="37">
      <formula>LEFT($C177,6)="Celkem"</formula>
    </cfRule>
  </conditionalFormatting>
  <conditionalFormatting sqref="G202">
    <cfRule type="expression" priority="17" dxfId="36">
      <formula>LEFT($C202,7)="Celkový"</formula>
    </cfRule>
    <cfRule type="expression" priority="18" dxfId="37">
      <formula>LEFT($C202,6)="Celkem"</formula>
    </cfRule>
  </conditionalFormatting>
  <conditionalFormatting sqref="G264">
    <cfRule type="expression" priority="15" dxfId="36">
      <formula>LEFT($C264,7)="Celkový"</formula>
    </cfRule>
    <cfRule type="expression" priority="16" dxfId="37">
      <formula>LEFT($C264,6)="Celkem"</formula>
    </cfRule>
  </conditionalFormatting>
  <conditionalFormatting sqref="G289">
    <cfRule type="expression" priority="13" dxfId="36">
      <formula>LEFT($C289,7)="Celkový"</formula>
    </cfRule>
    <cfRule type="expression" priority="14" dxfId="37">
      <formula>LEFT($C289,6)="Celkem"</formula>
    </cfRule>
  </conditionalFormatting>
  <conditionalFormatting sqref="G290">
    <cfRule type="expression" priority="11" dxfId="36">
      <formula>LEFT($C290,7)="Celkový"</formula>
    </cfRule>
    <cfRule type="expression" priority="12" dxfId="37">
      <formula>LEFT($C290,6)="Celkem"</formula>
    </cfRule>
  </conditionalFormatting>
  <conditionalFormatting sqref="G338">
    <cfRule type="expression" priority="9" dxfId="36">
      <formula>LEFT($C338,7)="Celkový"</formula>
    </cfRule>
    <cfRule type="expression" priority="10" dxfId="37">
      <formula>LEFT($C338,6)="Celkem"</formula>
    </cfRule>
  </conditionalFormatting>
  <conditionalFormatting sqref="G346">
    <cfRule type="expression" priority="7" dxfId="36">
      <formula>LEFT($C346,7)="Celkový"</formula>
    </cfRule>
    <cfRule type="expression" priority="8" dxfId="37">
      <formula>LEFT($C346,6)="Celkem"</formula>
    </cfRule>
  </conditionalFormatting>
  <conditionalFormatting sqref="G370">
    <cfRule type="expression" priority="5" dxfId="36">
      <formula>LEFT($C370,7)="Celkový"</formula>
    </cfRule>
    <cfRule type="expression" priority="6" dxfId="37">
      <formula>LEFT($C370,6)="Celkem"</formula>
    </cfRule>
  </conditionalFormatting>
  <conditionalFormatting sqref="G411">
    <cfRule type="expression" priority="3" dxfId="36">
      <formula>LEFT($C411,7)="Celkový"</formula>
    </cfRule>
    <cfRule type="expression" priority="4" dxfId="37">
      <formula>LEFT($C411,6)="Celkem"</formula>
    </cfRule>
  </conditionalFormatting>
  <conditionalFormatting sqref="G301">
    <cfRule type="expression" priority="1" dxfId="36">
      <formula>LEFT($C301,7)="Celkový"</formula>
    </cfRule>
    <cfRule type="expression" priority="2" dxfId="37">
      <formula>LEFT($C301,6)="Celkem"</formula>
    </cfRule>
  </conditionalFormatting>
  <conditionalFormatting sqref="H50:J50">
    <cfRule type="expression" priority="31" dxfId="34">
      <formula>LEFT($C48,7)="Celkový"</formula>
    </cfRule>
    <cfRule type="expression" priority="32" dxfId="35">
      <formula>LEFT($C48,6)="Celkem"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paperSize="9" scale="6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3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75.75390625" style="0" bestFit="1" customWidth="1"/>
    <col min="2" max="7" width="12.125" style="0" customWidth="1"/>
    <col min="8" max="8" width="8.75390625" style="0" bestFit="1" customWidth="1"/>
  </cols>
  <sheetData>
    <row r="2" spans="1:8" ht="38.25">
      <c r="A2" s="671" t="s">
        <v>645</v>
      </c>
      <c r="B2" s="672" t="s">
        <v>646</v>
      </c>
      <c r="C2" s="672" t="s">
        <v>647</v>
      </c>
      <c r="D2" s="672" t="s">
        <v>648</v>
      </c>
      <c r="E2" s="672" t="s">
        <v>649</v>
      </c>
      <c r="F2" s="671" t="s">
        <v>650</v>
      </c>
      <c r="G2" s="672" t="s">
        <v>651</v>
      </c>
      <c r="H2" s="673" t="s">
        <v>652</v>
      </c>
    </row>
    <row r="3" spans="1:8" ht="12.75">
      <c r="A3" s="674" t="s">
        <v>653</v>
      </c>
      <c r="B3" s="675">
        <v>0</v>
      </c>
      <c r="C3" s="675">
        <v>0</v>
      </c>
      <c r="D3" s="675">
        <v>209</v>
      </c>
      <c r="E3" s="675">
        <v>0</v>
      </c>
      <c r="F3" s="675">
        <v>950</v>
      </c>
      <c r="G3" s="675">
        <v>932</v>
      </c>
      <c r="H3" s="676">
        <v>98.10526315789474</v>
      </c>
    </row>
    <row r="4" spans="1:8" ht="12.75">
      <c r="A4" s="678" t="s">
        <v>654</v>
      </c>
      <c r="B4" s="679">
        <v>0</v>
      </c>
      <c r="C4" s="679">
        <v>0</v>
      </c>
      <c r="D4" s="679">
        <v>209</v>
      </c>
      <c r="E4" s="679">
        <v>0</v>
      </c>
      <c r="F4" s="680">
        <v>950</v>
      </c>
      <c r="G4" s="679">
        <v>932</v>
      </c>
      <c r="H4" s="681">
        <v>98.10526315789474</v>
      </c>
    </row>
    <row r="5" spans="1:8" ht="12.75">
      <c r="A5" s="674" t="s">
        <v>655</v>
      </c>
      <c r="B5" s="675">
        <v>0</v>
      </c>
      <c r="C5" s="675">
        <v>0</v>
      </c>
      <c r="D5" s="675">
        <v>190</v>
      </c>
      <c r="E5" s="675">
        <v>0</v>
      </c>
      <c r="F5" s="675">
        <v>2179</v>
      </c>
      <c r="G5" s="675">
        <v>2179</v>
      </c>
      <c r="H5" s="676">
        <v>100</v>
      </c>
    </row>
    <row r="6" spans="1:8" ht="12.75">
      <c r="A6" s="678" t="s">
        <v>656</v>
      </c>
      <c r="B6" s="679">
        <v>0</v>
      </c>
      <c r="C6" s="679">
        <v>0</v>
      </c>
      <c r="D6" s="679">
        <v>190</v>
      </c>
      <c r="E6" s="679">
        <v>0</v>
      </c>
      <c r="F6" s="680">
        <v>2179</v>
      </c>
      <c r="G6" s="679">
        <v>2179</v>
      </c>
      <c r="H6" s="681">
        <v>100</v>
      </c>
    </row>
    <row r="7" spans="1:8" ht="12.75">
      <c r="A7" s="674" t="s">
        <v>657</v>
      </c>
      <c r="B7" s="675">
        <v>10222510</v>
      </c>
      <c r="C7" s="675">
        <v>172324</v>
      </c>
      <c r="D7" s="675">
        <v>1317020</v>
      </c>
      <c r="E7" s="675">
        <v>281475</v>
      </c>
      <c r="F7" s="675">
        <v>162132</v>
      </c>
      <c r="G7" s="675">
        <v>152972</v>
      </c>
      <c r="H7" s="676">
        <v>94.35028248587571</v>
      </c>
    </row>
    <row r="8" spans="1:8" ht="12.75">
      <c r="A8" s="674" t="s">
        <v>658</v>
      </c>
      <c r="B8" s="675">
        <v>295016</v>
      </c>
      <c r="C8" s="675">
        <v>79867</v>
      </c>
      <c r="D8" s="675">
        <v>214653</v>
      </c>
      <c r="E8" s="675">
        <v>26000</v>
      </c>
      <c r="F8" s="675">
        <v>18384</v>
      </c>
      <c r="G8" s="675">
        <v>17523</v>
      </c>
      <c r="H8" s="676">
        <v>95.31657963446474</v>
      </c>
    </row>
    <row r="9" spans="1:8" ht="12.75">
      <c r="A9" s="674" t="s">
        <v>659</v>
      </c>
      <c r="B9" s="675">
        <v>185615</v>
      </c>
      <c r="C9" s="675">
        <v>109270</v>
      </c>
      <c r="D9" s="675">
        <v>20388</v>
      </c>
      <c r="E9" s="675">
        <v>13000</v>
      </c>
      <c r="F9" s="675">
        <v>13000</v>
      </c>
      <c r="G9" s="675">
        <v>1036</v>
      </c>
      <c r="H9" s="676">
        <v>7.9692307692307685</v>
      </c>
    </row>
    <row r="10" spans="1:8" ht="12.75">
      <c r="A10" s="674" t="s">
        <v>660</v>
      </c>
      <c r="B10" s="675">
        <v>7973</v>
      </c>
      <c r="C10" s="675">
        <v>2691</v>
      </c>
      <c r="D10" s="675">
        <v>2375</v>
      </c>
      <c r="E10" s="675">
        <v>4849</v>
      </c>
      <c r="F10" s="675">
        <v>2732</v>
      </c>
      <c r="G10" s="675">
        <v>2692</v>
      </c>
      <c r="H10" s="676">
        <v>98.5358711566618</v>
      </c>
    </row>
    <row r="11" spans="1:8" ht="12.75">
      <c r="A11" s="678" t="s">
        <v>661</v>
      </c>
      <c r="B11" s="679">
        <v>10711114</v>
      </c>
      <c r="C11" s="679">
        <v>364152</v>
      </c>
      <c r="D11" s="679">
        <v>1554436</v>
      </c>
      <c r="E11" s="679">
        <v>325324</v>
      </c>
      <c r="F11" s="680">
        <v>196248</v>
      </c>
      <c r="G11" s="679">
        <v>174223</v>
      </c>
      <c r="H11" s="681">
        <v>88.77695568872039</v>
      </c>
    </row>
    <row r="12" spans="1:8" ht="12.75">
      <c r="A12" s="674" t="s">
        <v>662</v>
      </c>
      <c r="B12" s="675">
        <v>656812</v>
      </c>
      <c r="C12" s="675">
        <v>0</v>
      </c>
      <c r="D12" s="675">
        <v>360853</v>
      </c>
      <c r="E12" s="675">
        <v>42666</v>
      </c>
      <c r="F12" s="675">
        <v>24569</v>
      </c>
      <c r="G12" s="675">
        <v>23241</v>
      </c>
      <c r="H12" s="676">
        <v>94.59481460376897</v>
      </c>
    </row>
    <row r="13" spans="1:8" ht="12.75">
      <c r="A13" s="674" t="s">
        <v>663</v>
      </c>
      <c r="B13" s="675">
        <v>6430042</v>
      </c>
      <c r="C13" s="675">
        <v>738028</v>
      </c>
      <c r="D13" s="675">
        <v>1429252</v>
      </c>
      <c r="E13" s="675">
        <v>763681</v>
      </c>
      <c r="F13" s="675">
        <v>1389314</v>
      </c>
      <c r="G13" s="675">
        <v>1331810</v>
      </c>
      <c r="H13" s="676">
        <v>95.860978871587</v>
      </c>
    </row>
    <row r="14" spans="1:8" ht="12.75">
      <c r="A14" s="674" t="s">
        <v>664</v>
      </c>
      <c r="B14" s="675">
        <v>0</v>
      </c>
      <c r="C14" s="675">
        <v>0</v>
      </c>
      <c r="D14" s="675">
        <v>83228</v>
      </c>
      <c r="E14" s="675">
        <v>4100</v>
      </c>
      <c r="F14" s="675">
        <v>4100</v>
      </c>
      <c r="G14" s="675">
        <v>2693</v>
      </c>
      <c r="H14" s="676">
        <v>65.6829268292683</v>
      </c>
    </row>
    <row r="15" spans="1:8" ht="12.75">
      <c r="A15" s="674" t="s">
        <v>665</v>
      </c>
      <c r="B15" s="675">
        <v>0</v>
      </c>
      <c r="C15" s="675">
        <v>0</v>
      </c>
      <c r="D15" s="675">
        <v>1072</v>
      </c>
      <c r="E15" s="675">
        <v>6409</v>
      </c>
      <c r="F15" s="675">
        <v>729</v>
      </c>
      <c r="G15" s="675">
        <v>727</v>
      </c>
      <c r="H15" s="676">
        <v>99.72565157750343</v>
      </c>
    </row>
    <row r="16" spans="1:8" ht="12.75">
      <c r="A16" s="674" t="s">
        <v>666</v>
      </c>
      <c r="B16" s="675">
        <v>85780</v>
      </c>
      <c r="C16" s="675">
        <v>0</v>
      </c>
      <c r="D16" s="675">
        <v>25386</v>
      </c>
      <c r="E16" s="675">
        <v>0</v>
      </c>
      <c r="F16" s="675">
        <v>0</v>
      </c>
      <c r="G16" s="675">
        <v>0</v>
      </c>
      <c r="H16" s="676" t="s">
        <v>667</v>
      </c>
    </row>
    <row r="17" spans="1:8" ht="12.75">
      <c r="A17" s="674" t="s">
        <v>668</v>
      </c>
      <c r="B17" s="675">
        <v>59900</v>
      </c>
      <c r="C17" s="675">
        <v>0</v>
      </c>
      <c r="D17" s="675">
        <v>2515</v>
      </c>
      <c r="E17" s="675">
        <v>0</v>
      </c>
      <c r="F17" s="675">
        <v>0</v>
      </c>
      <c r="G17" s="675">
        <v>0</v>
      </c>
      <c r="H17" s="676" t="s">
        <v>667</v>
      </c>
    </row>
    <row r="18" spans="1:8" ht="12.75">
      <c r="A18" s="674" t="s">
        <v>669</v>
      </c>
      <c r="B18" s="675">
        <v>15000</v>
      </c>
      <c r="C18" s="675">
        <v>0</v>
      </c>
      <c r="D18" s="675">
        <v>0</v>
      </c>
      <c r="E18" s="675">
        <v>0</v>
      </c>
      <c r="F18" s="675">
        <v>1300</v>
      </c>
      <c r="G18" s="675">
        <v>998</v>
      </c>
      <c r="H18" s="676">
        <v>76.76923076923077</v>
      </c>
    </row>
    <row r="19" spans="1:8" ht="12.75">
      <c r="A19" s="678" t="s">
        <v>670</v>
      </c>
      <c r="B19" s="679">
        <v>7247534</v>
      </c>
      <c r="C19" s="679">
        <v>738028</v>
      </c>
      <c r="D19" s="679">
        <v>1902306</v>
      </c>
      <c r="E19" s="679">
        <v>816856</v>
      </c>
      <c r="F19" s="680">
        <v>1420012</v>
      </c>
      <c r="G19" s="679">
        <v>1359469</v>
      </c>
      <c r="H19" s="681">
        <v>95.73644448075088</v>
      </c>
    </row>
    <row r="20" spans="1:8" ht="12.75">
      <c r="A20" s="674" t="s">
        <v>671</v>
      </c>
      <c r="B20" s="675">
        <v>77250</v>
      </c>
      <c r="C20" s="675">
        <v>33663</v>
      </c>
      <c r="D20" s="675">
        <v>6326</v>
      </c>
      <c r="E20" s="675">
        <v>21300</v>
      </c>
      <c r="F20" s="675">
        <v>27856</v>
      </c>
      <c r="G20" s="675">
        <v>24021</v>
      </c>
      <c r="H20" s="676">
        <v>86.23276852383688</v>
      </c>
    </row>
    <row r="21" spans="1:8" ht="12.75">
      <c r="A21" s="674" t="s">
        <v>672</v>
      </c>
      <c r="B21" s="675">
        <v>324244</v>
      </c>
      <c r="C21" s="675">
        <v>148454</v>
      </c>
      <c r="D21" s="675">
        <v>23025</v>
      </c>
      <c r="E21" s="675">
        <v>41938</v>
      </c>
      <c r="F21" s="675">
        <v>30507</v>
      </c>
      <c r="G21" s="675">
        <v>13976</v>
      </c>
      <c r="H21" s="676">
        <v>45.812436489985906</v>
      </c>
    </row>
    <row r="22" spans="1:8" ht="12.75">
      <c r="A22" s="678" t="s">
        <v>673</v>
      </c>
      <c r="B22" s="679">
        <v>401494</v>
      </c>
      <c r="C22" s="679">
        <v>182117</v>
      </c>
      <c r="D22" s="679">
        <v>29351</v>
      </c>
      <c r="E22" s="679">
        <v>63238</v>
      </c>
      <c r="F22" s="680">
        <v>58363</v>
      </c>
      <c r="G22" s="679">
        <v>37997</v>
      </c>
      <c r="H22" s="681">
        <v>65.10460394427977</v>
      </c>
    </row>
    <row r="23" spans="1:8" ht="12.75">
      <c r="A23" s="674" t="s">
        <v>674</v>
      </c>
      <c r="B23" s="675">
        <v>1152300</v>
      </c>
      <c r="C23" s="675">
        <v>0</v>
      </c>
      <c r="D23" s="675">
        <v>403246</v>
      </c>
      <c r="E23" s="675">
        <v>2946</v>
      </c>
      <c r="F23" s="675">
        <v>11200</v>
      </c>
      <c r="G23" s="675">
        <v>11193</v>
      </c>
      <c r="H23" s="676">
        <v>99.9375</v>
      </c>
    </row>
    <row r="24" spans="1:8" ht="12.75">
      <c r="A24" s="674" t="s">
        <v>675</v>
      </c>
      <c r="B24" s="675">
        <v>1293498</v>
      </c>
      <c r="C24" s="675">
        <v>0</v>
      </c>
      <c r="D24" s="675">
        <v>15545</v>
      </c>
      <c r="E24" s="675">
        <v>0</v>
      </c>
      <c r="F24" s="675">
        <v>6200</v>
      </c>
      <c r="G24" s="675">
        <v>6200</v>
      </c>
      <c r="H24" s="676">
        <v>100</v>
      </c>
    </row>
    <row r="25" spans="1:8" ht="12.75">
      <c r="A25" s="674" t="s">
        <v>676</v>
      </c>
      <c r="B25" s="675">
        <v>25786</v>
      </c>
      <c r="C25" s="675">
        <v>17379</v>
      </c>
      <c r="D25" s="675">
        <v>1899</v>
      </c>
      <c r="E25" s="675">
        <v>8701</v>
      </c>
      <c r="F25" s="675">
        <v>4791</v>
      </c>
      <c r="G25" s="675">
        <v>568</v>
      </c>
      <c r="H25" s="676">
        <v>11.855562513045294</v>
      </c>
    </row>
    <row r="26" spans="1:8" ht="12.75">
      <c r="A26" s="674" t="s">
        <v>677</v>
      </c>
      <c r="B26" s="675">
        <v>181800</v>
      </c>
      <c r="C26" s="675">
        <v>147838</v>
      </c>
      <c r="D26" s="675">
        <v>172096</v>
      </c>
      <c r="E26" s="675">
        <v>2040</v>
      </c>
      <c r="F26" s="675">
        <v>440</v>
      </c>
      <c r="G26" s="675">
        <v>407</v>
      </c>
      <c r="H26" s="676">
        <v>92.5</v>
      </c>
    </row>
    <row r="27" spans="1:8" ht="12.75">
      <c r="A27" s="674" t="s">
        <v>678</v>
      </c>
      <c r="B27" s="675">
        <v>61536</v>
      </c>
      <c r="C27" s="675">
        <v>50149</v>
      </c>
      <c r="D27" s="675">
        <v>4791</v>
      </c>
      <c r="E27" s="675">
        <v>6500</v>
      </c>
      <c r="F27" s="675">
        <v>59294</v>
      </c>
      <c r="G27" s="675">
        <v>55706</v>
      </c>
      <c r="H27" s="676">
        <v>93.94879751745539</v>
      </c>
    </row>
    <row r="28" spans="1:8" ht="12.75">
      <c r="A28" s="674" t="s">
        <v>679</v>
      </c>
      <c r="B28" s="675">
        <v>489110</v>
      </c>
      <c r="C28" s="675">
        <v>42131</v>
      </c>
      <c r="D28" s="675">
        <v>290653</v>
      </c>
      <c r="E28" s="675">
        <v>64400</v>
      </c>
      <c r="F28" s="675">
        <v>57400</v>
      </c>
      <c r="G28" s="675">
        <v>54212</v>
      </c>
      <c r="H28" s="676">
        <v>94.44599303135888</v>
      </c>
    </row>
    <row r="29" spans="1:8" ht="12.75">
      <c r="A29" s="674" t="s">
        <v>680</v>
      </c>
      <c r="B29" s="675">
        <v>25300</v>
      </c>
      <c r="C29" s="675">
        <v>0</v>
      </c>
      <c r="D29" s="675">
        <v>6446</v>
      </c>
      <c r="E29" s="675">
        <v>3800</v>
      </c>
      <c r="F29" s="675">
        <v>4100</v>
      </c>
      <c r="G29" s="675">
        <v>423</v>
      </c>
      <c r="H29" s="676">
        <v>10.317073170731707</v>
      </c>
    </row>
    <row r="30" spans="1:8" ht="12.75">
      <c r="A30" s="678" t="s">
        <v>681</v>
      </c>
      <c r="B30" s="679">
        <v>3229330</v>
      </c>
      <c r="C30" s="679">
        <v>257497</v>
      </c>
      <c r="D30" s="679">
        <v>894676</v>
      </c>
      <c r="E30" s="679">
        <v>88387</v>
      </c>
      <c r="F30" s="680">
        <v>143425</v>
      </c>
      <c r="G30" s="679">
        <v>128709</v>
      </c>
      <c r="H30" s="681">
        <v>89.73958514903259</v>
      </c>
    </row>
    <row r="31" spans="1:8" ht="12.75">
      <c r="A31" s="674" t="s">
        <v>682</v>
      </c>
      <c r="B31" s="675">
        <v>134500</v>
      </c>
      <c r="C31" s="675">
        <v>65373</v>
      </c>
      <c r="D31" s="675">
        <v>2534</v>
      </c>
      <c r="E31" s="675">
        <v>19300</v>
      </c>
      <c r="F31" s="675">
        <v>66600</v>
      </c>
      <c r="G31" s="675">
        <v>65051</v>
      </c>
      <c r="H31" s="676">
        <v>97.67417417417418</v>
      </c>
    </row>
    <row r="32" spans="1:8" ht="12.75">
      <c r="A32" s="674" t="s">
        <v>683</v>
      </c>
      <c r="B32" s="675">
        <v>1977550</v>
      </c>
      <c r="C32" s="675">
        <v>0</v>
      </c>
      <c r="D32" s="675">
        <v>29942</v>
      </c>
      <c r="E32" s="675">
        <v>180</v>
      </c>
      <c r="F32" s="675">
        <v>2793</v>
      </c>
      <c r="G32" s="675">
        <v>2793</v>
      </c>
      <c r="H32" s="676">
        <v>100</v>
      </c>
    </row>
    <row r="33" spans="1:8" ht="12.75">
      <c r="A33" s="674" t="s">
        <v>684</v>
      </c>
      <c r="B33" s="675">
        <v>155146</v>
      </c>
      <c r="C33" s="675">
        <v>122200</v>
      </c>
      <c r="D33" s="675">
        <v>2392</v>
      </c>
      <c r="E33" s="675">
        <v>5900</v>
      </c>
      <c r="F33" s="675">
        <v>7654</v>
      </c>
      <c r="G33" s="675">
        <v>5978</v>
      </c>
      <c r="H33" s="676">
        <v>78.10295270446825</v>
      </c>
    </row>
    <row r="34" spans="1:8" ht="12.75">
      <c r="A34" s="674" t="s">
        <v>685</v>
      </c>
      <c r="B34" s="675">
        <v>65575</v>
      </c>
      <c r="C34" s="675">
        <v>19358</v>
      </c>
      <c r="D34" s="675">
        <v>132</v>
      </c>
      <c r="E34" s="675">
        <v>1000</v>
      </c>
      <c r="F34" s="675">
        <v>1700</v>
      </c>
      <c r="G34" s="675">
        <v>593</v>
      </c>
      <c r="H34" s="676">
        <v>34.88235294117647</v>
      </c>
    </row>
    <row r="35" spans="1:8" ht="12.75">
      <c r="A35" s="678" t="s">
        <v>686</v>
      </c>
      <c r="B35" s="679">
        <v>2332771</v>
      </c>
      <c r="C35" s="679">
        <v>206931</v>
      </c>
      <c r="D35" s="679">
        <v>35000</v>
      </c>
      <c r="E35" s="679">
        <v>26380</v>
      </c>
      <c r="F35" s="680">
        <v>78747</v>
      </c>
      <c r="G35" s="679">
        <v>74415</v>
      </c>
      <c r="H35" s="681">
        <v>94.49883805097336</v>
      </c>
    </row>
    <row r="36" spans="1:8" ht="12.75">
      <c r="A36" s="674" t="s">
        <v>687</v>
      </c>
      <c r="B36" s="675">
        <v>160674</v>
      </c>
      <c r="C36" s="675">
        <v>0</v>
      </c>
      <c r="D36" s="675">
        <v>14276</v>
      </c>
      <c r="E36" s="675">
        <v>3515</v>
      </c>
      <c r="F36" s="675">
        <v>1000</v>
      </c>
      <c r="G36" s="675">
        <v>97</v>
      </c>
      <c r="H36" s="676">
        <v>9.700000000000001</v>
      </c>
    </row>
    <row r="37" spans="1:8" ht="12.75">
      <c r="A37" s="674" t="s">
        <v>688</v>
      </c>
      <c r="B37" s="675">
        <v>113500</v>
      </c>
      <c r="C37" s="675">
        <v>71499</v>
      </c>
      <c r="D37" s="675">
        <v>17000</v>
      </c>
      <c r="E37" s="675">
        <v>0</v>
      </c>
      <c r="F37" s="675">
        <v>30285</v>
      </c>
      <c r="G37" s="675">
        <v>30284</v>
      </c>
      <c r="H37" s="676">
        <v>99.99669803533102</v>
      </c>
    </row>
    <row r="38" spans="1:8" ht="12.75">
      <c r="A38" s="674" t="s">
        <v>689</v>
      </c>
      <c r="B38" s="675">
        <v>29750</v>
      </c>
      <c r="C38" s="675">
        <v>0</v>
      </c>
      <c r="D38" s="675">
        <v>0</v>
      </c>
      <c r="E38" s="675">
        <v>0</v>
      </c>
      <c r="F38" s="675">
        <v>16000</v>
      </c>
      <c r="G38" s="675">
        <v>16000</v>
      </c>
      <c r="H38" s="676">
        <v>100</v>
      </c>
    </row>
    <row r="39" spans="1:8" ht="12.75">
      <c r="A39" s="674" t="s">
        <v>690</v>
      </c>
      <c r="B39" s="675">
        <v>2540</v>
      </c>
      <c r="C39" s="675">
        <v>0</v>
      </c>
      <c r="D39" s="675">
        <v>1311</v>
      </c>
      <c r="E39" s="675">
        <v>800</v>
      </c>
      <c r="F39" s="675">
        <v>1336</v>
      </c>
      <c r="G39" s="675">
        <v>1336</v>
      </c>
      <c r="H39" s="676">
        <v>100</v>
      </c>
    </row>
    <row r="40" spans="1:8" ht="12.75">
      <c r="A40" s="678" t="s">
        <v>691</v>
      </c>
      <c r="B40" s="679">
        <v>306464</v>
      </c>
      <c r="C40" s="679">
        <v>71499</v>
      </c>
      <c r="D40" s="679">
        <v>32587</v>
      </c>
      <c r="E40" s="679">
        <v>4315</v>
      </c>
      <c r="F40" s="680">
        <v>48621</v>
      </c>
      <c r="G40" s="679">
        <v>47717</v>
      </c>
      <c r="H40" s="681">
        <v>98.14072108759589</v>
      </c>
    </row>
    <row r="41" spans="1:8" ht="12.75">
      <c r="A41" s="674" t="s">
        <v>692</v>
      </c>
      <c r="B41" s="675">
        <v>1121890</v>
      </c>
      <c r="C41" s="675">
        <v>68868</v>
      </c>
      <c r="D41" s="675">
        <v>171995</v>
      </c>
      <c r="E41" s="675">
        <v>172461</v>
      </c>
      <c r="F41" s="675">
        <v>72978</v>
      </c>
      <c r="G41" s="675">
        <v>43266</v>
      </c>
      <c r="H41" s="676">
        <v>59.28636027295897</v>
      </c>
    </row>
    <row r="42" spans="1:8" ht="12.75">
      <c r="A42" s="674" t="s">
        <v>693</v>
      </c>
      <c r="B42" s="675">
        <v>0</v>
      </c>
      <c r="C42" s="675">
        <v>0</v>
      </c>
      <c r="D42" s="675">
        <v>3850</v>
      </c>
      <c r="E42" s="675">
        <v>0</v>
      </c>
      <c r="F42" s="675">
        <v>2275</v>
      </c>
      <c r="G42" s="675">
        <v>1455</v>
      </c>
      <c r="H42" s="676">
        <v>63.95604395604395</v>
      </c>
    </row>
    <row r="43" spans="1:8" ht="12.75">
      <c r="A43" s="674" t="s">
        <v>694</v>
      </c>
      <c r="B43" s="675">
        <v>25880</v>
      </c>
      <c r="C43" s="675">
        <v>0</v>
      </c>
      <c r="D43" s="675">
        <v>14952</v>
      </c>
      <c r="E43" s="675">
        <v>0</v>
      </c>
      <c r="F43" s="675">
        <v>2712</v>
      </c>
      <c r="G43" s="675">
        <v>2633</v>
      </c>
      <c r="H43" s="676">
        <v>97.08702064896755</v>
      </c>
    </row>
    <row r="44" spans="1:8" ht="12.75">
      <c r="A44" s="674" t="s">
        <v>695</v>
      </c>
      <c r="B44" s="675">
        <v>113521</v>
      </c>
      <c r="C44" s="675">
        <v>0</v>
      </c>
      <c r="D44" s="675">
        <v>0</v>
      </c>
      <c r="E44" s="675">
        <v>0</v>
      </c>
      <c r="F44" s="675">
        <v>0</v>
      </c>
      <c r="G44" s="675">
        <v>0</v>
      </c>
      <c r="H44" s="676" t="s">
        <v>667</v>
      </c>
    </row>
    <row r="45" spans="1:8" ht="12.75">
      <c r="A45" s="674" t="s">
        <v>696</v>
      </c>
      <c r="B45" s="675">
        <v>600</v>
      </c>
      <c r="C45" s="675">
        <v>0</v>
      </c>
      <c r="D45" s="675">
        <v>0</v>
      </c>
      <c r="E45" s="675">
        <v>0</v>
      </c>
      <c r="F45" s="675">
        <v>600</v>
      </c>
      <c r="G45" s="675">
        <v>0</v>
      </c>
      <c r="H45" s="676">
        <v>0</v>
      </c>
    </row>
    <row r="46" spans="1:8" ht="12.75">
      <c r="A46" s="674" t="s">
        <v>697</v>
      </c>
      <c r="B46" s="675">
        <v>35546</v>
      </c>
      <c r="C46" s="675">
        <v>979</v>
      </c>
      <c r="D46" s="675">
        <v>354659</v>
      </c>
      <c r="E46" s="675">
        <v>255117</v>
      </c>
      <c r="F46" s="675">
        <v>99557</v>
      </c>
      <c r="G46" s="675">
        <v>14167</v>
      </c>
      <c r="H46" s="676">
        <v>14.230039073093806</v>
      </c>
    </row>
    <row r="47" spans="1:8" ht="12.75">
      <c r="A47" s="674" t="s">
        <v>698</v>
      </c>
      <c r="B47" s="675">
        <v>0</v>
      </c>
      <c r="C47" s="675">
        <v>0</v>
      </c>
      <c r="D47" s="675">
        <v>116000</v>
      </c>
      <c r="E47" s="675">
        <v>1900</v>
      </c>
      <c r="F47" s="675">
        <v>1900</v>
      </c>
      <c r="G47" s="675">
        <v>1900</v>
      </c>
      <c r="H47" s="676">
        <v>100</v>
      </c>
    </row>
    <row r="48" spans="1:8" ht="12.75">
      <c r="A48" s="678" t="s">
        <v>699</v>
      </c>
      <c r="B48" s="679">
        <v>1297437</v>
      </c>
      <c r="C48" s="679">
        <v>69847</v>
      </c>
      <c r="D48" s="679">
        <v>661456</v>
      </c>
      <c r="E48" s="679">
        <v>429478</v>
      </c>
      <c r="F48" s="680">
        <v>180022</v>
      </c>
      <c r="G48" s="679">
        <v>63421</v>
      </c>
      <c r="H48" s="681">
        <v>35.229583050960436</v>
      </c>
    </row>
    <row r="49" spans="1:8" ht="12.75">
      <c r="A49" s="674" t="s">
        <v>700</v>
      </c>
      <c r="B49" s="675">
        <v>7098</v>
      </c>
      <c r="C49" s="675">
        <v>5062</v>
      </c>
      <c r="D49" s="675">
        <v>1</v>
      </c>
      <c r="E49" s="675">
        <v>7095</v>
      </c>
      <c r="F49" s="675">
        <v>7095</v>
      </c>
      <c r="G49" s="675">
        <v>6534</v>
      </c>
      <c r="H49" s="676">
        <v>92.09302325581396</v>
      </c>
    </row>
    <row r="50" spans="1:8" ht="12.75">
      <c r="A50" s="674" t="s">
        <v>701</v>
      </c>
      <c r="B50" s="675">
        <v>15209</v>
      </c>
      <c r="C50" s="675">
        <v>0</v>
      </c>
      <c r="D50" s="675">
        <v>1874</v>
      </c>
      <c r="E50" s="675">
        <v>4000</v>
      </c>
      <c r="F50" s="675">
        <v>4120</v>
      </c>
      <c r="G50" s="675">
        <v>4000</v>
      </c>
      <c r="H50" s="676">
        <v>97.0873786407767</v>
      </c>
    </row>
    <row r="51" spans="1:8" ht="12.75">
      <c r="A51" s="674" t="s">
        <v>702</v>
      </c>
      <c r="B51" s="675">
        <v>193710</v>
      </c>
      <c r="C51" s="675">
        <v>49730</v>
      </c>
      <c r="D51" s="675">
        <v>46136</v>
      </c>
      <c r="E51" s="675">
        <v>24000</v>
      </c>
      <c r="F51" s="675">
        <v>24000</v>
      </c>
      <c r="G51" s="675">
        <v>8515</v>
      </c>
      <c r="H51" s="676">
        <v>35.479166666666664</v>
      </c>
    </row>
    <row r="52" spans="1:8" ht="12.75">
      <c r="A52" s="674" t="s">
        <v>703</v>
      </c>
      <c r="B52" s="675">
        <v>4615</v>
      </c>
      <c r="C52" s="675">
        <v>0</v>
      </c>
      <c r="D52" s="675">
        <v>2818</v>
      </c>
      <c r="E52" s="675">
        <v>0</v>
      </c>
      <c r="F52" s="675">
        <v>0</v>
      </c>
      <c r="G52" s="675">
        <v>0</v>
      </c>
      <c r="H52" s="676" t="s">
        <v>667</v>
      </c>
    </row>
    <row r="53" spans="1:8" ht="12.75">
      <c r="A53" s="674" t="s">
        <v>704</v>
      </c>
      <c r="B53" s="675">
        <v>6900</v>
      </c>
      <c r="C53" s="675">
        <v>0</v>
      </c>
      <c r="D53" s="675">
        <v>606</v>
      </c>
      <c r="E53" s="675">
        <v>0</v>
      </c>
      <c r="F53" s="675">
        <v>0</v>
      </c>
      <c r="G53" s="675">
        <v>0</v>
      </c>
      <c r="H53" s="676" t="s">
        <v>667</v>
      </c>
    </row>
    <row r="54" spans="1:8" ht="12.75">
      <c r="A54" s="674" t="s">
        <v>705</v>
      </c>
      <c r="B54" s="675">
        <v>404811</v>
      </c>
      <c r="C54" s="675">
        <v>156698</v>
      </c>
      <c r="D54" s="675">
        <v>255638</v>
      </c>
      <c r="E54" s="675">
        <v>52606</v>
      </c>
      <c r="F54" s="675">
        <v>55130</v>
      </c>
      <c r="G54" s="675">
        <v>52398</v>
      </c>
      <c r="H54" s="676">
        <v>95.04444041356793</v>
      </c>
    </row>
    <row r="55" spans="1:8" ht="12.75">
      <c r="A55" s="674" t="s">
        <v>706</v>
      </c>
      <c r="B55" s="675">
        <v>35705</v>
      </c>
      <c r="C55" s="675">
        <v>25587</v>
      </c>
      <c r="D55" s="675">
        <v>4811</v>
      </c>
      <c r="E55" s="675">
        <v>27000</v>
      </c>
      <c r="F55" s="675">
        <v>12532</v>
      </c>
      <c r="G55" s="675">
        <v>12404</v>
      </c>
      <c r="H55" s="676">
        <v>98.9786147462496</v>
      </c>
    </row>
    <row r="56" spans="1:8" ht="12.75">
      <c r="A56" s="678" t="s">
        <v>707</v>
      </c>
      <c r="B56" s="679">
        <v>668048</v>
      </c>
      <c r="C56" s="679">
        <v>237077</v>
      </c>
      <c r="D56" s="679">
        <v>311884</v>
      </c>
      <c r="E56" s="679">
        <v>114701</v>
      </c>
      <c r="F56" s="680">
        <v>102877</v>
      </c>
      <c r="G56" s="679">
        <v>83851</v>
      </c>
      <c r="H56" s="681">
        <v>81.50607035586187</v>
      </c>
    </row>
    <row r="57" spans="1:8" ht="12.75">
      <c r="A57" s="674" t="s">
        <v>708</v>
      </c>
      <c r="B57" s="675">
        <v>79000</v>
      </c>
      <c r="C57" s="675">
        <v>0</v>
      </c>
      <c r="D57" s="675">
        <v>539</v>
      </c>
      <c r="E57" s="675">
        <v>28800</v>
      </c>
      <c r="F57" s="675">
        <v>9460</v>
      </c>
      <c r="G57" s="675">
        <v>2208</v>
      </c>
      <c r="H57" s="676">
        <v>23.340380549682877</v>
      </c>
    </row>
    <row r="58" spans="1:8" ht="12.75">
      <c r="A58" s="674" t="s">
        <v>709</v>
      </c>
      <c r="B58" s="675">
        <v>18740</v>
      </c>
      <c r="C58" s="675">
        <v>11500</v>
      </c>
      <c r="D58" s="675">
        <v>132</v>
      </c>
      <c r="E58" s="675">
        <v>8400</v>
      </c>
      <c r="F58" s="675">
        <v>400</v>
      </c>
      <c r="G58" s="675">
        <v>37</v>
      </c>
      <c r="H58" s="676">
        <v>9.25</v>
      </c>
    </row>
    <row r="59" spans="1:8" ht="12.75">
      <c r="A59" s="674" t="s">
        <v>710</v>
      </c>
      <c r="B59" s="675">
        <v>51000</v>
      </c>
      <c r="C59" s="675">
        <v>13974</v>
      </c>
      <c r="D59" s="675">
        <v>931</v>
      </c>
      <c r="E59" s="675">
        <v>1000</v>
      </c>
      <c r="F59" s="675">
        <v>1000</v>
      </c>
      <c r="G59" s="675">
        <v>865</v>
      </c>
      <c r="H59" s="676">
        <v>86.5</v>
      </c>
    </row>
    <row r="60" spans="1:8" ht="12.75">
      <c r="A60" s="674" t="s">
        <v>711</v>
      </c>
      <c r="B60" s="675">
        <v>13200</v>
      </c>
      <c r="C60" s="675">
        <v>10844</v>
      </c>
      <c r="D60" s="675">
        <v>11346</v>
      </c>
      <c r="E60" s="675">
        <v>30</v>
      </c>
      <c r="F60" s="675">
        <v>30</v>
      </c>
      <c r="G60" s="675">
        <v>12</v>
      </c>
      <c r="H60" s="676">
        <v>40</v>
      </c>
    </row>
    <row r="61" spans="1:8" ht="12.75">
      <c r="A61" s="678" t="s">
        <v>712</v>
      </c>
      <c r="B61" s="679">
        <v>161940</v>
      </c>
      <c r="C61" s="679">
        <v>36318</v>
      </c>
      <c r="D61" s="679">
        <v>12948</v>
      </c>
      <c r="E61" s="679">
        <v>38230</v>
      </c>
      <c r="F61" s="680">
        <v>10890</v>
      </c>
      <c r="G61" s="679">
        <v>3122</v>
      </c>
      <c r="H61" s="681">
        <v>28.66850321395776</v>
      </c>
    </row>
    <row r="62" spans="1:8" ht="12.75">
      <c r="A62" s="674" t="s">
        <v>713</v>
      </c>
      <c r="B62" s="675">
        <v>101764</v>
      </c>
      <c r="C62" s="675">
        <v>0</v>
      </c>
      <c r="D62" s="675">
        <v>69423</v>
      </c>
      <c r="E62" s="675">
        <v>26250</v>
      </c>
      <c r="F62" s="675">
        <v>31179</v>
      </c>
      <c r="G62" s="675">
        <v>30741</v>
      </c>
      <c r="H62" s="676">
        <v>98.59520831328778</v>
      </c>
    </row>
    <row r="63" spans="1:8" ht="12.75">
      <c r="A63" s="674" t="s">
        <v>714</v>
      </c>
      <c r="B63" s="675">
        <v>0</v>
      </c>
      <c r="C63" s="675">
        <v>0</v>
      </c>
      <c r="D63" s="675">
        <v>244</v>
      </c>
      <c r="E63" s="675">
        <v>0</v>
      </c>
      <c r="F63" s="675">
        <v>154</v>
      </c>
      <c r="G63" s="675">
        <v>154</v>
      </c>
      <c r="H63" s="676">
        <v>100</v>
      </c>
    </row>
    <row r="64" spans="1:8" ht="12.75">
      <c r="A64" s="678" t="s">
        <v>715</v>
      </c>
      <c r="B64" s="679">
        <v>101764</v>
      </c>
      <c r="C64" s="679">
        <v>0</v>
      </c>
      <c r="D64" s="679">
        <v>69667</v>
      </c>
      <c r="E64" s="679">
        <v>26250</v>
      </c>
      <c r="F64" s="680">
        <v>31333</v>
      </c>
      <c r="G64" s="679">
        <v>30895</v>
      </c>
      <c r="H64" s="681">
        <v>98.60211278843391</v>
      </c>
    </row>
    <row r="65" spans="1:8" ht="12.75">
      <c r="A65" s="674" t="s">
        <v>716</v>
      </c>
      <c r="B65" s="675">
        <v>21200</v>
      </c>
      <c r="C65" s="675">
        <v>0</v>
      </c>
      <c r="D65" s="675">
        <v>1742</v>
      </c>
      <c r="E65" s="675">
        <v>0</v>
      </c>
      <c r="F65" s="675">
        <v>0</v>
      </c>
      <c r="G65" s="675">
        <v>0</v>
      </c>
      <c r="H65" s="676" t="s">
        <v>667</v>
      </c>
    </row>
    <row r="66" spans="1:8" ht="12.75">
      <c r="A66" s="678" t="s">
        <v>717</v>
      </c>
      <c r="B66" s="679">
        <v>21200</v>
      </c>
      <c r="C66" s="679">
        <v>0</v>
      </c>
      <c r="D66" s="679">
        <v>1742</v>
      </c>
      <c r="E66" s="679">
        <v>0</v>
      </c>
      <c r="F66" s="680">
        <v>0</v>
      </c>
      <c r="G66" s="679">
        <v>0</v>
      </c>
      <c r="H66" s="681" t="s">
        <v>667</v>
      </c>
    </row>
    <row r="67" spans="1:8" ht="12.75">
      <c r="A67" s="674" t="s">
        <v>718</v>
      </c>
      <c r="B67" s="675">
        <v>445177</v>
      </c>
      <c r="C67" s="675">
        <v>95715</v>
      </c>
      <c r="D67" s="675">
        <v>617204</v>
      </c>
      <c r="E67" s="675">
        <v>58904</v>
      </c>
      <c r="F67" s="675">
        <v>53234</v>
      </c>
      <c r="G67" s="675">
        <v>42282</v>
      </c>
      <c r="H67" s="676">
        <v>79.42668219558928</v>
      </c>
    </row>
    <row r="68" spans="1:8" ht="12.75">
      <c r="A68" s="678" t="s">
        <v>719</v>
      </c>
      <c r="B68" s="679">
        <v>445177</v>
      </c>
      <c r="C68" s="679">
        <v>95715</v>
      </c>
      <c r="D68" s="679">
        <v>617204</v>
      </c>
      <c r="E68" s="679">
        <v>58904</v>
      </c>
      <c r="F68" s="680">
        <v>53234</v>
      </c>
      <c r="G68" s="679">
        <v>42282</v>
      </c>
      <c r="H68" s="681">
        <v>79.42668219558928</v>
      </c>
    </row>
    <row r="69" spans="1:8" ht="12.75">
      <c r="A69" s="674" t="s">
        <v>720</v>
      </c>
      <c r="B69" s="675">
        <v>15000</v>
      </c>
      <c r="C69" s="675">
        <v>0</v>
      </c>
      <c r="D69" s="675">
        <v>2094</v>
      </c>
      <c r="E69" s="675">
        <v>1500</v>
      </c>
      <c r="F69" s="675">
        <v>1500</v>
      </c>
      <c r="G69" s="675">
        <v>1023</v>
      </c>
      <c r="H69" s="676">
        <v>68.2</v>
      </c>
    </row>
    <row r="70" spans="1:8" ht="12.75">
      <c r="A70" s="678" t="s">
        <v>721</v>
      </c>
      <c r="B70" s="679">
        <v>15000</v>
      </c>
      <c r="C70" s="679">
        <v>0</v>
      </c>
      <c r="D70" s="679">
        <v>2094</v>
      </c>
      <c r="E70" s="679">
        <v>1500</v>
      </c>
      <c r="F70" s="680">
        <v>1500</v>
      </c>
      <c r="G70" s="679">
        <v>1023</v>
      </c>
      <c r="H70" s="681">
        <v>68.2</v>
      </c>
    </row>
    <row r="71" spans="1:8" ht="12.75">
      <c r="A71" s="674" t="s">
        <v>722</v>
      </c>
      <c r="B71" s="675">
        <v>0</v>
      </c>
      <c r="C71" s="675">
        <v>0</v>
      </c>
      <c r="D71" s="675">
        <v>233931</v>
      </c>
      <c r="E71" s="675">
        <v>0</v>
      </c>
      <c r="F71" s="675">
        <v>180587</v>
      </c>
      <c r="G71" s="675">
        <v>179692</v>
      </c>
      <c r="H71" s="676">
        <v>99.50439400399807</v>
      </c>
    </row>
    <row r="72" spans="1:8" ht="12.75">
      <c r="A72" s="678" t="s">
        <v>723</v>
      </c>
      <c r="B72" s="679">
        <v>0</v>
      </c>
      <c r="C72" s="679">
        <v>0</v>
      </c>
      <c r="D72" s="679">
        <v>233931</v>
      </c>
      <c r="E72" s="679">
        <v>0</v>
      </c>
      <c r="F72" s="680">
        <v>180587</v>
      </c>
      <c r="G72" s="679">
        <v>179692</v>
      </c>
      <c r="H72" s="681">
        <v>99.50439400399807</v>
      </c>
    </row>
    <row r="73" spans="1:8" ht="12.75">
      <c r="A73" s="674" t="s">
        <v>644</v>
      </c>
      <c r="B73" s="677">
        <v>26939273</v>
      </c>
      <c r="C73" s="677">
        <v>2259181</v>
      </c>
      <c r="D73" s="677">
        <v>6359681</v>
      </c>
      <c r="E73" s="677">
        <v>1993563</v>
      </c>
      <c r="F73" s="677">
        <v>2508988</v>
      </c>
      <c r="G73" s="677">
        <v>2229927</v>
      </c>
      <c r="H73" s="676">
        <v>88.87754744143854</v>
      </c>
    </row>
  </sheetData>
  <sheetProtection/>
  <conditionalFormatting sqref="A3:H3 A5:H5 A7:H10 A12:H18 A20:H21 A23:H29 A31:H34 A36:H39 A41:H47 A49:H55 A57:H60 A62:H63 A65:H65 A67:H67 A69:H69 A71:H71 A73:H73">
    <cfRule type="expression" priority="1" dxfId="38">
      <formula>LEFT($A3,7)="Celkový"</formula>
    </cfRule>
    <cfRule type="expression" priority="2" dxfId="39">
      <formula>LEFT($A3,6)="Celkem"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Petr Bauer</cp:lastModifiedBy>
  <cp:lastPrinted>2014-06-10T07:51:52Z</cp:lastPrinted>
  <dcterms:created xsi:type="dcterms:W3CDTF">2001-09-17T09:09:31Z</dcterms:created>
  <dcterms:modified xsi:type="dcterms:W3CDTF">2014-06-10T07:53:33Z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K6F56YJ4D42X-540-294</vt:lpwstr>
  </property>
  <property fmtid="{D5CDD505-2E9C-101B-9397-08002B2CF9AE}" pid="3" name="_dlc_DocIdItemGuid">
    <vt:lpwstr>1bee26e2-20ea-4941-a934-d27bf38de08a</vt:lpwstr>
  </property>
  <property fmtid="{D5CDD505-2E9C-101B-9397-08002B2CF9AE}" pid="4" name="_dlc_DocIdUrl">
    <vt:lpwstr>http://project.brno.cz/ORF/RI/_layouts/DocIdRedir.aspx?ID=K6F56YJ4D42X-540-294, K6F56YJ4D42X-540-294</vt:lpwstr>
  </property>
  <property fmtid="{D5CDD505-2E9C-101B-9397-08002B2CF9AE}" pid="5" name="Rok">
    <vt:lpwstr>2</vt:lpwstr>
  </property>
  <property fmtid="{D5CDD505-2E9C-101B-9397-08002B2CF9AE}" pid="6" name="Plnění rozpočtu">
    <vt:lpwstr>4</vt:lpwstr>
  </property>
</Properties>
</file>