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45" yWindow="4110" windowWidth="5160" windowHeight="4125" tabRatio="844" activeTab="0"/>
  </bookViews>
  <sheets>
    <sheet name="RMB 12" sheetId="1" r:id="rId1"/>
  </sheets>
  <definedNames>
    <definedName name="_xlnm.Print_Titles" localSheetId="0">'RMB 12'!$4:$5</definedName>
    <definedName name="_xlnm.Print_Area" localSheetId="0">'RMB 12'!$A$1:$F$343</definedName>
  </definedNames>
  <calcPr fullCalcOnLoad="1"/>
</workbook>
</file>

<file path=xl/sharedStrings.xml><?xml version="1.0" encoding="utf-8"?>
<sst xmlns="http://schemas.openxmlformats.org/spreadsheetml/2006/main" count="454" uniqueCount="309">
  <si>
    <t>Brno - Židenice - aktivní politika zaměstnanosti - OP Lidské zdroje a zaměstnanost</t>
  </si>
  <si>
    <t>CIZÍ STÁTY</t>
  </si>
  <si>
    <t>Projekt ET LETTERA</t>
  </si>
  <si>
    <t>Brno - Ořešín - veřejně prospěšné práce</t>
  </si>
  <si>
    <t>MINISTERSTVO ŽIVOTNÍHO PROSTŘEDÍ</t>
  </si>
  <si>
    <t>Datum</t>
  </si>
  <si>
    <t>UR v tis. Kč</t>
  </si>
  <si>
    <t>Skutečnost v Kč</t>
  </si>
  <si>
    <t>ÚZ</t>
  </si>
  <si>
    <t>POL.</t>
  </si>
  <si>
    <t xml:space="preserve">MINISTERSTVO  FINANCÍ  ČR </t>
  </si>
  <si>
    <t>STÁTNÍ  FOND  ROZVOJE  BYDLENÍ</t>
  </si>
  <si>
    <t>4113</t>
  </si>
  <si>
    <t>Brno - Černovice - dotace k úvěru na opravu panelových bytů</t>
  </si>
  <si>
    <t>Brno - Nový Lískovec - dotace k úvěru na opravu panelových bytů</t>
  </si>
  <si>
    <t>Brno - Slatina - dotace k úvěru na opravu panelových bytů</t>
  </si>
  <si>
    <t>Brno - Vinohrady - dotace k úvěru na opravu panelových bytů</t>
  </si>
  <si>
    <t>STÁTNÍ  FOND  ŽIVOTNÍHO PROSTŘEDÍ</t>
  </si>
  <si>
    <t>Brno - Ořešín - přímé platby zemědělcům</t>
  </si>
  <si>
    <t xml:space="preserve">ÚŘAD  PRÁCE </t>
  </si>
  <si>
    <t>13101</t>
  </si>
  <si>
    <t>4116</t>
  </si>
  <si>
    <t>Brno - Komín - veřejně prospěšné práce</t>
  </si>
  <si>
    <t>Brno - střed - veřejně prospěšné práce</t>
  </si>
  <si>
    <t>13234</t>
  </si>
  <si>
    <t>Brno - Ivanovice - aktivní politika zaměstnanosti - OP Lidské zdroje a zaměstnanost</t>
  </si>
  <si>
    <t>Brno - Nový Lískovec - aktivní politika zaměstnanosti - OP Lidské zdroje a zaměstnanost</t>
  </si>
  <si>
    <t>Brno - Ořešín - aktivní politika zaměstnanosti - OP Lidské zdroje a zaměstnanost</t>
  </si>
  <si>
    <t>Brno - sever - aktivní politika zaměstnanosti - OP Lidské zdroje a zaměstnanost</t>
  </si>
  <si>
    <t>Brno - střed - aktivní politika zaměstnanosti - OP Lidské zdroje a zaměstnanost</t>
  </si>
  <si>
    <t>Brno - Žabovřesky - aktivní politika zaměstnanosti - OP Lidské zdroje a zaměstnanost</t>
  </si>
  <si>
    <t>Brno - Žebětín - aktivní politika zaměstnanosti - OP Lidské zdroje a zaměstnanost</t>
  </si>
  <si>
    <t>MINISTERSTVO   KULTURY</t>
  </si>
  <si>
    <t>MINISTERSTVO  ŠKOLSTVÍ, MLÁDEŽE  A TĚLOVÝCHOVY</t>
  </si>
  <si>
    <t>MINISTERSTVO PRÁCE A SOCIÁLNÍCH VĚCÍ ČR</t>
  </si>
  <si>
    <t>MINISTERSTVO  PRO MÍSTNÍ ROZVOJ ČR</t>
  </si>
  <si>
    <t>MINISTERSTVO  PRŮMYSLU A OBCHODU ČR</t>
  </si>
  <si>
    <t>MINISTERSTVO VNITRA ČR</t>
  </si>
  <si>
    <t>JIHOMORAVSKÝ KRAJ</t>
  </si>
  <si>
    <t>4122</t>
  </si>
  <si>
    <t>MEZINÁRODNÍ  INSTITUCE</t>
  </si>
  <si>
    <t>4152</t>
  </si>
  <si>
    <t>4222</t>
  </si>
  <si>
    <t>Šance pro všechny - ZŠ a MŠ Kotlářská 4</t>
  </si>
  <si>
    <t>Brno - Bystrc - aktivní politika zaměstnanosti - OP Lidské zdroje a zaměstnanost</t>
  </si>
  <si>
    <t>Brno - sever - Drom - Máš na to!</t>
  </si>
  <si>
    <t>Brno - Židenice - dotace k úvěru na opravu panelových bytů</t>
  </si>
  <si>
    <t>Brno - Bystrc - dotace k úvěru na opravu panelových bytů</t>
  </si>
  <si>
    <t>Brno - Ivanovice - veřejně prospěšné práce</t>
  </si>
  <si>
    <t>Brno - sever - veřejně prospěšné práce</t>
  </si>
  <si>
    <t>Brno - Kohoutovice - dotace k úvěru na opravu panelových bytů</t>
  </si>
  <si>
    <t>Brno - Medlánky - aktivní politika zaměstnanosti - OP Lidské zdroje a zaměstnanost</t>
  </si>
  <si>
    <t>OD MEZINÁRODNÍCH INSTITUCÍ</t>
  </si>
  <si>
    <t>Přírodovědné digitárium - návštěvnické centrum</t>
  </si>
  <si>
    <t xml:space="preserve">Dotace na úhradu výdajů v souvislosti s konáním volby prezidenta ČR </t>
  </si>
  <si>
    <t>Projekt Civitas 2MOVE2</t>
  </si>
  <si>
    <t>Plácky - nízkoprah. a aktivizační centra pro děti a mládež ohrožené sociálně patolog. jevy</t>
  </si>
  <si>
    <t>Regenerace a rozšíření služeb Národní kulturní památky Špilberk</t>
  </si>
  <si>
    <t>Projekt "Stará škola"</t>
  </si>
  <si>
    <t>Smysluplná škola - rozvoj mezipřed. vazeb a průřezových témat - ZŠ a MŠ Jihomor.n. 2</t>
  </si>
  <si>
    <t>Zahrada jazyků - ZŠ Krásného 24</t>
  </si>
  <si>
    <t>Výstavba tělocvičny ZŠ a MŠ Zeiberlichova</t>
  </si>
  <si>
    <t>Matematické-fyzikální cvičiště - ZŠ Sirotkova 36</t>
  </si>
  <si>
    <t>Profesní rozvoj pedagogů - ZŠ Laštůvkova 77</t>
  </si>
  <si>
    <t>Vypracování hodnotící metodiky architektury z let 1945 -1979</t>
  </si>
  <si>
    <t>Šance pro všechny - ZŠ Kotlářská 4</t>
  </si>
  <si>
    <t>Dotace na výkon činnosti Jednotných kontaktních míst</t>
  </si>
  <si>
    <t>Příroda mého okolí - ZŠ Holzova 1</t>
  </si>
  <si>
    <t>Ukaž mi směr a já najdu cestu pro své povolání - EZŠ</t>
  </si>
  <si>
    <t>Příspěvek na žáka ze sociálně znevýhodňujícího prostředí - ZŠ a MŠ nám. 28. října</t>
  </si>
  <si>
    <t>Brno - Maloměřice a Obřany - aktivní politika zaměstnanosti - OP Lidské zdroje a zam.</t>
  </si>
  <si>
    <t xml:space="preserve">Brno - střed - Správa nemovitostí - prevence zadlužení a další podpůrné činnosti </t>
  </si>
  <si>
    <t>Hodnotící metodika architektury z let 1945 - 1979</t>
  </si>
  <si>
    <t xml:space="preserve">Smysluplná škola - ZŠ a MŠ Jihomoravské nám. 2 </t>
  </si>
  <si>
    <t xml:space="preserve">Dotace na podporu poskytování sociálních služeb </t>
  </si>
  <si>
    <t>Vzdělávání pedagogů v oblasti pedagogiky a multikulturní výchovy - ZŠ a MŠ Merhautova 37</t>
  </si>
  <si>
    <t>Skupinová výuka mimořádně nadaných dětí na Úvoze - ZŠ Úvoz</t>
  </si>
  <si>
    <t>Brno - sever - Drom - Najdi svou cestu</t>
  </si>
  <si>
    <t>Model komunitního a inkluzivního vzdělávání pro základní  - ZŠ a MŠ nám. 28. října 22</t>
  </si>
  <si>
    <t>Brána jazykům otevřena - ZŠ Bakalovo nábřeží 8</t>
  </si>
  <si>
    <t xml:space="preserve">Zajištění bydlení azylantů na území ČR </t>
  </si>
  <si>
    <t>Najdi Špilberk - Muzeum města Brna</t>
  </si>
  <si>
    <t>Dotace na úhradu výdajů spojených s výkonem sociálně - právní ochrany dětí</t>
  </si>
  <si>
    <t>Divadelní svět - mezinárodní hudební festival</t>
  </si>
  <si>
    <t>PRESS - spolupráce Brno - St.Pőlten</t>
  </si>
  <si>
    <t>Projekt partnerství HELPS - zvýšení kvality života ohrožených osob</t>
  </si>
  <si>
    <t>4119</t>
  </si>
  <si>
    <t>Centrope capacity</t>
  </si>
  <si>
    <t>Expozice nové hudby - Filharmonie Brno</t>
  </si>
  <si>
    <t>Velikonoční festival duchovní hudby - Filharmonie Brno</t>
  </si>
  <si>
    <t>Celoroční výstavní program Galerií TIC v roce 2013 - TIC</t>
  </si>
  <si>
    <t xml:space="preserve">FRAGMENT a TOTALITA - TIC </t>
  </si>
  <si>
    <t>Státní příspěvek na výkon pěstounské péče</t>
  </si>
  <si>
    <t>Celoroční plán Domu umění města Brna na rok 2013</t>
  </si>
  <si>
    <t xml:space="preserve">Brno - střed - zajištění bydlení azylantů na území ČR </t>
  </si>
  <si>
    <t>Nastavení procesního řízení do každodenní praxe Magistrátu města Brna</t>
  </si>
  <si>
    <t xml:space="preserve">Manažer IPRM Brno </t>
  </si>
  <si>
    <t>Babylonfest 2013 - Dny brněnských národnostních menšin - TIC</t>
  </si>
  <si>
    <t>Asistent prevence kriminality III.</t>
  </si>
  <si>
    <t>Komplexni řešení vyloučené lokality</t>
  </si>
  <si>
    <t>Práce s rizikovou a delikventní mládeží - probační program</t>
  </si>
  <si>
    <t>MINISTERSTVO ZDRAVOTNICTVÍ</t>
  </si>
  <si>
    <t>Ošetřovatelská péče v chirurgických oborech - Úrazová nemocnice</t>
  </si>
  <si>
    <t>Perioperační péče - Úrazová nemocnice</t>
  </si>
  <si>
    <t>Klinická hematologie a transfuzní služba  - Úrazová nemocnice</t>
  </si>
  <si>
    <t>Intenzivní péče - Úrazová nemocnice</t>
  </si>
  <si>
    <t xml:space="preserve">Podpora výuky angličtiny metodou CLIL na 1. stupni - ZŠ Gajdošova 3 </t>
  </si>
  <si>
    <t xml:space="preserve">Profesní rozvoj pedagogů ZŠ Brno, Laštůvkova 77 - ZŠ Laštůvkova 77 </t>
  </si>
  <si>
    <t xml:space="preserve">Učíme se e-learningem - ZŠ Novolíšeňská 10 </t>
  </si>
  <si>
    <t>Rovné příležitosti pro všechny - ZŠ Mutěnická 23</t>
  </si>
  <si>
    <t xml:space="preserve">Příroda a my  - ZŠ Tuháčkova 25 </t>
  </si>
  <si>
    <t xml:space="preserve">Přírodní a technické vědy jinak - ZŠ Mutěnická 23 </t>
  </si>
  <si>
    <t>Senior akademie VIII - Městská policie Brno</t>
  </si>
  <si>
    <t>Dopravní výchova - realizace požadavků škol a obcí JMK - Městská policie Brno</t>
  </si>
  <si>
    <t>Projekt CH4LLENGE</t>
  </si>
  <si>
    <t>Projekt PRESS</t>
  </si>
  <si>
    <t>Brno - Nový Lískovec - projekt Zelená úsporám</t>
  </si>
  <si>
    <t>Přírodovědné exploratorium</t>
  </si>
  <si>
    <t>Rekonstrukce a dostavba kanalizace v Brně</t>
  </si>
  <si>
    <t>Brněnská šestnástka - 54. mezinárodní festival krátkých hraných filmů - TIC</t>
  </si>
  <si>
    <t>Systémová úprava a dosadba vegetace - Brno - Bystrc</t>
  </si>
  <si>
    <t>Regenerace veřejné zeleně - Brno - Bohunice JZ</t>
  </si>
  <si>
    <t>MINISTERSTVO PRO MÍSTNÍ ROZVOJ</t>
  </si>
  <si>
    <t xml:space="preserve">Stavební úpravy a půdní vestavba bytového domu Přadlácká 9 </t>
  </si>
  <si>
    <t>Projekt vzdělávání lékařů - Nemocnice Milosrdných bratří</t>
  </si>
  <si>
    <t>Databanka vzdělávacích programů SKIP (VISK 2) - KJM</t>
  </si>
  <si>
    <t>Harmonizace lokálních a národních autorit 10 (VISK 9/II)  KJM</t>
  </si>
  <si>
    <t>Lékotéka - hračky a pomůcky pro děti se speciálními potřebami - KJM</t>
  </si>
  <si>
    <t>MINISTERSTVO ZEMĚDĚLSTVÍ</t>
  </si>
  <si>
    <t>Úhrada nákladů na výsadbu minimálního podílu melioračních a zpevňujících dřevin</t>
  </si>
  <si>
    <t>Tvorba praktických úloh pro předměty fyzika, chemie a přírodopis - ZŠ Gajdošova 3</t>
  </si>
  <si>
    <t>Činoherní festival TRIALOG 2013 - Národní divadlo Brno</t>
  </si>
  <si>
    <t>Podpora dostupnosti NDB a Nebojte se divadla - Národní divadlo Brno</t>
  </si>
  <si>
    <t>Taneční most/Tanzbrucke - Národní divadlo Brno</t>
  </si>
  <si>
    <t>BETLÉM 2013 - Centrum experimentálního divadla</t>
  </si>
  <si>
    <t>Mezinárodní hudební festival Špilberk - Filharmonie Brno</t>
  </si>
  <si>
    <t>Pořádání vybraných koncertů - Filharmonie Brno</t>
  </si>
  <si>
    <t xml:space="preserve">Mozartovy děti - Filharmonie Brno </t>
  </si>
  <si>
    <t>Inscenace Cyril a Metoděj - Městské divadlo Brno</t>
  </si>
  <si>
    <t>Sadové úpravy lesoparku v Novém Lískovci - ul. Raisova</t>
  </si>
  <si>
    <t>27.6.201.3</t>
  </si>
  <si>
    <t>Dotace na vlastní uměleckou činnost - Národní divadlo Brno</t>
  </si>
  <si>
    <t>Dotace na vlastní uměleckou činnost - Městské divadlo Brno</t>
  </si>
  <si>
    <t>Dotace na vlastní uměleckou činnost - Centrum experimentálního divadla</t>
  </si>
  <si>
    <t>Dotace na vlastní uměleckou činnost - Filharmonie Brno</t>
  </si>
  <si>
    <t>Realizace projektu EU peníze školám - ZŠ Janouškova 2</t>
  </si>
  <si>
    <t>Realizace projektu EU peníze školám - ZŠ Novolíšeňská 10</t>
  </si>
  <si>
    <t xml:space="preserve">Realizace projektu EU peníze školám - ZŠ Vejrostova 1 </t>
  </si>
  <si>
    <t xml:space="preserve">Realizace projektu EU peníze školám - ZŠ a MŠ Elišky Přemyslovny 10 </t>
  </si>
  <si>
    <t>Propagace JM regionu prostř. videoprojekcí v brněnském podzemí</t>
  </si>
  <si>
    <t>Realizace projektu EU peníze školám - ZŠ Bednářova 28</t>
  </si>
  <si>
    <t>Realizace projektu EU peníze školám - ZŠ Kneslova 28</t>
  </si>
  <si>
    <t>Mobilní informační centrum prevence kriminality - MOBIDIK - Městská police Brno</t>
  </si>
  <si>
    <t>Příroda a my - ZŠ Tuháčkova 25</t>
  </si>
  <si>
    <t>Připojení poboček KJM v Brně-Komíně a v Brně-Černovicích - KJM</t>
  </si>
  <si>
    <t>Videodokumentace zachycující postup prací pam. obnovy Vily Tugendhat - Muzeum m. Brna</t>
  </si>
  <si>
    <t xml:space="preserve">Brno - sever - Drom - Enviromentální výchova dětí ze soc. vyloučené lokality města Brna </t>
  </si>
  <si>
    <t xml:space="preserve">Brno - Židenice - Dotace na úhradu výdajů v souvislosti s azylovým zařízením </t>
  </si>
  <si>
    <t>Smysluplná škola - ZŠ a MŠ Jihomoravské nám. 2</t>
  </si>
  <si>
    <t>Sport prostředek komunikace a porozumění - ZŠ a MŠ Blanenská 1</t>
  </si>
  <si>
    <t>REGIONÁLNÍ RADA REGIONU SOUDRŽNOSTI JIHOVÝCHOD</t>
  </si>
  <si>
    <t>Dotace na vlastní uměleckou činnost - Divadlo Radost</t>
  </si>
  <si>
    <t>Rekonstrukce byt.domu Francouzská 20/Stará 1</t>
  </si>
  <si>
    <t>Jazykové centrum - digerenciace jazykového vzdělávání na ZŠ a MŠ Vedlejší 10</t>
  </si>
  <si>
    <t>Brno - sever - Drom - projekt Tvořivost je pro všechny</t>
  </si>
  <si>
    <t xml:space="preserve">STÁTNÍ  ZEMĚDĚLSKÝ INTERVENČNÍ FOND  </t>
  </si>
  <si>
    <t>Podpora profesního a osobního růstu zaměstnanců statutárního města Brna</t>
  </si>
  <si>
    <t>Brno - sever - Drom, romské středisko - Cestou komunitní práce</t>
  </si>
  <si>
    <t>Moravský podzim - Filharmonie Brno</t>
  </si>
  <si>
    <t>REURIS - revitalizace řek a jejich okolí v urbanizovaném městě</t>
  </si>
  <si>
    <t xml:space="preserve">Projekt TROLLEY </t>
  </si>
  <si>
    <t>Rozvojové dokumenty Strategie pro Brno</t>
  </si>
  <si>
    <t>Aplikace metod zvyšováníkvality a tvorba procesního modelu MMB</t>
  </si>
  <si>
    <t>Zateplení ZŠ Horní, Janouškova, Masarova</t>
  </si>
  <si>
    <t>Dotace na vlastní uměleckou činnost - Městské  divadlo Brno</t>
  </si>
  <si>
    <t>Realizace projektu EU peníze školám - ZŠ Hudcova 35</t>
  </si>
  <si>
    <t>Realizace projektu EU peníze školám - ZŠ Mutěnická 23</t>
  </si>
  <si>
    <t>KŘENKA - zážitkem k inkluzi - ZŠ a MŠ Křenová 21</t>
  </si>
  <si>
    <t>Podpora vzdělávání a zlepšení kompetencí pedagogických pracovníků - ZŠ Antonínská 3</t>
  </si>
  <si>
    <t>Leoš Janáček a Brno - Turistuické informační centrum města Brna</t>
  </si>
  <si>
    <t>Interdisciplinární přístup k řešení domácího násilí ve statutráním městě Brně</t>
  </si>
  <si>
    <t>Vratka části dotace na úhradu výdajů v souvislosti s konáním volby prezidenta ČR</t>
  </si>
  <si>
    <t>Realizace projektu EU peníze školám - ZŠ Milénova 35</t>
  </si>
  <si>
    <t>Centrum pro sport a volný čas Komín</t>
  </si>
  <si>
    <t>Projekt Japan Tour 2013 - Filharmonie Brno</t>
  </si>
  <si>
    <t>Víceúčelová tělocvična při ZŠ Otevřená</t>
  </si>
  <si>
    <t>Realizace projektu EU peníze školám - Masarykova základní škola, Kamenačky 4</t>
  </si>
  <si>
    <t>Příspěvek zoologickým zahradám - Zoologická zahrada města Brna</t>
  </si>
  <si>
    <t>Brno - Jundrov - pořízení dopravního automobilu pro JSDH</t>
  </si>
  <si>
    <t>Venkovní úpravy Francouzská</t>
  </si>
  <si>
    <t>Mezinárodní kytarový festival Brno - Turistické informační centrum města Brna</t>
  </si>
  <si>
    <t>SOCIOLOGICKÝ ÚSTAV AKADEMIE VĚD</t>
  </si>
  <si>
    <t xml:space="preserve">Profesní rozvoj pedagogů - ZŠ Laštůvkova 77 </t>
  </si>
  <si>
    <t>Úhrada nákladů na činnost odborného lesního hospodáře</t>
  </si>
  <si>
    <t>Brno - Bosonohy - aktivní politika zaměstnanosti - OP Lidské zdroje a zaměstnanost</t>
  </si>
  <si>
    <t>Brno - jih - aktivní politika zaměstnanosti - OP Lidské zdroje a zaměstnanost</t>
  </si>
  <si>
    <t>Brno - Kníničky - aktivní politika zaměstnanosti - OP Lidské zdroje a zaměstnanost</t>
  </si>
  <si>
    <t>Digitalizace archivu města Brna</t>
  </si>
  <si>
    <t>Výstavba parku Pod Plachtami na Kamenném Vrchu II</t>
  </si>
  <si>
    <t xml:space="preserve">Brno - sever - Drom, romské středisko - Zvyšování pracovních kompetencí pracovníků </t>
  </si>
  <si>
    <t>Podpora vzdělávání a zlepšení kompetencí pedagogických pracovníků  - ZŠ Antonínská 3</t>
  </si>
  <si>
    <t>Dotace na zajištění ýdajů v souvislosti s konáním voleb do Poslanecké sněmovny</t>
  </si>
  <si>
    <t>ZŠ Úvoz 55 - sportovní hřiště</t>
  </si>
  <si>
    <t>Moravské náměstí, včetně Běhounské</t>
  </si>
  <si>
    <t>Brněnská muzejní noc na hradě Špilberk - Muzeum města Brna</t>
  </si>
  <si>
    <t>Tmavomodrý festival 2013 - Turistické informační centrum města Brna</t>
  </si>
  <si>
    <t>Přehled přijatých účelových transferů z jiných veřejných rozpočtů</t>
  </si>
  <si>
    <t>NEINVESTIČNÍ TRANSFERY</t>
  </si>
  <si>
    <t>TRANSFERY  NEINVESTIČNÍ  CELKEM</t>
  </si>
  <si>
    <t>INVESTIČNÍ TRANSFERY</t>
  </si>
  <si>
    <t xml:space="preserve">TRANSFERY  INVESTIČNÍ CELKEM </t>
  </si>
  <si>
    <t>REKAPITULACE  PŘIJATÝCH TRANSFERŮ</t>
  </si>
  <si>
    <t xml:space="preserve">TRANSFERY  NEINVESTIČNÍ CELKEM  </t>
  </si>
  <si>
    <t xml:space="preserve">TRANSFERY  INVESTIČNÍ CELKEM  </t>
  </si>
  <si>
    <t>TRANSFERY    CELKEM</t>
  </si>
  <si>
    <t>ZŠ a MŠ Křenová 21 - EU peníze školám</t>
  </si>
  <si>
    <t>Wilsonův les</t>
  </si>
  <si>
    <t>Brno - Nový Lískovec - Projekt Urb Spaces spolufin. Evropským fondem region. rozvoje</t>
  </si>
  <si>
    <t>Optimalizace řízení informatiky MMB</t>
  </si>
  <si>
    <t>Reading the cities - Dům umění města Brna</t>
  </si>
  <si>
    <t>Hostování v Lipsku v rámci 40 let partnerství Brno - Lipsko - CED</t>
  </si>
  <si>
    <t>Hostování HaDivadla s inscen. "Bohnice aneb Člověče, nezlob se" - CED</t>
  </si>
  <si>
    <t>Petrov</t>
  </si>
  <si>
    <t>Vratka části dotace - Asistent prevence kriminality III.</t>
  </si>
  <si>
    <t xml:space="preserve">Vratka části dotace - Mobilní informační centrum prevence kriminality - MOBIDIK </t>
  </si>
  <si>
    <t>Vratka části dotace - Ošetřovatelská péče v chirurgických oborech - Úrazová nemocnice</t>
  </si>
  <si>
    <t>Dotace na přípravu KJM pro spolupráci s Centrálním portálem knihoven - KJM</t>
  </si>
  <si>
    <t>MINISTERSTVO   DOPRAVY</t>
  </si>
  <si>
    <t>Projekt CONNECT</t>
  </si>
  <si>
    <t>Brno - Maloměřice a Obřany - výzbroj JSDH</t>
  </si>
  <si>
    <t>Brno - Žebětín - oprava CAS 32 T148</t>
  </si>
  <si>
    <t>Brno - Žabovřesky - vybavení středisek pečovatelské služby</t>
  </si>
  <si>
    <t>Zateplení ZŠ Milénova, ZŠ Košinova, ZŠ Novoměstská</t>
  </si>
  <si>
    <t>Brno - Žebětín - pořízení stroje na úklid zpevněných cest a komunikací</t>
  </si>
  <si>
    <t>Imisní monitoring SmB - obnova systému sledování kvality ovzduší</t>
  </si>
  <si>
    <t xml:space="preserve">Brno - Bohunice - zateplení budovy SVČ Švermova 19 </t>
  </si>
  <si>
    <t>EUROCITIES - Města pro aktivní začleňování</t>
  </si>
  <si>
    <t>Brno - Bohunice - zateplení budovy SVČ Švermova 19</t>
  </si>
  <si>
    <t>Brno - Bohunice - regenerace panelového sídliště Brno - Bohunice - VII. etapa</t>
  </si>
  <si>
    <t>Brno - Řečkovice - regenerace panelového sídliště Brno - Řečkovice, VI. etapa</t>
  </si>
  <si>
    <t>Brno - Maloměřice a Obřany - pořízení přetlakových dýchacích přístrojů</t>
  </si>
  <si>
    <t>Realizace projektu EU peníze školám - ZŠ Arménská 21</t>
  </si>
  <si>
    <t>Realizace projektu EU peníze školám - ZŠ  a MŠ Staňkova</t>
  </si>
  <si>
    <t>Brno - Chrlice - výstroj a výzbroj pro JSDH</t>
  </si>
  <si>
    <t xml:space="preserve">Brno - Nový Lískovec - zateplení MŠ Oblá, Nový Lískovec </t>
  </si>
  <si>
    <t xml:space="preserve">Brno - střed - KVC U Tří kohoutů - realizace akce Moravský Budulínek </t>
  </si>
  <si>
    <t xml:space="preserve">Brno - Bystrc - zateplení MŠ Kachlíkova 17 </t>
  </si>
  <si>
    <t>Brno - Vinohrady - stavební úpravy MŠ Sněhurka, Bořetická 26</t>
  </si>
  <si>
    <t>Sportem proti kriminalitě - Street dance - Městská policie Brno</t>
  </si>
  <si>
    <t>Rekonstrukce objektu Hlídka 4 - Středisko ekologické výchovy v parku Špilberk</t>
  </si>
  <si>
    <t>Brno - Žebětín - výsadba a regenerace izolační aleje ul. Ostrovačická v Žebětíně</t>
  </si>
  <si>
    <t>Vratka části dotace - Intenzivní péče - Úrazová nemocnice</t>
  </si>
  <si>
    <t>Klinická hematologie a transfuzní služba - Úrazová nemocnice</t>
  </si>
  <si>
    <t>Aplikovaná fyzioterapie - Úrazová nemocnice</t>
  </si>
  <si>
    <t>Brno - Líšeň - Líšeňské hody</t>
  </si>
  <si>
    <t>Brno - Královo Pole - výstroj a výzbroj pro JSDH</t>
  </si>
  <si>
    <t>Orlí, Měnínská a Novobranská</t>
  </si>
  <si>
    <t>Příspěvek na provoz - Národní divadlo Brno</t>
  </si>
  <si>
    <t>Brno - Vinohrady - hudební festival "Mladé kapely"</t>
  </si>
  <si>
    <t>Brno - Vinohrady - výstava vín</t>
  </si>
  <si>
    <t>Skupinová výuka mimořádně nadyných dětí na Úvoze - ZŠ Úvoz</t>
  </si>
  <si>
    <t>Ušatá pohádka - Divadlo Radost</t>
  </si>
  <si>
    <t>Příspěvek na provoz - Filharmonie Brno</t>
  </si>
  <si>
    <t>Podpora vzdělávání a zlepšení kompetencí pedag. pracovníků - ZŠ Antonínská 3</t>
  </si>
  <si>
    <t xml:space="preserve">Ukaž mi směr a já najdu cestu pro povolání - EZŠ </t>
  </si>
  <si>
    <t>Rekonstrukce a dostavba MŠ Bratří Pelíšků 7</t>
  </si>
  <si>
    <t xml:space="preserve">Přístavba MŠ Brno, Tumaňanova 59 </t>
  </si>
  <si>
    <t>Revitalizace městských parků, II. etapa</t>
  </si>
  <si>
    <t>Profesní rozvoj pedagogů Základní školy Laštůvkova 77</t>
  </si>
  <si>
    <t xml:space="preserve">Brno - Královo Pole - výdaje na zabezpečení akceschopnosti JSDH </t>
  </si>
  <si>
    <t xml:space="preserve">Brno - Komín - výdaje na zabezpečení akceschopnosti JSDH </t>
  </si>
  <si>
    <t xml:space="preserve">Brno - sever - výdaje na zabezpečení akceschopnosti JSDH </t>
  </si>
  <si>
    <t xml:space="preserve">Brno - Starý Lískovec - výdaje na zabezpečení akceschopnosti JSDH </t>
  </si>
  <si>
    <t xml:space="preserve">Brno - Bohunice - výdaje na zabezpečení akceschopnosti JSDH </t>
  </si>
  <si>
    <t xml:space="preserve">Brno - Tuřany - výdaje na zabezpečení akceschopnosti JSDH </t>
  </si>
  <si>
    <t xml:space="preserve">Brno - Maloměřice a Obřany - výdaje na zabezpečení akceschopnosti JSDH </t>
  </si>
  <si>
    <t xml:space="preserve">Brno - Slatina - výdaje na zabezpečení akceschopnosti JSDH </t>
  </si>
  <si>
    <t xml:space="preserve">Brno - Židenice - výdaje na zabezpečení akceschopnosti JSDH </t>
  </si>
  <si>
    <t xml:space="preserve">Brno - Černovice - výdaje na zabezpečení akceschopnosti JSDH </t>
  </si>
  <si>
    <t>Brno - Černovice - nákup dýchacích přístojů pro JSDH</t>
  </si>
  <si>
    <t xml:space="preserve">Brno - Jundrov - výdaje na zabezpečení akceschopnosti JSDH </t>
  </si>
  <si>
    <t xml:space="preserve">Brno - Útěchov - výdaje na zabezpečení akceschopnosti JSDH </t>
  </si>
  <si>
    <t>Zpracování management plánu pro Vilu Tugendhat (II. etapa) - Muzeum města Brna</t>
  </si>
  <si>
    <t>Katalog stálé expozice výtvar. umění 2. pol. 20. a počátku 21. stol. Muzea města Brna</t>
  </si>
  <si>
    <t>Brno - Komín - aktivní politika zaměstnanosti - OP Lidské zdroje a zaměstnanost</t>
  </si>
  <si>
    <t xml:space="preserve">Brno - Bohunice - zateplení MŠ Běloruská </t>
  </si>
  <si>
    <t xml:space="preserve">Brno - Bohunice - zateplení MŠ Uzbecká </t>
  </si>
  <si>
    <t>a ze zahraničí k 31.12.2013</t>
  </si>
  <si>
    <t>Regen. městských památ. rezervací a zón-Mahen. divadlo, bazilika Nanebevz. Panny Marie</t>
  </si>
  <si>
    <t>Obnova nemovité kult. památky - Vila Aloise a Viléma Kubových v Gromešově ulici 51/1</t>
  </si>
  <si>
    <t>Obnova nemov. kult. památky-Sousoší Zdraví vstupního portálu Zahradník. 2/8-Nerud. 11</t>
  </si>
  <si>
    <t>Brno - Medlánky - doplnění izolační zeleně V Újezdech</t>
  </si>
  <si>
    <t>IX. ročník Divadla v pohybu - Centrum experimentálního divadla</t>
  </si>
  <si>
    <t xml:space="preserve"> Divadelní svět Brno (umělecké honoráře za zahraniční představení) - TIC</t>
  </si>
  <si>
    <t>Podpora výuky angličtiny metodou CLIL na 1. stupni - ZŠ Gajdošova 3</t>
  </si>
  <si>
    <t>Přírodní a technické vědy jinak - ZŠ Mutěnická 23</t>
  </si>
  <si>
    <t>Wilhelm Lehmbruck - Dům umění města Brna</t>
  </si>
  <si>
    <t>Dotace na úhradu ztráty vzniklé poskytováním žákovského jízdného dopravci</t>
  </si>
  <si>
    <t>Model komunitního a inkluzivního vzděláv. pro základní školy - ZŠ a MŠ nám. 28. října 22</t>
  </si>
  <si>
    <t>Podpora k opakovaným hostováním inscenací Divadla Reduta - Národní divadlo Brno</t>
  </si>
  <si>
    <t>JM region. centrum na podporu integrace cizinců - ZŠ a MŠ Staňkova 14</t>
  </si>
  <si>
    <t>Vzdělávání pedag. v oblasti pedagogiky a multikulturní výchovy - ZŠ a MŠ Merhautova 37</t>
  </si>
  <si>
    <t>Brno - Černovice - výdaje na pokrytí mimoř.finan. prostř. pro JSDH-povodně v 6/2013</t>
  </si>
  <si>
    <t>Brno - sever - výdaje na pokrytí mimoř.finančních prostř. pro JSDH - povodně v 6/2013</t>
  </si>
  <si>
    <t>Brno - Starý Lískovec - dovybavení speciálního hasič. vozidla a poříz. výzbroje a výstroje</t>
  </si>
  <si>
    <t>Brno - Starý Lískovec - výdaje na pokrytí mimoř.finan. prostř. pro JSDH-povodně v 6/2013</t>
  </si>
  <si>
    <t>Brno - Žabovřesky - prvek hřiště pro seniory ve vnitrobl.ulic Korejská-Jindřichova-Klímova</t>
  </si>
  <si>
    <t>Brno - Kohoutovice - přístavba multifunkčního sálu CVČ</t>
  </si>
  <si>
    <t>Jazykové centrum - diferenciace jazykového vzdělávání na ZŠ Vedlejší 10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</si>
</sst>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  <numFmt numFmtId="166" formatCode="#,##0.0000000"/>
    <numFmt numFmtId="167" formatCode="[$-405]d\.\ mmmm\ yyyy"/>
    <numFmt numFmtId="168" formatCode="#,##0.00_);\(#,##0.00\)"/>
    <numFmt numFmtId="169" formatCode="#,##0.000000"/>
    <numFmt numFmtId="170" formatCode="#,##0.0000"/>
    <numFmt numFmtId="171" formatCode="#,##0.00000"/>
    <numFmt numFmtId="172" formatCode="0.0000"/>
    <numFmt numFmtId="173" formatCode="dd\.mm\.yyyy"/>
    <numFmt numFmtId="174" formatCode="#,##0.0000000000"/>
    <numFmt numFmtId="175" formatCode="#,##0.00\ &quot;Kč&quot;"/>
    <numFmt numFmtId="176" formatCode="#,##0.0000000000000000000000000000"/>
    <numFmt numFmtId="177" formatCode="_(&quot;Kč&quot;* #,##0.00_);_(&quot;Kč&quot;* \(#,##0.00\);_(&quot;Kč&quot;* &quot;-&quot;??_);_(@_)"/>
    <numFmt numFmtId="178" formatCode="_-* #,##0.00\ [$Kč-405]_-;\-* #,##0.00\ [$Kč-405]_-;_-* &quot;-&quot;??\ [$Kč-405]_-;_-@_-"/>
    <numFmt numFmtId="179" formatCode="#,##0\ &quot;Kč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\ ##,000_);[Red]\([$€-2]\ #\ ##,000\)"/>
    <numFmt numFmtId="184" formatCode="_-* #,##0.00&quot; Kč&quot;_-;\-* #,##0.00&quot; Kč&quot;_-;_-* \-??&quot; Kč&quot;_-;_-@_-"/>
    <numFmt numFmtId="185" formatCode="_-* #,##0.00\ [$Kč-405]_-;\-* #,##0.00\ [$Kč-405]_-;_-* \-??\ [$Kč-405]_-;_-@_-"/>
    <numFmt numFmtId="186" formatCode="0_ ;\-0\ "/>
  </numFmts>
  <fonts count="56">
    <font>
      <sz val="10"/>
      <name val="Arial CE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.5"/>
      <color indexed="12"/>
      <name val="Arial CE"/>
      <family val="2"/>
    </font>
    <font>
      <b/>
      <u val="single"/>
      <sz val="18"/>
      <name val="Times New Roman"/>
      <family val="1"/>
    </font>
    <font>
      <sz val="12"/>
      <name val="Arial CE"/>
      <family val="2"/>
    </font>
    <font>
      <u val="single"/>
      <sz val="8"/>
      <color indexed="12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</borders>
  <cellStyleXfs count="5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9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9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9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9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9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9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9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9" fillId="8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9" fillId="14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0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10" fillId="1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0" fillId="18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0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0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1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37" fillId="0" borderId="0" applyFill="0" applyBorder="0" applyAlignment="0" applyProtection="0"/>
    <xf numFmtId="0" fontId="12" fillId="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13" fillId="35" borderId="3" applyNumberFormat="0" applyAlignment="0" applyProtection="0"/>
    <xf numFmtId="0" fontId="39" fillId="36" borderId="4" applyNumberFormat="0" applyAlignment="0" applyProtection="0"/>
    <xf numFmtId="0" fontId="39" fillId="36" borderId="4" applyNumberFormat="0" applyAlignment="0" applyProtection="0"/>
    <xf numFmtId="0" fontId="39" fillId="36" borderId="4" applyNumberFormat="0" applyAlignment="0" applyProtection="0"/>
    <xf numFmtId="0" fontId="39" fillId="36" borderId="4" applyNumberFormat="0" applyAlignment="0" applyProtection="0"/>
    <xf numFmtId="0" fontId="39" fillId="36" borderId="4" applyNumberFormat="0" applyAlignment="0" applyProtection="0"/>
    <xf numFmtId="0" fontId="39" fillId="36" borderId="4" applyNumberFormat="0" applyAlignment="0" applyProtection="0"/>
    <xf numFmtId="0" fontId="39" fillId="36" borderId="4" applyNumberFormat="0" applyAlignment="0" applyProtection="0"/>
    <xf numFmtId="0" fontId="39" fillId="36" borderId="4" applyNumberFormat="0" applyAlignment="0" applyProtection="0"/>
    <xf numFmtId="0" fontId="39" fillId="36" borderId="4" applyNumberFormat="0" applyAlignment="0" applyProtection="0"/>
    <xf numFmtId="0" fontId="39" fillId="36" borderId="4" applyNumberFormat="0" applyAlignment="0" applyProtection="0"/>
    <xf numFmtId="0" fontId="39" fillId="36" borderId="4" applyNumberFormat="0" applyAlignment="0" applyProtection="0"/>
    <xf numFmtId="0" fontId="39" fillId="36" borderId="4" applyNumberFormat="0" applyAlignment="0" applyProtection="0"/>
    <xf numFmtId="44" fontId="1" fillId="0" borderId="0" applyFill="0" applyBorder="0" applyAlignment="0" applyProtection="0"/>
    <xf numFmtId="44" fontId="9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34" fillId="0" borderId="0" applyFont="0" applyFill="0" applyBorder="0" applyAlignment="0" applyProtection="0"/>
    <xf numFmtId="42" fontId="1" fillId="0" borderId="0" applyFill="0" applyBorder="0" applyAlignment="0" applyProtection="0"/>
    <xf numFmtId="0" fontId="14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15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16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8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34" fillId="0" borderId="0">
      <alignment/>
      <protection/>
    </xf>
    <xf numFmtId="178" fontId="34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34" fillId="0" borderId="0">
      <alignment/>
      <protection/>
    </xf>
    <xf numFmtId="0" fontId="0" fillId="39" borderId="11" applyNumberFormat="0" applyFont="0" applyAlignment="0" applyProtection="0"/>
    <xf numFmtId="0" fontId="9" fillId="40" borderId="12" applyNumberFormat="0" applyFont="0" applyAlignment="0" applyProtection="0"/>
    <xf numFmtId="0" fontId="34" fillId="40" borderId="12" applyNumberFormat="0" applyFont="0" applyAlignment="0" applyProtection="0"/>
    <xf numFmtId="0" fontId="9" fillId="40" borderId="12" applyNumberFormat="0" applyFont="0" applyAlignment="0" applyProtection="0"/>
    <xf numFmtId="0" fontId="34" fillId="40" borderId="12" applyNumberFormat="0" applyFont="0" applyAlignment="0" applyProtection="0"/>
    <xf numFmtId="0" fontId="9" fillId="40" borderId="12" applyNumberFormat="0" applyFont="0" applyAlignment="0" applyProtection="0"/>
    <xf numFmtId="0" fontId="9" fillId="40" borderId="12" applyNumberFormat="0" applyFont="0" applyAlignment="0" applyProtection="0"/>
    <xf numFmtId="0" fontId="34" fillId="40" borderId="12" applyNumberFormat="0" applyFont="0" applyAlignment="0" applyProtection="0"/>
    <xf numFmtId="0" fontId="34" fillId="40" borderId="12" applyNumberFormat="0" applyFont="0" applyAlignment="0" applyProtection="0"/>
    <xf numFmtId="0" fontId="34" fillId="40" borderId="12" applyNumberFormat="0" applyFont="0" applyAlignment="0" applyProtection="0"/>
    <xf numFmtId="0" fontId="34" fillId="40" borderId="12" applyNumberFormat="0" applyFont="0" applyAlignment="0" applyProtection="0"/>
    <xf numFmtId="0" fontId="9" fillId="40" borderId="12" applyNumberFormat="0" applyFont="0" applyAlignment="0" applyProtection="0"/>
    <xf numFmtId="178" fontId="9" fillId="40" borderId="12" applyNumberFormat="0" applyFont="0" applyAlignment="0" applyProtection="0"/>
    <xf numFmtId="0" fontId="9" fillId="40" borderId="12" applyNumberFormat="0" applyFont="0" applyAlignment="0" applyProtection="0"/>
    <xf numFmtId="0" fontId="9" fillId="40" borderId="12" applyNumberFormat="0" applyFont="0" applyAlignment="0" applyProtection="0"/>
    <xf numFmtId="0" fontId="9" fillId="40" borderId="12" applyNumberFormat="0" applyFont="0" applyAlignment="0" applyProtection="0"/>
    <xf numFmtId="0" fontId="9" fillId="40" borderId="12" applyNumberFormat="0" applyFont="0" applyAlignment="0" applyProtection="0"/>
    <xf numFmtId="0" fontId="9" fillId="40" borderId="12" applyNumberFormat="0" applyFont="0" applyAlignment="0" applyProtection="0"/>
    <xf numFmtId="0" fontId="9" fillId="40" borderId="12" applyNumberFormat="0" applyFont="0" applyAlignment="0" applyProtection="0"/>
    <xf numFmtId="0" fontId="9" fillId="40" borderId="12" applyNumberFormat="0" applyFont="0" applyAlignment="0" applyProtection="0"/>
    <xf numFmtId="0" fontId="9" fillId="40" borderId="12" applyNumberFormat="0" applyFont="0" applyAlignment="0" applyProtection="0"/>
    <xf numFmtId="0" fontId="34" fillId="40" borderId="12" applyNumberFormat="0" applyFont="0" applyAlignment="0" applyProtection="0"/>
    <xf numFmtId="178" fontId="34" fillId="40" borderId="12" applyNumberFormat="0" applyFont="0" applyAlignment="0" applyProtection="0"/>
    <xf numFmtId="0" fontId="34" fillId="40" borderId="12" applyNumberFormat="0" applyFont="0" applyAlignment="0" applyProtection="0"/>
    <xf numFmtId="0" fontId="34" fillId="40" borderId="12" applyNumberFormat="0" applyFont="0" applyAlignment="0" applyProtection="0"/>
    <xf numFmtId="0" fontId="34" fillId="40" borderId="12" applyNumberFormat="0" applyFont="0" applyAlignment="0" applyProtection="0"/>
    <xf numFmtId="0" fontId="34" fillId="40" borderId="12" applyNumberFormat="0" applyFont="0" applyAlignment="0" applyProtection="0"/>
    <xf numFmtId="0" fontId="9" fillId="40" borderId="12" applyNumberFormat="0" applyFont="0" applyAlignment="0" applyProtection="0"/>
    <xf numFmtId="0" fontId="34" fillId="40" borderId="12" applyNumberFormat="0" applyFont="0" applyAlignment="0" applyProtection="0"/>
    <xf numFmtId="0" fontId="34" fillId="40" borderId="12" applyNumberFormat="0" applyFont="0" applyAlignment="0" applyProtection="0"/>
    <xf numFmtId="0" fontId="34" fillId="40" borderId="12" applyNumberFormat="0" applyFont="0" applyAlignment="0" applyProtection="0"/>
    <xf numFmtId="0" fontId="34" fillId="40" borderId="12" applyNumberFormat="0" applyFont="0" applyAlignment="0" applyProtection="0"/>
    <xf numFmtId="0" fontId="34" fillId="40" borderId="12" applyNumberFormat="0" applyFont="0" applyAlignment="0" applyProtection="0"/>
    <xf numFmtId="0" fontId="34" fillId="40" borderId="12" applyNumberFormat="0" applyFont="0" applyAlignment="0" applyProtection="0"/>
    <xf numFmtId="0" fontId="9" fillId="40" borderId="12" applyNumberFormat="0" applyFont="0" applyAlignment="0" applyProtection="0"/>
    <xf numFmtId="0" fontId="34" fillId="40" borderId="12" applyNumberFormat="0" applyFont="0" applyAlignment="0" applyProtection="0"/>
    <xf numFmtId="9" fontId="1" fillId="0" borderId="0" applyFill="0" applyBorder="0" applyAlignment="0" applyProtection="0"/>
    <xf numFmtId="0" fontId="19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3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2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2" fillId="12" borderId="15" applyNumberFormat="0" applyAlignment="0" applyProtection="0"/>
    <xf numFmtId="0" fontId="48" fillId="42" borderId="16" applyNumberFormat="0" applyAlignment="0" applyProtection="0"/>
    <xf numFmtId="0" fontId="48" fillId="42" borderId="16" applyNumberFormat="0" applyAlignment="0" applyProtection="0"/>
    <xf numFmtId="0" fontId="48" fillId="42" borderId="16" applyNumberFormat="0" applyAlignment="0" applyProtection="0"/>
    <xf numFmtId="0" fontId="48" fillId="42" borderId="16" applyNumberFormat="0" applyAlignment="0" applyProtection="0"/>
    <xf numFmtId="0" fontId="48" fillId="42" borderId="16" applyNumberFormat="0" applyAlignment="0" applyProtection="0"/>
    <xf numFmtId="0" fontId="48" fillId="42" borderId="16" applyNumberFormat="0" applyAlignment="0" applyProtection="0"/>
    <xf numFmtId="0" fontId="48" fillId="42" borderId="16" applyNumberFormat="0" applyAlignment="0" applyProtection="0"/>
    <xf numFmtId="0" fontId="48" fillId="42" borderId="16" applyNumberFormat="0" applyAlignment="0" applyProtection="0"/>
    <xf numFmtId="0" fontId="48" fillId="42" borderId="16" applyNumberFormat="0" applyAlignment="0" applyProtection="0"/>
    <xf numFmtId="0" fontId="48" fillId="42" borderId="16" applyNumberFormat="0" applyAlignment="0" applyProtection="0"/>
    <xf numFmtId="0" fontId="48" fillId="42" borderId="16" applyNumberFormat="0" applyAlignment="0" applyProtection="0"/>
    <xf numFmtId="0" fontId="48" fillId="42" borderId="16" applyNumberFormat="0" applyAlignment="0" applyProtection="0"/>
    <xf numFmtId="0" fontId="23" fillId="43" borderId="15" applyNumberFormat="0" applyAlignment="0" applyProtection="0"/>
    <xf numFmtId="0" fontId="49" fillId="44" borderId="16" applyNumberFormat="0" applyAlignment="0" applyProtection="0"/>
    <xf numFmtId="0" fontId="49" fillId="44" borderId="16" applyNumberFormat="0" applyAlignment="0" applyProtection="0"/>
    <xf numFmtId="0" fontId="49" fillId="44" borderId="16" applyNumberFormat="0" applyAlignment="0" applyProtection="0"/>
    <xf numFmtId="0" fontId="49" fillId="44" borderId="16" applyNumberFormat="0" applyAlignment="0" applyProtection="0"/>
    <xf numFmtId="0" fontId="49" fillId="44" borderId="16" applyNumberFormat="0" applyAlignment="0" applyProtection="0"/>
    <xf numFmtId="0" fontId="49" fillId="44" borderId="16" applyNumberFormat="0" applyAlignment="0" applyProtection="0"/>
    <xf numFmtId="0" fontId="49" fillId="44" borderId="16" applyNumberFormat="0" applyAlignment="0" applyProtection="0"/>
    <xf numFmtId="0" fontId="49" fillId="44" borderId="16" applyNumberFormat="0" applyAlignment="0" applyProtection="0"/>
    <xf numFmtId="0" fontId="49" fillId="44" borderId="16" applyNumberFormat="0" applyAlignment="0" applyProtection="0"/>
    <xf numFmtId="0" fontId="49" fillId="44" borderId="16" applyNumberFormat="0" applyAlignment="0" applyProtection="0"/>
    <xf numFmtId="0" fontId="49" fillId="44" borderId="16" applyNumberFormat="0" applyAlignment="0" applyProtection="0"/>
    <xf numFmtId="0" fontId="49" fillId="44" borderId="16" applyNumberFormat="0" applyAlignment="0" applyProtection="0"/>
    <xf numFmtId="0" fontId="24" fillId="43" borderId="17" applyNumberFormat="0" applyAlignment="0" applyProtection="0"/>
    <xf numFmtId="0" fontId="50" fillId="44" borderId="18" applyNumberFormat="0" applyAlignment="0" applyProtection="0"/>
    <xf numFmtId="0" fontId="50" fillId="44" borderId="18" applyNumberFormat="0" applyAlignment="0" applyProtection="0"/>
    <xf numFmtId="0" fontId="50" fillId="44" borderId="18" applyNumberFormat="0" applyAlignment="0" applyProtection="0"/>
    <xf numFmtId="0" fontId="50" fillId="44" borderId="18" applyNumberFormat="0" applyAlignment="0" applyProtection="0"/>
    <xf numFmtId="0" fontId="50" fillId="44" borderId="18" applyNumberFormat="0" applyAlignment="0" applyProtection="0"/>
    <xf numFmtId="0" fontId="50" fillId="44" borderId="18" applyNumberFormat="0" applyAlignment="0" applyProtection="0"/>
    <xf numFmtId="0" fontId="50" fillId="44" borderId="18" applyNumberFormat="0" applyAlignment="0" applyProtection="0"/>
    <xf numFmtId="0" fontId="50" fillId="44" borderId="18" applyNumberFormat="0" applyAlignment="0" applyProtection="0"/>
    <xf numFmtId="0" fontId="50" fillId="44" borderId="18" applyNumberFormat="0" applyAlignment="0" applyProtection="0"/>
    <xf numFmtId="0" fontId="50" fillId="44" borderId="18" applyNumberFormat="0" applyAlignment="0" applyProtection="0"/>
    <xf numFmtId="0" fontId="50" fillId="44" borderId="18" applyNumberFormat="0" applyAlignment="0" applyProtection="0"/>
    <xf numFmtId="0" fontId="50" fillId="44" borderId="18" applyNumberFormat="0" applyAlignment="0" applyProtection="0"/>
    <xf numFmtId="0" fontId="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10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10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0" fillId="28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10" fillId="30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10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</cellStyleXfs>
  <cellXfs count="130">
    <xf numFmtId="0" fontId="0" fillId="0" borderId="0" xfId="0" applyAlignment="1">
      <alignment/>
    </xf>
    <xf numFmtId="4" fontId="8" fillId="55" borderId="19" xfId="0" applyNumberFormat="1" applyFont="1" applyFill="1" applyBorder="1" applyAlignment="1">
      <alignment vertical="center"/>
    </xf>
    <xf numFmtId="4" fontId="5" fillId="55" borderId="19" xfId="0" applyNumberFormat="1" applyFont="1" applyFill="1" applyBorder="1" applyAlignment="1">
      <alignment/>
    </xf>
    <xf numFmtId="4" fontId="5" fillId="55" borderId="19" xfId="0" applyNumberFormat="1" applyFont="1" applyFill="1" applyBorder="1" applyAlignment="1">
      <alignment vertical="center"/>
    </xf>
    <xf numFmtId="4" fontId="4" fillId="55" borderId="19" xfId="0" applyNumberFormat="1" applyFont="1" applyFill="1" applyBorder="1" applyAlignment="1">
      <alignment vertical="center"/>
    </xf>
    <xf numFmtId="4" fontId="5" fillId="55" borderId="20" xfId="0" applyNumberFormat="1" applyFont="1" applyFill="1" applyBorder="1" applyAlignment="1">
      <alignment/>
    </xf>
    <xf numFmtId="1" fontId="8" fillId="55" borderId="19" xfId="0" applyNumberFormat="1" applyFont="1" applyFill="1" applyBorder="1" applyAlignment="1">
      <alignment/>
    </xf>
    <xf numFmtId="4" fontId="4" fillId="55" borderId="19" xfId="0" applyNumberFormat="1" applyFont="1" applyFill="1" applyBorder="1" applyAlignment="1">
      <alignment/>
    </xf>
    <xf numFmtId="1" fontId="4" fillId="55" borderId="19" xfId="0" applyNumberFormat="1" applyFont="1" applyFill="1" applyBorder="1" applyAlignment="1">
      <alignment/>
    </xf>
    <xf numFmtId="4" fontId="5" fillId="55" borderId="21" xfId="0" applyNumberFormat="1" applyFont="1" applyFill="1" applyBorder="1" applyAlignment="1">
      <alignment/>
    </xf>
    <xf numFmtId="1" fontId="5" fillId="55" borderId="21" xfId="0" applyNumberFormat="1" applyFont="1" applyFill="1" applyBorder="1" applyAlignment="1">
      <alignment/>
    </xf>
    <xf numFmtId="4" fontId="5" fillId="55" borderId="0" xfId="0" applyNumberFormat="1" applyFont="1" applyFill="1" applyBorder="1" applyAlignment="1">
      <alignment/>
    </xf>
    <xf numFmtId="1" fontId="5" fillId="55" borderId="0" xfId="0" applyNumberFormat="1" applyFont="1" applyFill="1" applyBorder="1" applyAlignment="1">
      <alignment/>
    </xf>
    <xf numFmtId="4" fontId="6" fillId="55" borderId="22" xfId="0" applyNumberFormat="1" applyFont="1" applyFill="1" applyBorder="1" applyAlignment="1">
      <alignment horizontal="center"/>
    </xf>
    <xf numFmtId="1" fontId="6" fillId="55" borderId="22" xfId="0" applyNumberFormat="1" applyFont="1" applyFill="1" applyBorder="1" applyAlignment="1">
      <alignment horizontal="center"/>
    </xf>
    <xf numFmtId="4" fontId="6" fillId="55" borderId="23" xfId="0" applyNumberFormat="1" applyFont="1" applyFill="1" applyBorder="1" applyAlignment="1">
      <alignment horizontal="center"/>
    </xf>
    <xf numFmtId="1" fontId="6" fillId="55" borderId="23" xfId="0" applyNumberFormat="1" applyFont="1" applyFill="1" applyBorder="1" applyAlignment="1">
      <alignment horizontal="center"/>
    </xf>
    <xf numFmtId="4" fontId="5" fillId="55" borderId="20" xfId="0" applyNumberFormat="1" applyFont="1" applyFill="1" applyBorder="1" applyAlignment="1">
      <alignment vertical="center"/>
    </xf>
    <xf numFmtId="4" fontId="4" fillId="55" borderId="20" xfId="0" applyNumberFormat="1" applyFont="1" applyFill="1" applyBorder="1" applyAlignment="1">
      <alignment vertical="center"/>
    </xf>
    <xf numFmtId="4" fontId="8" fillId="55" borderId="20" xfId="0" applyNumberFormat="1" applyFont="1" applyFill="1" applyBorder="1" applyAlignment="1">
      <alignment/>
    </xf>
    <xf numFmtId="4" fontId="4" fillId="55" borderId="24" xfId="0" applyNumberFormat="1" applyFont="1" applyFill="1" applyBorder="1" applyAlignment="1">
      <alignment vertical="center"/>
    </xf>
    <xf numFmtId="4" fontId="5" fillId="55" borderId="20" xfId="0" applyNumberFormat="1" applyFont="1" applyFill="1" applyBorder="1" applyAlignment="1">
      <alignment horizontal="right"/>
    </xf>
    <xf numFmtId="4" fontId="5" fillId="55" borderId="25" xfId="0" applyNumberFormat="1" applyFont="1" applyFill="1" applyBorder="1" applyAlignment="1">
      <alignment/>
    </xf>
    <xf numFmtId="4" fontId="6" fillId="55" borderId="26" xfId="0" applyNumberFormat="1" applyFont="1" applyFill="1" applyBorder="1" applyAlignment="1">
      <alignment horizontal="center"/>
    </xf>
    <xf numFmtId="4" fontId="6" fillId="55" borderId="27" xfId="0" applyNumberFormat="1" applyFont="1" applyFill="1" applyBorder="1" applyAlignment="1">
      <alignment horizontal="center"/>
    </xf>
    <xf numFmtId="4" fontId="5" fillId="55" borderId="28" xfId="0" applyNumberFormat="1" applyFont="1" applyFill="1" applyBorder="1" applyAlignment="1">
      <alignment/>
    </xf>
    <xf numFmtId="4" fontId="4" fillId="55" borderId="29" xfId="0" applyNumberFormat="1" applyFont="1" applyFill="1" applyBorder="1" applyAlignment="1">
      <alignment/>
    </xf>
    <xf numFmtId="4" fontId="5" fillId="55" borderId="30" xfId="0" applyNumberFormat="1" applyFont="1" applyFill="1" applyBorder="1" applyAlignment="1">
      <alignment/>
    </xf>
    <xf numFmtId="4" fontId="8" fillId="55" borderId="0" xfId="0" applyNumberFormat="1" applyFont="1" applyFill="1" applyAlignment="1">
      <alignment/>
    </xf>
    <xf numFmtId="14" fontId="5" fillId="55" borderId="19" xfId="0" applyNumberFormat="1" applyFont="1" applyFill="1" applyBorder="1" applyAlignment="1">
      <alignment horizontal="right"/>
    </xf>
    <xf numFmtId="4" fontId="4" fillId="55" borderId="31" xfId="0" applyNumberFormat="1" applyFont="1" applyFill="1" applyBorder="1" applyAlignment="1">
      <alignment vertical="center"/>
    </xf>
    <xf numFmtId="1" fontId="5" fillId="55" borderId="19" xfId="0" applyNumberFormat="1" applyFont="1" applyFill="1" applyBorder="1" applyAlignment="1">
      <alignment/>
    </xf>
    <xf numFmtId="1" fontId="5" fillId="55" borderId="20" xfId="0" applyNumberFormat="1" applyFont="1" applyFill="1" applyBorder="1" applyAlignment="1">
      <alignment horizontal="right"/>
    </xf>
    <xf numFmtId="4" fontId="5" fillId="55" borderId="31" xfId="0" applyNumberFormat="1" applyFont="1" applyFill="1" applyBorder="1" applyAlignment="1">
      <alignment vertical="center"/>
    </xf>
    <xf numFmtId="4" fontId="5" fillId="55" borderId="31" xfId="0" applyNumberFormat="1" applyFont="1" applyFill="1" applyBorder="1" applyAlignment="1">
      <alignment/>
    </xf>
    <xf numFmtId="14" fontId="8" fillId="55" borderId="19" xfId="0" applyNumberFormat="1" applyFont="1" applyFill="1" applyBorder="1" applyAlignment="1">
      <alignment horizontal="right"/>
    </xf>
    <xf numFmtId="1" fontId="8" fillId="55" borderId="20" xfId="0" applyNumberFormat="1" applyFont="1" applyFill="1" applyBorder="1" applyAlignment="1">
      <alignment horizontal="right"/>
    </xf>
    <xf numFmtId="4" fontId="4" fillId="55" borderId="32" xfId="0" applyNumberFormat="1" applyFont="1" applyFill="1" applyBorder="1" applyAlignment="1">
      <alignment/>
    </xf>
    <xf numFmtId="1" fontId="5" fillId="55" borderId="20" xfId="0" applyNumberFormat="1" applyFont="1" applyFill="1" applyBorder="1" applyAlignment="1">
      <alignment/>
    </xf>
    <xf numFmtId="14" fontId="5" fillId="55" borderId="21" xfId="0" applyNumberFormat="1" applyFont="1" applyFill="1" applyBorder="1" applyAlignment="1">
      <alignment horizontal="right"/>
    </xf>
    <xf numFmtId="4" fontId="5" fillId="55" borderId="33" xfId="0" applyNumberFormat="1" applyFont="1" applyFill="1" applyBorder="1" applyAlignment="1">
      <alignment/>
    </xf>
    <xf numFmtId="1" fontId="5" fillId="55" borderId="21" xfId="0" applyNumberFormat="1" applyFont="1" applyFill="1" applyBorder="1" applyAlignment="1">
      <alignment horizontal="right"/>
    </xf>
    <xf numFmtId="4" fontId="4" fillId="55" borderId="32" xfId="0" applyNumberFormat="1" applyFont="1" applyFill="1" applyBorder="1" applyAlignment="1">
      <alignment vertical="center"/>
    </xf>
    <xf numFmtId="1" fontId="5" fillId="55" borderId="19" xfId="0" applyNumberFormat="1" applyFont="1" applyFill="1" applyBorder="1" applyAlignment="1">
      <alignment horizontal="right"/>
    </xf>
    <xf numFmtId="14" fontId="5" fillId="55" borderId="0" xfId="0" applyNumberFormat="1" applyFont="1" applyFill="1" applyBorder="1" applyAlignment="1">
      <alignment horizontal="right"/>
    </xf>
    <xf numFmtId="14" fontId="6" fillId="55" borderId="22" xfId="0" applyNumberFormat="1" applyFont="1" applyFill="1" applyBorder="1" applyAlignment="1">
      <alignment horizontal="right"/>
    </xf>
    <xf numFmtId="14" fontId="6" fillId="55" borderId="23" xfId="0" applyNumberFormat="1" applyFont="1" applyFill="1" applyBorder="1" applyAlignment="1">
      <alignment horizontal="center"/>
    </xf>
    <xf numFmtId="14" fontId="5" fillId="55" borderId="20" xfId="0" applyNumberFormat="1" applyFont="1" applyFill="1" applyBorder="1" applyAlignment="1">
      <alignment horizontal="right"/>
    </xf>
    <xf numFmtId="4" fontId="8" fillId="55" borderId="32" xfId="0" applyNumberFormat="1" applyFont="1" applyFill="1" applyBorder="1" applyAlignment="1">
      <alignment vertical="center"/>
    </xf>
    <xf numFmtId="1" fontId="8" fillId="55" borderId="20" xfId="0" applyNumberFormat="1" applyFont="1" applyFill="1" applyBorder="1" applyAlignment="1">
      <alignment/>
    </xf>
    <xf numFmtId="4" fontId="4" fillId="55" borderId="31" xfId="0" applyNumberFormat="1" applyFont="1" applyFill="1" applyBorder="1" applyAlignment="1">
      <alignment/>
    </xf>
    <xf numFmtId="4" fontId="5" fillId="55" borderId="32" xfId="0" applyNumberFormat="1" applyFont="1" applyFill="1" applyBorder="1" applyAlignment="1">
      <alignment vertical="center"/>
    </xf>
    <xf numFmtId="14" fontId="5" fillId="55" borderId="0" xfId="0" applyNumberFormat="1" applyFont="1" applyFill="1" applyAlignment="1">
      <alignment horizontal="right"/>
    </xf>
    <xf numFmtId="1" fontId="5" fillId="55" borderId="0" xfId="0" applyNumberFormat="1" applyFont="1" applyFill="1" applyAlignment="1">
      <alignment/>
    </xf>
    <xf numFmtId="14" fontId="6" fillId="55" borderId="0" xfId="0" applyNumberFormat="1" applyFont="1" applyFill="1" applyBorder="1" applyAlignment="1">
      <alignment horizontal="right"/>
    </xf>
    <xf numFmtId="1" fontId="5" fillId="55" borderId="0" xfId="0" applyNumberFormat="1" applyFont="1" applyFill="1" applyBorder="1" applyAlignment="1">
      <alignment horizontal="right"/>
    </xf>
    <xf numFmtId="14" fontId="6" fillId="55" borderId="27" xfId="0" applyNumberFormat="1" applyFont="1" applyFill="1" applyBorder="1" applyAlignment="1">
      <alignment horizontal="right"/>
    </xf>
    <xf numFmtId="1" fontId="6" fillId="55" borderId="34" xfId="0" applyNumberFormat="1" applyFont="1" applyFill="1" applyBorder="1" applyAlignment="1">
      <alignment horizontal="center"/>
    </xf>
    <xf numFmtId="14" fontId="5" fillId="55" borderId="27" xfId="0" applyNumberFormat="1" applyFont="1" applyFill="1" applyBorder="1" applyAlignment="1">
      <alignment horizontal="right"/>
    </xf>
    <xf numFmtId="1" fontId="5" fillId="55" borderId="34" xfId="0" applyNumberFormat="1" applyFont="1" applyFill="1" applyBorder="1" applyAlignment="1">
      <alignment/>
    </xf>
    <xf numFmtId="1" fontId="5" fillId="55" borderId="34" xfId="0" applyNumberFormat="1" applyFont="1" applyFill="1" applyBorder="1" applyAlignment="1">
      <alignment horizontal="right"/>
    </xf>
    <xf numFmtId="4" fontId="5" fillId="55" borderId="35" xfId="0" applyNumberFormat="1" applyFont="1" applyFill="1" applyBorder="1" applyAlignment="1">
      <alignment vertical="center"/>
    </xf>
    <xf numFmtId="4" fontId="8" fillId="55" borderId="35" xfId="0" applyNumberFormat="1" applyFont="1" applyFill="1" applyBorder="1" applyAlignment="1">
      <alignment/>
    </xf>
    <xf numFmtId="1" fontId="8" fillId="55" borderId="19" xfId="0" applyNumberFormat="1" applyFont="1" applyFill="1" applyBorder="1" applyAlignment="1">
      <alignment horizontal="right"/>
    </xf>
    <xf numFmtId="4" fontId="6" fillId="55" borderId="0" xfId="0" applyNumberFormat="1" applyFont="1" applyFill="1" applyAlignment="1">
      <alignment/>
    </xf>
    <xf numFmtId="1" fontId="5" fillId="55" borderId="20" xfId="0" applyNumberFormat="1" applyFont="1" applyFill="1" applyBorder="1" applyAlignment="1">
      <alignment horizontal="right" vertical="center"/>
    </xf>
    <xf numFmtId="1" fontId="5" fillId="55" borderId="36" xfId="0" applyNumberFormat="1" applyFont="1" applyFill="1" applyBorder="1" applyAlignment="1">
      <alignment horizontal="right"/>
    </xf>
    <xf numFmtId="1" fontId="6" fillId="55" borderId="19" xfId="0" applyNumberFormat="1" applyFont="1" applyFill="1" applyBorder="1" applyAlignment="1">
      <alignment horizontal="right"/>
    </xf>
    <xf numFmtId="14" fontId="8" fillId="55" borderId="0" xfId="0" applyNumberFormat="1" applyFont="1" applyFill="1" applyAlignment="1">
      <alignment horizontal="right"/>
    </xf>
    <xf numFmtId="1" fontId="8" fillId="55" borderId="0" xfId="0" applyNumberFormat="1" applyFont="1" applyFill="1" applyAlignment="1">
      <alignment/>
    </xf>
    <xf numFmtId="169" fontId="8" fillId="55" borderId="0" xfId="0" applyNumberFormat="1" applyFont="1" applyFill="1" applyAlignment="1">
      <alignment/>
    </xf>
    <xf numFmtId="0" fontId="5" fillId="55" borderId="31" xfId="0" applyFont="1" applyFill="1" applyBorder="1" applyAlignment="1">
      <alignment/>
    </xf>
    <xf numFmtId="0" fontId="5" fillId="55" borderId="37" xfId="0" applyFont="1" applyFill="1" applyBorder="1" applyAlignment="1">
      <alignment/>
    </xf>
    <xf numFmtId="14" fontId="52" fillId="55" borderId="19" xfId="0" applyNumberFormat="1" applyFont="1" applyFill="1" applyBorder="1" applyAlignment="1">
      <alignment horizontal="right"/>
    </xf>
    <xf numFmtId="4" fontId="52" fillId="55" borderId="20" xfId="0" applyNumberFormat="1" applyFont="1" applyFill="1" applyBorder="1" applyAlignment="1">
      <alignment vertical="center"/>
    </xf>
    <xf numFmtId="1" fontId="52" fillId="55" borderId="19" xfId="0" applyNumberFormat="1" applyFont="1" applyFill="1" applyBorder="1" applyAlignment="1">
      <alignment horizontal="right"/>
    </xf>
    <xf numFmtId="169" fontId="52" fillId="55" borderId="0" xfId="0" applyNumberFormat="1" applyFont="1" applyFill="1" applyAlignment="1">
      <alignment/>
    </xf>
    <xf numFmtId="4" fontId="52" fillId="55" borderId="0" xfId="0" applyNumberFormat="1" applyFont="1" applyFill="1" applyAlignment="1">
      <alignment/>
    </xf>
    <xf numFmtId="4" fontId="52" fillId="55" borderId="20" xfId="0" applyNumberFormat="1" applyFont="1" applyFill="1" applyBorder="1" applyAlignment="1">
      <alignment/>
    </xf>
    <xf numFmtId="4" fontId="52" fillId="55" borderId="38" xfId="0" applyNumberFormat="1" applyFont="1" applyFill="1" applyBorder="1" applyAlignment="1">
      <alignment/>
    </xf>
    <xf numFmtId="4" fontId="53" fillId="55" borderId="19" xfId="0" applyNumberFormat="1" applyFont="1" applyFill="1" applyBorder="1" applyAlignment="1">
      <alignment vertical="center"/>
    </xf>
    <xf numFmtId="4" fontId="52" fillId="55" borderId="19" xfId="0" applyNumberFormat="1" applyFont="1" applyFill="1" applyBorder="1" applyAlignment="1">
      <alignment/>
    </xf>
    <xf numFmtId="4" fontId="52" fillId="55" borderId="19" xfId="0" applyNumberFormat="1" applyFont="1" applyFill="1" applyBorder="1" applyAlignment="1">
      <alignment vertical="center"/>
    </xf>
    <xf numFmtId="4" fontId="53" fillId="55" borderId="19" xfId="0" applyNumberFormat="1" applyFont="1" applyFill="1" applyBorder="1" applyAlignment="1">
      <alignment/>
    </xf>
    <xf numFmtId="4" fontId="53" fillId="55" borderId="20" xfId="0" applyNumberFormat="1" applyFont="1" applyFill="1" applyBorder="1" applyAlignment="1">
      <alignment vertical="center"/>
    </xf>
    <xf numFmtId="4" fontId="54" fillId="55" borderId="23" xfId="0" applyNumberFormat="1" applyFont="1" applyFill="1" applyBorder="1" applyAlignment="1">
      <alignment horizontal="center"/>
    </xf>
    <xf numFmtId="4" fontId="52" fillId="55" borderId="20" xfId="0" applyNumberFormat="1" applyFont="1" applyFill="1" applyBorder="1" applyAlignment="1">
      <alignment horizontal="right"/>
    </xf>
    <xf numFmtId="4" fontId="52" fillId="55" borderId="31" xfId="0" applyNumberFormat="1" applyFont="1" applyFill="1" applyBorder="1" applyAlignment="1">
      <alignment vertical="center"/>
    </xf>
    <xf numFmtId="1" fontId="52" fillId="55" borderId="36" xfId="0" applyNumberFormat="1" applyFont="1" applyFill="1" applyBorder="1" applyAlignment="1">
      <alignment horizontal="right"/>
    </xf>
    <xf numFmtId="4" fontId="52" fillId="55" borderId="25" xfId="0" applyNumberFormat="1" applyFont="1" applyFill="1" applyBorder="1" applyAlignment="1">
      <alignment/>
    </xf>
    <xf numFmtId="4" fontId="54" fillId="55" borderId="22" xfId="0" applyNumberFormat="1" applyFont="1" applyFill="1" applyBorder="1" applyAlignment="1">
      <alignment horizontal="center"/>
    </xf>
    <xf numFmtId="4" fontId="53" fillId="55" borderId="24" xfId="0" applyNumberFormat="1" applyFont="1" applyFill="1" applyBorder="1" applyAlignment="1">
      <alignment vertical="center"/>
    </xf>
    <xf numFmtId="4" fontId="52" fillId="55" borderId="21" xfId="0" applyNumberFormat="1" applyFont="1" applyFill="1" applyBorder="1" applyAlignment="1">
      <alignment/>
    </xf>
    <xf numFmtId="4" fontId="52" fillId="55" borderId="0" xfId="0" applyNumberFormat="1" applyFont="1" applyFill="1" applyBorder="1" applyAlignment="1">
      <alignment/>
    </xf>
    <xf numFmtId="4" fontId="54" fillId="55" borderId="39" xfId="0" applyNumberFormat="1" applyFont="1" applyFill="1" applyBorder="1" applyAlignment="1">
      <alignment horizontal="center"/>
    </xf>
    <xf numFmtId="0" fontId="7" fillId="55" borderId="31" xfId="0" applyFont="1" applyFill="1" applyBorder="1" applyAlignment="1">
      <alignment/>
    </xf>
    <xf numFmtId="0" fontId="7" fillId="55" borderId="31" xfId="0" applyFont="1" applyFill="1" applyBorder="1" applyAlignment="1">
      <alignment horizontal="left"/>
    </xf>
    <xf numFmtId="4" fontId="52" fillId="55" borderId="31" xfId="0" applyNumberFormat="1" applyFont="1" applyFill="1" applyBorder="1" applyAlignment="1">
      <alignment vertical="center" shrinkToFit="1"/>
    </xf>
    <xf numFmtId="4" fontId="5" fillId="55" borderId="35" xfId="0" applyNumberFormat="1" applyFont="1" applyFill="1" applyBorder="1" applyAlignment="1">
      <alignment/>
    </xf>
    <xf numFmtId="1" fontId="52" fillId="55" borderId="19" xfId="0" applyNumberFormat="1" applyFont="1" applyFill="1" applyBorder="1" applyAlignment="1">
      <alignment/>
    </xf>
    <xf numFmtId="1" fontId="52" fillId="55" borderId="20" xfId="0" applyNumberFormat="1" applyFont="1" applyFill="1" applyBorder="1" applyAlignment="1">
      <alignment horizontal="right"/>
    </xf>
    <xf numFmtId="1" fontId="6" fillId="55" borderId="40" xfId="0" applyNumberFormat="1" applyFont="1" applyFill="1" applyBorder="1" applyAlignment="1">
      <alignment horizontal="center"/>
    </xf>
    <xf numFmtId="1" fontId="6" fillId="55" borderId="41" xfId="0" applyNumberFormat="1" applyFont="1" applyFill="1" applyBorder="1" applyAlignment="1">
      <alignment horizontal="center"/>
    </xf>
    <xf numFmtId="1" fontId="6" fillId="55" borderId="20" xfId="0" applyNumberFormat="1" applyFont="1" applyFill="1" applyBorder="1" applyAlignment="1">
      <alignment horizontal="right"/>
    </xf>
    <xf numFmtId="14" fontId="5" fillId="55" borderId="36" xfId="0" applyNumberFormat="1" applyFont="1" applyFill="1" applyBorder="1" applyAlignment="1">
      <alignment horizontal="right"/>
    </xf>
    <xf numFmtId="4" fontId="5" fillId="55" borderId="36" xfId="0" applyNumberFormat="1" applyFont="1" applyFill="1" applyBorder="1" applyAlignment="1">
      <alignment vertical="center"/>
    </xf>
    <xf numFmtId="1" fontId="5" fillId="55" borderId="36" xfId="0" applyNumberFormat="1" applyFont="1" applyFill="1" applyBorder="1" applyAlignment="1">
      <alignment/>
    </xf>
    <xf numFmtId="1" fontId="5" fillId="55" borderId="39" xfId="0" applyNumberFormat="1" applyFont="1" applyFill="1" applyBorder="1" applyAlignment="1">
      <alignment horizontal="right"/>
    </xf>
    <xf numFmtId="4" fontId="52" fillId="55" borderId="35" xfId="0" applyNumberFormat="1" applyFont="1" applyFill="1" applyBorder="1" applyAlignment="1">
      <alignment vertical="center"/>
    </xf>
    <xf numFmtId="0" fontId="7" fillId="55" borderId="35" xfId="0" applyFont="1" applyFill="1" applyBorder="1" applyAlignment="1">
      <alignment/>
    </xf>
    <xf numFmtId="4" fontId="8" fillId="55" borderId="19" xfId="0" applyNumberFormat="1" applyFont="1" applyFill="1" applyBorder="1" applyAlignment="1">
      <alignment/>
    </xf>
    <xf numFmtId="4" fontId="4" fillId="55" borderId="35" xfId="0" applyNumberFormat="1" applyFont="1" applyFill="1" applyBorder="1" applyAlignment="1">
      <alignment vertical="center"/>
    </xf>
    <xf numFmtId="0" fontId="55" fillId="55" borderId="31" xfId="0" applyFont="1" applyFill="1" applyBorder="1" applyAlignment="1">
      <alignment/>
    </xf>
    <xf numFmtId="169" fontId="28" fillId="56" borderId="0" xfId="0" applyNumberFormat="1" applyFont="1" applyFill="1" applyAlignment="1">
      <alignment/>
    </xf>
    <xf numFmtId="0" fontId="0" fillId="55" borderId="0" xfId="0" applyFill="1" applyAlignment="1">
      <alignment/>
    </xf>
    <xf numFmtId="4" fontId="5" fillId="55" borderId="0" xfId="0" applyNumberFormat="1" applyFont="1" applyFill="1" applyAlignment="1">
      <alignment/>
    </xf>
    <xf numFmtId="169" fontId="5" fillId="55" borderId="0" xfId="0" applyNumberFormat="1" applyFont="1" applyFill="1" applyAlignment="1">
      <alignment/>
    </xf>
    <xf numFmtId="4" fontId="5" fillId="55" borderId="42" xfId="0" applyNumberFormat="1" applyFont="1" applyFill="1" applyBorder="1" applyAlignment="1">
      <alignment vertical="center"/>
    </xf>
    <xf numFmtId="1" fontId="6" fillId="55" borderId="28" xfId="0" applyNumberFormat="1" applyFont="1" applyFill="1" applyBorder="1" applyAlignment="1">
      <alignment horizontal="right"/>
    </xf>
    <xf numFmtId="1" fontId="5" fillId="55" borderId="43" xfId="0" applyNumberFormat="1" applyFont="1" applyFill="1" applyBorder="1" applyAlignment="1">
      <alignment horizontal="right"/>
    </xf>
    <xf numFmtId="1" fontId="5" fillId="55" borderId="43" xfId="0" applyNumberFormat="1" applyFont="1" applyFill="1" applyBorder="1" applyAlignment="1">
      <alignment horizontal="right" vertical="center"/>
    </xf>
    <xf numFmtId="4" fontId="52" fillId="55" borderId="42" xfId="0" applyNumberFormat="1" applyFont="1" applyFill="1" applyBorder="1" applyAlignment="1">
      <alignment vertical="center"/>
    </xf>
    <xf numFmtId="4" fontId="52" fillId="55" borderId="44" xfId="0" applyNumberFormat="1" applyFont="1" applyFill="1" applyBorder="1" applyAlignment="1">
      <alignment/>
    </xf>
    <xf numFmtId="4" fontId="52" fillId="55" borderId="36" xfId="0" applyNumberFormat="1" applyFont="1" applyFill="1" applyBorder="1" applyAlignment="1">
      <alignment vertical="center"/>
    </xf>
    <xf numFmtId="4" fontId="52" fillId="55" borderId="0" xfId="0" applyNumberFormat="1" applyFont="1" applyFill="1" applyBorder="1" applyAlignment="1">
      <alignment vertical="center"/>
    </xf>
    <xf numFmtId="4" fontId="52" fillId="55" borderId="45" xfId="0" applyNumberFormat="1" applyFont="1" applyFill="1" applyBorder="1" applyAlignment="1">
      <alignment/>
    </xf>
    <xf numFmtId="4" fontId="27" fillId="55" borderId="0" xfId="0" applyNumberFormat="1" applyFont="1" applyFill="1" applyBorder="1" applyAlignment="1">
      <alignment horizontal="center"/>
    </xf>
    <xf numFmtId="1" fontId="6" fillId="55" borderId="46" xfId="0" applyNumberFormat="1" applyFont="1" applyFill="1" applyBorder="1" applyAlignment="1">
      <alignment horizontal="center"/>
    </xf>
    <xf numFmtId="1" fontId="6" fillId="55" borderId="47" xfId="0" applyNumberFormat="1" applyFont="1" applyFill="1" applyBorder="1" applyAlignment="1">
      <alignment horizontal="center"/>
    </xf>
    <xf numFmtId="4" fontId="27" fillId="55" borderId="0" xfId="0" applyNumberFormat="1" applyFont="1" applyFill="1" applyBorder="1" applyAlignment="1">
      <alignment horizontal="center"/>
    </xf>
  </cellXfs>
  <cellStyles count="575">
    <cellStyle name="Normal" xfId="0"/>
    <cellStyle name="20 % – Zvýraznění1" xfId="15"/>
    <cellStyle name="20 % – Zvýraznění1 10" xfId="16"/>
    <cellStyle name="20 % – Zvýraznění1 11" xfId="17"/>
    <cellStyle name="20 % – Zvýraznění1 12" xfId="18"/>
    <cellStyle name="20 % – Zvýraznění1 13" xfId="19"/>
    <cellStyle name="20 % – Zvýraznění1 2" xfId="20"/>
    <cellStyle name="20 % – Zvýraznění1 3" xfId="21"/>
    <cellStyle name="20 % – Zvýraznění1 4" xfId="22"/>
    <cellStyle name="20 % – Zvýraznění1 5" xfId="23"/>
    <cellStyle name="20 % – Zvýraznění1 6" xfId="24"/>
    <cellStyle name="20 % – Zvýraznění1 7" xfId="25"/>
    <cellStyle name="20 % – Zvýraznění1 8" xfId="26"/>
    <cellStyle name="20 % – Zvýraznění1 9" xfId="27"/>
    <cellStyle name="20 % – Zvýraznění2" xfId="28"/>
    <cellStyle name="20 % – Zvýraznění2 10" xfId="29"/>
    <cellStyle name="20 % – Zvýraznění2 11" xfId="30"/>
    <cellStyle name="20 % – Zvýraznění2 12" xfId="31"/>
    <cellStyle name="20 % – Zvýraznění2 13" xfId="32"/>
    <cellStyle name="20 % – Zvýraznění2 2" xfId="33"/>
    <cellStyle name="20 % – Zvýraznění2 3" xfId="34"/>
    <cellStyle name="20 % – Zvýraznění2 4" xfId="35"/>
    <cellStyle name="20 % – Zvýraznění2 5" xfId="36"/>
    <cellStyle name="20 % – Zvýraznění2 6" xfId="37"/>
    <cellStyle name="20 % – Zvýraznění2 7" xfId="38"/>
    <cellStyle name="20 % – Zvýraznění2 8" xfId="39"/>
    <cellStyle name="20 % – Zvýraznění2 9" xfId="40"/>
    <cellStyle name="20 % – Zvýraznění3" xfId="41"/>
    <cellStyle name="20 % – Zvýraznění3 10" xfId="42"/>
    <cellStyle name="20 % – Zvýraznění3 11" xfId="43"/>
    <cellStyle name="20 % – Zvýraznění3 12" xfId="44"/>
    <cellStyle name="20 % – Zvýraznění3 13" xfId="45"/>
    <cellStyle name="20 % – Zvýraznění3 2" xfId="46"/>
    <cellStyle name="20 % – Zvýraznění3 3" xfId="47"/>
    <cellStyle name="20 % – Zvýraznění3 4" xfId="48"/>
    <cellStyle name="20 % – Zvýraznění3 5" xfId="49"/>
    <cellStyle name="20 % – Zvýraznění3 6" xfId="50"/>
    <cellStyle name="20 % – Zvýraznění3 7" xfId="51"/>
    <cellStyle name="20 % – Zvýraznění3 8" xfId="52"/>
    <cellStyle name="20 % – Zvýraznění3 9" xfId="53"/>
    <cellStyle name="20 % – Zvýraznění4" xfId="54"/>
    <cellStyle name="20 % – Zvýraznění4 10" xfId="55"/>
    <cellStyle name="20 % – Zvýraznění4 11" xfId="56"/>
    <cellStyle name="20 % – Zvýraznění4 12" xfId="57"/>
    <cellStyle name="20 % – Zvýraznění4 13" xfId="58"/>
    <cellStyle name="20 % – Zvýraznění4 2" xfId="59"/>
    <cellStyle name="20 % – Zvýraznění4 3" xfId="60"/>
    <cellStyle name="20 % – Zvýraznění4 4" xfId="61"/>
    <cellStyle name="20 % – Zvýraznění4 5" xfId="62"/>
    <cellStyle name="20 % – Zvýraznění4 6" xfId="63"/>
    <cellStyle name="20 % – Zvýraznění4 7" xfId="64"/>
    <cellStyle name="20 % – Zvýraznění4 8" xfId="65"/>
    <cellStyle name="20 % – Zvýraznění4 9" xfId="66"/>
    <cellStyle name="20 % – Zvýraznění5" xfId="67"/>
    <cellStyle name="20 % – Zvýraznění5 10" xfId="68"/>
    <cellStyle name="20 % – Zvýraznění5 11" xfId="69"/>
    <cellStyle name="20 % – Zvýraznění5 12" xfId="70"/>
    <cellStyle name="20 % – Zvýraznění5 13" xfId="71"/>
    <cellStyle name="20 % – Zvýraznění5 2" xfId="72"/>
    <cellStyle name="20 % – Zvýraznění5 3" xfId="73"/>
    <cellStyle name="20 % – Zvýraznění5 4" xfId="74"/>
    <cellStyle name="20 % – Zvýraznění5 5" xfId="75"/>
    <cellStyle name="20 % – Zvýraznění5 6" xfId="76"/>
    <cellStyle name="20 % – Zvýraznění5 7" xfId="77"/>
    <cellStyle name="20 % – Zvýraznění5 8" xfId="78"/>
    <cellStyle name="20 % – Zvýraznění5 9" xfId="79"/>
    <cellStyle name="20 % – Zvýraznění6" xfId="80"/>
    <cellStyle name="20 % – Zvýraznění6 10" xfId="81"/>
    <cellStyle name="20 % – Zvýraznění6 11" xfId="82"/>
    <cellStyle name="20 % – Zvýraznění6 12" xfId="83"/>
    <cellStyle name="20 % – Zvýraznění6 13" xfId="84"/>
    <cellStyle name="20 % – Zvýraznění6 2" xfId="85"/>
    <cellStyle name="20 % – Zvýraznění6 3" xfId="86"/>
    <cellStyle name="20 % – Zvýraznění6 4" xfId="87"/>
    <cellStyle name="20 % – Zvýraznění6 5" xfId="88"/>
    <cellStyle name="20 % – Zvýraznění6 6" xfId="89"/>
    <cellStyle name="20 % – Zvýraznění6 7" xfId="90"/>
    <cellStyle name="20 % – Zvýraznění6 8" xfId="91"/>
    <cellStyle name="20 % – Zvýraznění6 9" xfId="92"/>
    <cellStyle name="40 % – Zvýraznění1" xfId="93"/>
    <cellStyle name="40 % – Zvýraznění1 10" xfId="94"/>
    <cellStyle name="40 % – Zvýraznění1 11" xfId="95"/>
    <cellStyle name="40 % – Zvýraznění1 12" xfId="96"/>
    <cellStyle name="40 % – Zvýraznění1 13" xfId="97"/>
    <cellStyle name="40 % – Zvýraznění1 2" xfId="98"/>
    <cellStyle name="40 % – Zvýraznění1 3" xfId="99"/>
    <cellStyle name="40 % – Zvýraznění1 4" xfId="100"/>
    <cellStyle name="40 % – Zvýraznění1 5" xfId="101"/>
    <cellStyle name="40 % – Zvýraznění1 6" xfId="102"/>
    <cellStyle name="40 % – Zvýraznění1 7" xfId="103"/>
    <cellStyle name="40 % – Zvýraznění1 8" xfId="104"/>
    <cellStyle name="40 % – Zvýraznění1 9" xfId="105"/>
    <cellStyle name="40 % – Zvýraznění2" xfId="106"/>
    <cellStyle name="40 % – Zvýraznění2 10" xfId="107"/>
    <cellStyle name="40 % – Zvýraznění2 11" xfId="108"/>
    <cellStyle name="40 % – Zvýraznění2 12" xfId="109"/>
    <cellStyle name="40 % – Zvýraznění2 13" xfId="110"/>
    <cellStyle name="40 % – Zvýraznění2 2" xfId="111"/>
    <cellStyle name="40 % – Zvýraznění2 3" xfId="112"/>
    <cellStyle name="40 % – Zvýraznění2 4" xfId="113"/>
    <cellStyle name="40 % – Zvýraznění2 5" xfId="114"/>
    <cellStyle name="40 % – Zvýraznění2 6" xfId="115"/>
    <cellStyle name="40 % – Zvýraznění2 7" xfId="116"/>
    <cellStyle name="40 % – Zvýraznění2 8" xfId="117"/>
    <cellStyle name="40 % – Zvýraznění2 9" xfId="118"/>
    <cellStyle name="40 % – Zvýraznění3" xfId="119"/>
    <cellStyle name="40 % – Zvýraznění3 10" xfId="120"/>
    <cellStyle name="40 % – Zvýraznění3 11" xfId="121"/>
    <cellStyle name="40 % – Zvýraznění3 12" xfId="122"/>
    <cellStyle name="40 % – Zvýraznění3 13" xfId="123"/>
    <cellStyle name="40 % – Zvýraznění3 2" xfId="124"/>
    <cellStyle name="40 % – Zvýraznění3 3" xfId="125"/>
    <cellStyle name="40 % – Zvýraznění3 4" xfId="126"/>
    <cellStyle name="40 % – Zvýraznění3 5" xfId="127"/>
    <cellStyle name="40 % – Zvýraznění3 6" xfId="128"/>
    <cellStyle name="40 % – Zvýraznění3 7" xfId="129"/>
    <cellStyle name="40 % – Zvýraznění3 8" xfId="130"/>
    <cellStyle name="40 % – Zvýraznění3 9" xfId="131"/>
    <cellStyle name="40 % – Zvýraznění4" xfId="132"/>
    <cellStyle name="40 % – Zvýraznění4 10" xfId="133"/>
    <cellStyle name="40 % – Zvýraznění4 11" xfId="134"/>
    <cellStyle name="40 % – Zvýraznění4 12" xfId="135"/>
    <cellStyle name="40 % – Zvýraznění4 13" xfId="136"/>
    <cellStyle name="40 % – Zvýraznění4 2" xfId="137"/>
    <cellStyle name="40 % – Zvýraznění4 3" xfId="138"/>
    <cellStyle name="40 % – Zvýraznění4 4" xfId="139"/>
    <cellStyle name="40 % – Zvýraznění4 5" xfId="140"/>
    <cellStyle name="40 % – Zvýraznění4 6" xfId="141"/>
    <cellStyle name="40 % – Zvýraznění4 7" xfId="142"/>
    <cellStyle name="40 % – Zvýraznění4 8" xfId="143"/>
    <cellStyle name="40 % – Zvýraznění4 9" xfId="144"/>
    <cellStyle name="40 % – Zvýraznění5" xfId="145"/>
    <cellStyle name="40 % – Zvýraznění5 10" xfId="146"/>
    <cellStyle name="40 % – Zvýraznění5 11" xfId="147"/>
    <cellStyle name="40 % – Zvýraznění5 12" xfId="148"/>
    <cellStyle name="40 % – Zvýraznění5 13" xfId="149"/>
    <cellStyle name="40 % – Zvýraznění5 2" xfId="150"/>
    <cellStyle name="40 % – Zvýraznění5 3" xfId="151"/>
    <cellStyle name="40 % – Zvýraznění5 4" xfId="152"/>
    <cellStyle name="40 % – Zvýraznění5 5" xfId="153"/>
    <cellStyle name="40 % – Zvýraznění5 6" xfId="154"/>
    <cellStyle name="40 % – Zvýraznění5 7" xfId="155"/>
    <cellStyle name="40 % – Zvýraznění5 8" xfId="156"/>
    <cellStyle name="40 % – Zvýraznění5 9" xfId="157"/>
    <cellStyle name="40 % – Zvýraznění6" xfId="158"/>
    <cellStyle name="40 % – Zvýraznění6 10" xfId="159"/>
    <cellStyle name="40 % – Zvýraznění6 11" xfId="160"/>
    <cellStyle name="40 % – Zvýraznění6 12" xfId="161"/>
    <cellStyle name="40 % – Zvýraznění6 13" xfId="162"/>
    <cellStyle name="40 % – Zvýraznění6 2" xfId="163"/>
    <cellStyle name="40 % – Zvýraznění6 3" xfId="164"/>
    <cellStyle name="40 % – Zvýraznění6 4" xfId="165"/>
    <cellStyle name="40 % – Zvýraznění6 5" xfId="166"/>
    <cellStyle name="40 % – Zvýraznění6 6" xfId="167"/>
    <cellStyle name="40 % – Zvýraznění6 7" xfId="168"/>
    <cellStyle name="40 % – Zvýraznění6 8" xfId="169"/>
    <cellStyle name="40 % – Zvýraznění6 9" xfId="170"/>
    <cellStyle name="60 % – Zvýraznění1" xfId="171"/>
    <cellStyle name="60 % – Zvýraznění1 10" xfId="172"/>
    <cellStyle name="60 % – Zvýraznění1 11" xfId="173"/>
    <cellStyle name="60 % – Zvýraznění1 12" xfId="174"/>
    <cellStyle name="60 % – Zvýraznění1 13" xfId="175"/>
    <cellStyle name="60 % – Zvýraznění1 2" xfId="176"/>
    <cellStyle name="60 % – Zvýraznění1 3" xfId="177"/>
    <cellStyle name="60 % – Zvýraznění1 4" xfId="178"/>
    <cellStyle name="60 % – Zvýraznění1 5" xfId="179"/>
    <cellStyle name="60 % – Zvýraznění1 6" xfId="180"/>
    <cellStyle name="60 % – Zvýraznění1 7" xfId="181"/>
    <cellStyle name="60 % – Zvýraznění1 8" xfId="182"/>
    <cellStyle name="60 % – Zvýraznění1 9" xfId="183"/>
    <cellStyle name="60 % – Zvýraznění2" xfId="184"/>
    <cellStyle name="60 % – Zvýraznění2 10" xfId="185"/>
    <cellStyle name="60 % – Zvýraznění2 11" xfId="186"/>
    <cellStyle name="60 % – Zvýraznění2 12" xfId="187"/>
    <cellStyle name="60 % – Zvýraznění2 13" xfId="188"/>
    <cellStyle name="60 % – Zvýraznění2 2" xfId="189"/>
    <cellStyle name="60 % – Zvýraznění2 3" xfId="190"/>
    <cellStyle name="60 % – Zvýraznění2 4" xfId="191"/>
    <cellStyle name="60 % – Zvýraznění2 5" xfId="192"/>
    <cellStyle name="60 % – Zvýraznění2 6" xfId="193"/>
    <cellStyle name="60 % – Zvýraznění2 7" xfId="194"/>
    <cellStyle name="60 % – Zvýraznění2 8" xfId="195"/>
    <cellStyle name="60 % – Zvýraznění2 9" xfId="196"/>
    <cellStyle name="60 % – Zvýraznění3" xfId="197"/>
    <cellStyle name="60 % – Zvýraznění3 10" xfId="198"/>
    <cellStyle name="60 % – Zvýraznění3 11" xfId="199"/>
    <cellStyle name="60 % – Zvýraznění3 12" xfId="200"/>
    <cellStyle name="60 % – Zvýraznění3 13" xfId="201"/>
    <cellStyle name="60 % – Zvýraznění3 2" xfId="202"/>
    <cellStyle name="60 % – Zvýraznění3 3" xfId="203"/>
    <cellStyle name="60 % – Zvýraznění3 4" xfId="204"/>
    <cellStyle name="60 % – Zvýraznění3 5" xfId="205"/>
    <cellStyle name="60 % – Zvýraznění3 6" xfId="206"/>
    <cellStyle name="60 % – Zvýraznění3 7" xfId="207"/>
    <cellStyle name="60 % – Zvýraznění3 8" xfId="208"/>
    <cellStyle name="60 % – Zvýraznění3 9" xfId="209"/>
    <cellStyle name="60 % – Zvýraznění4" xfId="210"/>
    <cellStyle name="60 % – Zvýraznění4 10" xfId="211"/>
    <cellStyle name="60 % – Zvýraznění4 11" xfId="212"/>
    <cellStyle name="60 % – Zvýraznění4 12" xfId="213"/>
    <cellStyle name="60 % – Zvýraznění4 13" xfId="214"/>
    <cellStyle name="60 % – Zvýraznění4 2" xfId="215"/>
    <cellStyle name="60 % – Zvýraznění4 3" xfId="216"/>
    <cellStyle name="60 % – Zvýraznění4 4" xfId="217"/>
    <cellStyle name="60 % – Zvýraznění4 5" xfId="218"/>
    <cellStyle name="60 % – Zvýraznění4 6" xfId="219"/>
    <cellStyle name="60 % – Zvýraznění4 7" xfId="220"/>
    <cellStyle name="60 % – Zvýraznění4 8" xfId="221"/>
    <cellStyle name="60 % – Zvýraznění4 9" xfId="222"/>
    <cellStyle name="60 % – Zvýraznění5" xfId="223"/>
    <cellStyle name="60 % – Zvýraznění5 10" xfId="224"/>
    <cellStyle name="60 % – Zvýraznění5 11" xfId="225"/>
    <cellStyle name="60 % – Zvýraznění5 12" xfId="226"/>
    <cellStyle name="60 % – Zvýraznění5 13" xfId="227"/>
    <cellStyle name="60 % – Zvýraznění5 2" xfId="228"/>
    <cellStyle name="60 % – Zvýraznění5 3" xfId="229"/>
    <cellStyle name="60 % – Zvýraznění5 4" xfId="230"/>
    <cellStyle name="60 % – Zvýraznění5 5" xfId="231"/>
    <cellStyle name="60 % – Zvýraznění5 6" xfId="232"/>
    <cellStyle name="60 % – Zvýraznění5 7" xfId="233"/>
    <cellStyle name="60 % – Zvýraznění5 8" xfId="234"/>
    <cellStyle name="60 % – Zvýraznění5 9" xfId="235"/>
    <cellStyle name="60 % – Zvýraznění6" xfId="236"/>
    <cellStyle name="60 % – Zvýraznění6 10" xfId="237"/>
    <cellStyle name="60 % – Zvýraznění6 11" xfId="238"/>
    <cellStyle name="60 % – Zvýraznění6 12" xfId="239"/>
    <cellStyle name="60 % – Zvýraznění6 13" xfId="240"/>
    <cellStyle name="60 % – Zvýraznění6 2" xfId="241"/>
    <cellStyle name="60 % – Zvýraznění6 3" xfId="242"/>
    <cellStyle name="60 % – Zvýraznění6 4" xfId="243"/>
    <cellStyle name="60 % – Zvýraznění6 5" xfId="244"/>
    <cellStyle name="60 % – Zvýraznění6 6" xfId="245"/>
    <cellStyle name="60 % – Zvýraznění6 7" xfId="246"/>
    <cellStyle name="60 % – Zvýraznění6 8" xfId="247"/>
    <cellStyle name="60 % – Zvýraznění6 9" xfId="248"/>
    <cellStyle name="Celkem" xfId="249"/>
    <cellStyle name="Celkem 10" xfId="250"/>
    <cellStyle name="Celkem 11" xfId="251"/>
    <cellStyle name="Celkem 12" xfId="252"/>
    <cellStyle name="Celkem 13" xfId="253"/>
    <cellStyle name="Celkem 2" xfId="254"/>
    <cellStyle name="Celkem 3" xfId="255"/>
    <cellStyle name="Celkem 4" xfId="256"/>
    <cellStyle name="Celkem 5" xfId="257"/>
    <cellStyle name="Celkem 6" xfId="258"/>
    <cellStyle name="Celkem 7" xfId="259"/>
    <cellStyle name="Celkem 8" xfId="260"/>
    <cellStyle name="Celkem 9" xfId="261"/>
    <cellStyle name="Comma" xfId="262"/>
    <cellStyle name="Comma [0]" xfId="263"/>
    <cellStyle name="Hyperlink" xfId="264"/>
    <cellStyle name="Hypertextový odkaz 2" xfId="265"/>
    <cellStyle name="Hypertextový odkaz 3" xfId="266"/>
    <cellStyle name="Chybně" xfId="267"/>
    <cellStyle name="Chybně 10" xfId="268"/>
    <cellStyle name="Chybně 11" xfId="269"/>
    <cellStyle name="Chybně 12" xfId="270"/>
    <cellStyle name="Chybně 13" xfId="271"/>
    <cellStyle name="Chybně 2" xfId="272"/>
    <cellStyle name="Chybně 3" xfId="273"/>
    <cellStyle name="Chybně 4" xfId="274"/>
    <cellStyle name="Chybně 5" xfId="275"/>
    <cellStyle name="Chybně 6" xfId="276"/>
    <cellStyle name="Chybně 7" xfId="277"/>
    <cellStyle name="Chybně 8" xfId="278"/>
    <cellStyle name="Chybně 9" xfId="279"/>
    <cellStyle name="Kontrolní buňka" xfId="280"/>
    <cellStyle name="Kontrolní buňka 10" xfId="281"/>
    <cellStyle name="Kontrolní buňka 11" xfId="282"/>
    <cellStyle name="Kontrolní buňka 12" xfId="283"/>
    <cellStyle name="Kontrolní buňka 13" xfId="284"/>
    <cellStyle name="Kontrolní buňka 2" xfId="285"/>
    <cellStyle name="Kontrolní buňka 3" xfId="286"/>
    <cellStyle name="Kontrolní buňka 4" xfId="287"/>
    <cellStyle name="Kontrolní buňka 5" xfId="288"/>
    <cellStyle name="Kontrolní buňka 6" xfId="289"/>
    <cellStyle name="Kontrolní buňka 7" xfId="290"/>
    <cellStyle name="Kontrolní buňka 8" xfId="291"/>
    <cellStyle name="Kontrolní buňka 9" xfId="292"/>
    <cellStyle name="Currency" xfId="293"/>
    <cellStyle name="měny 10" xfId="294"/>
    <cellStyle name="měny 11" xfId="295"/>
    <cellStyle name="měny 2 2" xfId="296"/>
    <cellStyle name="měny 3" xfId="297"/>
    <cellStyle name="Currency [0]" xfId="298"/>
    <cellStyle name="Nadpis 1" xfId="299"/>
    <cellStyle name="Nadpis 1 10" xfId="300"/>
    <cellStyle name="Nadpis 1 11" xfId="301"/>
    <cellStyle name="Nadpis 1 12" xfId="302"/>
    <cellStyle name="Nadpis 1 13" xfId="303"/>
    <cellStyle name="Nadpis 1 2" xfId="304"/>
    <cellStyle name="Nadpis 1 3" xfId="305"/>
    <cellStyle name="Nadpis 1 4" xfId="306"/>
    <cellStyle name="Nadpis 1 5" xfId="307"/>
    <cellStyle name="Nadpis 1 6" xfId="308"/>
    <cellStyle name="Nadpis 1 7" xfId="309"/>
    <cellStyle name="Nadpis 1 8" xfId="310"/>
    <cellStyle name="Nadpis 1 9" xfId="311"/>
    <cellStyle name="Nadpis 2" xfId="312"/>
    <cellStyle name="Nadpis 2 10" xfId="313"/>
    <cellStyle name="Nadpis 2 11" xfId="314"/>
    <cellStyle name="Nadpis 2 12" xfId="315"/>
    <cellStyle name="Nadpis 2 13" xfId="316"/>
    <cellStyle name="Nadpis 2 2" xfId="317"/>
    <cellStyle name="Nadpis 2 3" xfId="318"/>
    <cellStyle name="Nadpis 2 4" xfId="319"/>
    <cellStyle name="Nadpis 2 5" xfId="320"/>
    <cellStyle name="Nadpis 2 6" xfId="321"/>
    <cellStyle name="Nadpis 2 7" xfId="322"/>
    <cellStyle name="Nadpis 2 8" xfId="323"/>
    <cellStyle name="Nadpis 2 9" xfId="324"/>
    <cellStyle name="Nadpis 3" xfId="325"/>
    <cellStyle name="Nadpis 3 10" xfId="326"/>
    <cellStyle name="Nadpis 3 11" xfId="327"/>
    <cellStyle name="Nadpis 3 12" xfId="328"/>
    <cellStyle name="Nadpis 3 13" xfId="329"/>
    <cellStyle name="Nadpis 3 2" xfId="330"/>
    <cellStyle name="Nadpis 3 3" xfId="331"/>
    <cellStyle name="Nadpis 3 4" xfId="332"/>
    <cellStyle name="Nadpis 3 5" xfId="333"/>
    <cellStyle name="Nadpis 3 6" xfId="334"/>
    <cellStyle name="Nadpis 3 7" xfId="335"/>
    <cellStyle name="Nadpis 3 8" xfId="336"/>
    <cellStyle name="Nadpis 3 9" xfId="337"/>
    <cellStyle name="Nadpis 4" xfId="338"/>
    <cellStyle name="Nadpis 4 10" xfId="339"/>
    <cellStyle name="Nadpis 4 11" xfId="340"/>
    <cellStyle name="Nadpis 4 12" xfId="341"/>
    <cellStyle name="Nadpis 4 13" xfId="342"/>
    <cellStyle name="Nadpis 4 2" xfId="343"/>
    <cellStyle name="Nadpis 4 3" xfId="344"/>
    <cellStyle name="Nadpis 4 4" xfId="345"/>
    <cellStyle name="Nadpis 4 5" xfId="346"/>
    <cellStyle name="Nadpis 4 6" xfId="347"/>
    <cellStyle name="Nadpis 4 7" xfId="348"/>
    <cellStyle name="Nadpis 4 8" xfId="349"/>
    <cellStyle name="Nadpis 4 9" xfId="350"/>
    <cellStyle name="Název" xfId="351"/>
    <cellStyle name="Název 10" xfId="352"/>
    <cellStyle name="Název 11" xfId="353"/>
    <cellStyle name="Název 12" xfId="354"/>
    <cellStyle name="Název 13" xfId="355"/>
    <cellStyle name="Název 2" xfId="356"/>
    <cellStyle name="Název 3" xfId="357"/>
    <cellStyle name="Název 4" xfId="358"/>
    <cellStyle name="Název 5" xfId="359"/>
    <cellStyle name="Název 6" xfId="360"/>
    <cellStyle name="Název 7" xfId="361"/>
    <cellStyle name="Název 8" xfId="362"/>
    <cellStyle name="Název 9" xfId="363"/>
    <cellStyle name="Neutrální" xfId="364"/>
    <cellStyle name="Neutrální 10" xfId="365"/>
    <cellStyle name="Neutrální 11" xfId="366"/>
    <cellStyle name="Neutrální 12" xfId="367"/>
    <cellStyle name="Neutrální 13" xfId="368"/>
    <cellStyle name="Neutrální 2" xfId="369"/>
    <cellStyle name="Neutrální 3" xfId="370"/>
    <cellStyle name="Neutrální 4" xfId="371"/>
    <cellStyle name="Neutrální 5" xfId="372"/>
    <cellStyle name="Neutrální 6" xfId="373"/>
    <cellStyle name="Neutrální 7" xfId="374"/>
    <cellStyle name="Neutrální 8" xfId="375"/>
    <cellStyle name="Neutrální 9" xfId="376"/>
    <cellStyle name="normální 14" xfId="377"/>
    <cellStyle name="normální 15" xfId="378"/>
    <cellStyle name="normální 2 2" xfId="379"/>
    <cellStyle name="normální 2 3" xfId="380"/>
    <cellStyle name="normální 3 2" xfId="381"/>
    <cellStyle name="Poznámka" xfId="382"/>
    <cellStyle name="Poznámka 10" xfId="383"/>
    <cellStyle name="Poznámka 10 2" xfId="384"/>
    <cellStyle name="Poznámka 11" xfId="385"/>
    <cellStyle name="Poznámka 11 2" xfId="386"/>
    <cellStyle name="Poznámka 12" xfId="387"/>
    <cellStyle name="Poznámka 13" xfId="388"/>
    <cellStyle name="Poznámka 14" xfId="389"/>
    <cellStyle name="Poznámka 15" xfId="390"/>
    <cellStyle name="Poznámka 16" xfId="391"/>
    <cellStyle name="Poznámka 17" xfId="392"/>
    <cellStyle name="Poznámka 2" xfId="393"/>
    <cellStyle name="Poznámka 2 10" xfId="394"/>
    <cellStyle name="Poznámka 2 2" xfId="395"/>
    <cellStyle name="Poznámka 2 3" xfId="396"/>
    <cellStyle name="Poznámka 2 4" xfId="397"/>
    <cellStyle name="Poznámka 2 5" xfId="398"/>
    <cellStyle name="Poznámka 2 6" xfId="399"/>
    <cellStyle name="Poznámka 2 7" xfId="400"/>
    <cellStyle name="Poznámka 2 8" xfId="401"/>
    <cellStyle name="Poznámka 2 9" xfId="402"/>
    <cellStyle name="Poznámka 3" xfId="403"/>
    <cellStyle name="Poznámka 3 2" xfId="404"/>
    <cellStyle name="Poznámka 4" xfId="405"/>
    <cellStyle name="Poznámka 5" xfId="406"/>
    <cellStyle name="Poznámka 6" xfId="407"/>
    <cellStyle name="Poznámka 7" xfId="408"/>
    <cellStyle name="Poznámka 8" xfId="409"/>
    <cellStyle name="Poznámka 8 2" xfId="410"/>
    <cellStyle name="Poznámka 8 3" xfId="411"/>
    <cellStyle name="Poznámka 8 4" xfId="412"/>
    <cellStyle name="Poznámka 8 5" xfId="413"/>
    <cellStyle name="Poznámka 8 6" xfId="414"/>
    <cellStyle name="Poznámka 8 7" xfId="415"/>
    <cellStyle name="Poznámka 9" xfId="416"/>
    <cellStyle name="Poznámka 9 2" xfId="417"/>
    <cellStyle name="Percent" xfId="418"/>
    <cellStyle name="Propojená buňka" xfId="419"/>
    <cellStyle name="Propojená buňka 10" xfId="420"/>
    <cellStyle name="Propojená buňka 11" xfId="421"/>
    <cellStyle name="Propojená buňka 12" xfId="422"/>
    <cellStyle name="Propojená buňka 13" xfId="423"/>
    <cellStyle name="Propojená buňka 2" xfId="424"/>
    <cellStyle name="Propojená buňka 3" xfId="425"/>
    <cellStyle name="Propojená buňka 4" xfId="426"/>
    <cellStyle name="Propojená buňka 5" xfId="427"/>
    <cellStyle name="Propojená buňka 6" xfId="428"/>
    <cellStyle name="Propojená buňka 7" xfId="429"/>
    <cellStyle name="Propojená buňka 8" xfId="430"/>
    <cellStyle name="Propojená buňka 9" xfId="431"/>
    <cellStyle name="Followed Hyperlink" xfId="432"/>
    <cellStyle name="Správně" xfId="433"/>
    <cellStyle name="Správně 10" xfId="434"/>
    <cellStyle name="Správně 11" xfId="435"/>
    <cellStyle name="Správně 12" xfId="436"/>
    <cellStyle name="Správně 13" xfId="437"/>
    <cellStyle name="Správně 2" xfId="438"/>
    <cellStyle name="Správně 3" xfId="439"/>
    <cellStyle name="Správně 4" xfId="440"/>
    <cellStyle name="Správně 5" xfId="441"/>
    <cellStyle name="Správně 6" xfId="442"/>
    <cellStyle name="Správně 7" xfId="443"/>
    <cellStyle name="Správně 8" xfId="444"/>
    <cellStyle name="Správně 9" xfId="445"/>
    <cellStyle name="Text upozornění" xfId="446"/>
    <cellStyle name="Text upozornění 10" xfId="447"/>
    <cellStyle name="Text upozornění 11" xfId="448"/>
    <cellStyle name="Text upozornění 12" xfId="449"/>
    <cellStyle name="Text upozornění 13" xfId="450"/>
    <cellStyle name="Text upozornění 2" xfId="451"/>
    <cellStyle name="Text upozornění 3" xfId="452"/>
    <cellStyle name="Text upozornění 4" xfId="453"/>
    <cellStyle name="Text upozornění 5" xfId="454"/>
    <cellStyle name="Text upozornění 6" xfId="455"/>
    <cellStyle name="Text upozornění 7" xfId="456"/>
    <cellStyle name="Text upozornění 8" xfId="457"/>
    <cellStyle name="Text upozornění 9" xfId="458"/>
    <cellStyle name="Vstup" xfId="459"/>
    <cellStyle name="Vstup 10" xfId="460"/>
    <cellStyle name="Vstup 11" xfId="461"/>
    <cellStyle name="Vstup 12" xfId="462"/>
    <cellStyle name="Vstup 13" xfId="463"/>
    <cellStyle name="Vstup 2" xfId="464"/>
    <cellStyle name="Vstup 3" xfId="465"/>
    <cellStyle name="Vstup 4" xfId="466"/>
    <cellStyle name="Vstup 5" xfId="467"/>
    <cellStyle name="Vstup 6" xfId="468"/>
    <cellStyle name="Vstup 7" xfId="469"/>
    <cellStyle name="Vstup 8" xfId="470"/>
    <cellStyle name="Vstup 9" xfId="471"/>
    <cellStyle name="Výpočet" xfId="472"/>
    <cellStyle name="Výpočet 10" xfId="473"/>
    <cellStyle name="Výpočet 11" xfId="474"/>
    <cellStyle name="Výpočet 12" xfId="475"/>
    <cellStyle name="Výpočet 13" xfId="476"/>
    <cellStyle name="Výpočet 2" xfId="477"/>
    <cellStyle name="Výpočet 3" xfId="478"/>
    <cellStyle name="Výpočet 4" xfId="479"/>
    <cellStyle name="Výpočet 5" xfId="480"/>
    <cellStyle name="Výpočet 6" xfId="481"/>
    <cellStyle name="Výpočet 7" xfId="482"/>
    <cellStyle name="Výpočet 8" xfId="483"/>
    <cellStyle name="Výpočet 9" xfId="484"/>
    <cellStyle name="Výstup" xfId="485"/>
    <cellStyle name="Výstup 10" xfId="486"/>
    <cellStyle name="Výstup 11" xfId="487"/>
    <cellStyle name="Výstup 12" xfId="488"/>
    <cellStyle name="Výstup 13" xfId="489"/>
    <cellStyle name="Výstup 2" xfId="490"/>
    <cellStyle name="Výstup 3" xfId="491"/>
    <cellStyle name="Výstup 4" xfId="492"/>
    <cellStyle name="Výstup 5" xfId="493"/>
    <cellStyle name="Výstup 6" xfId="494"/>
    <cellStyle name="Výstup 7" xfId="495"/>
    <cellStyle name="Výstup 8" xfId="496"/>
    <cellStyle name="Výstup 9" xfId="497"/>
    <cellStyle name="Vysvětlující text" xfId="498"/>
    <cellStyle name="Vysvětlující text 10" xfId="499"/>
    <cellStyle name="Vysvětlující text 11" xfId="500"/>
    <cellStyle name="Vysvětlující text 12" xfId="501"/>
    <cellStyle name="Vysvětlující text 13" xfId="502"/>
    <cellStyle name="Vysvětlující text 2" xfId="503"/>
    <cellStyle name="Vysvětlující text 3" xfId="504"/>
    <cellStyle name="Vysvětlující text 4" xfId="505"/>
    <cellStyle name="Vysvětlující text 5" xfId="506"/>
    <cellStyle name="Vysvětlující text 6" xfId="507"/>
    <cellStyle name="Vysvětlující text 7" xfId="508"/>
    <cellStyle name="Vysvětlující text 8" xfId="509"/>
    <cellStyle name="Vysvětlující text 9" xfId="510"/>
    <cellStyle name="Zvýraznění 1" xfId="511"/>
    <cellStyle name="Zvýraznění 1 10" xfId="512"/>
    <cellStyle name="Zvýraznění 1 11" xfId="513"/>
    <cellStyle name="Zvýraznění 1 12" xfId="514"/>
    <cellStyle name="Zvýraznění 1 13" xfId="515"/>
    <cellStyle name="Zvýraznění 1 2" xfId="516"/>
    <cellStyle name="Zvýraznění 1 3" xfId="517"/>
    <cellStyle name="Zvýraznění 1 4" xfId="518"/>
    <cellStyle name="Zvýraznění 1 5" xfId="519"/>
    <cellStyle name="Zvýraznění 1 6" xfId="520"/>
    <cellStyle name="Zvýraznění 1 7" xfId="521"/>
    <cellStyle name="Zvýraznění 1 8" xfId="522"/>
    <cellStyle name="Zvýraznění 1 9" xfId="523"/>
    <cellStyle name="Zvýraznění 2" xfId="524"/>
    <cellStyle name="Zvýraznění 2 10" xfId="525"/>
    <cellStyle name="Zvýraznění 2 11" xfId="526"/>
    <cellStyle name="Zvýraznění 2 12" xfId="527"/>
    <cellStyle name="Zvýraznění 2 13" xfId="528"/>
    <cellStyle name="Zvýraznění 2 2" xfId="529"/>
    <cellStyle name="Zvýraznění 2 3" xfId="530"/>
    <cellStyle name="Zvýraznění 2 4" xfId="531"/>
    <cellStyle name="Zvýraznění 2 5" xfId="532"/>
    <cellStyle name="Zvýraznění 2 6" xfId="533"/>
    <cellStyle name="Zvýraznění 2 7" xfId="534"/>
    <cellStyle name="Zvýraznění 2 8" xfId="535"/>
    <cellStyle name="Zvýraznění 2 9" xfId="536"/>
    <cellStyle name="Zvýraznění 3" xfId="537"/>
    <cellStyle name="Zvýraznění 3 10" xfId="538"/>
    <cellStyle name="Zvýraznění 3 11" xfId="539"/>
    <cellStyle name="Zvýraznění 3 12" xfId="540"/>
    <cellStyle name="Zvýraznění 3 13" xfId="541"/>
    <cellStyle name="Zvýraznění 3 2" xfId="542"/>
    <cellStyle name="Zvýraznění 3 3" xfId="543"/>
    <cellStyle name="Zvýraznění 3 4" xfId="544"/>
    <cellStyle name="Zvýraznění 3 5" xfId="545"/>
    <cellStyle name="Zvýraznění 3 6" xfId="546"/>
    <cellStyle name="Zvýraznění 3 7" xfId="547"/>
    <cellStyle name="Zvýraznění 3 8" xfId="548"/>
    <cellStyle name="Zvýraznění 3 9" xfId="549"/>
    <cellStyle name="Zvýraznění 4" xfId="550"/>
    <cellStyle name="Zvýraznění 4 10" xfId="551"/>
    <cellStyle name="Zvýraznění 4 11" xfId="552"/>
    <cellStyle name="Zvýraznění 4 12" xfId="553"/>
    <cellStyle name="Zvýraznění 4 13" xfId="554"/>
    <cellStyle name="Zvýraznění 4 2" xfId="555"/>
    <cellStyle name="Zvýraznění 4 3" xfId="556"/>
    <cellStyle name="Zvýraznění 4 4" xfId="557"/>
    <cellStyle name="Zvýraznění 4 5" xfId="558"/>
    <cellStyle name="Zvýraznění 4 6" xfId="559"/>
    <cellStyle name="Zvýraznění 4 7" xfId="560"/>
    <cellStyle name="Zvýraznění 4 8" xfId="561"/>
    <cellStyle name="Zvýraznění 4 9" xfId="562"/>
    <cellStyle name="Zvýraznění 5" xfId="563"/>
    <cellStyle name="Zvýraznění 5 10" xfId="564"/>
    <cellStyle name="Zvýraznění 5 11" xfId="565"/>
    <cellStyle name="Zvýraznění 5 12" xfId="566"/>
    <cellStyle name="Zvýraznění 5 13" xfId="567"/>
    <cellStyle name="Zvýraznění 5 2" xfId="568"/>
    <cellStyle name="Zvýraznění 5 3" xfId="569"/>
    <cellStyle name="Zvýraznění 5 4" xfId="570"/>
    <cellStyle name="Zvýraznění 5 5" xfId="571"/>
    <cellStyle name="Zvýraznění 5 6" xfId="572"/>
    <cellStyle name="Zvýraznění 5 7" xfId="573"/>
    <cellStyle name="Zvýraznění 5 8" xfId="574"/>
    <cellStyle name="Zvýraznění 5 9" xfId="575"/>
    <cellStyle name="Zvýraznění 6" xfId="576"/>
    <cellStyle name="Zvýraznění 6 10" xfId="577"/>
    <cellStyle name="Zvýraznění 6 11" xfId="578"/>
    <cellStyle name="Zvýraznění 6 12" xfId="579"/>
    <cellStyle name="Zvýraznění 6 13" xfId="580"/>
    <cellStyle name="Zvýraznění 6 2" xfId="581"/>
    <cellStyle name="Zvýraznění 6 3" xfId="582"/>
    <cellStyle name="Zvýraznění 6 4" xfId="583"/>
    <cellStyle name="Zvýraznění 6 5" xfId="584"/>
    <cellStyle name="Zvýraznění 6 6" xfId="585"/>
    <cellStyle name="Zvýraznění 6 7" xfId="586"/>
    <cellStyle name="Zvýraznění 6 8" xfId="587"/>
    <cellStyle name="Zvýraznění 6 9" xfId="588"/>
  </cellStyles>
  <dxfs count="8">
    <dxf>
      <fill>
        <patternFill>
          <bgColor theme="5" tint="0.5999600291252136"/>
        </patternFill>
      </fill>
    </dxf>
    <dxf>
      <fill>
        <patternFill patternType="solid">
          <fgColor theme="5" tint="0.5999900102615356"/>
          <bgColor theme="0" tint="-0.149959996342659"/>
        </patternFill>
      </fill>
    </dxf>
    <dxf>
      <font>
        <b/>
        <i val="0"/>
        <color theme="0"/>
      </font>
      <fill>
        <patternFill patternType="solid">
          <fgColor theme="5"/>
          <bgColor rgb="FFFF0000"/>
        </patternFill>
      </fill>
      <border>
        <bottom style="thick">
          <color theme="0"/>
        </bottom>
      </border>
    </dxf>
    <dxf>
      <font>
        <b val="0"/>
        <i val="0"/>
        <strike val="0"/>
        <color theme="1"/>
      </font>
      <fill>
        <patternFill patternType="solid">
          <fgColor theme="5" tint="0.7998300194740295"/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/>
    <dxf/>
    <dxf>
      <font>
        <b/>
        <i val="0"/>
        <color theme="0"/>
      </font>
      <border>
        <bottom style="thick">
          <color theme="0"/>
        </bottom>
      </border>
    </dxf>
    <dxf>
      <font>
        <b val="0"/>
        <i val="0"/>
        <strike val="0"/>
        <color theme="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1" defaultTableStyle="TableStyleMedium9" defaultPivotStyle="PivotStyleLight16">
    <tableStyle name="MMB" pivot="0" count="4">
      <tableStyleElement type="wholeTable" dxfId="7"/>
      <tableStyleElement type="headerRow" dxfId="6"/>
      <tableStyleElement type="firstRowStripe" dxfId="5"/>
      <tableStyleElement type="secondRow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6"/>
  <sheetViews>
    <sheetView tabSelected="1" zoomScale="85" zoomScaleNormal="85" zoomScalePageLayoutView="0" workbookViewId="0" topLeftCell="A406">
      <selection activeCell="B413" sqref="B413"/>
    </sheetView>
  </sheetViews>
  <sheetFormatPr defaultColWidth="9.00390625" defaultRowHeight="12.75"/>
  <cols>
    <col min="1" max="1" width="11.25390625" style="68" customWidth="1"/>
    <col min="2" max="2" width="85.375" style="28" customWidth="1"/>
    <col min="3" max="3" width="17.625" style="28" customWidth="1"/>
    <col min="4" max="4" width="17.125" style="77" customWidth="1"/>
    <col min="5" max="5" width="12.75390625" style="69" customWidth="1"/>
    <col min="6" max="6" width="11.625" style="69" customWidth="1"/>
    <col min="7" max="7" width="22.00390625" style="70" bestFit="1" customWidth="1"/>
    <col min="8" max="8" width="19.25390625" style="28" customWidth="1"/>
    <col min="9" max="16384" width="9.125" style="28" customWidth="1"/>
  </cols>
  <sheetData>
    <row r="1" spans="1:7" s="115" customFormat="1" ht="22.5">
      <c r="A1" s="129" t="s">
        <v>206</v>
      </c>
      <c r="B1" s="129"/>
      <c r="C1" s="129"/>
      <c r="D1" s="129"/>
      <c r="E1" s="129"/>
      <c r="F1" s="129"/>
      <c r="G1" s="116"/>
    </row>
    <row r="2" spans="1:7" s="115" customFormat="1" ht="24.75" customHeight="1">
      <c r="A2" s="129" t="s">
        <v>287</v>
      </c>
      <c r="B2" s="129"/>
      <c r="C2" s="129"/>
      <c r="D2" s="129"/>
      <c r="E2" s="129"/>
      <c r="F2" s="129"/>
      <c r="G2" s="116"/>
    </row>
    <row r="3" spans="1:7" s="115" customFormat="1" ht="24.75" customHeight="1" thickBot="1">
      <c r="A3" s="126"/>
      <c r="B3" s="126"/>
      <c r="C3" s="126"/>
      <c r="D3" s="126"/>
      <c r="E3" s="126"/>
      <c r="F3" s="116"/>
      <c r="G3" s="116"/>
    </row>
    <row r="4" spans="1:7" s="115" customFormat="1" ht="17.25" customHeight="1">
      <c r="A4" s="45"/>
      <c r="B4" s="13"/>
      <c r="C4" s="13"/>
      <c r="D4" s="90"/>
      <c r="E4" s="101"/>
      <c r="F4" s="127"/>
      <c r="G4" s="11"/>
    </row>
    <row r="5" spans="1:7" s="115" customFormat="1" ht="16.5" thickBot="1">
      <c r="A5" s="46" t="s">
        <v>5</v>
      </c>
      <c r="B5" s="15" t="s">
        <v>207</v>
      </c>
      <c r="C5" s="15" t="s">
        <v>6</v>
      </c>
      <c r="D5" s="85" t="s">
        <v>7</v>
      </c>
      <c r="E5" s="102" t="s">
        <v>8</v>
      </c>
      <c r="F5" s="128" t="s">
        <v>9</v>
      </c>
      <c r="G5" s="116"/>
    </row>
    <row r="6" spans="1:8" s="64" customFormat="1" ht="17.25" customHeight="1">
      <c r="A6" s="47"/>
      <c r="B6" s="42" t="s">
        <v>10</v>
      </c>
      <c r="C6" s="20">
        <f>+SUM(C7:C9)</f>
        <v>22144.17507</v>
      </c>
      <c r="D6" s="91">
        <f>+SUM(D7:D9)</f>
        <v>22144175.07</v>
      </c>
      <c r="E6" s="67"/>
      <c r="F6" s="103"/>
      <c r="G6" s="115"/>
      <c r="H6" s="115"/>
    </row>
    <row r="7" spans="1:6" s="115" customFormat="1" ht="17.25" customHeight="1">
      <c r="A7" s="47">
        <v>41281</v>
      </c>
      <c r="B7" s="51" t="s">
        <v>54</v>
      </c>
      <c r="C7" s="17">
        <v>11140.2</v>
      </c>
      <c r="D7" s="74">
        <v>11140200</v>
      </c>
      <c r="E7" s="38">
        <v>98008</v>
      </c>
      <c r="F7" s="38">
        <v>4111</v>
      </c>
    </row>
    <row r="8" spans="1:6" s="115" customFormat="1" ht="17.25" customHeight="1">
      <c r="A8" s="47">
        <v>41513</v>
      </c>
      <c r="B8" s="33" t="s">
        <v>181</v>
      </c>
      <c r="C8" s="17">
        <v>-258.02493</v>
      </c>
      <c r="D8" s="74">
        <v>-258024.93</v>
      </c>
      <c r="E8" s="38">
        <v>98008</v>
      </c>
      <c r="F8" s="38">
        <v>4111</v>
      </c>
    </row>
    <row r="9" spans="1:6" s="115" customFormat="1" ht="17.25" customHeight="1">
      <c r="A9" s="47">
        <v>41555</v>
      </c>
      <c r="B9" s="33" t="s">
        <v>201</v>
      </c>
      <c r="C9" s="17">
        <v>11262</v>
      </c>
      <c r="D9" s="74">
        <v>11262000</v>
      </c>
      <c r="E9" s="38">
        <v>98071</v>
      </c>
      <c r="F9" s="38">
        <v>4111</v>
      </c>
    </row>
    <row r="10" spans="1:6" s="115" customFormat="1" ht="17.25" customHeight="1">
      <c r="A10" s="47"/>
      <c r="B10" s="34"/>
      <c r="C10" s="17"/>
      <c r="D10" s="74"/>
      <c r="E10" s="38"/>
      <c r="F10" s="38"/>
    </row>
    <row r="11" spans="1:6" s="115" customFormat="1" ht="17.25" customHeight="1">
      <c r="A11" s="29"/>
      <c r="B11" s="42" t="s">
        <v>11</v>
      </c>
      <c r="C11" s="7">
        <f>+SUM(C12:C18)</f>
        <v>8946.228</v>
      </c>
      <c r="D11" s="83">
        <f>+SUM(D12:D18)</f>
        <v>8683200</v>
      </c>
      <c r="E11" s="31"/>
      <c r="F11" s="43"/>
    </row>
    <row r="12" spans="1:6" s="115" customFormat="1" ht="17.25" customHeight="1">
      <c r="A12" s="29"/>
      <c r="B12" s="51" t="s">
        <v>47</v>
      </c>
      <c r="C12" s="17">
        <v>458.039</v>
      </c>
      <c r="D12" s="74">
        <f>241041+216998</f>
        <v>458039</v>
      </c>
      <c r="E12" s="38">
        <v>92241</v>
      </c>
      <c r="F12" s="43">
        <v>4113</v>
      </c>
    </row>
    <row r="13" spans="1:6" s="115" customFormat="1" ht="17.25" customHeight="1">
      <c r="A13" s="29"/>
      <c r="B13" s="51" t="s">
        <v>13</v>
      </c>
      <c r="C13" s="17">
        <v>163</v>
      </c>
      <c r="D13" s="74">
        <f>55520+29618+55520+22158</f>
        <v>162816</v>
      </c>
      <c r="E13" s="38">
        <v>92241</v>
      </c>
      <c r="F13" s="43" t="s">
        <v>12</v>
      </c>
    </row>
    <row r="14" spans="1:6" s="115" customFormat="1" ht="17.25" customHeight="1">
      <c r="A14" s="29"/>
      <c r="B14" s="51" t="s">
        <v>50</v>
      </c>
      <c r="C14" s="17">
        <v>1471.25</v>
      </c>
      <c r="D14" s="74">
        <f>735625+202857+270835</f>
        <v>1209317</v>
      </c>
      <c r="E14" s="38">
        <v>92241</v>
      </c>
      <c r="F14" s="43">
        <v>4113</v>
      </c>
    </row>
    <row r="15" spans="1:6" s="115" customFormat="1" ht="17.25" customHeight="1">
      <c r="A15" s="29"/>
      <c r="B15" s="51" t="s">
        <v>14</v>
      </c>
      <c r="C15" s="17">
        <v>2024.302</v>
      </c>
      <c r="D15" s="74">
        <f>244606+509931+259136+109620+108171+23771+509931+48588+72882+72882+64784</f>
        <v>2024302</v>
      </c>
      <c r="E15" s="38">
        <v>92241</v>
      </c>
      <c r="F15" s="43" t="s">
        <v>12</v>
      </c>
    </row>
    <row r="16" spans="1:6" s="115" customFormat="1" ht="17.25" customHeight="1">
      <c r="A16" s="29"/>
      <c r="B16" s="51" t="s">
        <v>15</v>
      </c>
      <c r="C16" s="17">
        <v>1726</v>
      </c>
      <c r="D16" s="74">
        <f>345411+215860+310272+345411+215860+293189</f>
        <v>1726003</v>
      </c>
      <c r="E16" s="38">
        <v>92241</v>
      </c>
      <c r="F16" s="43" t="s">
        <v>12</v>
      </c>
    </row>
    <row r="17" spans="1:6" s="115" customFormat="1" ht="17.25" customHeight="1">
      <c r="A17" s="29"/>
      <c r="B17" s="51" t="s">
        <v>16</v>
      </c>
      <c r="C17" s="17">
        <v>2215</v>
      </c>
      <c r="D17" s="74">
        <f>1107043+328516+778527</f>
        <v>2214086</v>
      </c>
      <c r="E17" s="38">
        <v>92241</v>
      </c>
      <c r="F17" s="43" t="s">
        <v>12</v>
      </c>
    </row>
    <row r="18" spans="1:6" s="115" customFormat="1" ht="17.25" customHeight="1">
      <c r="A18" s="47"/>
      <c r="B18" s="51" t="s">
        <v>46</v>
      </c>
      <c r="C18" s="17">
        <v>888.637</v>
      </c>
      <c r="D18" s="74">
        <f>444323+444314</f>
        <v>888637</v>
      </c>
      <c r="E18" s="38">
        <v>92241</v>
      </c>
      <c r="F18" s="38">
        <v>4113</v>
      </c>
    </row>
    <row r="19" spans="1:6" s="115" customFormat="1" ht="17.25" customHeight="1">
      <c r="A19" s="47"/>
      <c r="B19" s="51"/>
      <c r="C19" s="17"/>
      <c r="D19" s="74"/>
      <c r="E19" s="38"/>
      <c r="F19" s="38"/>
    </row>
    <row r="20" spans="1:6" s="115" customFormat="1" ht="17.25" customHeight="1">
      <c r="A20" s="47"/>
      <c r="B20" s="42" t="s">
        <v>17</v>
      </c>
      <c r="C20" s="4">
        <f>+SUM(C21:C27)</f>
        <v>387.32710000000003</v>
      </c>
      <c r="D20" s="80">
        <f>+SUM(D21:D27)</f>
        <v>387327.1</v>
      </c>
      <c r="E20" s="38"/>
      <c r="F20" s="38"/>
    </row>
    <row r="21" spans="1:6" s="115" customFormat="1" ht="17.25" customHeight="1">
      <c r="A21" s="47">
        <v>41429</v>
      </c>
      <c r="B21" s="51" t="s">
        <v>120</v>
      </c>
      <c r="C21" s="17">
        <v>226.45116</v>
      </c>
      <c r="D21" s="74">
        <v>226451.16</v>
      </c>
      <c r="E21" s="38">
        <v>90001</v>
      </c>
      <c r="F21" s="38">
        <v>4113</v>
      </c>
    </row>
    <row r="22" spans="1:6" s="115" customFormat="1" ht="17.25" customHeight="1">
      <c r="A22" s="47">
        <v>41431</v>
      </c>
      <c r="B22" s="51" t="s">
        <v>121</v>
      </c>
      <c r="C22" s="17">
        <v>83.90414</v>
      </c>
      <c r="D22" s="74">
        <v>83904.14</v>
      </c>
      <c r="E22" s="38">
        <v>90001</v>
      </c>
      <c r="F22" s="38">
        <v>4113</v>
      </c>
    </row>
    <row r="23" spans="1:6" s="115" customFormat="1" ht="17.25" customHeight="1">
      <c r="A23" s="47">
        <v>41445</v>
      </c>
      <c r="B23" s="51" t="s">
        <v>139</v>
      </c>
      <c r="C23" s="17">
        <v>58.13688</v>
      </c>
      <c r="D23" s="74">
        <v>58136.88</v>
      </c>
      <c r="E23" s="38">
        <v>90001</v>
      </c>
      <c r="F23" s="38">
        <v>4113</v>
      </c>
    </row>
    <row r="24" spans="1:6" s="115" customFormat="1" ht="17.25" customHeight="1">
      <c r="A24" s="47"/>
      <c r="B24" s="51" t="s">
        <v>235</v>
      </c>
      <c r="C24" s="17">
        <v>5.62797</v>
      </c>
      <c r="D24" s="74">
        <f>5627.97</f>
        <v>5627.97</v>
      </c>
      <c r="E24" s="38">
        <v>90001</v>
      </c>
      <c r="F24" s="38">
        <v>4113</v>
      </c>
    </row>
    <row r="25" spans="1:6" s="115" customFormat="1" ht="17.25" customHeight="1">
      <c r="A25" s="47"/>
      <c r="B25" s="51" t="s">
        <v>285</v>
      </c>
      <c r="C25" s="17">
        <v>2.3757</v>
      </c>
      <c r="D25" s="74">
        <v>2375.7</v>
      </c>
      <c r="E25" s="38">
        <v>90001</v>
      </c>
      <c r="F25" s="38">
        <v>4113</v>
      </c>
    </row>
    <row r="26" spans="1:6" s="115" customFormat="1" ht="17.25" customHeight="1">
      <c r="A26" s="47"/>
      <c r="B26" s="51" t="s">
        <v>286</v>
      </c>
      <c r="C26" s="17">
        <v>2.1807</v>
      </c>
      <c r="D26" s="74">
        <v>2180.7</v>
      </c>
      <c r="E26" s="38">
        <v>90001</v>
      </c>
      <c r="F26" s="38">
        <v>4113</v>
      </c>
    </row>
    <row r="27" spans="1:6" s="115" customFormat="1" ht="17.25" customHeight="1">
      <c r="A27" s="47"/>
      <c r="B27" s="51" t="s">
        <v>244</v>
      </c>
      <c r="C27" s="17">
        <v>8.65055</v>
      </c>
      <c r="D27" s="74">
        <v>8650.55</v>
      </c>
      <c r="E27" s="38">
        <v>90001</v>
      </c>
      <c r="F27" s="38">
        <v>4113</v>
      </c>
    </row>
    <row r="28" spans="1:6" s="115" customFormat="1" ht="17.25" customHeight="1">
      <c r="A28" s="47"/>
      <c r="B28" s="51"/>
      <c r="C28" s="17"/>
      <c r="D28" s="74"/>
      <c r="E28" s="38"/>
      <c r="F28" s="38"/>
    </row>
    <row r="29" spans="1:6" s="115" customFormat="1" ht="17.25" customHeight="1">
      <c r="A29" s="47"/>
      <c r="B29" s="42" t="s">
        <v>165</v>
      </c>
      <c r="C29" s="4">
        <f>+C30+C31</f>
        <v>150.31058000000002</v>
      </c>
      <c r="D29" s="80">
        <f>+D30+D31</f>
        <v>150310.58</v>
      </c>
      <c r="E29" s="38"/>
      <c r="F29" s="38"/>
    </row>
    <row r="30" spans="1:6" s="115" customFormat="1" ht="17.25" customHeight="1">
      <c r="A30" s="47"/>
      <c r="B30" s="51" t="s">
        <v>18</v>
      </c>
      <c r="C30" s="17">
        <v>10.28384</v>
      </c>
      <c r="D30" s="74">
        <v>10283.84</v>
      </c>
      <c r="E30" s="38">
        <v>89450</v>
      </c>
      <c r="F30" s="38">
        <v>4113</v>
      </c>
    </row>
    <row r="31" spans="1:6" s="115" customFormat="1" ht="17.25" customHeight="1">
      <c r="A31" s="47"/>
      <c r="B31" s="51" t="s">
        <v>18</v>
      </c>
      <c r="C31" s="17">
        <f>71.12726+68.89948</f>
        <v>140.02674000000002</v>
      </c>
      <c r="D31" s="74">
        <f>71127.26+68899.48</f>
        <v>140026.74</v>
      </c>
      <c r="E31" s="38">
        <v>89023</v>
      </c>
      <c r="F31" s="38">
        <v>4113</v>
      </c>
    </row>
    <row r="32" spans="1:6" s="115" customFormat="1" ht="17.25" customHeight="1">
      <c r="A32" s="47"/>
      <c r="B32" s="95"/>
      <c r="C32" s="17"/>
      <c r="D32" s="74"/>
      <c r="E32" s="38"/>
      <c r="F32" s="38"/>
    </row>
    <row r="33" spans="1:8" s="64" customFormat="1" ht="17.25" customHeight="1">
      <c r="A33" s="47"/>
      <c r="B33" s="42" t="s">
        <v>19</v>
      </c>
      <c r="C33" s="42">
        <f>SUM(C34:C53)</f>
        <v>7788.305</v>
      </c>
      <c r="D33" s="80">
        <f>SUM(D34:D53)</f>
        <v>6972819</v>
      </c>
      <c r="E33" s="118"/>
      <c r="F33" s="67"/>
      <c r="G33" s="115"/>
      <c r="H33" s="115"/>
    </row>
    <row r="34" spans="1:8" s="64" customFormat="1" ht="17.25" customHeight="1">
      <c r="A34" s="47"/>
      <c r="B34" s="51" t="s">
        <v>48</v>
      </c>
      <c r="C34" s="121">
        <v>45</v>
      </c>
      <c r="D34" s="122">
        <v>52458</v>
      </c>
      <c r="E34" s="119" t="s">
        <v>20</v>
      </c>
      <c r="F34" s="43" t="s">
        <v>21</v>
      </c>
      <c r="G34" s="115"/>
      <c r="H34" s="115"/>
    </row>
    <row r="35" spans="1:8" s="64" customFormat="1" ht="17.25" customHeight="1">
      <c r="A35" s="47"/>
      <c r="B35" s="51" t="s">
        <v>22</v>
      </c>
      <c r="C35" s="121">
        <v>96</v>
      </c>
      <c r="D35" s="122">
        <f>48000+32000+16000</f>
        <v>96000</v>
      </c>
      <c r="E35" s="119">
        <v>13101</v>
      </c>
      <c r="F35" s="43">
        <v>4116</v>
      </c>
      <c r="G35" s="115"/>
      <c r="H35" s="115"/>
    </row>
    <row r="36" spans="1:8" s="64" customFormat="1" ht="17.25" customHeight="1">
      <c r="A36" s="47"/>
      <c r="B36" s="51" t="s">
        <v>3</v>
      </c>
      <c r="C36" s="121">
        <v>32</v>
      </c>
      <c r="D36" s="122">
        <f>16000+8000+8000</f>
        <v>32000</v>
      </c>
      <c r="E36" s="119">
        <v>13101</v>
      </c>
      <c r="F36" s="43">
        <v>4116</v>
      </c>
      <c r="G36" s="115"/>
      <c r="H36" s="115"/>
    </row>
    <row r="37" spans="1:8" s="64" customFormat="1" ht="17.25" customHeight="1">
      <c r="A37" s="47"/>
      <c r="B37" s="51" t="s">
        <v>49</v>
      </c>
      <c r="C37" s="121">
        <f>521+177</f>
        <v>698</v>
      </c>
      <c r="D37" s="122">
        <v>698297</v>
      </c>
      <c r="E37" s="119" t="s">
        <v>20</v>
      </c>
      <c r="F37" s="43" t="s">
        <v>21</v>
      </c>
      <c r="G37" s="115"/>
      <c r="H37" s="115"/>
    </row>
    <row r="38" spans="1:8" s="64" customFormat="1" ht="17.25" customHeight="1">
      <c r="A38" s="47"/>
      <c r="B38" s="51" t="s">
        <v>23</v>
      </c>
      <c r="C38" s="121">
        <v>338</v>
      </c>
      <c r="D38" s="122">
        <v>337088</v>
      </c>
      <c r="E38" s="119" t="s">
        <v>20</v>
      </c>
      <c r="F38" s="43" t="s">
        <v>21</v>
      </c>
      <c r="G38" s="115"/>
      <c r="H38" s="115"/>
    </row>
    <row r="39" spans="1:8" s="64" customFormat="1" ht="17.25" customHeight="1">
      <c r="A39" s="47"/>
      <c r="B39" s="51" t="s">
        <v>194</v>
      </c>
      <c r="C39" s="121">
        <v>75</v>
      </c>
      <c r="D39" s="122">
        <v>73454</v>
      </c>
      <c r="E39" s="119">
        <v>13234</v>
      </c>
      <c r="F39" s="43">
        <v>4116</v>
      </c>
      <c r="G39" s="115"/>
      <c r="H39" s="115"/>
    </row>
    <row r="40" spans="1:8" s="64" customFormat="1" ht="17.25" customHeight="1">
      <c r="A40" s="47"/>
      <c r="B40" s="51" t="s">
        <v>44</v>
      </c>
      <c r="C40" s="121">
        <v>110.835</v>
      </c>
      <c r="D40" s="122">
        <v>110836</v>
      </c>
      <c r="E40" s="119">
        <v>13234</v>
      </c>
      <c r="F40" s="43">
        <v>4116</v>
      </c>
      <c r="G40" s="115"/>
      <c r="H40" s="115"/>
    </row>
    <row r="41" spans="1:8" s="64" customFormat="1" ht="17.25" customHeight="1">
      <c r="A41" s="47"/>
      <c r="B41" s="51" t="s">
        <v>25</v>
      </c>
      <c r="C41" s="121">
        <v>177</v>
      </c>
      <c r="D41" s="122">
        <v>147441</v>
      </c>
      <c r="E41" s="119">
        <v>13234</v>
      </c>
      <c r="F41" s="43">
        <v>4116</v>
      </c>
      <c r="G41" s="115"/>
      <c r="H41" s="115"/>
    </row>
    <row r="42" spans="1:8" s="64" customFormat="1" ht="17.25" customHeight="1">
      <c r="A42" s="47"/>
      <c r="B42" s="51" t="s">
        <v>195</v>
      </c>
      <c r="C42" s="121">
        <f>154+22</f>
        <v>176</v>
      </c>
      <c r="D42" s="122">
        <v>132000</v>
      </c>
      <c r="E42" s="119">
        <v>13234</v>
      </c>
      <c r="F42" s="43">
        <v>4116</v>
      </c>
      <c r="G42" s="115"/>
      <c r="H42" s="115"/>
    </row>
    <row r="43" spans="1:8" s="64" customFormat="1" ht="17.25" customHeight="1">
      <c r="A43" s="47"/>
      <c r="B43" s="51" t="s">
        <v>284</v>
      </c>
      <c r="C43" s="121">
        <v>48</v>
      </c>
      <c r="D43" s="122">
        <v>16314</v>
      </c>
      <c r="E43" s="119">
        <v>13234</v>
      </c>
      <c r="F43" s="43">
        <v>4116</v>
      </c>
      <c r="G43" s="115"/>
      <c r="H43" s="115"/>
    </row>
    <row r="44" spans="1:8" s="64" customFormat="1" ht="17.25" customHeight="1">
      <c r="A44" s="47"/>
      <c r="B44" s="51" t="s">
        <v>196</v>
      </c>
      <c r="C44" s="121">
        <v>107.75</v>
      </c>
      <c r="D44" s="122">
        <v>107754</v>
      </c>
      <c r="E44" s="119">
        <v>13234</v>
      </c>
      <c r="F44" s="43">
        <v>4116</v>
      </c>
      <c r="G44" s="115"/>
      <c r="H44" s="115"/>
    </row>
    <row r="45" spans="1:8" s="64" customFormat="1" ht="17.25" customHeight="1">
      <c r="A45" s="47"/>
      <c r="B45" s="51" t="s">
        <v>29</v>
      </c>
      <c r="C45" s="121">
        <f>2387</f>
        <v>2387</v>
      </c>
      <c r="D45" s="122">
        <v>2538752</v>
      </c>
      <c r="E45" s="119">
        <v>13234</v>
      </c>
      <c r="F45" s="43">
        <v>4116</v>
      </c>
      <c r="G45" s="115"/>
      <c r="H45" s="115"/>
    </row>
    <row r="46" spans="1:8" s="64" customFormat="1" ht="17.25" customHeight="1">
      <c r="A46" s="47"/>
      <c r="B46" s="51" t="s">
        <v>70</v>
      </c>
      <c r="C46" s="121">
        <v>406</v>
      </c>
      <c r="D46" s="122">
        <v>188213</v>
      </c>
      <c r="E46" s="119">
        <v>13234</v>
      </c>
      <c r="F46" s="43">
        <v>4116</v>
      </c>
      <c r="G46" s="115"/>
      <c r="H46" s="115"/>
    </row>
    <row r="47" spans="1:8" s="64" customFormat="1" ht="17.25" customHeight="1">
      <c r="A47" s="47"/>
      <c r="B47" s="51" t="s">
        <v>51</v>
      </c>
      <c r="C47" s="121">
        <v>268.84</v>
      </c>
      <c r="D47" s="122">
        <v>171115</v>
      </c>
      <c r="E47" s="119">
        <v>13234</v>
      </c>
      <c r="F47" s="43">
        <v>4116</v>
      </c>
      <c r="G47" s="115"/>
      <c r="H47" s="115"/>
    </row>
    <row r="48" spans="1:8" s="64" customFormat="1" ht="17.25" customHeight="1">
      <c r="A48" s="47"/>
      <c r="B48" s="51" t="s">
        <v>26</v>
      </c>
      <c r="C48" s="121">
        <v>80.92</v>
      </c>
      <c r="D48" s="122">
        <v>80906</v>
      </c>
      <c r="E48" s="119">
        <v>13234</v>
      </c>
      <c r="F48" s="43">
        <v>4116</v>
      </c>
      <c r="G48" s="115"/>
      <c r="H48" s="115"/>
    </row>
    <row r="49" spans="1:6" s="115" customFormat="1" ht="17.25" customHeight="1">
      <c r="A49" s="29"/>
      <c r="B49" s="51" t="s">
        <v>28</v>
      </c>
      <c r="C49" s="121">
        <f>1991-177</f>
        <v>1814</v>
      </c>
      <c r="D49" s="122">
        <v>1321107</v>
      </c>
      <c r="E49" s="120">
        <v>13234</v>
      </c>
      <c r="F49" s="43">
        <v>4116</v>
      </c>
    </row>
    <row r="50" spans="1:6" s="115" customFormat="1" ht="17.25" customHeight="1">
      <c r="A50" s="29"/>
      <c r="B50" s="51" t="s">
        <v>27</v>
      </c>
      <c r="C50" s="121">
        <f>93.96</f>
        <v>93.96</v>
      </c>
      <c r="D50" s="122">
        <v>85115</v>
      </c>
      <c r="E50" s="120" t="s">
        <v>24</v>
      </c>
      <c r="F50" s="43" t="s">
        <v>21</v>
      </c>
    </row>
    <row r="51" spans="1:6" s="115" customFormat="1" ht="17.25" customHeight="1">
      <c r="A51" s="29"/>
      <c r="B51" s="51" t="s">
        <v>30</v>
      </c>
      <c r="C51" s="121">
        <v>327</v>
      </c>
      <c r="D51" s="122">
        <v>326916</v>
      </c>
      <c r="E51" s="120">
        <v>13234</v>
      </c>
      <c r="F51" s="66">
        <v>4116</v>
      </c>
    </row>
    <row r="52" spans="1:6" s="115" customFormat="1" ht="17.25" customHeight="1">
      <c r="A52" s="29"/>
      <c r="B52" s="51" t="s">
        <v>31</v>
      </c>
      <c r="C52" s="121">
        <v>113</v>
      </c>
      <c r="D52" s="122">
        <v>100487</v>
      </c>
      <c r="E52" s="120">
        <v>13234</v>
      </c>
      <c r="F52" s="66">
        <v>4116</v>
      </c>
    </row>
    <row r="53" spans="1:6" s="115" customFormat="1" ht="17.25" customHeight="1">
      <c r="A53" s="29"/>
      <c r="B53" s="51" t="s">
        <v>0</v>
      </c>
      <c r="C53" s="121">
        <v>394</v>
      </c>
      <c r="D53" s="122">
        <v>356566</v>
      </c>
      <c r="E53" s="120">
        <v>13234</v>
      </c>
      <c r="F53" s="66">
        <v>4116</v>
      </c>
    </row>
    <row r="54" spans="1:6" s="115" customFormat="1" ht="17.25" customHeight="1">
      <c r="A54" s="29"/>
      <c r="B54" s="33"/>
      <c r="C54" s="117"/>
      <c r="D54" s="74"/>
      <c r="E54" s="120"/>
      <c r="F54" s="66"/>
    </row>
    <row r="55" spans="1:6" s="115" customFormat="1" ht="17.25" customHeight="1">
      <c r="A55" s="29"/>
      <c r="B55" s="50" t="s">
        <v>32</v>
      </c>
      <c r="C55" s="18">
        <f>+SUM(C56:C88)</f>
        <v>16289</v>
      </c>
      <c r="D55" s="84">
        <f>+SUM(D56:D88)</f>
        <v>16289000</v>
      </c>
      <c r="E55" s="43"/>
      <c r="F55" s="66"/>
    </row>
    <row r="56" spans="1:6" s="115" customFormat="1" ht="17.25" customHeight="1">
      <c r="A56" s="29">
        <v>41389</v>
      </c>
      <c r="B56" s="33" t="s">
        <v>90</v>
      </c>
      <c r="C56" s="74">
        <v>250</v>
      </c>
      <c r="D56" s="74">
        <v>250000</v>
      </c>
      <c r="E56" s="65">
        <v>34070</v>
      </c>
      <c r="F56" s="66">
        <v>4116</v>
      </c>
    </row>
    <row r="57" spans="1:6" s="115" customFormat="1" ht="17.25" customHeight="1">
      <c r="A57" s="29">
        <v>41389</v>
      </c>
      <c r="B57" s="33" t="s">
        <v>91</v>
      </c>
      <c r="C57" s="74">
        <v>35</v>
      </c>
      <c r="D57" s="74">
        <v>35000</v>
      </c>
      <c r="E57" s="65">
        <v>34070</v>
      </c>
      <c r="F57" s="66">
        <v>4116</v>
      </c>
    </row>
    <row r="58" spans="1:6" s="115" customFormat="1" ht="17.25" customHeight="1">
      <c r="A58" s="29">
        <v>41389</v>
      </c>
      <c r="B58" s="33" t="s">
        <v>88</v>
      </c>
      <c r="C58" s="17">
        <v>280</v>
      </c>
      <c r="D58" s="74">
        <v>280000</v>
      </c>
      <c r="E58" s="65">
        <v>34070</v>
      </c>
      <c r="F58" s="66">
        <v>4116</v>
      </c>
    </row>
    <row r="59" spans="1:6" s="115" customFormat="1" ht="17.25" customHeight="1">
      <c r="A59" s="29">
        <v>41389</v>
      </c>
      <c r="B59" s="33" t="s">
        <v>89</v>
      </c>
      <c r="C59" s="17">
        <v>200</v>
      </c>
      <c r="D59" s="74">
        <v>200000</v>
      </c>
      <c r="E59" s="65">
        <v>34070</v>
      </c>
      <c r="F59" s="66">
        <v>4116</v>
      </c>
    </row>
    <row r="60" spans="1:8" ht="17.25" customHeight="1">
      <c r="A60" s="29">
        <v>41390</v>
      </c>
      <c r="B60" s="33" t="s">
        <v>282</v>
      </c>
      <c r="C60" s="17">
        <v>140</v>
      </c>
      <c r="D60" s="74">
        <v>140000</v>
      </c>
      <c r="E60" s="65">
        <v>34001</v>
      </c>
      <c r="F60" s="66">
        <v>4116</v>
      </c>
      <c r="G60" s="115"/>
      <c r="H60" s="115"/>
    </row>
    <row r="61" spans="1:8" s="77" customFormat="1" ht="17.25" customHeight="1">
      <c r="A61" s="73">
        <v>41404</v>
      </c>
      <c r="B61" s="87" t="s">
        <v>93</v>
      </c>
      <c r="C61" s="17">
        <v>500</v>
      </c>
      <c r="D61" s="74">
        <v>500000</v>
      </c>
      <c r="E61" s="75">
        <v>34070</v>
      </c>
      <c r="F61" s="88">
        <v>4116</v>
      </c>
      <c r="G61" s="115"/>
      <c r="H61" s="115"/>
    </row>
    <row r="62" spans="1:8" s="77" customFormat="1" ht="17.25" customHeight="1">
      <c r="A62" s="73">
        <v>41404</v>
      </c>
      <c r="B62" s="97" t="s">
        <v>155</v>
      </c>
      <c r="C62" s="17">
        <v>150</v>
      </c>
      <c r="D62" s="74">
        <v>150000</v>
      </c>
      <c r="E62" s="75">
        <v>34001</v>
      </c>
      <c r="F62" s="88">
        <v>4116</v>
      </c>
      <c r="G62" s="115"/>
      <c r="H62" s="115"/>
    </row>
    <row r="63" spans="1:8" s="77" customFormat="1" ht="17.25" customHeight="1">
      <c r="A63" s="73">
        <v>41421</v>
      </c>
      <c r="B63" s="87" t="s">
        <v>97</v>
      </c>
      <c r="C63" s="17">
        <v>40</v>
      </c>
      <c r="D63" s="74">
        <v>40000</v>
      </c>
      <c r="E63" s="75">
        <v>34194</v>
      </c>
      <c r="F63" s="88">
        <v>4116</v>
      </c>
      <c r="G63" s="115"/>
      <c r="H63" s="115"/>
    </row>
    <row r="64" spans="1:8" ht="17.25" customHeight="1">
      <c r="A64" s="73">
        <v>41429</v>
      </c>
      <c r="B64" s="87" t="s">
        <v>119</v>
      </c>
      <c r="C64" s="17">
        <v>50</v>
      </c>
      <c r="D64" s="74">
        <v>50000</v>
      </c>
      <c r="E64" s="75">
        <v>34070</v>
      </c>
      <c r="F64" s="88">
        <v>4116</v>
      </c>
      <c r="G64" s="115"/>
      <c r="H64" s="115"/>
    </row>
    <row r="65" spans="1:6" s="115" customFormat="1" ht="17.25" customHeight="1">
      <c r="A65" s="29">
        <v>41432</v>
      </c>
      <c r="B65" s="87" t="s">
        <v>125</v>
      </c>
      <c r="C65" s="17">
        <v>45</v>
      </c>
      <c r="D65" s="74">
        <v>45000</v>
      </c>
      <c r="E65" s="43">
        <v>34053</v>
      </c>
      <c r="F65" s="66">
        <v>4116</v>
      </c>
    </row>
    <row r="66" spans="1:6" s="115" customFormat="1" ht="17.25" customHeight="1">
      <c r="A66" s="29">
        <v>41432</v>
      </c>
      <c r="B66" s="87" t="s">
        <v>126</v>
      </c>
      <c r="C66" s="17">
        <v>45</v>
      </c>
      <c r="D66" s="74">
        <v>45000</v>
      </c>
      <c r="E66" s="43">
        <v>34053</v>
      </c>
      <c r="F66" s="66">
        <v>4116</v>
      </c>
    </row>
    <row r="67" spans="1:6" s="115" customFormat="1" ht="17.25" customHeight="1">
      <c r="A67" s="29">
        <v>41435</v>
      </c>
      <c r="B67" s="87" t="s">
        <v>127</v>
      </c>
      <c r="C67" s="17">
        <v>15</v>
      </c>
      <c r="D67" s="74">
        <v>15000</v>
      </c>
      <c r="E67" s="43">
        <v>34070</v>
      </c>
      <c r="F67" s="66">
        <v>4116</v>
      </c>
    </row>
    <row r="68" spans="1:6" s="115" customFormat="1" ht="17.25" customHeight="1">
      <c r="A68" s="29">
        <v>41449</v>
      </c>
      <c r="B68" s="87" t="s">
        <v>144</v>
      </c>
      <c r="C68" s="17">
        <v>780</v>
      </c>
      <c r="D68" s="74">
        <v>780000</v>
      </c>
      <c r="E68" s="43">
        <v>34352</v>
      </c>
      <c r="F68" s="66">
        <v>4116</v>
      </c>
    </row>
    <row r="69" spans="1:6" s="115" customFormat="1" ht="17.25" customHeight="1">
      <c r="A69" s="29">
        <v>41452</v>
      </c>
      <c r="B69" s="87" t="s">
        <v>141</v>
      </c>
      <c r="C69" s="17">
        <v>2000</v>
      </c>
      <c r="D69" s="74">
        <v>2000000</v>
      </c>
      <c r="E69" s="43">
        <v>34352</v>
      </c>
      <c r="F69" s="66">
        <v>4116</v>
      </c>
    </row>
    <row r="70" spans="1:6" s="115" customFormat="1" ht="17.25" customHeight="1">
      <c r="A70" s="29" t="s">
        <v>140</v>
      </c>
      <c r="B70" s="87" t="s">
        <v>142</v>
      </c>
      <c r="C70" s="17">
        <v>1000</v>
      </c>
      <c r="D70" s="74">
        <v>1000000</v>
      </c>
      <c r="E70" s="43">
        <v>34352</v>
      </c>
      <c r="F70" s="66">
        <v>4116</v>
      </c>
    </row>
    <row r="71" spans="1:6" s="115" customFormat="1" ht="17.25" customHeight="1">
      <c r="A71" s="29">
        <v>41452</v>
      </c>
      <c r="B71" s="87" t="s">
        <v>143</v>
      </c>
      <c r="C71" s="17">
        <v>1000</v>
      </c>
      <c r="D71" s="74">
        <v>1000000</v>
      </c>
      <c r="E71" s="43">
        <v>34352</v>
      </c>
      <c r="F71" s="66">
        <v>4116</v>
      </c>
    </row>
    <row r="72" spans="1:6" s="115" customFormat="1" ht="17.25" customHeight="1">
      <c r="A72" s="29">
        <v>41453</v>
      </c>
      <c r="B72" s="87" t="s">
        <v>154</v>
      </c>
      <c r="C72" s="17">
        <v>72</v>
      </c>
      <c r="D72" s="74">
        <v>72000</v>
      </c>
      <c r="E72" s="43">
        <v>34053</v>
      </c>
      <c r="F72" s="66">
        <v>4116</v>
      </c>
    </row>
    <row r="73" spans="1:6" s="115" customFormat="1" ht="17.25" customHeight="1">
      <c r="A73" s="29">
        <v>41459</v>
      </c>
      <c r="B73" s="108" t="s">
        <v>161</v>
      </c>
      <c r="C73" s="3">
        <v>520</v>
      </c>
      <c r="D73" s="82">
        <v>520000</v>
      </c>
      <c r="E73" s="43">
        <v>34352</v>
      </c>
      <c r="F73" s="43">
        <v>4116</v>
      </c>
    </row>
    <row r="74" spans="1:6" s="115" customFormat="1" ht="17.25" customHeight="1">
      <c r="A74" s="29">
        <v>41480</v>
      </c>
      <c r="B74" s="108" t="s">
        <v>168</v>
      </c>
      <c r="C74" s="3">
        <v>750</v>
      </c>
      <c r="D74" s="82">
        <v>750000</v>
      </c>
      <c r="E74" s="43">
        <v>34070</v>
      </c>
      <c r="F74" s="43">
        <v>4116</v>
      </c>
    </row>
    <row r="75" spans="1:6" s="115" customFormat="1" ht="17.25" customHeight="1">
      <c r="A75" s="29">
        <v>41498</v>
      </c>
      <c r="B75" s="87" t="s">
        <v>288</v>
      </c>
      <c r="C75" s="17">
        <v>1085</v>
      </c>
      <c r="D75" s="74">
        <v>1085000</v>
      </c>
      <c r="E75" s="43">
        <v>34054</v>
      </c>
      <c r="F75" s="66">
        <v>4116</v>
      </c>
    </row>
    <row r="76" spans="1:6" s="115" customFormat="1" ht="17.25" customHeight="1">
      <c r="A76" s="29">
        <v>41499</v>
      </c>
      <c r="B76" s="87" t="s">
        <v>141</v>
      </c>
      <c r="C76" s="17">
        <v>2990</v>
      </c>
      <c r="D76" s="74">
        <v>2990000</v>
      </c>
      <c r="E76" s="43">
        <v>34352</v>
      </c>
      <c r="F76" s="66">
        <v>4116</v>
      </c>
    </row>
    <row r="77" spans="1:6" s="115" customFormat="1" ht="17.25" customHeight="1">
      <c r="A77" s="29">
        <v>41499</v>
      </c>
      <c r="B77" s="87" t="s">
        <v>174</v>
      </c>
      <c r="C77" s="17">
        <v>790</v>
      </c>
      <c r="D77" s="74">
        <v>790000</v>
      </c>
      <c r="E77" s="43">
        <v>34352</v>
      </c>
      <c r="F77" s="66">
        <v>4116</v>
      </c>
    </row>
    <row r="78" spans="1:6" s="115" customFormat="1" ht="17.25" customHeight="1">
      <c r="A78" s="29">
        <v>41499</v>
      </c>
      <c r="B78" s="108" t="s">
        <v>143</v>
      </c>
      <c r="C78" s="3">
        <v>1020</v>
      </c>
      <c r="D78" s="82">
        <v>1020000</v>
      </c>
      <c r="E78" s="43">
        <v>34352</v>
      </c>
      <c r="F78" s="43">
        <v>4116</v>
      </c>
    </row>
    <row r="79" spans="1:6" s="115" customFormat="1" ht="17.25" customHeight="1">
      <c r="A79" s="29">
        <v>41519</v>
      </c>
      <c r="B79" s="108" t="s">
        <v>190</v>
      </c>
      <c r="C79" s="3">
        <v>50</v>
      </c>
      <c r="D79" s="82">
        <v>50000</v>
      </c>
      <c r="E79" s="43">
        <v>34070</v>
      </c>
      <c r="F79" s="43">
        <v>4116</v>
      </c>
    </row>
    <row r="80" spans="1:6" s="115" customFormat="1" ht="17.25" customHeight="1">
      <c r="A80" s="47">
        <v>41519</v>
      </c>
      <c r="B80" s="124" t="s">
        <v>289</v>
      </c>
      <c r="C80" s="17">
        <v>408</v>
      </c>
      <c r="D80" s="74">
        <v>408000</v>
      </c>
      <c r="E80" s="32">
        <v>34002</v>
      </c>
      <c r="F80" s="107">
        <v>4116</v>
      </c>
    </row>
    <row r="81" spans="1:6" s="115" customFormat="1" ht="17.25" customHeight="1">
      <c r="A81" s="29">
        <v>41521</v>
      </c>
      <c r="B81" s="87" t="s">
        <v>290</v>
      </c>
      <c r="C81" s="17">
        <v>979</v>
      </c>
      <c r="D81" s="74">
        <v>979000</v>
      </c>
      <c r="E81" s="43">
        <v>34002</v>
      </c>
      <c r="F81" s="66">
        <v>4116</v>
      </c>
    </row>
    <row r="82" spans="1:6" s="115" customFormat="1" ht="17.25" customHeight="1">
      <c r="A82" s="104">
        <v>41527</v>
      </c>
      <c r="B82" s="87" t="s">
        <v>184</v>
      </c>
      <c r="C82" s="17">
        <v>480</v>
      </c>
      <c r="D82" s="74">
        <v>480000</v>
      </c>
      <c r="E82" s="66">
        <v>34070</v>
      </c>
      <c r="F82" s="66">
        <v>4116</v>
      </c>
    </row>
    <row r="83" spans="1:6" s="115" customFormat="1" ht="17.25" customHeight="1">
      <c r="A83" s="104">
        <v>41583</v>
      </c>
      <c r="B83" s="87" t="s">
        <v>219</v>
      </c>
      <c r="C83" s="17">
        <v>250</v>
      </c>
      <c r="D83" s="74">
        <v>250000</v>
      </c>
      <c r="E83" s="66">
        <v>34070</v>
      </c>
      <c r="F83" s="66">
        <v>4116</v>
      </c>
    </row>
    <row r="84" spans="1:6" s="115" customFormat="1" ht="17.25" customHeight="1">
      <c r="A84" s="104">
        <v>41583</v>
      </c>
      <c r="B84" s="87" t="s">
        <v>220</v>
      </c>
      <c r="C84" s="17">
        <v>80</v>
      </c>
      <c r="D84" s="74">
        <v>80000</v>
      </c>
      <c r="E84" s="66">
        <v>34070</v>
      </c>
      <c r="F84" s="66">
        <v>4116</v>
      </c>
    </row>
    <row r="85" spans="1:6" s="115" customFormat="1" ht="17.25" customHeight="1">
      <c r="A85" s="104">
        <v>41583</v>
      </c>
      <c r="B85" s="87" t="s">
        <v>221</v>
      </c>
      <c r="C85" s="17">
        <v>60</v>
      </c>
      <c r="D85" s="74">
        <v>60000</v>
      </c>
      <c r="E85" s="66">
        <v>34070</v>
      </c>
      <c r="F85" s="66">
        <v>4116</v>
      </c>
    </row>
    <row r="86" spans="1:6" s="115" customFormat="1" ht="17.25" customHeight="1">
      <c r="A86" s="104">
        <v>41610</v>
      </c>
      <c r="B86" s="87" t="s">
        <v>283</v>
      </c>
      <c r="C86" s="17">
        <v>150</v>
      </c>
      <c r="D86" s="74">
        <v>150000</v>
      </c>
      <c r="E86" s="66">
        <v>34070</v>
      </c>
      <c r="F86" s="66">
        <v>4116</v>
      </c>
    </row>
    <row r="87" spans="1:6" s="115" customFormat="1" ht="17.25" customHeight="1">
      <c r="A87" s="29"/>
      <c r="B87" s="108" t="s">
        <v>164</v>
      </c>
      <c r="C87" s="17">
        <f>50+25</f>
        <v>75</v>
      </c>
      <c r="D87" s="74">
        <f>50000+25000</f>
        <v>75000</v>
      </c>
      <c r="E87" s="43">
        <v>34273</v>
      </c>
      <c r="F87" s="43">
        <v>4116</v>
      </c>
    </row>
    <row r="88" spans="1:8" ht="17.25" customHeight="1">
      <c r="A88" s="35"/>
      <c r="B88" s="109"/>
      <c r="C88" s="17"/>
      <c r="D88" s="82"/>
      <c r="E88" s="63"/>
      <c r="F88" s="63"/>
      <c r="G88" s="115"/>
      <c r="H88" s="115"/>
    </row>
    <row r="89" spans="1:6" s="115" customFormat="1" ht="17.25" customHeight="1">
      <c r="A89" s="29"/>
      <c r="B89" s="50" t="s">
        <v>33</v>
      </c>
      <c r="C89" s="18">
        <f>SUM(C90:C107)</f>
        <v>16421.59392</v>
      </c>
      <c r="D89" s="84">
        <f>SUM(D90:D107)</f>
        <v>16421593.92</v>
      </c>
      <c r="E89" s="43"/>
      <c r="F89" s="66"/>
    </row>
    <row r="90" spans="1:6" s="115" customFormat="1" ht="17.25" customHeight="1">
      <c r="A90" s="29">
        <v>41326</v>
      </c>
      <c r="B90" s="71" t="s">
        <v>146</v>
      </c>
      <c r="C90" s="5">
        <f>968.00822+170.82498</f>
        <v>1138.8332</v>
      </c>
      <c r="D90" s="78">
        <f>968008.22+170824.98</f>
        <v>1138833.2</v>
      </c>
      <c r="E90" s="43">
        <v>33123</v>
      </c>
      <c r="F90" s="66" t="s">
        <v>21</v>
      </c>
    </row>
    <row r="91" spans="1:6" s="115" customFormat="1" ht="17.25" customHeight="1">
      <c r="A91" s="29">
        <v>41351</v>
      </c>
      <c r="B91" s="71" t="s">
        <v>145</v>
      </c>
      <c r="C91" s="5">
        <v>1050.768</v>
      </c>
      <c r="D91" s="78">
        <v>1050768</v>
      </c>
      <c r="E91" s="43">
        <v>33123</v>
      </c>
      <c r="F91" s="66">
        <v>4116</v>
      </c>
    </row>
    <row r="92" spans="1:6" s="115" customFormat="1" ht="17.25" customHeight="1">
      <c r="A92" s="29">
        <v>41330</v>
      </c>
      <c r="B92" s="71" t="s">
        <v>177</v>
      </c>
      <c r="C92" s="5">
        <f>670.80606+118.37757</f>
        <v>789.18363</v>
      </c>
      <c r="D92" s="78">
        <f>670806.06+118377.57</f>
        <v>789183.6300000001</v>
      </c>
      <c r="E92" s="43">
        <v>33019</v>
      </c>
      <c r="F92" s="66" t="s">
        <v>21</v>
      </c>
    </row>
    <row r="93" spans="1:6" s="115" customFormat="1" ht="17.25" customHeight="1">
      <c r="A93" s="29">
        <v>41361</v>
      </c>
      <c r="B93" s="72" t="s">
        <v>69</v>
      </c>
      <c r="C93" s="5">
        <v>90</v>
      </c>
      <c r="D93" s="79">
        <v>90000</v>
      </c>
      <c r="E93" s="43">
        <v>33160</v>
      </c>
      <c r="F93" s="66" t="s">
        <v>21</v>
      </c>
    </row>
    <row r="94" spans="1:6" s="115" customFormat="1" ht="17.25" customHeight="1">
      <c r="A94" s="29">
        <v>41374</v>
      </c>
      <c r="B94" s="72" t="s">
        <v>147</v>
      </c>
      <c r="C94" s="5">
        <v>1129.1236</v>
      </c>
      <c r="D94" s="79">
        <f>959755.06+169368.54</f>
        <v>1129123.6</v>
      </c>
      <c r="E94" s="43">
        <v>33123</v>
      </c>
      <c r="F94" s="66">
        <v>4116</v>
      </c>
    </row>
    <row r="95" spans="1:6" s="115" customFormat="1" ht="17.25" customHeight="1">
      <c r="A95" s="29">
        <v>41374</v>
      </c>
      <c r="B95" s="72" t="s">
        <v>148</v>
      </c>
      <c r="C95" s="5">
        <v>437.886</v>
      </c>
      <c r="D95" s="79">
        <f>372203.1+65682.9</f>
        <v>437886</v>
      </c>
      <c r="E95" s="43">
        <v>33123</v>
      </c>
      <c r="F95" s="66">
        <v>4116</v>
      </c>
    </row>
    <row r="96" spans="1:6" s="115" customFormat="1" ht="17.25" customHeight="1">
      <c r="A96" s="29">
        <v>41446</v>
      </c>
      <c r="B96" s="72" t="s">
        <v>150</v>
      </c>
      <c r="C96" s="5">
        <v>413.148</v>
      </c>
      <c r="D96" s="79">
        <f>351175.8+61972.2</f>
        <v>413148</v>
      </c>
      <c r="E96" s="43">
        <v>33123</v>
      </c>
      <c r="F96" s="66">
        <v>4116</v>
      </c>
    </row>
    <row r="97" spans="1:6" s="115" customFormat="1" ht="17.25" customHeight="1">
      <c r="A97" s="29">
        <v>41450</v>
      </c>
      <c r="B97" s="72" t="s">
        <v>151</v>
      </c>
      <c r="C97" s="5">
        <v>601.1412</v>
      </c>
      <c r="D97" s="79">
        <v>601141.2</v>
      </c>
      <c r="E97" s="43">
        <v>33123</v>
      </c>
      <c r="F97" s="66">
        <v>4116</v>
      </c>
    </row>
    <row r="98" spans="1:6" s="115" customFormat="1" ht="17.25" customHeight="1">
      <c r="A98" s="29">
        <v>41499</v>
      </c>
      <c r="B98" s="72" t="s">
        <v>175</v>
      </c>
      <c r="C98" s="5">
        <v>833.632</v>
      </c>
      <c r="D98" s="79">
        <f>708587.2+125044.8</f>
        <v>833632</v>
      </c>
      <c r="E98" s="43">
        <v>33123</v>
      </c>
      <c r="F98" s="66">
        <v>4116</v>
      </c>
    </row>
    <row r="99" spans="1:6" s="115" customFormat="1" ht="17.25" customHeight="1">
      <c r="A99" s="29">
        <v>41499</v>
      </c>
      <c r="B99" s="72" t="s">
        <v>176</v>
      </c>
      <c r="C99" s="5">
        <v>698.4544</v>
      </c>
      <c r="D99" s="79">
        <f>593686.24+104768.16</f>
        <v>698454.4</v>
      </c>
      <c r="E99" s="43">
        <v>33123</v>
      </c>
      <c r="F99" s="66">
        <v>4116</v>
      </c>
    </row>
    <row r="100" spans="1:6" s="115" customFormat="1" ht="17.25" customHeight="1">
      <c r="A100" s="29">
        <v>41501</v>
      </c>
      <c r="B100" s="71" t="s">
        <v>177</v>
      </c>
      <c r="C100" s="5">
        <v>3269.63697</v>
      </c>
      <c r="D100" s="79">
        <v>3269636.97</v>
      </c>
      <c r="E100" s="43">
        <v>33019</v>
      </c>
      <c r="F100" s="66">
        <v>4116</v>
      </c>
    </row>
    <row r="101" spans="1:6" s="115" customFormat="1" ht="17.25" customHeight="1">
      <c r="A101" s="29">
        <v>41515</v>
      </c>
      <c r="B101" s="72" t="s">
        <v>182</v>
      </c>
      <c r="C101" s="5">
        <v>1079.3596</v>
      </c>
      <c r="D101" s="79">
        <f>917455.66+161903.94</f>
        <v>1079359.6</v>
      </c>
      <c r="E101" s="43">
        <v>33123</v>
      </c>
      <c r="F101" s="66">
        <v>4116</v>
      </c>
    </row>
    <row r="102" spans="1:6" s="115" customFormat="1" ht="17.25" customHeight="1">
      <c r="A102" s="29">
        <v>41520</v>
      </c>
      <c r="B102" s="72" t="s">
        <v>186</v>
      </c>
      <c r="C102" s="5">
        <v>584.86</v>
      </c>
      <c r="D102" s="79">
        <v>584860</v>
      </c>
      <c r="E102" s="43">
        <v>33123</v>
      </c>
      <c r="F102" s="66">
        <v>4116</v>
      </c>
    </row>
    <row r="103" spans="1:6" s="115" customFormat="1" ht="17.25" customHeight="1">
      <c r="A103" s="29">
        <v>41576</v>
      </c>
      <c r="B103" s="72" t="s">
        <v>215</v>
      </c>
      <c r="C103" s="5">
        <v>455.2756</v>
      </c>
      <c r="D103" s="79">
        <f>386984.26+68291.34</f>
        <v>455275.6</v>
      </c>
      <c r="E103" s="43">
        <v>33123</v>
      </c>
      <c r="F103" s="66">
        <v>4116</v>
      </c>
    </row>
    <row r="104" spans="1:6" s="115" customFormat="1" ht="17.25" customHeight="1">
      <c r="A104" s="29">
        <v>41610</v>
      </c>
      <c r="B104" s="72" t="s">
        <v>241</v>
      </c>
      <c r="C104" s="5">
        <v>787.7664</v>
      </c>
      <c r="D104" s="79">
        <v>787766.4</v>
      </c>
      <c r="E104" s="43">
        <v>33123</v>
      </c>
      <c r="F104" s="66">
        <v>4116</v>
      </c>
    </row>
    <row r="105" spans="1:6" s="115" customFormat="1" ht="17.25" customHeight="1">
      <c r="A105" s="29">
        <v>41610</v>
      </c>
      <c r="B105" s="72" t="s">
        <v>242</v>
      </c>
      <c r="C105" s="5">
        <v>485.5216</v>
      </c>
      <c r="D105" s="79">
        <v>485521.6</v>
      </c>
      <c r="E105" s="43">
        <v>33123</v>
      </c>
      <c r="F105" s="66">
        <v>4116</v>
      </c>
    </row>
    <row r="106" spans="1:6" s="115" customFormat="1" ht="17.25" customHeight="1">
      <c r="A106" s="29">
        <v>41626</v>
      </c>
      <c r="B106" s="71" t="s">
        <v>177</v>
      </c>
      <c r="C106" s="5">
        <v>2513.80372</v>
      </c>
      <c r="D106" s="79">
        <v>2513803.72</v>
      </c>
      <c r="E106" s="43">
        <v>33019</v>
      </c>
      <c r="F106" s="66">
        <v>4116</v>
      </c>
    </row>
    <row r="107" spans="1:6" s="115" customFormat="1" ht="17.25" customHeight="1">
      <c r="A107" s="29"/>
      <c r="B107" s="72" t="s">
        <v>156</v>
      </c>
      <c r="C107" s="5">
        <v>63.2</v>
      </c>
      <c r="D107" s="79">
        <v>63200</v>
      </c>
      <c r="E107" s="43">
        <v>33160</v>
      </c>
      <c r="F107" s="66" t="s">
        <v>21</v>
      </c>
    </row>
    <row r="108" spans="1:6" s="115" customFormat="1" ht="17.25" customHeight="1">
      <c r="A108" s="29"/>
      <c r="B108" s="72"/>
      <c r="C108" s="3"/>
      <c r="D108" s="81"/>
      <c r="E108" s="31"/>
      <c r="F108" s="43"/>
    </row>
    <row r="109" spans="1:6" s="115" customFormat="1" ht="17.25" customHeight="1">
      <c r="A109" s="29"/>
      <c r="B109" s="42" t="s">
        <v>35</v>
      </c>
      <c r="C109" s="4">
        <f>+SUM(C110:C113)</f>
        <v>2165.6413</v>
      </c>
      <c r="D109" s="80">
        <f>+SUM(D110:D113)</f>
        <v>2165641.3</v>
      </c>
      <c r="E109" s="31"/>
      <c r="F109" s="43"/>
    </row>
    <row r="110" spans="1:6" s="115" customFormat="1" ht="17.25" customHeight="1">
      <c r="A110" s="29">
        <v>41337</v>
      </c>
      <c r="B110" s="51" t="s">
        <v>72</v>
      </c>
      <c r="C110" s="5">
        <v>34.72405</v>
      </c>
      <c r="D110" s="78">
        <v>34724.05</v>
      </c>
      <c r="E110" s="31">
        <v>17007</v>
      </c>
      <c r="F110" s="43" t="s">
        <v>21</v>
      </c>
    </row>
    <row r="111" spans="1:6" s="115" customFormat="1" ht="17.25" customHeight="1">
      <c r="A111" s="29">
        <v>41381</v>
      </c>
      <c r="B111" s="51" t="s">
        <v>84</v>
      </c>
      <c r="C111" s="5">
        <v>103.82925</v>
      </c>
      <c r="D111" s="78">
        <v>103829.25</v>
      </c>
      <c r="E111" s="31">
        <v>17007</v>
      </c>
      <c r="F111" s="43">
        <v>4116</v>
      </c>
    </row>
    <row r="112" spans="1:6" s="115" customFormat="1" ht="17.25" customHeight="1">
      <c r="A112" s="29">
        <v>41548</v>
      </c>
      <c r="B112" s="51" t="s">
        <v>197</v>
      </c>
      <c r="C112" s="5">
        <v>2027.088</v>
      </c>
      <c r="D112" s="78">
        <v>2027088</v>
      </c>
      <c r="E112" s="31">
        <v>17003</v>
      </c>
      <c r="F112" s="43">
        <v>4116</v>
      </c>
    </row>
    <row r="113" spans="1:6" s="115" customFormat="1" ht="17.25" customHeight="1">
      <c r="A113" s="29"/>
      <c r="B113" s="61"/>
      <c r="C113" s="5"/>
      <c r="D113" s="78"/>
      <c r="E113" s="31"/>
      <c r="F113" s="43">
        <v>4116</v>
      </c>
    </row>
    <row r="114" spans="1:6" s="115" customFormat="1" ht="17.25" customHeight="1">
      <c r="A114" s="29"/>
      <c r="B114" s="4" t="s">
        <v>34</v>
      </c>
      <c r="C114" s="4">
        <f>+SUM(C115:C126)</f>
        <v>43393.027830000006</v>
      </c>
      <c r="D114" s="80">
        <f>+SUM(D115:D126)</f>
        <v>43393027.83</v>
      </c>
      <c r="E114" s="31"/>
      <c r="F114" s="43"/>
    </row>
    <row r="115" spans="1:6" s="115" customFormat="1" ht="17.25" customHeight="1">
      <c r="A115" s="29">
        <v>41367</v>
      </c>
      <c r="B115" s="3" t="s">
        <v>74</v>
      </c>
      <c r="C115" s="3">
        <v>2352.8</v>
      </c>
      <c r="D115" s="81">
        <v>2352800</v>
      </c>
      <c r="E115" s="31">
        <v>13305</v>
      </c>
      <c r="F115" s="43" t="s">
        <v>21</v>
      </c>
    </row>
    <row r="116" spans="1:6" s="115" customFormat="1" ht="17.25" customHeight="1">
      <c r="A116" s="29">
        <v>41383</v>
      </c>
      <c r="B116" s="51" t="s">
        <v>82</v>
      </c>
      <c r="C116" s="3">
        <v>15009.851</v>
      </c>
      <c r="D116" s="81">
        <v>15009851</v>
      </c>
      <c r="E116" s="31">
        <v>13011</v>
      </c>
      <c r="F116" s="43">
        <v>4116</v>
      </c>
    </row>
    <row r="117" spans="1:6" s="115" customFormat="1" ht="17.25" customHeight="1">
      <c r="A117" s="29">
        <v>41390</v>
      </c>
      <c r="B117" s="51" t="s">
        <v>92</v>
      </c>
      <c r="C117" s="17">
        <v>484</v>
      </c>
      <c r="D117" s="78">
        <v>484000</v>
      </c>
      <c r="E117" s="31">
        <v>13010</v>
      </c>
      <c r="F117" s="43">
        <v>4116</v>
      </c>
    </row>
    <row r="118" spans="1:6" s="115" customFormat="1" ht="17.25" customHeight="1">
      <c r="A118" s="29">
        <v>41416</v>
      </c>
      <c r="B118" s="51" t="s">
        <v>92</v>
      </c>
      <c r="C118" s="17">
        <v>572</v>
      </c>
      <c r="D118" s="78">
        <v>572000</v>
      </c>
      <c r="E118" s="31">
        <v>13010</v>
      </c>
      <c r="F118" s="43">
        <v>4116</v>
      </c>
    </row>
    <row r="119" spans="1:6" s="115" customFormat="1" ht="17.25" customHeight="1">
      <c r="A119" s="29">
        <v>41431</v>
      </c>
      <c r="B119" s="3" t="s">
        <v>74</v>
      </c>
      <c r="C119" s="17">
        <f>5882-2352.8-1764.6</f>
        <v>1764.6</v>
      </c>
      <c r="D119" s="78">
        <v>1764600</v>
      </c>
      <c r="E119" s="31">
        <v>13305</v>
      </c>
      <c r="F119" s="43">
        <v>4116</v>
      </c>
    </row>
    <row r="120" spans="1:6" s="115" customFormat="1" ht="17.25" customHeight="1">
      <c r="A120" s="29">
        <v>41456</v>
      </c>
      <c r="B120" s="51" t="s">
        <v>92</v>
      </c>
      <c r="C120" s="17">
        <v>1764</v>
      </c>
      <c r="D120" s="78">
        <v>1764000</v>
      </c>
      <c r="E120" s="31">
        <v>13010</v>
      </c>
      <c r="F120" s="43">
        <v>4116</v>
      </c>
    </row>
    <row r="121" spans="1:6" s="115" customFormat="1" ht="17.25" customHeight="1">
      <c r="A121" s="29">
        <v>41527</v>
      </c>
      <c r="B121" s="51" t="s">
        <v>92</v>
      </c>
      <c r="C121" s="17">
        <v>660</v>
      </c>
      <c r="D121" s="78">
        <v>660000</v>
      </c>
      <c r="E121" s="31">
        <v>13010</v>
      </c>
      <c r="F121" s="43">
        <v>4116</v>
      </c>
    </row>
    <row r="122" spans="1:6" s="115" customFormat="1" ht="17.25" customHeight="1">
      <c r="A122" s="29">
        <v>41523</v>
      </c>
      <c r="B122" s="51" t="s">
        <v>82</v>
      </c>
      <c r="C122" s="17">
        <v>15009.85</v>
      </c>
      <c r="D122" s="78">
        <v>15009850</v>
      </c>
      <c r="E122" s="31">
        <v>13011</v>
      </c>
      <c r="F122" s="43">
        <v>4116</v>
      </c>
    </row>
    <row r="123" spans="1:6" s="115" customFormat="1" ht="17.25" customHeight="1">
      <c r="A123" s="29">
        <v>41557</v>
      </c>
      <c r="B123" s="3" t="s">
        <v>74</v>
      </c>
      <c r="C123" s="17">
        <v>1764.6</v>
      </c>
      <c r="D123" s="78">
        <v>1764600</v>
      </c>
      <c r="E123" s="31">
        <v>13305</v>
      </c>
      <c r="F123" s="43">
        <v>4116</v>
      </c>
    </row>
    <row r="124" spans="1:6" s="115" customFormat="1" ht="17.25" customHeight="1">
      <c r="A124" s="29"/>
      <c r="B124" s="51" t="s">
        <v>167</v>
      </c>
      <c r="C124" s="17">
        <f>1356.55086-616.34429+616.34429</f>
        <v>1356.55086</v>
      </c>
      <c r="D124" s="78">
        <f>740206.57+616344.29</f>
        <v>1356550.8599999999</v>
      </c>
      <c r="E124" s="31">
        <v>13233</v>
      </c>
      <c r="F124" s="43">
        <v>4116</v>
      </c>
    </row>
    <row r="125" spans="1:6" s="115" customFormat="1" ht="17.25" customHeight="1">
      <c r="A125" s="29"/>
      <c r="B125" s="51" t="s">
        <v>199</v>
      </c>
      <c r="C125" s="17">
        <v>179.209</v>
      </c>
      <c r="D125" s="78">
        <f>152327.65+26881.35</f>
        <v>179209</v>
      </c>
      <c r="E125" s="31">
        <v>13233</v>
      </c>
      <c r="F125" s="43">
        <v>4116</v>
      </c>
    </row>
    <row r="126" spans="1:6" s="115" customFormat="1" ht="17.25" customHeight="1">
      <c r="A126" s="29"/>
      <c r="B126" s="51" t="s">
        <v>71</v>
      </c>
      <c r="C126" s="5">
        <f>1254.90285+1220.66412</f>
        <v>2475.56697</v>
      </c>
      <c r="D126" s="78">
        <f>1066667.42+188235.43+1220664.12</f>
        <v>2475566.9699999997</v>
      </c>
      <c r="E126" s="31">
        <v>13233</v>
      </c>
      <c r="F126" s="43">
        <v>4116</v>
      </c>
    </row>
    <row r="127" spans="1:8" ht="17.25" customHeight="1">
      <c r="A127" s="35"/>
      <c r="B127" s="112"/>
      <c r="C127" s="1"/>
      <c r="D127" s="81"/>
      <c r="E127" s="6"/>
      <c r="F127" s="63"/>
      <c r="G127" s="115"/>
      <c r="H127" s="115"/>
    </row>
    <row r="128" spans="1:6" s="115" customFormat="1" ht="17.25" customHeight="1">
      <c r="A128" s="29"/>
      <c r="B128" s="42" t="s">
        <v>36</v>
      </c>
      <c r="C128" s="4">
        <f>+C129+C130</f>
        <v>600</v>
      </c>
      <c r="D128" s="80">
        <f>+D129+D130</f>
        <v>600000</v>
      </c>
      <c r="E128" s="31"/>
      <c r="F128" s="43"/>
    </row>
    <row r="129" spans="1:6" s="115" customFormat="1" ht="17.25" customHeight="1">
      <c r="A129" s="29">
        <v>41331</v>
      </c>
      <c r="B129" s="51" t="s">
        <v>66</v>
      </c>
      <c r="C129" s="3">
        <v>300</v>
      </c>
      <c r="D129" s="82">
        <v>300000</v>
      </c>
      <c r="E129" s="31">
        <v>22005</v>
      </c>
      <c r="F129" s="43" t="s">
        <v>21</v>
      </c>
    </row>
    <row r="130" spans="1:6" s="115" customFormat="1" ht="17.25" customHeight="1">
      <c r="A130" s="29">
        <v>41519</v>
      </c>
      <c r="B130" s="51" t="s">
        <v>66</v>
      </c>
      <c r="C130" s="3">
        <v>300</v>
      </c>
      <c r="D130" s="82">
        <v>300000</v>
      </c>
      <c r="E130" s="31">
        <v>22005</v>
      </c>
      <c r="F130" s="43">
        <v>4116</v>
      </c>
    </row>
    <row r="131" spans="1:8" ht="17.25" customHeight="1">
      <c r="A131" s="35"/>
      <c r="B131" s="48"/>
      <c r="C131" s="1"/>
      <c r="D131" s="81"/>
      <c r="E131" s="6"/>
      <c r="F131" s="63"/>
      <c r="G131" s="115"/>
      <c r="H131" s="115"/>
    </row>
    <row r="132" spans="1:6" s="115" customFormat="1" ht="17.25" customHeight="1">
      <c r="A132" s="29"/>
      <c r="B132" s="42" t="s">
        <v>37</v>
      </c>
      <c r="C132" s="4">
        <f>SUM(C133:C146)</f>
        <v>13463.95391</v>
      </c>
      <c r="D132" s="80">
        <f>SUM(D133:D146)</f>
        <v>13463953.91</v>
      </c>
      <c r="E132" s="31"/>
      <c r="F132" s="43"/>
    </row>
    <row r="133" spans="1:6" s="115" customFormat="1" ht="17.25" customHeight="1">
      <c r="A133" s="29">
        <v>41374</v>
      </c>
      <c r="B133" s="51" t="s">
        <v>80</v>
      </c>
      <c r="C133" s="3">
        <v>84</v>
      </c>
      <c r="D133" s="82">
        <v>84000</v>
      </c>
      <c r="E133" s="31">
        <v>14336</v>
      </c>
      <c r="F133" s="43">
        <v>4116</v>
      </c>
    </row>
    <row r="134" spans="1:6" s="115" customFormat="1" ht="17.25" customHeight="1">
      <c r="A134" s="29">
        <v>41382</v>
      </c>
      <c r="B134" s="51" t="s">
        <v>80</v>
      </c>
      <c r="C134" s="3">
        <v>84</v>
      </c>
      <c r="D134" s="82">
        <v>84000</v>
      </c>
      <c r="E134" s="31">
        <v>14336</v>
      </c>
      <c r="F134" s="43">
        <v>4116</v>
      </c>
    </row>
    <row r="135" spans="1:6" s="115" customFormat="1" ht="17.25" customHeight="1">
      <c r="A135" s="29">
        <v>41408</v>
      </c>
      <c r="B135" s="51" t="s">
        <v>95</v>
      </c>
      <c r="C135" s="3">
        <v>539.4134</v>
      </c>
      <c r="D135" s="82">
        <v>539413.4</v>
      </c>
      <c r="E135" s="31">
        <v>14013</v>
      </c>
      <c r="F135" s="43">
        <v>4116</v>
      </c>
    </row>
    <row r="136" spans="1:6" s="115" customFormat="1" ht="17.25" customHeight="1">
      <c r="A136" s="29">
        <v>41415</v>
      </c>
      <c r="B136" s="51" t="s">
        <v>98</v>
      </c>
      <c r="C136" s="3">
        <v>620</v>
      </c>
      <c r="D136" s="82">
        <v>620000</v>
      </c>
      <c r="E136" s="31">
        <v>14018</v>
      </c>
      <c r="F136" s="43">
        <v>4116</v>
      </c>
    </row>
    <row r="137" spans="1:6" s="115" customFormat="1" ht="17.25" customHeight="1">
      <c r="A137" s="29">
        <v>41415</v>
      </c>
      <c r="B137" s="51" t="s">
        <v>99</v>
      </c>
      <c r="C137" s="3">
        <v>30</v>
      </c>
      <c r="D137" s="82">
        <v>30000</v>
      </c>
      <c r="E137" s="31">
        <v>14018</v>
      </c>
      <c r="F137" s="43">
        <v>4116</v>
      </c>
    </row>
    <row r="138" spans="1:6" s="115" customFormat="1" ht="17.25" customHeight="1">
      <c r="A138" s="29">
        <v>41415</v>
      </c>
      <c r="B138" s="51" t="s">
        <v>100</v>
      </c>
      <c r="C138" s="3">
        <v>18</v>
      </c>
      <c r="D138" s="82">
        <v>18000</v>
      </c>
      <c r="E138" s="31">
        <v>14018</v>
      </c>
      <c r="F138" s="43">
        <v>4116</v>
      </c>
    </row>
    <row r="139" spans="1:6" s="115" customFormat="1" ht="17.25" customHeight="1">
      <c r="A139" s="29">
        <v>41480</v>
      </c>
      <c r="B139" s="51" t="s">
        <v>166</v>
      </c>
      <c r="C139" s="3">
        <v>786.25398</v>
      </c>
      <c r="D139" s="82">
        <v>786253.98</v>
      </c>
      <c r="E139" s="31">
        <v>14013</v>
      </c>
      <c r="F139" s="43">
        <v>4116</v>
      </c>
    </row>
    <row r="140" spans="1:6" s="115" customFormat="1" ht="17.25" customHeight="1">
      <c r="A140" s="29">
        <v>41488</v>
      </c>
      <c r="B140" s="51" t="s">
        <v>95</v>
      </c>
      <c r="C140" s="3">
        <v>539.4134</v>
      </c>
      <c r="D140" s="82">
        <v>539413.4</v>
      </c>
      <c r="E140" s="31">
        <v>14013</v>
      </c>
      <c r="F140" s="43">
        <v>4116</v>
      </c>
    </row>
    <row r="141" spans="1:6" s="115" customFormat="1" ht="17.25" customHeight="1">
      <c r="A141" s="29">
        <v>41488</v>
      </c>
      <c r="B141" s="51" t="s">
        <v>171</v>
      </c>
      <c r="C141" s="3">
        <v>3315.23884</v>
      </c>
      <c r="D141" s="82">
        <v>3315238.84</v>
      </c>
      <c r="E141" s="31">
        <v>14013</v>
      </c>
      <c r="F141" s="43">
        <v>4116</v>
      </c>
    </row>
    <row r="142" spans="1:6" s="115" customFormat="1" ht="17.25" customHeight="1">
      <c r="A142" s="29">
        <v>41488</v>
      </c>
      <c r="B142" s="51" t="s">
        <v>172</v>
      </c>
      <c r="C142" s="3">
        <v>3191.98934</v>
      </c>
      <c r="D142" s="82">
        <v>3191989.34</v>
      </c>
      <c r="E142" s="31">
        <v>14013</v>
      </c>
      <c r="F142" s="43">
        <v>4116</v>
      </c>
    </row>
    <row r="143" spans="1:6" s="115" customFormat="1" ht="17.25" customHeight="1">
      <c r="A143" s="29">
        <v>41582</v>
      </c>
      <c r="B143" s="51" t="s">
        <v>218</v>
      </c>
      <c r="C143" s="3">
        <v>2537.99295</v>
      </c>
      <c r="D143" s="82">
        <v>2537992.95</v>
      </c>
      <c r="E143" s="31">
        <v>14013</v>
      </c>
      <c r="F143" s="43">
        <v>4116</v>
      </c>
    </row>
    <row r="144" spans="1:6" s="115" customFormat="1" ht="17.25" customHeight="1">
      <c r="A144" s="29">
        <v>41596</v>
      </c>
      <c r="B144" s="51" t="s">
        <v>223</v>
      </c>
      <c r="C144" s="3">
        <v>-104.66</v>
      </c>
      <c r="D144" s="82">
        <v>-104660</v>
      </c>
      <c r="E144" s="31">
        <v>14018</v>
      </c>
      <c r="F144" s="43">
        <v>4116</v>
      </c>
    </row>
    <row r="145" spans="1:6" s="115" customFormat="1" ht="17.25" customHeight="1">
      <c r="A145" s="29"/>
      <c r="B145" s="51" t="s">
        <v>94</v>
      </c>
      <c r="C145" s="3">
        <v>1800</v>
      </c>
      <c r="D145" s="82">
        <f>400000+400000+400000+600000</f>
        <v>1800000</v>
      </c>
      <c r="E145" s="31">
        <v>14336</v>
      </c>
      <c r="F145" s="43">
        <v>4116</v>
      </c>
    </row>
    <row r="146" spans="1:6" s="115" customFormat="1" ht="17.25" customHeight="1">
      <c r="A146" s="29"/>
      <c r="B146" s="51" t="s">
        <v>157</v>
      </c>
      <c r="C146" s="3">
        <f>8.176+3.6+4.256+6.28</f>
        <v>22.312</v>
      </c>
      <c r="D146" s="82">
        <f>8176+3600+4256+6280</f>
        <v>22312</v>
      </c>
      <c r="E146" s="31">
        <v>14137</v>
      </c>
      <c r="F146" s="43" t="s">
        <v>21</v>
      </c>
    </row>
    <row r="147" spans="1:6" s="115" customFormat="1" ht="17.25" customHeight="1">
      <c r="A147" s="29"/>
      <c r="B147" s="51"/>
      <c r="C147" s="3"/>
      <c r="D147" s="82"/>
      <c r="E147" s="31"/>
      <c r="F147" s="32"/>
    </row>
    <row r="148" spans="1:6" s="115" customFormat="1" ht="17.25" customHeight="1">
      <c r="A148" s="29"/>
      <c r="B148" s="42" t="s">
        <v>101</v>
      </c>
      <c r="C148" s="80">
        <f>+SUM(C149:C172)</f>
        <v>496.2670000000001</v>
      </c>
      <c r="D148" s="80">
        <f>+SUM(D149:D172)</f>
        <v>496267</v>
      </c>
      <c r="E148" s="31"/>
      <c r="F148" s="32"/>
    </row>
    <row r="149" spans="1:6" s="115" customFormat="1" ht="17.25" customHeight="1">
      <c r="A149" s="29">
        <v>41414</v>
      </c>
      <c r="B149" s="34" t="s">
        <v>102</v>
      </c>
      <c r="C149" s="3">
        <v>38.345</v>
      </c>
      <c r="D149" s="82">
        <f>76690/2</f>
        <v>38345</v>
      </c>
      <c r="E149" s="31">
        <v>35015</v>
      </c>
      <c r="F149" s="32">
        <v>4116</v>
      </c>
    </row>
    <row r="150" spans="1:6" s="115" customFormat="1" ht="17.25" customHeight="1">
      <c r="A150" s="29">
        <v>41414</v>
      </c>
      <c r="B150" s="34" t="s">
        <v>103</v>
      </c>
      <c r="C150" s="3">
        <v>17.9</v>
      </c>
      <c r="D150" s="82">
        <f>35800/2</f>
        <v>17900</v>
      </c>
      <c r="E150" s="31">
        <v>35015</v>
      </c>
      <c r="F150" s="32">
        <v>4116</v>
      </c>
    </row>
    <row r="151" spans="1:6" s="115" customFormat="1" ht="17.25" customHeight="1">
      <c r="A151" s="29">
        <v>41415</v>
      </c>
      <c r="B151" s="34" t="s">
        <v>104</v>
      </c>
      <c r="C151" s="3">
        <v>19.035</v>
      </c>
      <c r="D151" s="82">
        <v>19035</v>
      </c>
      <c r="E151" s="31">
        <v>35015</v>
      </c>
      <c r="F151" s="32">
        <v>4116</v>
      </c>
    </row>
    <row r="152" spans="1:6" s="115" customFormat="1" ht="17.25" customHeight="1">
      <c r="A152" s="29">
        <v>41415</v>
      </c>
      <c r="B152" s="34" t="s">
        <v>103</v>
      </c>
      <c r="C152" s="3">
        <v>20</v>
      </c>
      <c r="D152" s="82">
        <v>20000</v>
      </c>
      <c r="E152" s="31">
        <v>35015</v>
      </c>
      <c r="F152" s="32">
        <v>4116</v>
      </c>
    </row>
    <row r="153" spans="1:6" s="115" customFormat="1" ht="17.25" customHeight="1">
      <c r="A153" s="29">
        <v>41415</v>
      </c>
      <c r="B153" s="34" t="s">
        <v>102</v>
      </c>
      <c r="C153" s="3">
        <v>27.5</v>
      </c>
      <c r="D153" s="82">
        <v>27500</v>
      </c>
      <c r="E153" s="31">
        <v>35015</v>
      </c>
      <c r="F153" s="32">
        <v>4116</v>
      </c>
    </row>
    <row r="154" spans="1:6" s="115" customFormat="1" ht="17.25" customHeight="1">
      <c r="A154" s="29">
        <v>41415</v>
      </c>
      <c r="B154" s="34" t="s">
        <v>105</v>
      </c>
      <c r="C154" s="3">
        <v>53.5715</v>
      </c>
      <c r="D154" s="82">
        <v>53571.5</v>
      </c>
      <c r="E154" s="31">
        <v>35015</v>
      </c>
      <c r="F154" s="32">
        <v>4116</v>
      </c>
    </row>
    <row r="155" spans="1:6" s="115" customFormat="1" ht="17.25" customHeight="1">
      <c r="A155" s="29">
        <v>41432</v>
      </c>
      <c r="B155" s="98" t="s">
        <v>124</v>
      </c>
      <c r="C155" s="3">
        <v>3.1091</v>
      </c>
      <c r="D155" s="82">
        <v>3109.1</v>
      </c>
      <c r="E155" s="31">
        <v>35016</v>
      </c>
      <c r="F155" s="43">
        <v>4116</v>
      </c>
    </row>
    <row r="156" spans="1:6" s="115" customFormat="1" ht="17.25" customHeight="1">
      <c r="A156" s="29">
        <v>41432</v>
      </c>
      <c r="B156" s="98" t="s">
        <v>124</v>
      </c>
      <c r="C156" s="3">
        <v>17.6179</v>
      </c>
      <c r="D156" s="82">
        <v>17617.9</v>
      </c>
      <c r="E156" s="31">
        <v>35017</v>
      </c>
      <c r="F156" s="43">
        <v>4116</v>
      </c>
    </row>
    <row r="157" spans="1:6" s="115" customFormat="1" ht="17.25" customHeight="1">
      <c r="A157" s="47">
        <v>41435</v>
      </c>
      <c r="B157" s="11" t="s">
        <v>124</v>
      </c>
      <c r="C157" s="17">
        <v>10.8</v>
      </c>
      <c r="D157" s="74">
        <f>72000*0.15</f>
        <v>10800</v>
      </c>
      <c r="E157" s="38">
        <v>35016</v>
      </c>
      <c r="F157" s="32">
        <v>4116</v>
      </c>
    </row>
    <row r="158" spans="1:6" s="115" customFormat="1" ht="17.25" customHeight="1">
      <c r="A158" s="29">
        <v>41435</v>
      </c>
      <c r="B158" s="34" t="s">
        <v>124</v>
      </c>
      <c r="C158" s="3">
        <v>61.2</v>
      </c>
      <c r="D158" s="82">
        <f>72000*0.85</f>
        <v>61200</v>
      </c>
      <c r="E158" s="31">
        <v>35017</v>
      </c>
      <c r="F158" s="32">
        <v>4116</v>
      </c>
    </row>
    <row r="159" spans="1:6" s="115" customFormat="1" ht="17.25" customHeight="1">
      <c r="A159" s="29">
        <v>41446</v>
      </c>
      <c r="B159" s="34" t="s">
        <v>124</v>
      </c>
      <c r="C159" s="3">
        <v>5.071</v>
      </c>
      <c r="D159" s="82">
        <v>5071</v>
      </c>
      <c r="E159" s="31">
        <v>35016</v>
      </c>
      <c r="F159" s="32">
        <v>4116</v>
      </c>
    </row>
    <row r="160" spans="1:6" s="115" customFormat="1" ht="17.25" customHeight="1">
      <c r="A160" s="29">
        <v>41446</v>
      </c>
      <c r="B160" s="34" t="s">
        <v>124</v>
      </c>
      <c r="C160" s="3">
        <v>28.738</v>
      </c>
      <c r="D160" s="82">
        <v>28738</v>
      </c>
      <c r="E160" s="31">
        <v>35017</v>
      </c>
      <c r="F160" s="32">
        <v>4116</v>
      </c>
    </row>
    <row r="161" spans="1:6" s="115" customFormat="1" ht="17.25" customHeight="1">
      <c r="A161" s="29">
        <v>41516</v>
      </c>
      <c r="B161" s="34" t="s">
        <v>102</v>
      </c>
      <c r="C161" s="3">
        <v>38.345</v>
      </c>
      <c r="D161" s="82">
        <f>76690/2</f>
        <v>38345</v>
      </c>
      <c r="E161" s="31">
        <v>35015</v>
      </c>
      <c r="F161" s="32">
        <v>4116</v>
      </c>
    </row>
    <row r="162" spans="1:6" s="115" customFormat="1" ht="17.25" customHeight="1">
      <c r="A162" s="29">
        <v>41516</v>
      </c>
      <c r="B162" s="34" t="s">
        <v>103</v>
      </c>
      <c r="C162" s="3">
        <v>17.9</v>
      </c>
      <c r="D162" s="82">
        <f>35800/2</f>
        <v>17900</v>
      </c>
      <c r="E162" s="31">
        <v>35015</v>
      </c>
      <c r="F162" s="32">
        <v>4116</v>
      </c>
    </row>
    <row r="163" spans="1:6" s="115" customFormat="1" ht="17.25" customHeight="1">
      <c r="A163" s="29">
        <v>41516</v>
      </c>
      <c r="B163" s="34" t="s">
        <v>104</v>
      </c>
      <c r="C163" s="3">
        <v>19.035</v>
      </c>
      <c r="D163" s="82">
        <v>19035</v>
      </c>
      <c r="E163" s="31">
        <v>35015</v>
      </c>
      <c r="F163" s="32">
        <v>4116</v>
      </c>
    </row>
    <row r="164" spans="1:6" s="115" customFormat="1" ht="17.25" customHeight="1">
      <c r="A164" s="29">
        <v>41516</v>
      </c>
      <c r="B164" s="34" t="s">
        <v>103</v>
      </c>
      <c r="C164" s="3">
        <v>20</v>
      </c>
      <c r="D164" s="82">
        <v>20000</v>
      </c>
      <c r="E164" s="31">
        <v>35015</v>
      </c>
      <c r="F164" s="32">
        <v>4116</v>
      </c>
    </row>
    <row r="165" spans="1:6" s="115" customFormat="1" ht="17.25" customHeight="1">
      <c r="A165" s="29">
        <v>41516</v>
      </c>
      <c r="B165" s="34" t="s">
        <v>102</v>
      </c>
      <c r="C165" s="3">
        <v>27.5</v>
      </c>
      <c r="D165" s="82">
        <v>27500</v>
      </c>
      <c r="E165" s="31">
        <v>35015</v>
      </c>
      <c r="F165" s="32">
        <v>4116</v>
      </c>
    </row>
    <row r="166" spans="1:6" s="115" customFormat="1" ht="17.25" customHeight="1">
      <c r="A166" s="29">
        <v>41516</v>
      </c>
      <c r="B166" s="34" t="s">
        <v>105</v>
      </c>
      <c r="C166" s="3">
        <v>53.5715</v>
      </c>
      <c r="D166" s="82">
        <v>53571.5</v>
      </c>
      <c r="E166" s="31">
        <v>35015</v>
      </c>
      <c r="F166" s="32">
        <v>4116</v>
      </c>
    </row>
    <row r="167" spans="1:6" s="115" customFormat="1" ht="17.25" customHeight="1">
      <c r="A167" s="29">
        <v>41583</v>
      </c>
      <c r="B167" s="34" t="s">
        <v>225</v>
      </c>
      <c r="C167" s="3">
        <v>-32.2</v>
      </c>
      <c r="D167" s="82">
        <v>-32200</v>
      </c>
      <c r="E167" s="31">
        <v>35015</v>
      </c>
      <c r="F167" s="32">
        <v>4116</v>
      </c>
    </row>
    <row r="168" spans="1:6" s="115" customFormat="1" ht="17.25" customHeight="1">
      <c r="A168" s="29">
        <v>41583</v>
      </c>
      <c r="B168" s="34" t="s">
        <v>251</v>
      </c>
      <c r="C168" s="3">
        <v>-21.43</v>
      </c>
      <c r="D168" s="82">
        <v>-21430</v>
      </c>
      <c r="E168" s="31">
        <v>35015</v>
      </c>
      <c r="F168" s="32">
        <v>4116</v>
      </c>
    </row>
    <row r="169" spans="1:6" s="115" customFormat="1" ht="17.25" customHeight="1">
      <c r="A169" s="29">
        <v>41604</v>
      </c>
      <c r="B169" s="34" t="s">
        <v>252</v>
      </c>
      <c r="C169" s="3">
        <v>0.5</v>
      </c>
      <c r="D169" s="82">
        <v>500</v>
      </c>
      <c r="E169" s="31">
        <v>35015</v>
      </c>
      <c r="F169" s="32">
        <v>4116</v>
      </c>
    </row>
    <row r="170" spans="1:6" s="115" customFormat="1" ht="17.25" customHeight="1">
      <c r="A170" s="29">
        <v>41604</v>
      </c>
      <c r="B170" s="34" t="s">
        <v>253</v>
      </c>
      <c r="C170" s="3">
        <v>1.798</v>
      </c>
      <c r="D170" s="82">
        <v>1798</v>
      </c>
      <c r="E170" s="31">
        <v>35015</v>
      </c>
      <c r="F170" s="32">
        <v>4116</v>
      </c>
    </row>
    <row r="171" spans="1:6" s="115" customFormat="1" ht="17.25" customHeight="1">
      <c r="A171" s="29">
        <v>41604</v>
      </c>
      <c r="B171" s="34" t="s">
        <v>105</v>
      </c>
      <c r="C171" s="3">
        <v>43.36</v>
      </c>
      <c r="D171" s="82">
        <v>43360</v>
      </c>
      <c r="E171" s="31">
        <v>35015</v>
      </c>
      <c r="F171" s="32">
        <v>4116</v>
      </c>
    </row>
    <row r="172" spans="1:6" s="115" customFormat="1" ht="17.25" customHeight="1">
      <c r="A172" s="29">
        <v>41626</v>
      </c>
      <c r="B172" s="34" t="s">
        <v>103</v>
      </c>
      <c r="C172" s="3">
        <v>25</v>
      </c>
      <c r="D172" s="82">
        <v>25000</v>
      </c>
      <c r="E172" s="31">
        <v>35015</v>
      </c>
      <c r="F172" s="32">
        <v>4116</v>
      </c>
    </row>
    <row r="173" spans="1:6" s="115" customFormat="1" ht="17.25" customHeight="1">
      <c r="A173" s="29"/>
      <c r="B173" s="34"/>
      <c r="C173" s="3"/>
      <c r="D173" s="82"/>
      <c r="E173" s="31"/>
      <c r="F173" s="32"/>
    </row>
    <row r="174" spans="1:6" s="115" customFormat="1" ht="17.25" customHeight="1">
      <c r="A174" s="29"/>
      <c r="B174" s="42" t="s">
        <v>128</v>
      </c>
      <c r="C174" s="4">
        <f>+SUM(C175:C181)</f>
        <v>359.97499999999997</v>
      </c>
      <c r="D174" s="80">
        <f>+SUM(D175:D181)</f>
        <v>359975</v>
      </c>
      <c r="E174" s="31"/>
      <c r="F174" s="32"/>
    </row>
    <row r="175" spans="1:6" s="115" customFormat="1" ht="17.25" customHeight="1">
      <c r="A175" s="29">
        <v>41436</v>
      </c>
      <c r="B175" s="34" t="s">
        <v>193</v>
      </c>
      <c r="C175" s="3">
        <v>86.159</v>
      </c>
      <c r="D175" s="82">
        <v>86159</v>
      </c>
      <c r="E175" s="31">
        <v>29008</v>
      </c>
      <c r="F175" s="32">
        <v>4116</v>
      </c>
    </row>
    <row r="176" spans="1:6" s="115" customFormat="1" ht="17.25" customHeight="1">
      <c r="A176" s="29">
        <v>41446</v>
      </c>
      <c r="B176" s="34" t="s">
        <v>129</v>
      </c>
      <c r="C176" s="3">
        <v>1.45</v>
      </c>
      <c r="D176" s="82">
        <v>1450</v>
      </c>
      <c r="E176" s="31">
        <v>29004</v>
      </c>
      <c r="F176" s="32">
        <v>4116</v>
      </c>
    </row>
    <row r="177" spans="1:6" s="115" customFormat="1" ht="17.25" customHeight="1">
      <c r="A177" s="29">
        <v>41446</v>
      </c>
      <c r="B177" s="34" t="s">
        <v>193</v>
      </c>
      <c r="C177" s="3">
        <v>84.285</v>
      </c>
      <c r="D177" s="82">
        <v>84285</v>
      </c>
      <c r="E177" s="31">
        <v>29008</v>
      </c>
      <c r="F177" s="32">
        <v>4116</v>
      </c>
    </row>
    <row r="178" spans="1:6" s="115" customFormat="1" ht="17.25" customHeight="1">
      <c r="A178" s="104">
        <v>41513</v>
      </c>
      <c r="B178" s="34" t="s">
        <v>193</v>
      </c>
      <c r="C178" s="105">
        <v>85.222</v>
      </c>
      <c r="D178" s="123">
        <v>85222</v>
      </c>
      <c r="E178" s="106">
        <v>29008</v>
      </c>
      <c r="F178" s="32">
        <v>4116</v>
      </c>
    </row>
    <row r="179" spans="1:6" s="115" customFormat="1" ht="17.25" customHeight="1">
      <c r="A179" s="104">
        <v>41593</v>
      </c>
      <c r="B179" s="34" t="s">
        <v>129</v>
      </c>
      <c r="C179" s="105">
        <v>16.7</v>
      </c>
      <c r="D179" s="123">
        <v>16700</v>
      </c>
      <c r="E179" s="106">
        <v>29004</v>
      </c>
      <c r="F179" s="32">
        <v>4116</v>
      </c>
    </row>
    <row r="180" spans="1:6" s="115" customFormat="1" ht="17.25" customHeight="1">
      <c r="A180" s="104">
        <v>41603</v>
      </c>
      <c r="B180" s="34" t="s">
        <v>193</v>
      </c>
      <c r="C180" s="105">
        <v>86.159</v>
      </c>
      <c r="D180" s="123">
        <v>86159</v>
      </c>
      <c r="E180" s="106">
        <v>29008</v>
      </c>
      <c r="F180" s="32">
        <v>4116</v>
      </c>
    </row>
    <row r="181" spans="1:6" s="115" customFormat="1" ht="17.25" customHeight="1">
      <c r="A181" s="29"/>
      <c r="B181" s="51"/>
      <c r="C181" s="3"/>
      <c r="D181" s="82"/>
      <c r="E181" s="31"/>
      <c r="F181" s="32"/>
    </row>
    <row r="182" spans="1:6" s="115" customFormat="1" ht="17.25" customHeight="1">
      <c r="A182" s="29"/>
      <c r="B182" s="42" t="s">
        <v>4</v>
      </c>
      <c r="C182" s="4">
        <f>+SUM(C183:C193)</f>
        <v>8294.35395</v>
      </c>
      <c r="D182" s="80">
        <f>+SUM(D183:D193)</f>
        <v>8294353.95</v>
      </c>
      <c r="E182" s="31"/>
      <c r="F182" s="32"/>
    </row>
    <row r="183" spans="1:6" s="115" customFormat="1" ht="17.25" customHeight="1">
      <c r="A183" s="29">
        <v>41432</v>
      </c>
      <c r="B183" s="34" t="s">
        <v>120</v>
      </c>
      <c r="C183" s="3">
        <v>3849.6698</v>
      </c>
      <c r="D183" s="82">
        <v>3849669.8</v>
      </c>
      <c r="E183" s="31">
        <v>15319</v>
      </c>
      <c r="F183" s="32">
        <v>4116</v>
      </c>
    </row>
    <row r="184" spans="1:6" s="115" customFormat="1" ht="17.25" customHeight="1">
      <c r="A184" s="29">
        <v>41436</v>
      </c>
      <c r="B184" s="34" t="s">
        <v>121</v>
      </c>
      <c r="C184" s="3">
        <v>1426.37054</v>
      </c>
      <c r="D184" s="82">
        <v>1426370.54</v>
      </c>
      <c r="E184" s="31">
        <v>15319</v>
      </c>
      <c r="F184" s="32">
        <v>4116</v>
      </c>
    </row>
    <row r="185" spans="1:6" s="115" customFormat="1" ht="17.25" customHeight="1">
      <c r="A185" s="47">
        <v>41445</v>
      </c>
      <c r="B185" s="51" t="s">
        <v>139</v>
      </c>
      <c r="C185" s="3">
        <v>988.32704</v>
      </c>
      <c r="D185" s="82">
        <v>988327.04</v>
      </c>
      <c r="E185" s="31">
        <v>15319</v>
      </c>
      <c r="F185" s="32">
        <v>4116</v>
      </c>
    </row>
    <row r="186" spans="1:6" s="115" customFormat="1" ht="17.25" customHeight="1">
      <c r="A186" s="47">
        <v>41520</v>
      </c>
      <c r="B186" s="51" t="s">
        <v>187</v>
      </c>
      <c r="C186" s="3">
        <v>789.57</v>
      </c>
      <c r="D186" s="82">
        <v>789570</v>
      </c>
      <c r="E186" s="31">
        <v>15065</v>
      </c>
      <c r="F186" s="32">
        <v>4116</v>
      </c>
    </row>
    <row r="187" spans="1:6" s="115" customFormat="1" ht="17.25" customHeight="1">
      <c r="A187" s="47"/>
      <c r="B187" s="51" t="s">
        <v>235</v>
      </c>
      <c r="C187" s="3">
        <v>95.676</v>
      </c>
      <c r="D187" s="82">
        <f>95676</f>
        <v>95676</v>
      </c>
      <c r="E187" s="31">
        <v>15370</v>
      </c>
      <c r="F187" s="32">
        <v>4116</v>
      </c>
    </row>
    <row r="188" spans="1:6" s="115" customFormat="1" ht="17.25" customHeight="1">
      <c r="A188" s="47"/>
      <c r="B188" s="51" t="s">
        <v>285</v>
      </c>
      <c r="C188" s="3">
        <v>40.3869</v>
      </c>
      <c r="D188" s="82">
        <v>40386.9</v>
      </c>
      <c r="E188" s="31">
        <v>15370</v>
      </c>
      <c r="F188" s="32">
        <v>4116</v>
      </c>
    </row>
    <row r="189" spans="1:6" s="115" customFormat="1" ht="17.25" customHeight="1">
      <c r="A189" s="47"/>
      <c r="B189" s="51" t="s">
        <v>286</v>
      </c>
      <c r="C189" s="3">
        <v>37.0719</v>
      </c>
      <c r="D189" s="82">
        <v>37071.9</v>
      </c>
      <c r="E189" s="31">
        <v>15370</v>
      </c>
      <c r="F189" s="32">
        <v>4116</v>
      </c>
    </row>
    <row r="190" spans="1:6" s="115" customFormat="1" ht="17.25" customHeight="1">
      <c r="A190" s="47"/>
      <c r="B190" s="33" t="s">
        <v>291</v>
      </c>
      <c r="C190" s="3">
        <v>250</v>
      </c>
      <c r="D190" s="82">
        <v>250000</v>
      </c>
      <c r="E190" s="31">
        <v>15091</v>
      </c>
      <c r="F190" s="32">
        <v>4116</v>
      </c>
    </row>
    <row r="191" spans="1:6" s="115" customFormat="1" ht="17.25" customHeight="1">
      <c r="A191" s="47"/>
      <c r="B191" s="33" t="s">
        <v>244</v>
      </c>
      <c r="C191" s="3">
        <v>147.05935</v>
      </c>
      <c r="D191" s="82">
        <v>147059.35</v>
      </c>
      <c r="E191" s="31">
        <v>15370</v>
      </c>
      <c r="F191" s="32">
        <v>4116</v>
      </c>
    </row>
    <row r="192" spans="1:6" s="115" customFormat="1" ht="17.25" customHeight="1">
      <c r="A192" s="47"/>
      <c r="B192" s="33" t="s">
        <v>250</v>
      </c>
      <c r="C192" s="3">
        <v>37.23457</v>
      </c>
      <c r="D192" s="82">
        <v>37234.57</v>
      </c>
      <c r="E192" s="31">
        <v>15324</v>
      </c>
      <c r="F192" s="32">
        <v>4116</v>
      </c>
    </row>
    <row r="193" spans="1:6" s="115" customFormat="1" ht="17.25" customHeight="1">
      <c r="A193" s="47"/>
      <c r="B193" s="33" t="s">
        <v>250</v>
      </c>
      <c r="C193" s="3">
        <v>632.98785</v>
      </c>
      <c r="D193" s="82">
        <v>632987.85</v>
      </c>
      <c r="E193" s="31">
        <v>15325</v>
      </c>
      <c r="F193" s="32">
        <v>4116</v>
      </c>
    </row>
    <row r="194" spans="1:6" s="115" customFormat="1" ht="17.25" customHeight="1">
      <c r="A194" s="47"/>
      <c r="B194" s="51"/>
      <c r="C194" s="3"/>
      <c r="D194" s="82"/>
      <c r="E194" s="31"/>
      <c r="F194" s="32"/>
    </row>
    <row r="195" spans="1:7" s="115" customFormat="1" ht="17.25" customHeight="1">
      <c r="A195" s="29"/>
      <c r="B195" s="4" t="s">
        <v>191</v>
      </c>
      <c r="C195" s="4">
        <f>+C196+C197</f>
        <v>62.71667</v>
      </c>
      <c r="D195" s="80">
        <f>+D196+D197</f>
        <v>62716.67</v>
      </c>
      <c r="E195" s="31"/>
      <c r="F195" s="32"/>
      <c r="G195" s="116"/>
    </row>
    <row r="196" spans="1:8" ht="17.25" customHeight="1">
      <c r="A196" s="29">
        <v>41380</v>
      </c>
      <c r="B196" s="33" t="s">
        <v>85</v>
      </c>
      <c r="C196" s="3">
        <v>46.63143</v>
      </c>
      <c r="D196" s="82">
        <v>46631.43</v>
      </c>
      <c r="E196" s="6"/>
      <c r="F196" s="32" t="s">
        <v>86</v>
      </c>
      <c r="G196" s="116"/>
      <c r="H196" s="115"/>
    </row>
    <row r="197" spans="1:8" ht="17.25" customHeight="1">
      <c r="A197" s="29">
        <v>41444</v>
      </c>
      <c r="B197" s="87" t="s">
        <v>85</v>
      </c>
      <c r="C197" s="3">
        <v>16.08524</v>
      </c>
      <c r="D197" s="82">
        <v>16085.24</v>
      </c>
      <c r="E197" s="6"/>
      <c r="F197" s="32">
        <v>4119</v>
      </c>
      <c r="G197" s="116"/>
      <c r="H197" s="115"/>
    </row>
    <row r="198" spans="1:8" ht="17.25" customHeight="1">
      <c r="A198" s="35"/>
      <c r="B198" s="1"/>
      <c r="C198" s="1"/>
      <c r="D198" s="82"/>
      <c r="E198" s="6"/>
      <c r="F198" s="36"/>
      <c r="G198" s="116"/>
      <c r="H198" s="115"/>
    </row>
    <row r="199" spans="1:7" s="115" customFormat="1" ht="17.25" customHeight="1">
      <c r="A199" s="29"/>
      <c r="B199" s="42" t="s">
        <v>38</v>
      </c>
      <c r="C199" s="7">
        <f>SUM(C200:C308)</f>
        <v>44934.23808</v>
      </c>
      <c r="D199" s="83">
        <f>SUM(D200:D308)</f>
        <v>44934238.080000006</v>
      </c>
      <c r="E199" s="31"/>
      <c r="F199" s="38"/>
      <c r="G199" s="116"/>
    </row>
    <row r="200" spans="1:7" s="115" customFormat="1" ht="17.25" customHeight="1">
      <c r="A200" s="29">
        <v>41305</v>
      </c>
      <c r="B200" s="34" t="s">
        <v>43</v>
      </c>
      <c r="C200" s="5">
        <v>288.12276</v>
      </c>
      <c r="D200" s="79">
        <v>288122.76</v>
      </c>
      <c r="E200" s="31">
        <v>33006</v>
      </c>
      <c r="F200" s="32" t="s">
        <v>39</v>
      </c>
      <c r="G200" s="116"/>
    </row>
    <row r="201" spans="1:7" s="115" customFormat="1" ht="17.25" customHeight="1">
      <c r="A201" s="29">
        <v>41316</v>
      </c>
      <c r="B201" s="34" t="s">
        <v>59</v>
      </c>
      <c r="C201" s="5">
        <v>314.08033</v>
      </c>
      <c r="D201" s="79">
        <v>314080.33</v>
      </c>
      <c r="E201" s="31">
        <v>33006</v>
      </c>
      <c r="F201" s="32" t="s">
        <v>39</v>
      </c>
      <c r="G201" s="116"/>
    </row>
    <row r="202" spans="1:7" s="115" customFormat="1" ht="17.25" customHeight="1">
      <c r="A202" s="29">
        <v>41317</v>
      </c>
      <c r="B202" s="34" t="s">
        <v>60</v>
      </c>
      <c r="C202" s="5">
        <v>380.0788</v>
      </c>
      <c r="D202" s="79">
        <f>323066.98+57011.82</f>
        <v>380078.8</v>
      </c>
      <c r="E202" s="31">
        <v>33030</v>
      </c>
      <c r="F202" s="32">
        <v>4122</v>
      </c>
      <c r="G202" s="116"/>
    </row>
    <row r="203" spans="1:7" s="115" customFormat="1" ht="17.25" customHeight="1">
      <c r="A203" s="29">
        <v>41317</v>
      </c>
      <c r="B203" s="34" t="s">
        <v>62</v>
      </c>
      <c r="C203" s="5">
        <v>377.0572</v>
      </c>
      <c r="D203" s="79">
        <f>320498.62+56558.58</f>
        <v>377057.2</v>
      </c>
      <c r="E203" s="31">
        <v>33030</v>
      </c>
      <c r="F203" s="32">
        <v>4122</v>
      </c>
      <c r="G203" s="116"/>
    </row>
    <row r="204" spans="1:7" s="115" customFormat="1" ht="17.25" customHeight="1">
      <c r="A204" s="29">
        <v>41317</v>
      </c>
      <c r="B204" s="34" t="s">
        <v>63</v>
      </c>
      <c r="C204" s="5">
        <v>48.67317</v>
      </c>
      <c r="D204" s="79">
        <f>41372.19+7300.98</f>
        <v>48673.17</v>
      </c>
      <c r="E204" s="31">
        <v>33030</v>
      </c>
      <c r="F204" s="32">
        <v>4122</v>
      </c>
      <c r="G204" s="116"/>
    </row>
    <row r="205" spans="1:7" s="115" customFormat="1" ht="17.25" customHeight="1">
      <c r="A205" s="29">
        <v>41317</v>
      </c>
      <c r="B205" s="34" t="s">
        <v>163</v>
      </c>
      <c r="C205" s="5">
        <v>508.036</v>
      </c>
      <c r="D205" s="79">
        <f>431830.6+76205.4</f>
        <v>508036</v>
      </c>
      <c r="E205" s="31">
        <v>33030</v>
      </c>
      <c r="F205" s="32">
        <v>4122</v>
      </c>
      <c r="G205" s="116"/>
    </row>
    <row r="206" spans="1:7" s="115" customFormat="1" ht="17.25" customHeight="1">
      <c r="A206" s="29">
        <v>41327</v>
      </c>
      <c r="B206" s="34" t="s">
        <v>65</v>
      </c>
      <c r="C206" s="5">
        <v>372.22128</v>
      </c>
      <c r="D206" s="78">
        <f>316388.08+55833.2</f>
        <v>372221.28</v>
      </c>
      <c r="E206" s="31">
        <v>33006</v>
      </c>
      <c r="F206" s="32">
        <v>4122</v>
      </c>
      <c r="G206" s="116"/>
    </row>
    <row r="207" spans="1:7" s="115" customFormat="1" ht="17.25" customHeight="1">
      <c r="A207" s="29">
        <v>41351</v>
      </c>
      <c r="B207" s="34" t="s">
        <v>67</v>
      </c>
      <c r="C207" s="5">
        <v>542.4806</v>
      </c>
      <c r="D207" s="78">
        <f>461108.51+81372.09</f>
        <v>542480.6</v>
      </c>
      <c r="E207" s="31">
        <v>33030</v>
      </c>
      <c r="F207" s="32">
        <v>4122</v>
      </c>
      <c r="G207" s="116"/>
    </row>
    <row r="208" spans="1:7" s="115" customFormat="1" ht="17.25" customHeight="1">
      <c r="A208" s="29">
        <v>41354</v>
      </c>
      <c r="B208" s="34" t="s">
        <v>68</v>
      </c>
      <c r="C208" s="5">
        <v>330.74186</v>
      </c>
      <c r="D208" s="78">
        <f>281130.58+49611.28</f>
        <v>330741.86</v>
      </c>
      <c r="E208" s="31">
        <v>33030</v>
      </c>
      <c r="F208" s="32">
        <v>4122</v>
      </c>
      <c r="G208" s="116"/>
    </row>
    <row r="209" spans="1:7" s="115" customFormat="1" ht="17.25" customHeight="1">
      <c r="A209" s="29">
        <v>41354</v>
      </c>
      <c r="B209" s="34" t="s">
        <v>73</v>
      </c>
      <c r="C209" s="5">
        <v>318.0947</v>
      </c>
      <c r="D209" s="78">
        <f>270380.49+47714.21</f>
        <v>318094.7</v>
      </c>
      <c r="E209" s="31">
        <v>33006</v>
      </c>
      <c r="F209" s="32">
        <v>4122</v>
      </c>
      <c r="G209" s="116"/>
    </row>
    <row r="210" spans="1:7" s="115" customFormat="1" ht="17.25" customHeight="1">
      <c r="A210" s="29">
        <v>41368</v>
      </c>
      <c r="B210" s="34" t="s">
        <v>75</v>
      </c>
      <c r="C210" s="5">
        <v>1437.6122</v>
      </c>
      <c r="D210" s="78">
        <f>1221970.37+215641.83</f>
        <v>1437612.2000000002</v>
      </c>
      <c r="E210" s="31">
        <v>33030</v>
      </c>
      <c r="F210" s="32">
        <v>4122</v>
      </c>
      <c r="G210" s="116"/>
    </row>
    <row r="211" spans="1:7" s="115" customFormat="1" ht="17.25" customHeight="1">
      <c r="A211" s="29">
        <v>41368</v>
      </c>
      <c r="B211" s="34" t="s">
        <v>76</v>
      </c>
      <c r="C211" s="5">
        <v>844.2432</v>
      </c>
      <c r="D211" s="78">
        <f>717606.72+126636.48</f>
        <v>844243.2</v>
      </c>
      <c r="E211" s="31">
        <v>33030</v>
      </c>
      <c r="F211" s="32">
        <v>4122</v>
      </c>
      <c r="G211" s="116"/>
    </row>
    <row r="212" spans="1:7" s="115" customFormat="1" ht="17.25" customHeight="1">
      <c r="A212" s="29">
        <v>41373</v>
      </c>
      <c r="B212" s="34" t="s">
        <v>78</v>
      </c>
      <c r="C212" s="5">
        <f>3700.39274+653.01049</f>
        <v>4353.40323</v>
      </c>
      <c r="D212" s="78">
        <f>3700392.74+653010.49</f>
        <v>4353403.23</v>
      </c>
      <c r="E212" s="31">
        <v>33030</v>
      </c>
      <c r="F212" s="32">
        <v>4122</v>
      </c>
      <c r="G212" s="116"/>
    </row>
    <row r="213" spans="1:7" s="115" customFormat="1" ht="17.25" customHeight="1">
      <c r="A213" s="29">
        <v>41373</v>
      </c>
      <c r="B213" s="34" t="s">
        <v>79</v>
      </c>
      <c r="C213" s="5">
        <f>589.43981+104.01879</f>
        <v>693.4585999999999</v>
      </c>
      <c r="D213" s="78">
        <f>589439.81+104018.79</f>
        <v>693458.6000000001</v>
      </c>
      <c r="E213" s="31">
        <v>33030</v>
      </c>
      <c r="F213" s="32">
        <v>4122</v>
      </c>
      <c r="G213" s="116"/>
    </row>
    <row r="214" spans="1:7" s="115" customFormat="1" ht="17.25" customHeight="1">
      <c r="A214" s="29">
        <v>41390</v>
      </c>
      <c r="B214" s="34" t="s">
        <v>106</v>
      </c>
      <c r="C214" s="5">
        <v>374.7236</v>
      </c>
      <c r="D214" s="78">
        <f>318515.06+56208.54</f>
        <v>374723.6</v>
      </c>
      <c r="E214" s="31">
        <v>33030</v>
      </c>
      <c r="F214" s="32">
        <v>4122</v>
      </c>
      <c r="G214" s="116"/>
    </row>
    <row r="215" spans="1:7" s="115" customFormat="1" ht="17.25" customHeight="1">
      <c r="A215" s="29">
        <v>41393</v>
      </c>
      <c r="B215" s="34" t="s">
        <v>107</v>
      </c>
      <c r="C215" s="5">
        <v>440.44841</v>
      </c>
      <c r="D215" s="78">
        <f>374381.14+66067.27</f>
        <v>440448.41000000003</v>
      </c>
      <c r="E215" s="31">
        <v>33030</v>
      </c>
      <c r="F215" s="32">
        <v>4122</v>
      </c>
      <c r="G215" s="116"/>
    </row>
    <row r="216" spans="1:7" s="115" customFormat="1" ht="17.25" customHeight="1">
      <c r="A216" s="29">
        <v>41393</v>
      </c>
      <c r="B216" s="34" t="s">
        <v>108</v>
      </c>
      <c r="C216" s="5">
        <v>97.48619</v>
      </c>
      <c r="D216" s="78">
        <f>82863.26+14622.93</f>
        <v>97486.19</v>
      </c>
      <c r="E216" s="31">
        <v>33030</v>
      </c>
      <c r="F216" s="32">
        <v>4122</v>
      </c>
      <c r="G216" s="116"/>
    </row>
    <row r="217" spans="1:7" s="115" customFormat="1" ht="17.25" customHeight="1">
      <c r="A217" s="29">
        <v>41397</v>
      </c>
      <c r="B217" s="98" t="s">
        <v>109</v>
      </c>
      <c r="C217" s="2">
        <v>499.85508</v>
      </c>
      <c r="D217" s="81">
        <v>499855.08</v>
      </c>
      <c r="E217" s="31">
        <v>33030</v>
      </c>
      <c r="F217" s="43">
        <v>4122</v>
      </c>
      <c r="G217" s="116"/>
    </row>
    <row r="218" spans="1:7" s="115" customFormat="1" ht="17.25" customHeight="1">
      <c r="A218" s="29">
        <v>41403</v>
      </c>
      <c r="B218" s="61" t="s">
        <v>110</v>
      </c>
      <c r="C218" s="2">
        <v>316.4022</v>
      </c>
      <c r="D218" s="81">
        <f>268941.87+47460.33</f>
        <v>316402.2</v>
      </c>
      <c r="E218" s="31">
        <v>33030</v>
      </c>
      <c r="F218" s="43">
        <v>4122</v>
      </c>
      <c r="G218" s="116"/>
    </row>
    <row r="219" spans="1:7" s="115" customFormat="1" ht="17.25" customHeight="1">
      <c r="A219" s="29">
        <v>41408</v>
      </c>
      <c r="B219" s="33" t="s">
        <v>111</v>
      </c>
      <c r="C219" s="5">
        <v>469.7558</v>
      </c>
      <c r="D219" s="78">
        <f>399292.43+70463.37</f>
        <v>469755.8</v>
      </c>
      <c r="E219" s="31">
        <v>33030</v>
      </c>
      <c r="F219" s="32">
        <v>4122</v>
      </c>
      <c r="G219" s="116"/>
    </row>
    <row r="220" spans="1:7" s="115" customFormat="1" ht="17.25" customHeight="1">
      <c r="A220" s="29">
        <v>41417</v>
      </c>
      <c r="B220" s="34" t="s">
        <v>43</v>
      </c>
      <c r="C220" s="5">
        <v>274.74487</v>
      </c>
      <c r="D220" s="78">
        <v>274744.87</v>
      </c>
      <c r="E220" s="31">
        <v>33006</v>
      </c>
      <c r="F220" s="32">
        <v>4122</v>
      </c>
      <c r="G220" s="116"/>
    </row>
    <row r="221" spans="1:7" s="115" customFormat="1" ht="17.25" customHeight="1">
      <c r="A221" s="29">
        <v>41423</v>
      </c>
      <c r="B221" s="34" t="s">
        <v>112</v>
      </c>
      <c r="C221" s="5">
        <v>100</v>
      </c>
      <c r="D221" s="78">
        <v>100000</v>
      </c>
      <c r="E221" s="31">
        <v>539</v>
      </c>
      <c r="F221" s="32">
        <v>4122</v>
      </c>
      <c r="G221" s="116"/>
    </row>
    <row r="222" spans="1:7" s="115" customFormat="1" ht="17.25" customHeight="1">
      <c r="A222" s="29">
        <v>41423</v>
      </c>
      <c r="B222" s="34" t="s">
        <v>152</v>
      </c>
      <c r="C222" s="5">
        <v>69.3</v>
      </c>
      <c r="D222" s="78">
        <v>69300</v>
      </c>
      <c r="E222" s="31">
        <v>539</v>
      </c>
      <c r="F222" s="32">
        <v>4122</v>
      </c>
      <c r="G222" s="116"/>
    </row>
    <row r="223" spans="1:7" s="115" customFormat="1" ht="17.25" customHeight="1">
      <c r="A223" s="29">
        <v>41423</v>
      </c>
      <c r="B223" s="34" t="s">
        <v>113</v>
      </c>
      <c r="C223" s="5">
        <v>90</v>
      </c>
      <c r="D223" s="78">
        <v>90000</v>
      </c>
      <c r="E223" s="31">
        <v>539</v>
      </c>
      <c r="F223" s="32">
        <v>4122</v>
      </c>
      <c r="G223" s="116"/>
    </row>
    <row r="224" spans="1:7" s="115" customFormat="1" ht="17.25" customHeight="1">
      <c r="A224" s="29">
        <v>41431</v>
      </c>
      <c r="B224" s="34" t="s">
        <v>300</v>
      </c>
      <c r="C224" s="5">
        <v>9</v>
      </c>
      <c r="D224" s="78">
        <v>9000</v>
      </c>
      <c r="E224" s="31">
        <v>14011</v>
      </c>
      <c r="F224" s="32">
        <v>4122</v>
      </c>
      <c r="G224" s="116"/>
    </row>
    <row r="225" spans="1:7" s="115" customFormat="1" ht="17.25" customHeight="1">
      <c r="A225" s="29">
        <v>41442</v>
      </c>
      <c r="B225" s="34" t="s">
        <v>130</v>
      </c>
      <c r="C225" s="5">
        <v>334.39668</v>
      </c>
      <c r="D225" s="78">
        <f>284237.17+50159.51</f>
        <v>334396.68</v>
      </c>
      <c r="E225" s="31">
        <v>33030</v>
      </c>
      <c r="F225" s="32">
        <v>4122</v>
      </c>
      <c r="G225" s="116"/>
    </row>
    <row r="226" spans="1:7" s="115" customFormat="1" ht="17.25" customHeight="1">
      <c r="A226" s="29">
        <v>41443</v>
      </c>
      <c r="B226" s="34" t="s">
        <v>158</v>
      </c>
      <c r="C226" s="5">
        <v>320.26399</v>
      </c>
      <c r="D226" s="78">
        <f>272224.4+48039.59</f>
        <v>320263.99</v>
      </c>
      <c r="E226" s="31">
        <v>33006</v>
      </c>
      <c r="F226" s="32">
        <v>4122</v>
      </c>
      <c r="G226" s="116"/>
    </row>
    <row r="227" spans="1:7" s="115" customFormat="1" ht="17.25" customHeight="1">
      <c r="A227" s="29">
        <v>41445</v>
      </c>
      <c r="B227" s="34" t="s">
        <v>131</v>
      </c>
      <c r="C227" s="78">
        <v>250</v>
      </c>
      <c r="D227" s="78">
        <v>250000</v>
      </c>
      <c r="E227" s="31">
        <v>331</v>
      </c>
      <c r="F227" s="32">
        <v>4122</v>
      </c>
      <c r="G227" s="116"/>
    </row>
    <row r="228" spans="1:7" s="115" customFormat="1" ht="17.25" customHeight="1">
      <c r="A228" s="29">
        <v>41445</v>
      </c>
      <c r="B228" s="34" t="s">
        <v>132</v>
      </c>
      <c r="C228" s="5">
        <v>600</v>
      </c>
      <c r="D228" s="78">
        <v>600000</v>
      </c>
      <c r="E228" s="31">
        <v>331</v>
      </c>
      <c r="F228" s="32">
        <v>4122</v>
      </c>
      <c r="G228" s="116"/>
    </row>
    <row r="229" spans="1:7" s="115" customFormat="1" ht="17.25" customHeight="1">
      <c r="A229" s="29">
        <v>41445</v>
      </c>
      <c r="B229" s="34" t="s">
        <v>133</v>
      </c>
      <c r="C229" s="5">
        <v>200</v>
      </c>
      <c r="D229" s="78">
        <v>200000</v>
      </c>
      <c r="E229" s="31">
        <v>331</v>
      </c>
      <c r="F229" s="32">
        <v>4122</v>
      </c>
      <c r="G229" s="116"/>
    </row>
    <row r="230" spans="1:7" s="115" customFormat="1" ht="17.25" customHeight="1">
      <c r="A230" s="29">
        <v>41445</v>
      </c>
      <c r="B230" s="34" t="s">
        <v>134</v>
      </c>
      <c r="C230" s="5">
        <v>170</v>
      </c>
      <c r="D230" s="78">
        <v>170000</v>
      </c>
      <c r="E230" s="31">
        <v>331</v>
      </c>
      <c r="F230" s="32">
        <v>4122</v>
      </c>
      <c r="G230" s="116"/>
    </row>
    <row r="231" spans="1:7" s="115" customFormat="1" ht="17.25" customHeight="1">
      <c r="A231" s="29">
        <v>41445</v>
      </c>
      <c r="B231" s="34" t="s">
        <v>292</v>
      </c>
      <c r="C231" s="5">
        <v>100</v>
      </c>
      <c r="D231" s="78">
        <v>100000</v>
      </c>
      <c r="E231" s="31">
        <v>331</v>
      </c>
      <c r="F231" s="32">
        <v>4122</v>
      </c>
      <c r="G231" s="116"/>
    </row>
    <row r="232" spans="1:7" s="115" customFormat="1" ht="17.25" customHeight="1">
      <c r="A232" s="29">
        <v>41445</v>
      </c>
      <c r="B232" s="98" t="s">
        <v>135</v>
      </c>
      <c r="C232" s="2">
        <v>200</v>
      </c>
      <c r="D232" s="81">
        <v>200000</v>
      </c>
      <c r="E232" s="31">
        <v>331</v>
      </c>
      <c r="F232" s="43">
        <v>4122</v>
      </c>
      <c r="G232" s="116"/>
    </row>
    <row r="233" spans="1:7" s="115" customFormat="1" ht="17.25" customHeight="1">
      <c r="A233" s="29">
        <v>41445</v>
      </c>
      <c r="B233" s="98" t="s">
        <v>136</v>
      </c>
      <c r="C233" s="2">
        <v>150</v>
      </c>
      <c r="D233" s="81">
        <v>150000</v>
      </c>
      <c r="E233" s="31">
        <v>331</v>
      </c>
      <c r="F233" s="43">
        <v>4122</v>
      </c>
      <c r="G233" s="116"/>
    </row>
    <row r="234" spans="1:7" s="115" customFormat="1" ht="17.25" customHeight="1">
      <c r="A234" s="47">
        <v>41445</v>
      </c>
      <c r="B234" s="11" t="s">
        <v>137</v>
      </c>
      <c r="C234" s="5">
        <v>750</v>
      </c>
      <c r="D234" s="78">
        <v>750000</v>
      </c>
      <c r="E234" s="38">
        <v>331</v>
      </c>
      <c r="F234" s="32">
        <v>4122</v>
      </c>
      <c r="G234" s="116"/>
    </row>
    <row r="235" spans="1:7" s="115" customFormat="1" ht="17.25" customHeight="1">
      <c r="A235" s="29">
        <v>41445</v>
      </c>
      <c r="B235" s="34" t="s">
        <v>138</v>
      </c>
      <c r="C235" s="5">
        <v>1400</v>
      </c>
      <c r="D235" s="78">
        <v>1400000</v>
      </c>
      <c r="E235" s="31">
        <v>331</v>
      </c>
      <c r="F235" s="32">
        <v>4122</v>
      </c>
      <c r="G235" s="116"/>
    </row>
    <row r="236" spans="1:7" s="115" customFormat="1" ht="17.25" customHeight="1">
      <c r="A236" s="29">
        <v>41451</v>
      </c>
      <c r="B236" s="34" t="s">
        <v>159</v>
      </c>
      <c r="C236" s="5">
        <v>90</v>
      </c>
      <c r="D236" s="78">
        <v>90000</v>
      </c>
      <c r="E236" s="31">
        <v>311</v>
      </c>
      <c r="F236" s="32">
        <v>4122</v>
      </c>
      <c r="G236" s="116"/>
    </row>
    <row r="237" spans="1:7" s="115" customFormat="1" ht="17.25" customHeight="1">
      <c r="A237" s="29">
        <v>41457</v>
      </c>
      <c r="B237" s="34" t="s">
        <v>300</v>
      </c>
      <c r="C237" s="5">
        <v>9</v>
      </c>
      <c r="D237" s="78">
        <v>9000</v>
      </c>
      <c r="E237" s="31">
        <v>14011</v>
      </c>
      <c r="F237" s="32">
        <v>4122</v>
      </c>
      <c r="G237" s="116"/>
    </row>
    <row r="238" spans="1:7" s="115" customFormat="1" ht="17.25" customHeight="1">
      <c r="A238" s="29">
        <v>41436</v>
      </c>
      <c r="B238" s="34" t="s">
        <v>163</v>
      </c>
      <c r="C238" s="5">
        <v>647.75522</v>
      </c>
      <c r="D238" s="79">
        <v>647755.22</v>
      </c>
      <c r="E238" s="31">
        <v>33030</v>
      </c>
      <c r="F238" s="32">
        <v>4122</v>
      </c>
      <c r="G238" s="116"/>
    </row>
    <row r="239" spans="1:7" s="115" customFormat="1" ht="17.25" customHeight="1">
      <c r="A239" s="29">
        <v>41479</v>
      </c>
      <c r="B239" s="34" t="s">
        <v>300</v>
      </c>
      <c r="C239" s="5">
        <v>65.75</v>
      </c>
      <c r="D239" s="79">
        <v>65750</v>
      </c>
      <c r="E239" s="31">
        <v>14011</v>
      </c>
      <c r="F239" s="32">
        <v>4122</v>
      </c>
      <c r="G239" s="116"/>
    </row>
    <row r="240" spans="1:7" s="115" customFormat="1" ht="17.25" customHeight="1">
      <c r="A240" s="29">
        <v>41488</v>
      </c>
      <c r="B240" s="34" t="s">
        <v>62</v>
      </c>
      <c r="C240" s="5">
        <v>372.57373</v>
      </c>
      <c r="D240" s="79">
        <f>316687.67+55886.06</f>
        <v>372573.73</v>
      </c>
      <c r="E240" s="31">
        <v>33030</v>
      </c>
      <c r="F240" s="32">
        <v>4122</v>
      </c>
      <c r="G240" s="116"/>
    </row>
    <row r="241" spans="1:7" s="115" customFormat="1" ht="17.25" customHeight="1">
      <c r="A241" s="29">
        <v>41488</v>
      </c>
      <c r="B241" s="34" t="s">
        <v>67</v>
      </c>
      <c r="C241" s="5">
        <v>455.96683</v>
      </c>
      <c r="D241" s="79">
        <f>387571.8+68395.03</f>
        <v>455966.82999999996</v>
      </c>
      <c r="E241" s="31">
        <v>33030</v>
      </c>
      <c r="F241" s="32">
        <v>4122</v>
      </c>
      <c r="G241" s="116"/>
    </row>
    <row r="242" spans="1:7" s="115" customFormat="1" ht="17.25" customHeight="1">
      <c r="A242" s="29">
        <v>41507</v>
      </c>
      <c r="B242" s="34" t="s">
        <v>178</v>
      </c>
      <c r="C242" s="5">
        <v>220.56075</v>
      </c>
      <c r="D242" s="79">
        <f>187476.63+33084.12</f>
        <v>220560.75</v>
      </c>
      <c r="E242" s="31">
        <v>33030</v>
      </c>
      <c r="F242" s="32">
        <v>4122</v>
      </c>
      <c r="G242" s="116"/>
    </row>
    <row r="243" spans="1:7" s="115" customFormat="1" ht="17.25" customHeight="1">
      <c r="A243" s="29">
        <v>41509</v>
      </c>
      <c r="B243" s="34" t="s">
        <v>179</v>
      </c>
      <c r="C243" s="5">
        <v>60</v>
      </c>
      <c r="D243" s="79">
        <v>60000</v>
      </c>
      <c r="E243" s="31">
        <v>214</v>
      </c>
      <c r="F243" s="32">
        <v>4122</v>
      </c>
      <c r="G243" s="116"/>
    </row>
    <row r="244" spans="1:7" s="115" customFormat="1" ht="17.25" customHeight="1">
      <c r="A244" s="29">
        <v>41509</v>
      </c>
      <c r="B244" s="34" t="s">
        <v>180</v>
      </c>
      <c r="C244" s="5">
        <v>115</v>
      </c>
      <c r="D244" s="79">
        <v>115000</v>
      </c>
      <c r="E244" s="31">
        <v>539</v>
      </c>
      <c r="F244" s="32">
        <v>4122</v>
      </c>
      <c r="G244" s="116"/>
    </row>
    <row r="245" spans="1:7" s="115" customFormat="1" ht="17.25" customHeight="1">
      <c r="A245" s="29">
        <v>41515</v>
      </c>
      <c r="B245" s="34" t="s">
        <v>68</v>
      </c>
      <c r="C245" s="5">
        <v>646.64118</v>
      </c>
      <c r="D245" s="79">
        <f>549645+96996.18</f>
        <v>646641.1799999999</v>
      </c>
      <c r="E245" s="31">
        <v>33030</v>
      </c>
      <c r="F245" s="32">
        <v>4122</v>
      </c>
      <c r="G245" s="116"/>
    </row>
    <row r="246" spans="1:7" s="115" customFormat="1" ht="17.25" customHeight="1">
      <c r="A246" s="29">
        <v>41515</v>
      </c>
      <c r="B246" s="34" t="s">
        <v>108</v>
      </c>
      <c r="C246" s="5">
        <v>360.92296</v>
      </c>
      <c r="D246" s="79">
        <v>360922.96</v>
      </c>
      <c r="E246" s="31">
        <v>33030</v>
      </c>
      <c r="F246" s="32">
        <v>4122</v>
      </c>
      <c r="G246" s="116"/>
    </row>
    <row r="247" spans="1:7" s="115" customFormat="1" ht="17.25" customHeight="1">
      <c r="A247" s="29">
        <v>41515</v>
      </c>
      <c r="B247" s="34" t="s">
        <v>60</v>
      </c>
      <c r="C247" s="5">
        <v>319.89266</v>
      </c>
      <c r="D247" s="79">
        <v>319892.66</v>
      </c>
      <c r="E247" s="31">
        <v>33030</v>
      </c>
      <c r="F247" s="32">
        <v>4122</v>
      </c>
      <c r="G247" s="116"/>
    </row>
    <row r="248" spans="1:7" s="115" customFormat="1" ht="17.25" customHeight="1">
      <c r="A248" s="29">
        <v>41529</v>
      </c>
      <c r="B248" s="33" t="s">
        <v>76</v>
      </c>
      <c r="C248" s="5">
        <v>418.63582</v>
      </c>
      <c r="D248" s="79">
        <v>418635.82</v>
      </c>
      <c r="E248" s="31">
        <v>33030</v>
      </c>
      <c r="F248" s="32">
        <v>4122</v>
      </c>
      <c r="G248" s="116"/>
    </row>
    <row r="249" spans="1:7" s="115" customFormat="1" ht="17.25" customHeight="1">
      <c r="A249" s="29">
        <v>41542</v>
      </c>
      <c r="B249" s="34" t="s">
        <v>75</v>
      </c>
      <c r="C249" s="5">
        <v>812.14637</v>
      </c>
      <c r="D249" s="78">
        <v>812146.37</v>
      </c>
      <c r="E249" s="31">
        <v>33030</v>
      </c>
      <c r="F249" s="32">
        <v>4122</v>
      </c>
      <c r="G249" s="116"/>
    </row>
    <row r="250" spans="1:7" s="115" customFormat="1" ht="17.25" customHeight="1">
      <c r="A250" s="29">
        <v>41542</v>
      </c>
      <c r="B250" s="34" t="s">
        <v>79</v>
      </c>
      <c r="C250" s="5">
        <v>421.96919</v>
      </c>
      <c r="D250" s="78">
        <v>421969.19</v>
      </c>
      <c r="E250" s="31">
        <v>33030</v>
      </c>
      <c r="F250" s="32">
        <v>4122</v>
      </c>
      <c r="G250" s="116"/>
    </row>
    <row r="251" spans="1:7" s="115" customFormat="1" ht="17.25" customHeight="1">
      <c r="A251" s="29">
        <v>41544</v>
      </c>
      <c r="B251" s="34" t="s">
        <v>192</v>
      </c>
      <c r="C251" s="5">
        <v>394.39441</v>
      </c>
      <c r="D251" s="78">
        <v>394394.41</v>
      </c>
      <c r="E251" s="31">
        <v>33030</v>
      </c>
      <c r="F251" s="32">
        <v>4122</v>
      </c>
      <c r="G251" s="116"/>
    </row>
    <row r="252" spans="1:7" s="115" customFormat="1" ht="17.25" customHeight="1">
      <c r="A252" s="29">
        <v>41549</v>
      </c>
      <c r="B252" s="34" t="s">
        <v>109</v>
      </c>
      <c r="C252" s="5">
        <v>505.74151</v>
      </c>
      <c r="D252" s="78">
        <f>429880.28+75861.23</f>
        <v>505741.51</v>
      </c>
      <c r="E252" s="31">
        <v>33030</v>
      </c>
      <c r="F252" s="32">
        <v>4122</v>
      </c>
      <c r="G252" s="116"/>
    </row>
    <row r="253" spans="1:7" s="115" customFormat="1" ht="17.25" customHeight="1">
      <c r="A253" s="29">
        <v>41549</v>
      </c>
      <c r="B253" s="34" t="s">
        <v>200</v>
      </c>
      <c r="C253" s="5">
        <v>147.78585</v>
      </c>
      <c r="D253" s="78">
        <f>125617.97+22167.88</f>
        <v>147785.85</v>
      </c>
      <c r="E253" s="31">
        <v>33030</v>
      </c>
      <c r="F253" s="32">
        <v>4122</v>
      </c>
      <c r="G253" s="116"/>
    </row>
    <row r="254" spans="1:7" s="115" customFormat="1" ht="17.25" customHeight="1">
      <c r="A254" s="29">
        <v>41558</v>
      </c>
      <c r="B254" s="34" t="s">
        <v>293</v>
      </c>
      <c r="C254" s="5">
        <v>3000</v>
      </c>
      <c r="D254" s="78">
        <v>3000000</v>
      </c>
      <c r="E254" s="31">
        <v>331</v>
      </c>
      <c r="F254" s="32">
        <v>4122</v>
      </c>
      <c r="G254" s="116"/>
    </row>
    <row r="255" spans="1:7" s="115" customFormat="1" ht="17.25" customHeight="1">
      <c r="A255" s="29">
        <v>41562</v>
      </c>
      <c r="B255" s="34" t="s">
        <v>294</v>
      </c>
      <c r="C255" s="5">
        <v>248.8436</v>
      </c>
      <c r="D255" s="78">
        <f>211517.06+37326.54</f>
        <v>248843.6</v>
      </c>
      <c r="E255" s="31">
        <v>33030</v>
      </c>
      <c r="F255" s="32">
        <v>4122</v>
      </c>
      <c r="G255" s="116"/>
    </row>
    <row r="256" spans="1:7" s="115" customFormat="1" ht="17.25" customHeight="1">
      <c r="A256" s="29">
        <v>41562</v>
      </c>
      <c r="B256" s="34" t="s">
        <v>295</v>
      </c>
      <c r="C256" s="5">
        <v>408.61866</v>
      </c>
      <c r="D256" s="78">
        <f>347325.86+61292.8</f>
        <v>408618.66</v>
      </c>
      <c r="E256" s="31">
        <v>33030</v>
      </c>
      <c r="F256" s="32">
        <v>4122</v>
      </c>
      <c r="G256" s="116"/>
    </row>
    <row r="257" spans="1:7" s="115" customFormat="1" ht="17.25" customHeight="1">
      <c r="A257" s="29">
        <v>41564</v>
      </c>
      <c r="B257" s="34" t="s">
        <v>204</v>
      </c>
      <c r="C257" s="5">
        <v>20</v>
      </c>
      <c r="D257" s="78">
        <v>20000</v>
      </c>
      <c r="E257" s="31">
        <v>331</v>
      </c>
      <c r="F257" s="32">
        <v>4122</v>
      </c>
      <c r="G257" s="116"/>
    </row>
    <row r="258" spans="1:7" s="115" customFormat="1" ht="17.25" customHeight="1">
      <c r="A258" s="29">
        <v>41568</v>
      </c>
      <c r="B258" s="34" t="s">
        <v>205</v>
      </c>
      <c r="C258" s="5">
        <v>45</v>
      </c>
      <c r="D258" s="78">
        <v>45000</v>
      </c>
      <c r="E258" s="31">
        <v>331</v>
      </c>
      <c r="F258" s="32">
        <v>4122</v>
      </c>
      <c r="G258" s="116"/>
    </row>
    <row r="259" spans="1:7" s="115" customFormat="1" ht="17.25" customHeight="1">
      <c r="A259" s="29">
        <v>41570</v>
      </c>
      <c r="B259" s="34" t="s">
        <v>296</v>
      </c>
      <c r="C259" s="5">
        <v>67.5</v>
      </c>
      <c r="D259" s="78">
        <v>67500</v>
      </c>
      <c r="E259" s="31">
        <v>331</v>
      </c>
      <c r="F259" s="32">
        <v>4122</v>
      </c>
      <c r="G259" s="116"/>
    </row>
    <row r="260" spans="1:7" s="115" customFormat="1" ht="17.25" customHeight="1">
      <c r="A260" s="29">
        <v>41570</v>
      </c>
      <c r="B260" s="34" t="s">
        <v>163</v>
      </c>
      <c r="C260" s="5">
        <v>505.32012</v>
      </c>
      <c r="D260" s="78">
        <v>505320.12</v>
      </c>
      <c r="E260" s="31">
        <v>33030</v>
      </c>
      <c r="F260" s="32">
        <v>4122</v>
      </c>
      <c r="G260" s="116"/>
    </row>
    <row r="261" spans="1:7" s="115" customFormat="1" ht="17.25" customHeight="1">
      <c r="A261" s="29">
        <v>41584</v>
      </c>
      <c r="B261" s="34" t="s">
        <v>297</v>
      </c>
      <c r="C261" s="5">
        <v>1900</v>
      </c>
      <c r="D261" s="78">
        <v>1900000</v>
      </c>
      <c r="E261" s="31">
        <v>222</v>
      </c>
      <c r="F261" s="32">
        <v>4122</v>
      </c>
      <c r="G261" s="116"/>
    </row>
    <row r="262" spans="1:7" s="115" customFormat="1" ht="17.25" customHeight="1">
      <c r="A262" s="29">
        <v>41585</v>
      </c>
      <c r="B262" s="34" t="s">
        <v>298</v>
      </c>
      <c r="C262" s="5">
        <v>2111.965</v>
      </c>
      <c r="D262" s="78">
        <f>1795170.25+316794.75</f>
        <v>2111965</v>
      </c>
      <c r="E262" s="31">
        <v>33030</v>
      </c>
      <c r="F262" s="32">
        <v>4122</v>
      </c>
      <c r="G262" s="116"/>
    </row>
    <row r="263" spans="1:7" s="115" customFormat="1" ht="17.25" customHeight="1">
      <c r="A263" s="29">
        <v>41585</v>
      </c>
      <c r="B263" s="34" t="s">
        <v>299</v>
      </c>
      <c r="C263" s="5">
        <v>75</v>
      </c>
      <c r="D263" s="78">
        <v>75000</v>
      </c>
      <c r="E263" s="31">
        <v>331</v>
      </c>
      <c r="F263" s="32">
        <v>4122</v>
      </c>
      <c r="G263" s="116"/>
    </row>
    <row r="264" spans="1:7" s="115" customFormat="1" ht="17.25" customHeight="1">
      <c r="A264" s="29">
        <v>41589</v>
      </c>
      <c r="B264" s="34" t="s">
        <v>300</v>
      </c>
      <c r="C264" s="5">
        <v>43.125</v>
      </c>
      <c r="D264" s="78">
        <v>43125</v>
      </c>
      <c r="E264" s="31">
        <v>14011</v>
      </c>
      <c r="F264" s="32">
        <v>4122</v>
      </c>
      <c r="G264" s="116"/>
    </row>
    <row r="265" spans="1:7" s="115" customFormat="1" ht="17.25" customHeight="1">
      <c r="A265" s="29">
        <v>41592</v>
      </c>
      <c r="B265" s="34" t="s">
        <v>67</v>
      </c>
      <c r="C265" s="5">
        <v>244.29155</v>
      </c>
      <c r="D265" s="78">
        <f>207647.81+36643.74</f>
        <v>244291.55</v>
      </c>
      <c r="E265" s="31">
        <v>33030</v>
      </c>
      <c r="F265" s="32">
        <v>4122</v>
      </c>
      <c r="G265" s="116"/>
    </row>
    <row r="266" spans="1:7" s="115" customFormat="1" ht="17.25" customHeight="1">
      <c r="A266" s="29">
        <v>41596</v>
      </c>
      <c r="B266" s="34" t="s">
        <v>79</v>
      </c>
      <c r="C266" s="5">
        <v>368.61285</v>
      </c>
      <c r="D266" s="78">
        <f>313320.92+55291.93</f>
        <v>368612.85</v>
      </c>
      <c r="E266" s="31">
        <v>33030</v>
      </c>
      <c r="F266" s="32">
        <v>4122</v>
      </c>
      <c r="G266" s="116"/>
    </row>
    <row r="267" spans="1:7" s="115" customFormat="1" ht="17.25" customHeight="1">
      <c r="A267" s="29">
        <v>41599</v>
      </c>
      <c r="B267" s="34" t="s">
        <v>62</v>
      </c>
      <c r="C267" s="5">
        <v>373.0456</v>
      </c>
      <c r="D267" s="78">
        <v>373045.6</v>
      </c>
      <c r="E267" s="31">
        <v>33030</v>
      </c>
      <c r="F267" s="32">
        <v>4122</v>
      </c>
      <c r="G267" s="116"/>
    </row>
    <row r="268" spans="1:7" s="115" customFormat="1" ht="17.25" customHeight="1">
      <c r="A268" s="29">
        <v>41599</v>
      </c>
      <c r="B268" s="34" t="s">
        <v>130</v>
      </c>
      <c r="C268" s="5">
        <v>467.91497</v>
      </c>
      <c r="D268" s="78">
        <v>467914.97</v>
      </c>
      <c r="E268" s="31">
        <v>33030</v>
      </c>
      <c r="F268" s="32">
        <v>4122</v>
      </c>
      <c r="G268" s="116"/>
    </row>
    <row r="269" spans="1:7" s="115" customFormat="1" ht="17.25" customHeight="1">
      <c r="A269" s="29">
        <v>41599</v>
      </c>
      <c r="B269" s="34" t="s">
        <v>224</v>
      </c>
      <c r="C269" s="5">
        <v>-5.111</v>
      </c>
      <c r="D269" s="78">
        <v>-5111</v>
      </c>
      <c r="E269" s="31">
        <v>539</v>
      </c>
      <c r="F269" s="32">
        <v>4122</v>
      </c>
      <c r="G269" s="116"/>
    </row>
    <row r="270" spans="1:7" s="115" customFormat="1" ht="17.25" customHeight="1">
      <c r="A270" s="29">
        <v>41603</v>
      </c>
      <c r="B270" s="34" t="s">
        <v>60</v>
      </c>
      <c r="C270" s="5">
        <v>352.65729</v>
      </c>
      <c r="D270" s="78">
        <v>352657.29</v>
      </c>
      <c r="E270" s="31">
        <v>33030</v>
      </c>
      <c r="F270" s="32">
        <v>4122</v>
      </c>
      <c r="G270" s="116"/>
    </row>
    <row r="271" spans="1:7" s="115" customFormat="1" ht="17.25" customHeight="1">
      <c r="A271" s="29">
        <v>41613</v>
      </c>
      <c r="B271" s="34" t="s">
        <v>248</v>
      </c>
      <c r="C271" s="5">
        <v>199.8</v>
      </c>
      <c r="D271" s="78">
        <v>199800</v>
      </c>
      <c r="E271" s="31">
        <v>539</v>
      </c>
      <c r="F271" s="32">
        <v>4122</v>
      </c>
      <c r="G271" s="116"/>
    </row>
    <row r="272" spans="1:7" s="115" customFormat="1" ht="17.25" customHeight="1">
      <c r="A272" s="29">
        <v>41627</v>
      </c>
      <c r="B272" s="34" t="s">
        <v>301</v>
      </c>
      <c r="C272" s="5">
        <v>993.08537</v>
      </c>
      <c r="D272" s="78">
        <v>993085.37</v>
      </c>
      <c r="E272" s="31">
        <v>33030</v>
      </c>
      <c r="F272" s="32">
        <v>4122</v>
      </c>
      <c r="G272" s="116"/>
    </row>
    <row r="273" spans="1:7" s="115" customFormat="1" ht="17.25" customHeight="1">
      <c r="A273" s="29">
        <v>41626</v>
      </c>
      <c r="B273" s="34" t="s">
        <v>257</v>
      </c>
      <c r="C273" s="5">
        <v>1000</v>
      </c>
      <c r="D273" s="78">
        <v>1000000</v>
      </c>
      <c r="E273" s="31">
        <v>331</v>
      </c>
      <c r="F273" s="32">
        <v>4122</v>
      </c>
      <c r="G273" s="116"/>
    </row>
    <row r="274" spans="1:7" s="115" customFormat="1" ht="17.25" customHeight="1">
      <c r="A274" s="29">
        <v>41627</v>
      </c>
      <c r="B274" s="34" t="s">
        <v>260</v>
      </c>
      <c r="C274" s="5">
        <v>894.57337</v>
      </c>
      <c r="D274" s="78">
        <v>894573.37</v>
      </c>
      <c r="E274" s="31">
        <v>33030</v>
      </c>
      <c r="F274" s="32">
        <v>4122</v>
      </c>
      <c r="G274" s="116"/>
    </row>
    <row r="275" spans="1:7" s="115" customFormat="1" ht="17.25" customHeight="1">
      <c r="A275" s="29">
        <v>41627</v>
      </c>
      <c r="B275" s="34" t="s">
        <v>262</v>
      </c>
      <c r="C275" s="5">
        <v>1000</v>
      </c>
      <c r="D275" s="78">
        <v>1000000</v>
      </c>
      <c r="E275" s="31">
        <v>331</v>
      </c>
      <c r="F275" s="32">
        <v>4122</v>
      </c>
      <c r="G275" s="116"/>
    </row>
    <row r="276" spans="1:7" s="115" customFormat="1" ht="17.25" customHeight="1">
      <c r="A276" s="29">
        <v>41627</v>
      </c>
      <c r="B276" s="34" t="s">
        <v>300</v>
      </c>
      <c r="C276" s="5">
        <v>21.25</v>
      </c>
      <c r="D276" s="78">
        <v>21250</v>
      </c>
      <c r="E276" s="31">
        <v>14011</v>
      </c>
      <c r="F276" s="32">
        <v>4122</v>
      </c>
      <c r="G276" s="116"/>
    </row>
    <row r="277" spans="1:7" s="115" customFormat="1" ht="17.25" customHeight="1">
      <c r="A277" s="29">
        <v>41628</v>
      </c>
      <c r="B277" s="34" t="s">
        <v>263</v>
      </c>
      <c r="C277" s="5">
        <v>264.24803</v>
      </c>
      <c r="D277" s="78">
        <f>224610.82+39637.21</f>
        <v>264248.03</v>
      </c>
      <c r="E277" s="31">
        <v>33030</v>
      </c>
      <c r="F277" s="32">
        <v>4122</v>
      </c>
      <c r="G277" s="116"/>
    </row>
    <row r="278" spans="1:7" s="115" customFormat="1" ht="17.25" customHeight="1">
      <c r="A278" s="29">
        <v>41628</v>
      </c>
      <c r="B278" s="34" t="s">
        <v>264</v>
      </c>
      <c r="C278" s="5">
        <v>909.98796</v>
      </c>
      <c r="D278" s="78">
        <f>773489.76+136498.2</f>
        <v>909987.96</v>
      </c>
      <c r="E278" s="31">
        <v>33030</v>
      </c>
      <c r="F278" s="32">
        <v>4122</v>
      </c>
      <c r="G278" s="116"/>
    </row>
    <row r="279" spans="1:7" s="115" customFormat="1" ht="17.25" customHeight="1">
      <c r="A279" s="29">
        <v>41635</v>
      </c>
      <c r="B279" s="34" t="s">
        <v>261</v>
      </c>
      <c r="C279" s="5">
        <v>50</v>
      </c>
      <c r="D279" s="78">
        <v>50000</v>
      </c>
      <c r="E279" s="31">
        <v>331</v>
      </c>
      <c r="F279" s="32">
        <v>4122</v>
      </c>
      <c r="G279" s="116"/>
    </row>
    <row r="280" spans="1:7" s="115" customFormat="1" ht="17.25" customHeight="1">
      <c r="A280" s="29">
        <v>41631</v>
      </c>
      <c r="B280" s="34" t="s">
        <v>268</v>
      </c>
      <c r="C280" s="5">
        <v>431.48279</v>
      </c>
      <c r="D280" s="78">
        <v>431482.79</v>
      </c>
      <c r="E280" s="31">
        <v>33030</v>
      </c>
      <c r="F280" s="32">
        <v>4122</v>
      </c>
      <c r="G280" s="116"/>
    </row>
    <row r="281" spans="1:7" s="115" customFormat="1" ht="17.25" customHeight="1">
      <c r="A281" s="29"/>
      <c r="B281" s="34" t="s">
        <v>273</v>
      </c>
      <c r="C281" s="5">
        <v>87.466</v>
      </c>
      <c r="D281" s="78">
        <f>8466+79000</f>
        <v>87466</v>
      </c>
      <c r="E281" s="31">
        <v>14004</v>
      </c>
      <c r="F281" s="32">
        <v>4122</v>
      </c>
      <c r="G281" s="116"/>
    </row>
    <row r="282" spans="1:7" s="115" customFormat="1" ht="17.25" customHeight="1">
      <c r="A282" s="29"/>
      <c r="B282" s="34" t="s">
        <v>279</v>
      </c>
      <c r="C282" s="5">
        <f>80+60</f>
        <v>140</v>
      </c>
      <c r="D282" s="78">
        <f>80000+60000</f>
        <v>140000</v>
      </c>
      <c r="E282" s="31">
        <v>551</v>
      </c>
      <c r="F282" s="32">
        <v>4122</v>
      </c>
      <c r="G282" s="116"/>
    </row>
    <row r="283" spans="1:7" s="115" customFormat="1" ht="17.25" customHeight="1">
      <c r="A283" s="29"/>
      <c r="B283" s="34" t="s">
        <v>278</v>
      </c>
      <c r="C283" s="5">
        <v>1.83</v>
      </c>
      <c r="D283" s="78">
        <v>1830</v>
      </c>
      <c r="E283" s="31">
        <v>14004</v>
      </c>
      <c r="F283" s="32">
        <v>4122</v>
      </c>
      <c r="G283" s="116"/>
    </row>
    <row r="284" spans="1:7" s="115" customFormat="1" ht="17.25" customHeight="1">
      <c r="A284" s="29"/>
      <c r="B284" s="34" t="s">
        <v>302</v>
      </c>
      <c r="C284" s="5">
        <v>66</v>
      </c>
      <c r="D284" s="78">
        <v>66000</v>
      </c>
      <c r="E284" s="31">
        <v>14022</v>
      </c>
      <c r="F284" s="32">
        <v>4122</v>
      </c>
      <c r="G284" s="116"/>
    </row>
    <row r="285" spans="1:7" s="115" customFormat="1" ht="17.25" customHeight="1">
      <c r="A285" s="29"/>
      <c r="B285" s="34" t="s">
        <v>243</v>
      </c>
      <c r="C285" s="5">
        <v>70</v>
      </c>
      <c r="D285" s="78">
        <f>20000+50000</f>
        <v>70000</v>
      </c>
      <c r="E285" s="31">
        <v>551</v>
      </c>
      <c r="F285" s="32">
        <v>4122</v>
      </c>
      <c r="G285" s="116"/>
    </row>
    <row r="286" spans="1:7" s="115" customFormat="1" ht="17.25" customHeight="1">
      <c r="A286" s="29"/>
      <c r="B286" s="34" t="s">
        <v>280</v>
      </c>
      <c r="C286" s="5">
        <v>1.82</v>
      </c>
      <c r="D286" s="78">
        <v>1820</v>
      </c>
      <c r="E286" s="31">
        <v>14004</v>
      </c>
      <c r="F286" s="32">
        <v>4122</v>
      </c>
      <c r="G286" s="116"/>
    </row>
    <row r="287" spans="1:7" s="115" customFormat="1" ht="17.25" customHeight="1">
      <c r="A287" s="29"/>
      <c r="B287" s="34" t="s">
        <v>270</v>
      </c>
      <c r="C287" s="5">
        <v>103.062</v>
      </c>
      <c r="D287" s="78">
        <f>24062+79000</f>
        <v>103062</v>
      </c>
      <c r="E287" s="31">
        <v>14004</v>
      </c>
      <c r="F287" s="32">
        <v>4122</v>
      </c>
      <c r="G287" s="116"/>
    </row>
    <row r="288" spans="1:7" s="115" customFormat="1" ht="17.25" customHeight="1">
      <c r="A288" s="29"/>
      <c r="B288" s="34" t="s">
        <v>255</v>
      </c>
      <c r="C288" s="5">
        <v>31</v>
      </c>
      <c r="D288" s="78">
        <v>31000</v>
      </c>
      <c r="E288" s="31">
        <v>551</v>
      </c>
      <c r="F288" s="32">
        <v>4122</v>
      </c>
      <c r="G288" s="116"/>
    </row>
    <row r="289" spans="1:7" s="115" customFormat="1" ht="17.25" customHeight="1">
      <c r="A289" s="29"/>
      <c r="B289" s="98" t="s">
        <v>269</v>
      </c>
      <c r="C289" s="2">
        <v>46.462</v>
      </c>
      <c r="D289" s="81">
        <f>19462+27000</f>
        <v>46462</v>
      </c>
      <c r="E289" s="31">
        <v>14004</v>
      </c>
      <c r="F289" s="43">
        <v>4122</v>
      </c>
      <c r="G289" s="116"/>
    </row>
    <row r="290" spans="1:7" s="115" customFormat="1" ht="17.25" customHeight="1">
      <c r="A290" s="29"/>
      <c r="B290" s="98" t="s">
        <v>254</v>
      </c>
      <c r="C290" s="2">
        <v>28</v>
      </c>
      <c r="D290" s="81">
        <v>28000</v>
      </c>
      <c r="E290" s="31">
        <v>339</v>
      </c>
      <c r="F290" s="43">
        <v>4122</v>
      </c>
      <c r="G290" s="116"/>
    </row>
    <row r="291" spans="1:7" s="115" customFormat="1" ht="17.25" customHeight="1">
      <c r="A291" s="29"/>
      <c r="B291" s="34" t="s">
        <v>229</v>
      </c>
      <c r="C291" s="5">
        <v>10</v>
      </c>
      <c r="D291" s="78">
        <v>10000</v>
      </c>
      <c r="E291" s="31">
        <v>551</v>
      </c>
      <c r="F291" s="32">
        <v>4122</v>
      </c>
      <c r="G291" s="116"/>
    </row>
    <row r="292" spans="1:7" s="115" customFormat="1" ht="17.25" customHeight="1">
      <c r="A292" s="29"/>
      <c r="B292" s="34" t="s">
        <v>275</v>
      </c>
      <c r="C292" s="5">
        <v>80.495</v>
      </c>
      <c r="D292" s="78">
        <f>1495+79000</f>
        <v>80495</v>
      </c>
      <c r="E292" s="31">
        <v>14004</v>
      </c>
      <c r="F292" s="32">
        <v>4122</v>
      </c>
      <c r="G292" s="116"/>
    </row>
    <row r="293" spans="1:7" s="115" customFormat="1" ht="17.25" customHeight="1">
      <c r="A293" s="29"/>
      <c r="B293" s="34" t="s">
        <v>45</v>
      </c>
      <c r="C293" s="5">
        <v>1689.45022</v>
      </c>
      <c r="D293" s="78">
        <f>870713.85+435200.61+258986.97+124548.79</f>
        <v>1689450.22</v>
      </c>
      <c r="E293" s="31">
        <v>33006</v>
      </c>
      <c r="F293" s="32" t="s">
        <v>39</v>
      </c>
      <c r="G293" s="116"/>
    </row>
    <row r="294" spans="1:8" s="114" customFormat="1" ht="15.75">
      <c r="A294" s="29"/>
      <c r="B294" s="34" t="s">
        <v>77</v>
      </c>
      <c r="C294" s="5">
        <f>945.8162+367.41227</f>
        <v>1313.22847</v>
      </c>
      <c r="D294" s="78">
        <f>803943.77+141872.43+367412.27</f>
        <v>1313228.47</v>
      </c>
      <c r="E294" s="31">
        <v>33030</v>
      </c>
      <c r="F294" s="32">
        <v>4122</v>
      </c>
      <c r="G294" s="116"/>
      <c r="H294" s="115"/>
    </row>
    <row r="295" spans="1:8" s="114" customFormat="1" ht="15.75">
      <c r="A295" s="29"/>
      <c r="B295" s="34" t="s">
        <v>271</v>
      </c>
      <c r="C295" s="5">
        <v>45.257</v>
      </c>
      <c r="D295" s="78">
        <f>42257+3000</f>
        <v>45257</v>
      </c>
      <c r="E295" s="31">
        <v>14004</v>
      </c>
      <c r="F295" s="32">
        <v>4122</v>
      </c>
      <c r="G295" s="116"/>
      <c r="H295" s="115"/>
    </row>
    <row r="296" spans="1:8" s="114" customFormat="1" ht="15.75">
      <c r="A296" s="29"/>
      <c r="B296" s="34" t="s">
        <v>303</v>
      </c>
      <c r="C296" s="5">
        <v>199</v>
      </c>
      <c r="D296" s="78">
        <f>99500+99500</f>
        <v>199000</v>
      </c>
      <c r="E296" s="31">
        <v>14022</v>
      </c>
      <c r="F296" s="32">
        <v>4122</v>
      </c>
      <c r="G296" s="116"/>
      <c r="H296" s="115"/>
    </row>
    <row r="297" spans="1:8" s="114" customFormat="1" ht="15.75">
      <c r="A297" s="29"/>
      <c r="B297" s="34" t="s">
        <v>276</v>
      </c>
      <c r="C297" s="5">
        <v>82.03</v>
      </c>
      <c r="D297" s="78">
        <f>3030+79000</f>
        <v>82030</v>
      </c>
      <c r="E297" s="31">
        <v>14004</v>
      </c>
      <c r="F297" s="32">
        <v>4122</v>
      </c>
      <c r="G297" s="116"/>
      <c r="H297" s="115"/>
    </row>
    <row r="298" spans="1:7" s="115" customFormat="1" ht="17.25" customHeight="1">
      <c r="A298" s="29"/>
      <c r="B298" s="34" t="s">
        <v>245</v>
      </c>
      <c r="C298" s="5">
        <v>20</v>
      </c>
      <c r="D298" s="78">
        <v>20000</v>
      </c>
      <c r="E298" s="31">
        <v>331</v>
      </c>
      <c r="F298" s="32">
        <v>4122</v>
      </c>
      <c r="G298" s="113"/>
    </row>
    <row r="299" spans="1:7" s="115" customFormat="1" ht="17.25" customHeight="1">
      <c r="A299" s="29"/>
      <c r="B299" s="34" t="s">
        <v>304</v>
      </c>
      <c r="C299" s="5">
        <v>130</v>
      </c>
      <c r="D299" s="78">
        <v>130000</v>
      </c>
      <c r="E299" s="31">
        <v>551</v>
      </c>
      <c r="F299" s="32">
        <v>4122</v>
      </c>
      <c r="G299" s="116"/>
    </row>
    <row r="300" spans="1:7" s="115" customFormat="1" ht="17.25" customHeight="1">
      <c r="A300" s="29"/>
      <c r="B300" s="34" t="s">
        <v>272</v>
      </c>
      <c r="C300" s="5">
        <v>3.95</v>
      </c>
      <c r="D300" s="78">
        <v>3950</v>
      </c>
      <c r="E300" s="31">
        <v>14004</v>
      </c>
      <c r="F300" s="32">
        <v>4122</v>
      </c>
      <c r="G300" s="116"/>
    </row>
    <row r="301" spans="1:7" s="115" customFormat="1" ht="17.25" customHeight="1">
      <c r="A301" s="29"/>
      <c r="B301" s="34" t="s">
        <v>305</v>
      </c>
      <c r="C301" s="5">
        <v>66</v>
      </c>
      <c r="D301" s="78">
        <v>66000</v>
      </c>
      <c r="E301" s="31">
        <v>14022</v>
      </c>
      <c r="F301" s="32">
        <v>4122</v>
      </c>
      <c r="G301" s="116"/>
    </row>
    <row r="302" spans="1:7" s="115" customFormat="1" ht="17.25" customHeight="1">
      <c r="A302" s="29"/>
      <c r="B302" s="34" t="s">
        <v>281</v>
      </c>
      <c r="C302" s="5">
        <v>27</v>
      </c>
      <c r="D302" s="78">
        <v>27000</v>
      </c>
      <c r="E302" s="31">
        <v>14004</v>
      </c>
      <c r="F302" s="32">
        <v>4122</v>
      </c>
      <c r="G302" s="116"/>
    </row>
    <row r="303" spans="1:7" s="115" customFormat="1" ht="17.25" customHeight="1">
      <c r="A303" s="29"/>
      <c r="B303" s="34" t="s">
        <v>274</v>
      </c>
      <c r="C303" s="5">
        <v>91.559</v>
      </c>
      <c r="D303" s="78">
        <f>12559+79000</f>
        <v>91559</v>
      </c>
      <c r="E303" s="31">
        <v>14004</v>
      </c>
      <c r="F303" s="32">
        <v>4122</v>
      </c>
      <c r="G303" s="116"/>
    </row>
    <row r="304" spans="1:7" s="115" customFormat="1" ht="17.25" customHeight="1">
      <c r="A304" s="29"/>
      <c r="B304" s="34" t="s">
        <v>258</v>
      </c>
      <c r="C304" s="5">
        <v>25</v>
      </c>
      <c r="D304" s="78">
        <v>25000</v>
      </c>
      <c r="E304" s="31">
        <v>331</v>
      </c>
      <c r="F304" s="32">
        <v>4122</v>
      </c>
      <c r="G304" s="116"/>
    </row>
    <row r="305" spans="1:7" s="115" customFormat="1" ht="17.25" customHeight="1">
      <c r="A305" s="29"/>
      <c r="B305" s="34" t="s">
        <v>259</v>
      </c>
      <c r="C305" s="5">
        <v>70</v>
      </c>
      <c r="D305" s="78">
        <v>70000</v>
      </c>
      <c r="E305" s="31">
        <v>214</v>
      </c>
      <c r="F305" s="32">
        <v>4122</v>
      </c>
      <c r="G305" s="116"/>
    </row>
    <row r="306" spans="1:7" s="115" customFormat="1" ht="17.25" customHeight="1">
      <c r="A306" s="29"/>
      <c r="B306" s="34" t="s">
        <v>231</v>
      </c>
      <c r="C306" s="78">
        <v>146</v>
      </c>
      <c r="D306" s="78">
        <v>146000</v>
      </c>
      <c r="E306" s="31">
        <v>439</v>
      </c>
      <c r="F306" s="32">
        <v>4122</v>
      </c>
      <c r="G306" s="116"/>
    </row>
    <row r="307" spans="1:7" s="115" customFormat="1" ht="17.25" customHeight="1">
      <c r="A307" s="29"/>
      <c r="B307" s="34" t="s">
        <v>230</v>
      </c>
      <c r="C307" s="5">
        <v>200</v>
      </c>
      <c r="D307" s="78">
        <v>200000</v>
      </c>
      <c r="E307" s="31">
        <v>551</v>
      </c>
      <c r="F307" s="32">
        <v>4122</v>
      </c>
      <c r="G307" s="116"/>
    </row>
    <row r="308" spans="1:7" s="115" customFormat="1" ht="17.25" customHeight="1">
      <c r="A308" s="29"/>
      <c r="B308" s="34" t="s">
        <v>277</v>
      </c>
      <c r="C308" s="5">
        <v>79</v>
      </c>
      <c r="D308" s="78">
        <v>79000</v>
      </c>
      <c r="E308" s="31">
        <v>14004</v>
      </c>
      <c r="F308" s="32">
        <v>4122</v>
      </c>
      <c r="G308" s="116"/>
    </row>
    <row r="309" spans="1:7" s="115" customFormat="1" ht="17.25" customHeight="1">
      <c r="A309" s="29"/>
      <c r="B309" s="98"/>
      <c r="C309" s="2"/>
      <c r="D309" s="81"/>
      <c r="E309" s="31"/>
      <c r="F309" s="43"/>
      <c r="G309" s="116"/>
    </row>
    <row r="310" spans="1:7" s="115" customFormat="1" ht="17.25" customHeight="1">
      <c r="A310" s="29"/>
      <c r="B310" s="4" t="s">
        <v>160</v>
      </c>
      <c r="C310" s="7">
        <f>SUM(C311:C321)</f>
        <v>8222.952449999999</v>
      </c>
      <c r="D310" s="83">
        <f>+SUM(D311:D321)</f>
        <v>8222952.45</v>
      </c>
      <c r="E310" s="31"/>
      <c r="F310" s="43"/>
      <c r="G310" s="116"/>
    </row>
    <row r="311" spans="1:7" s="115" customFormat="1" ht="17.25" customHeight="1">
      <c r="A311" s="47">
        <v>41380</v>
      </c>
      <c r="B311" s="11" t="s">
        <v>81</v>
      </c>
      <c r="C311" s="5">
        <v>685.14725</v>
      </c>
      <c r="D311" s="125">
        <v>685147.25</v>
      </c>
      <c r="E311" s="38">
        <v>86005</v>
      </c>
      <c r="F311" s="32">
        <v>4123</v>
      </c>
      <c r="G311" s="116"/>
    </row>
    <row r="312" spans="1:7" s="115" customFormat="1" ht="17.25" customHeight="1">
      <c r="A312" s="29">
        <v>41380</v>
      </c>
      <c r="B312" s="34" t="s">
        <v>81</v>
      </c>
      <c r="C312" s="5">
        <v>60.45417</v>
      </c>
      <c r="D312" s="79">
        <v>60454.17</v>
      </c>
      <c r="E312" s="31">
        <v>86001</v>
      </c>
      <c r="F312" s="32">
        <v>4123</v>
      </c>
      <c r="G312" s="116"/>
    </row>
    <row r="313" spans="1:7" s="115" customFormat="1" ht="17.25" customHeight="1">
      <c r="A313" s="29">
        <v>41380</v>
      </c>
      <c r="B313" s="34" t="s">
        <v>83</v>
      </c>
      <c r="C313" s="5">
        <v>1481.23838</v>
      </c>
      <c r="D313" s="79">
        <v>1481238.38</v>
      </c>
      <c r="E313" s="31">
        <v>86005</v>
      </c>
      <c r="F313" s="32">
        <v>4123</v>
      </c>
      <c r="G313" s="116"/>
    </row>
    <row r="314" spans="1:7" s="115" customFormat="1" ht="17.25" customHeight="1">
      <c r="A314" s="29">
        <v>41380</v>
      </c>
      <c r="B314" s="34" t="s">
        <v>83</v>
      </c>
      <c r="C314" s="5">
        <v>130.69751</v>
      </c>
      <c r="D314" s="79">
        <v>130697.51</v>
      </c>
      <c r="E314" s="31">
        <v>86001</v>
      </c>
      <c r="F314" s="32">
        <v>4123</v>
      </c>
      <c r="G314" s="116"/>
    </row>
    <row r="315" spans="1:7" s="115" customFormat="1" ht="17.25" customHeight="1">
      <c r="A315" s="29">
        <v>41401</v>
      </c>
      <c r="B315" s="34" t="s">
        <v>149</v>
      </c>
      <c r="C315" s="5">
        <v>3743.4</v>
      </c>
      <c r="D315" s="79">
        <v>3743400</v>
      </c>
      <c r="E315" s="31">
        <v>86005</v>
      </c>
      <c r="F315" s="32">
        <v>4123</v>
      </c>
      <c r="G315" s="116"/>
    </row>
    <row r="316" spans="1:7" s="115" customFormat="1" ht="17.25" customHeight="1">
      <c r="A316" s="29">
        <v>41401</v>
      </c>
      <c r="B316" s="34" t="s">
        <v>149</v>
      </c>
      <c r="C316" s="5">
        <v>330.3</v>
      </c>
      <c r="D316" s="79">
        <v>330300</v>
      </c>
      <c r="E316" s="31">
        <v>86001</v>
      </c>
      <c r="F316" s="32">
        <v>4123</v>
      </c>
      <c r="G316" s="116"/>
    </row>
    <row r="317" spans="1:7" s="115" customFormat="1" ht="17.25" customHeight="1">
      <c r="A317" s="29">
        <v>41407</v>
      </c>
      <c r="B317" s="34" t="s">
        <v>96</v>
      </c>
      <c r="C317" s="5">
        <v>991.4757</v>
      </c>
      <c r="D317" s="79">
        <v>991475.7</v>
      </c>
      <c r="E317" s="31">
        <v>86005</v>
      </c>
      <c r="F317" s="32">
        <v>4123</v>
      </c>
      <c r="G317" s="116"/>
    </row>
    <row r="318" spans="1:7" s="115" customFormat="1" ht="17.25" customHeight="1">
      <c r="A318" s="104">
        <v>41407</v>
      </c>
      <c r="B318" s="34" t="s">
        <v>96</v>
      </c>
      <c r="C318" s="5">
        <v>87.48315</v>
      </c>
      <c r="D318" s="79">
        <v>87483.15</v>
      </c>
      <c r="E318" s="106">
        <v>86001</v>
      </c>
      <c r="F318" s="32">
        <v>4123</v>
      </c>
      <c r="G318" s="116"/>
    </row>
    <row r="319" spans="1:7" s="115" customFormat="1" ht="17.25" customHeight="1">
      <c r="A319" s="104">
        <v>41550</v>
      </c>
      <c r="B319" s="34" t="s">
        <v>81</v>
      </c>
      <c r="C319" s="5">
        <v>654.96524</v>
      </c>
      <c r="D319" s="79">
        <v>654965.24</v>
      </c>
      <c r="E319" s="106">
        <v>86005</v>
      </c>
      <c r="F319" s="32">
        <v>4123</v>
      </c>
      <c r="G319" s="116"/>
    </row>
    <row r="320" spans="1:7" s="115" customFormat="1" ht="17.25" customHeight="1">
      <c r="A320" s="104">
        <v>41550</v>
      </c>
      <c r="B320" s="34" t="s">
        <v>81</v>
      </c>
      <c r="C320" s="5">
        <v>57.79105</v>
      </c>
      <c r="D320" s="79">
        <v>57791.05</v>
      </c>
      <c r="E320" s="106">
        <v>86001</v>
      </c>
      <c r="F320" s="32">
        <v>4123</v>
      </c>
      <c r="G320" s="116"/>
    </row>
    <row r="321" spans="1:8" ht="17.25" customHeight="1">
      <c r="A321" s="35"/>
      <c r="B321" s="62"/>
      <c r="C321" s="110"/>
      <c r="D321" s="81"/>
      <c r="E321" s="6"/>
      <c r="F321" s="32"/>
      <c r="G321" s="116"/>
      <c r="H321" s="115"/>
    </row>
    <row r="322" spans="1:7" s="115" customFormat="1" ht="17.25" customHeight="1">
      <c r="A322" s="29"/>
      <c r="B322" s="111" t="s">
        <v>1</v>
      </c>
      <c r="C322" s="4">
        <f>+C323+C324+C325</f>
        <v>1600</v>
      </c>
      <c r="D322" s="80">
        <f>+D323+D324+D325</f>
        <v>1599787.74</v>
      </c>
      <c r="E322" s="31"/>
      <c r="F322" s="43"/>
      <c r="G322" s="116"/>
    </row>
    <row r="323" spans="1:8" ht="17.25" customHeight="1">
      <c r="A323" s="29">
        <v>41285</v>
      </c>
      <c r="B323" s="33" t="s">
        <v>2</v>
      </c>
      <c r="C323" s="3">
        <v>178</v>
      </c>
      <c r="D323" s="82">
        <v>178191.58</v>
      </c>
      <c r="E323" s="6"/>
      <c r="F323" s="32">
        <v>4151</v>
      </c>
      <c r="G323" s="116"/>
      <c r="H323" s="115"/>
    </row>
    <row r="324" spans="1:8" s="77" customFormat="1" ht="17.25" customHeight="1">
      <c r="A324" s="73">
        <v>41481</v>
      </c>
      <c r="B324" s="87" t="s">
        <v>169</v>
      </c>
      <c r="C324" s="82">
        <v>533</v>
      </c>
      <c r="D324" s="82">
        <v>532907.3</v>
      </c>
      <c r="E324" s="99"/>
      <c r="F324" s="100">
        <v>4151</v>
      </c>
      <c r="G324" s="116"/>
      <c r="H324" s="115"/>
    </row>
    <row r="325" spans="1:8" s="77" customFormat="1" ht="17.25" customHeight="1">
      <c r="A325" s="73">
        <v>41537</v>
      </c>
      <c r="B325" s="87" t="s">
        <v>169</v>
      </c>
      <c r="C325" s="82">
        <v>889</v>
      </c>
      <c r="D325" s="82">
        <v>888688.86</v>
      </c>
      <c r="E325" s="99"/>
      <c r="F325" s="100">
        <v>4151</v>
      </c>
      <c r="G325" s="76"/>
      <c r="H325" s="115"/>
    </row>
    <row r="326" spans="1:7" s="115" customFormat="1" ht="17.25" customHeight="1">
      <c r="A326" s="29"/>
      <c r="B326" s="33"/>
      <c r="C326" s="3"/>
      <c r="D326" s="82"/>
      <c r="E326" s="31"/>
      <c r="F326" s="32"/>
      <c r="G326" s="76"/>
    </row>
    <row r="327" spans="1:7" s="115" customFormat="1" ht="17.25" customHeight="1">
      <c r="A327" s="29"/>
      <c r="B327" s="30" t="s">
        <v>40</v>
      </c>
      <c r="C327" s="4">
        <f>+SUM(C328:C340)</f>
        <v>15895</v>
      </c>
      <c r="D327" s="80">
        <f>+SUM(D328:D340)</f>
        <v>16333370.31</v>
      </c>
      <c r="E327" s="31"/>
      <c r="F327" s="32"/>
      <c r="G327" s="116"/>
    </row>
    <row r="328" spans="1:7" s="115" customFormat="1" ht="17.25" customHeight="1">
      <c r="A328" s="29">
        <v>41292</v>
      </c>
      <c r="B328" s="34" t="s">
        <v>55</v>
      </c>
      <c r="C328" s="5">
        <v>7489</v>
      </c>
      <c r="D328" s="79">
        <v>7488665.8</v>
      </c>
      <c r="E328" s="31"/>
      <c r="F328" s="32" t="s">
        <v>41</v>
      </c>
      <c r="G328" s="116"/>
    </row>
    <row r="329" spans="1:7" s="115" customFormat="1" ht="17.25" customHeight="1">
      <c r="A329" s="29">
        <v>41298</v>
      </c>
      <c r="B329" s="34" t="s">
        <v>64</v>
      </c>
      <c r="C329" s="5">
        <v>388</v>
      </c>
      <c r="D329" s="79">
        <v>387126.55</v>
      </c>
      <c r="E329" s="31"/>
      <c r="F329" s="32">
        <v>4152</v>
      </c>
      <c r="G329" s="116"/>
    </row>
    <row r="330" spans="1:7" s="115" customFormat="1" ht="17.25" customHeight="1">
      <c r="A330" s="29">
        <v>41310</v>
      </c>
      <c r="B330" s="34" t="s">
        <v>236</v>
      </c>
      <c r="C330" s="5">
        <v>347</v>
      </c>
      <c r="D330" s="79">
        <v>346847.23</v>
      </c>
      <c r="E330" s="31"/>
      <c r="F330" s="32" t="s">
        <v>41</v>
      </c>
      <c r="G330" s="116"/>
    </row>
    <row r="331" spans="1:8" ht="18" customHeight="1">
      <c r="A331" s="29">
        <v>41379</v>
      </c>
      <c r="B331" s="34" t="s">
        <v>87</v>
      </c>
      <c r="C331" s="5">
        <v>1346</v>
      </c>
      <c r="D331" s="79">
        <v>1345724.5</v>
      </c>
      <c r="E331" s="6"/>
      <c r="F331" s="32">
        <v>4152</v>
      </c>
      <c r="G331" s="116"/>
      <c r="H331" s="115"/>
    </row>
    <row r="332" spans="1:8" ht="18" customHeight="1">
      <c r="A332" s="29">
        <v>41389</v>
      </c>
      <c r="B332" s="34" t="s">
        <v>64</v>
      </c>
      <c r="C332" s="5">
        <v>204</v>
      </c>
      <c r="D332" s="79">
        <v>203732.34</v>
      </c>
      <c r="E332" s="6"/>
      <c r="F332" s="32">
        <v>4152</v>
      </c>
      <c r="G332" s="116"/>
      <c r="H332" s="115"/>
    </row>
    <row r="333" spans="1:8" ht="18" customHeight="1">
      <c r="A333" s="29">
        <v>41411</v>
      </c>
      <c r="B333" s="34" t="s">
        <v>114</v>
      </c>
      <c r="C333" s="5">
        <v>555</v>
      </c>
      <c r="D333" s="79">
        <v>555007.64</v>
      </c>
      <c r="E333" s="6"/>
      <c r="F333" s="32">
        <v>4152</v>
      </c>
      <c r="G333" s="116"/>
      <c r="H333" s="115"/>
    </row>
    <row r="334" spans="1:8" ht="18" customHeight="1">
      <c r="A334" s="29">
        <v>41414</v>
      </c>
      <c r="B334" s="34" t="s">
        <v>115</v>
      </c>
      <c r="C334" s="5">
        <v>2911</v>
      </c>
      <c r="D334" s="79">
        <v>2910655.42</v>
      </c>
      <c r="E334" s="6"/>
      <c r="F334" s="32">
        <v>4152</v>
      </c>
      <c r="G334" s="116"/>
      <c r="H334" s="115"/>
    </row>
    <row r="335" spans="1:8" ht="18" customHeight="1">
      <c r="A335" s="29">
        <v>41459</v>
      </c>
      <c r="B335" s="34" t="s">
        <v>236</v>
      </c>
      <c r="C335" s="5">
        <v>102</v>
      </c>
      <c r="D335" s="79">
        <v>101442.59</v>
      </c>
      <c r="E335" s="6"/>
      <c r="F335" s="32">
        <v>4152</v>
      </c>
      <c r="G335" s="116"/>
      <c r="H335" s="115"/>
    </row>
    <row r="336" spans="1:8" s="77" customFormat="1" ht="18" customHeight="1">
      <c r="A336" s="73">
        <v>41480</v>
      </c>
      <c r="B336" s="34" t="s">
        <v>170</v>
      </c>
      <c r="C336" s="78">
        <v>1444</v>
      </c>
      <c r="D336" s="79">
        <v>1443715.35</v>
      </c>
      <c r="E336" s="99"/>
      <c r="F336" s="100">
        <v>4152</v>
      </c>
      <c r="G336" s="116"/>
      <c r="H336" s="115"/>
    </row>
    <row r="337" spans="1:8" s="77" customFormat="1" ht="18" customHeight="1">
      <c r="A337" s="73">
        <v>41495</v>
      </c>
      <c r="B337" s="34" t="s">
        <v>236</v>
      </c>
      <c r="C337" s="78">
        <v>37</v>
      </c>
      <c r="D337" s="79">
        <v>37263.48</v>
      </c>
      <c r="E337" s="99"/>
      <c r="F337" s="100">
        <v>4152</v>
      </c>
      <c r="G337" s="76"/>
      <c r="H337" s="115"/>
    </row>
    <row r="338" spans="1:8" s="77" customFormat="1" ht="18" customHeight="1">
      <c r="A338" s="73">
        <v>41625</v>
      </c>
      <c r="B338" s="34" t="s">
        <v>236</v>
      </c>
      <c r="C338" s="78">
        <v>0</v>
      </c>
      <c r="D338" s="79">
        <v>384307.53</v>
      </c>
      <c r="E338" s="99"/>
      <c r="F338" s="100">
        <v>4152</v>
      </c>
      <c r="G338" s="76"/>
      <c r="H338" s="115"/>
    </row>
    <row r="339" spans="1:8" s="77" customFormat="1" ht="18" customHeight="1">
      <c r="A339" s="73">
        <v>41631</v>
      </c>
      <c r="B339" s="34" t="s">
        <v>236</v>
      </c>
      <c r="C339" s="78">
        <v>0</v>
      </c>
      <c r="D339" s="79">
        <v>56463.08</v>
      </c>
      <c r="E339" s="99"/>
      <c r="F339" s="100">
        <v>4152</v>
      </c>
      <c r="G339" s="76"/>
      <c r="H339" s="115"/>
    </row>
    <row r="340" spans="1:8" s="77" customFormat="1" ht="18" customHeight="1">
      <c r="A340" s="73"/>
      <c r="B340" s="34" t="s">
        <v>217</v>
      </c>
      <c r="C340" s="78">
        <v>1072</v>
      </c>
      <c r="D340" s="79">
        <v>1072418.8</v>
      </c>
      <c r="E340" s="99"/>
      <c r="F340" s="100">
        <v>4152</v>
      </c>
      <c r="G340" s="76"/>
      <c r="H340" s="115"/>
    </row>
    <row r="341" spans="1:8" ht="18" customHeight="1">
      <c r="A341" s="35"/>
      <c r="B341" s="34"/>
      <c r="C341" s="1"/>
      <c r="D341" s="79"/>
      <c r="E341" s="6"/>
      <c r="F341" s="36"/>
      <c r="G341" s="76"/>
      <c r="H341" s="115"/>
    </row>
    <row r="342" spans="1:7" s="115" customFormat="1" ht="15" customHeight="1">
      <c r="A342" s="29"/>
      <c r="B342" s="37" t="s">
        <v>208</v>
      </c>
      <c r="C342" s="7">
        <f>+C327+C199+C132+C128+C109+C89+C33+C11+C6+C114+C322+C310+C195+C55+C148+C182+C20+C174+C29</f>
        <v>211615.06586</v>
      </c>
      <c r="D342" s="83">
        <f>+D327+D199+D132+D128+D109+D89+D33+D11+D6+D114+D322+D310+D195+D55+D148+D182+D20+D174+D29</f>
        <v>210974709.91</v>
      </c>
      <c r="E342" s="8"/>
      <c r="F342" s="38"/>
      <c r="G342" s="116"/>
    </row>
    <row r="343" spans="1:7" s="115" customFormat="1" ht="18" customHeight="1" thickBot="1">
      <c r="A343" s="39"/>
      <c r="B343" s="40"/>
      <c r="C343" s="9"/>
      <c r="D343" s="92"/>
      <c r="E343" s="10"/>
      <c r="F343" s="41"/>
      <c r="G343" s="116"/>
    </row>
    <row r="344" spans="1:7" s="115" customFormat="1" ht="10.5" customHeight="1">
      <c r="A344" s="44"/>
      <c r="B344" s="11"/>
      <c r="C344" s="11"/>
      <c r="D344" s="93"/>
      <c r="E344" s="12"/>
      <c r="F344" s="12"/>
      <c r="G344" s="116"/>
    </row>
    <row r="345" spans="1:7" s="115" customFormat="1" ht="16.5" customHeight="1" thickBot="1">
      <c r="A345" s="44"/>
      <c r="B345" s="11"/>
      <c r="C345" s="11"/>
      <c r="D345" s="93"/>
      <c r="E345" s="12"/>
      <c r="F345" s="12"/>
      <c r="G345" s="116"/>
    </row>
    <row r="346" spans="1:7" s="115" customFormat="1" ht="17.25" customHeight="1">
      <c r="A346" s="45"/>
      <c r="B346" s="13"/>
      <c r="C346" s="13"/>
      <c r="D346" s="90"/>
      <c r="E346" s="14"/>
      <c r="F346" s="14"/>
      <c r="G346" s="116"/>
    </row>
    <row r="347" spans="1:7" s="115" customFormat="1" ht="17.25" customHeight="1" thickBot="1">
      <c r="A347" s="46" t="s">
        <v>5</v>
      </c>
      <c r="B347" s="15" t="s">
        <v>209</v>
      </c>
      <c r="C347" s="15" t="s">
        <v>6</v>
      </c>
      <c r="D347" s="85" t="s">
        <v>7</v>
      </c>
      <c r="E347" s="16" t="s">
        <v>8</v>
      </c>
      <c r="F347" s="16" t="s">
        <v>9</v>
      </c>
      <c r="G347" s="116"/>
    </row>
    <row r="348" spans="1:7" s="115" customFormat="1" ht="17.25" customHeight="1">
      <c r="A348" s="29"/>
      <c r="B348" s="42" t="s">
        <v>17</v>
      </c>
      <c r="C348" s="18">
        <f>+SUM(C349:C368)</f>
        <v>32475.02714</v>
      </c>
      <c r="D348" s="84">
        <f>+SUM(D349:D368)</f>
        <v>32475027.139999997</v>
      </c>
      <c r="E348" s="32"/>
      <c r="F348" s="32"/>
      <c r="G348" s="116"/>
    </row>
    <row r="349" spans="1:7" s="115" customFormat="1" ht="17.25" customHeight="1">
      <c r="A349" s="29">
        <v>41429</v>
      </c>
      <c r="B349" s="33" t="s">
        <v>118</v>
      </c>
      <c r="C349" s="3">
        <v>16672.75171</v>
      </c>
      <c r="D349" s="82">
        <v>16672751.71</v>
      </c>
      <c r="E349" s="32">
        <v>90877</v>
      </c>
      <c r="F349" s="32">
        <v>4213</v>
      </c>
      <c r="G349" s="116"/>
    </row>
    <row r="350" spans="1:7" s="115" customFormat="1" ht="17.25" customHeight="1">
      <c r="A350" s="29">
        <v>41481</v>
      </c>
      <c r="B350" s="33" t="s">
        <v>118</v>
      </c>
      <c r="C350" s="17">
        <v>2313.65893</v>
      </c>
      <c r="D350" s="74">
        <v>2313658.93</v>
      </c>
      <c r="E350" s="32">
        <v>90877</v>
      </c>
      <c r="F350" s="32">
        <v>4213</v>
      </c>
      <c r="G350" s="116"/>
    </row>
    <row r="351" spans="1:7" s="115" customFormat="1" ht="17.25" customHeight="1">
      <c r="A351" s="29">
        <v>41491</v>
      </c>
      <c r="B351" s="33" t="s">
        <v>173</v>
      </c>
      <c r="C351" s="17">
        <v>325.09611</v>
      </c>
      <c r="D351" s="74">
        <v>325096.11</v>
      </c>
      <c r="E351" s="32">
        <v>90877</v>
      </c>
      <c r="F351" s="32">
        <v>4213</v>
      </c>
      <c r="G351" s="116"/>
    </row>
    <row r="352" spans="1:7" s="115" customFormat="1" ht="17.25" customHeight="1">
      <c r="A352" s="29">
        <v>41515</v>
      </c>
      <c r="B352" s="33" t="s">
        <v>118</v>
      </c>
      <c r="C352" s="17">
        <v>2577.1849</v>
      </c>
      <c r="D352" s="74">
        <v>2577184.9</v>
      </c>
      <c r="E352" s="32">
        <v>90877</v>
      </c>
      <c r="F352" s="32">
        <v>4213</v>
      </c>
      <c r="G352" s="116"/>
    </row>
    <row r="353" spans="1:7" s="115" customFormat="1" ht="17.25" customHeight="1">
      <c r="A353" s="29">
        <v>41527</v>
      </c>
      <c r="B353" s="33" t="s">
        <v>173</v>
      </c>
      <c r="C353" s="17">
        <v>75.34716</v>
      </c>
      <c r="D353" s="74">
        <v>75347.16</v>
      </c>
      <c r="E353" s="32">
        <v>90877</v>
      </c>
      <c r="F353" s="32">
        <v>4213</v>
      </c>
      <c r="G353" s="116"/>
    </row>
    <row r="354" spans="1:7" s="115" customFormat="1" ht="17.25" customHeight="1">
      <c r="A354" s="29">
        <v>41550</v>
      </c>
      <c r="B354" s="33" t="s">
        <v>198</v>
      </c>
      <c r="C354" s="17">
        <v>114.44193</v>
      </c>
      <c r="D354" s="74">
        <v>114441.93</v>
      </c>
      <c r="E354" s="32">
        <v>90877</v>
      </c>
      <c r="F354" s="32">
        <v>4213</v>
      </c>
      <c r="G354" s="116"/>
    </row>
    <row r="355" spans="1:7" s="77" customFormat="1" ht="17.25" customHeight="1">
      <c r="A355" s="73">
        <v>41571</v>
      </c>
      <c r="B355" s="87" t="s">
        <v>216</v>
      </c>
      <c r="C355" s="74">
        <v>684.50878</v>
      </c>
      <c r="D355" s="74">
        <v>684508.78</v>
      </c>
      <c r="E355" s="100">
        <v>90877</v>
      </c>
      <c r="F355" s="100">
        <v>4213</v>
      </c>
      <c r="G355" s="76"/>
    </row>
    <row r="356" spans="1:7" s="115" customFormat="1" ht="17.25" customHeight="1">
      <c r="A356" s="29">
        <v>41572</v>
      </c>
      <c r="B356" s="33" t="s">
        <v>118</v>
      </c>
      <c r="C356" s="17">
        <v>4380.26816</v>
      </c>
      <c r="D356" s="74">
        <v>4380268.16</v>
      </c>
      <c r="E356" s="32">
        <v>90877</v>
      </c>
      <c r="F356" s="32">
        <v>4213</v>
      </c>
      <c r="G356" s="116"/>
    </row>
    <row r="357" spans="1:7" s="115" customFormat="1" ht="17.25" customHeight="1">
      <c r="A357" s="29">
        <v>41604</v>
      </c>
      <c r="B357" s="33" t="s">
        <v>118</v>
      </c>
      <c r="C357" s="17">
        <v>3389.00146</v>
      </c>
      <c r="D357" s="74">
        <v>3389001.46</v>
      </c>
      <c r="E357" s="32">
        <v>90877</v>
      </c>
      <c r="F357" s="32">
        <v>4213</v>
      </c>
      <c r="G357" s="116"/>
    </row>
    <row r="358" spans="1:7" s="115" customFormat="1" ht="17.25" customHeight="1">
      <c r="A358" s="29">
        <v>41606</v>
      </c>
      <c r="B358" s="33" t="s">
        <v>232</v>
      </c>
      <c r="C358" s="17">
        <v>871.28415</v>
      </c>
      <c r="D358" s="74">
        <v>871284.15</v>
      </c>
      <c r="E358" s="32">
        <v>90877</v>
      </c>
      <c r="F358" s="32">
        <v>4213</v>
      </c>
      <c r="G358" s="116"/>
    </row>
    <row r="359" spans="1:7" s="115" customFormat="1" ht="17.25" customHeight="1">
      <c r="A359" s="29">
        <v>41613</v>
      </c>
      <c r="B359" s="33" t="s">
        <v>198</v>
      </c>
      <c r="C359" s="17">
        <v>31.89949</v>
      </c>
      <c r="D359" s="74">
        <v>31899.49</v>
      </c>
      <c r="E359" s="32">
        <v>90877</v>
      </c>
      <c r="F359" s="32">
        <v>4213</v>
      </c>
      <c r="G359" s="116"/>
    </row>
    <row r="360" spans="1:7" s="115" customFormat="1" ht="17.25" customHeight="1">
      <c r="A360" s="29"/>
      <c r="B360" s="33" t="s">
        <v>246</v>
      </c>
      <c r="C360" s="17">
        <v>98.09015</v>
      </c>
      <c r="D360" s="74">
        <v>98090.15</v>
      </c>
      <c r="E360" s="32">
        <v>90877</v>
      </c>
      <c r="F360" s="32">
        <v>4213</v>
      </c>
      <c r="G360" s="116"/>
    </row>
    <row r="361" spans="1:7" s="115" customFormat="1" ht="17.25" customHeight="1">
      <c r="A361" s="29"/>
      <c r="B361" s="33" t="s">
        <v>237</v>
      </c>
      <c r="C361" s="17">
        <v>86.92101</v>
      </c>
      <c r="D361" s="74">
        <f>86921.01</f>
        <v>86921.01</v>
      </c>
      <c r="E361" s="32">
        <v>90877</v>
      </c>
      <c r="F361" s="32">
        <v>4213</v>
      </c>
      <c r="G361" s="116"/>
    </row>
    <row r="362" spans="1:7" s="115" customFormat="1" ht="17.25" customHeight="1">
      <c r="A362" s="29"/>
      <c r="B362" s="33" t="s">
        <v>285</v>
      </c>
      <c r="C362" s="17">
        <v>56.44387</v>
      </c>
      <c r="D362" s="74">
        <v>56443.87</v>
      </c>
      <c r="E362" s="32">
        <v>90877</v>
      </c>
      <c r="F362" s="32">
        <v>4213</v>
      </c>
      <c r="G362" s="116"/>
    </row>
    <row r="363" spans="1:7" s="115" customFormat="1" ht="17.25" customHeight="1">
      <c r="A363" s="29"/>
      <c r="B363" s="33" t="s">
        <v>286</v>
      </c>
      <c r="C363" s="17">
        <v>53.09319</v>
      </c>
      <c r="D363" s="74">
        <v>53093.19</v>
      </c>
      <c r="E363" s="32">
        <v>90877</v>
      </c>
      <c r="F363" s="32">
        <v>4213</v>
      </c>
      <c r="G363" s="116"/>
    </row>
    <row r="364" spans="1:7" s="115" customFormat="1" ht="17.25" customHeight="1">
      <c r="A364" s="29"/>
      <c r="B364" s="33" t="s">
        <v>116</v>
      </c>
      <c r="C364" s="3">
        <v>39.681</v>
      </c>
      <c r="D364" s="74">
        <v>39681</v>
      </c>
      <c r="E364" s="32">
        <v>90909</v>
      </c>
      <c r="F364" s="32">
        <v>4213</v>
      </c>
      <c r="G364" s="116"/>
    </row>
    <row r="365" spans="1:7" s="115" customFormat="1" ht="17.25" customHeight="1">
      <c r="A365" s="29"/>
      <c r="B365" s="33" t="s">
        <v>244</v>
      </c>
      <c r="C365" s="17">
        <v>435.39415</v>
      </c>
      <c r="D365" s="74">
        <v>435394.15</v>
      </c>
      <c r="E365" s="32">
        <v>90877</v>
      </c>
      <c r="F365" s="32">
        <v>4213</v>
      </c>
      <c r="G365" s="116"/>
    </row>
    <row r="366" spans="1:7" s="115" customFormat="1" ht="17.25" customHeight="1">
      <c r="A366" s="29"/>
      <c r="B366" s="33" t="s">
        <v>247</v>
      </c>
      <c r="C366" s="17">
        <v>114.66999</v>
      </c>
      <c r="D366" s="74">
        <v>114669.99</v>
      </c>
      <c r="E366" s="32">
        <v>90877</v>
      </c>
      <c r="F366" s="32">
        <v>4213</v>
      </c>
      <c r="G366" s="116"/>
    </row>
    <row r="367" spans="1:7" s="115" customFormat="1" ht="17.25" customHeight="1">
      <c r="A367" s="29"/>
      <c r="B367" s="33" t="s">
        <v>233</v>
      </c>
      <c r="C367" s="17">
        <v>155.291</v>
      </c>
      <c r="D367" s="74">
        <v>155291</v>
      </c>
      <c r="E367" s="32">
        <v>90877</v>
      </c>
      <c r="F367" s="32">
        <v>4213</v>
      </c>
      <c r="G367" s="116"/>
    </row>
    <row r="368" spans="1:7" s="115" customFormat="1" ht="17.25" customHeight="1">
      <c r="A368" s="29"/>
      <c r="B368" s="33"/>
      <c r="C368" s="17"/>
      <c r="D368" s="84"/>
      <c r="E368" s="32"/>
      <c r="F368" s="32"/>
      <c r="G368" s="116"/>
    </row>
    <row r="369" spans="1:7" s="115" customFormat="1" ht="17.25" customHeight="1">
      <c r="A369" s="29"/>
      <c r="B369" s="50" t="s">
        <v>227</v>
      </c>
      <c r="C369" s="18">
        <f>+C370</f>
        <v>6897.93039</v>
      </c>
      <c r="D369" s="84">
        <f>+D370</f>
        <v>6897930.39</v>
      </c>
      <c r="E369" s="32"/>
      <c r="F369" s="32"/>
      <c r="G369" s="116"/>
    </row>
    <row r="370" spans="1:7" s="115" customFormat="1" ht="17.25" customHeight="1">
      <c r="A370" s="29">
        <v>41592</v>
      </c>
      <c r="B370" s="33" t="s">
        <v>228</v>
      </c>
      <c r="C370" s="17">
        <v>6897.93039</v>
      </c>
      <c r="D370" s="74">
        <v>6897930.39</v>
      </c>
      <c r="E370" s="32">
        <v>27781</v>
      </c>
      <c r="F370" s="32">
        <v>4216</v>
      </c>
      <c r="G370" s="116"/>
    </row>
    <row r="371" spans="1:7" s="115" customFormat="1" ht="17.25" customHeight="1">
      <c r="A371" s="29"/>
      <c r="B371" s="33"/>
      <c r="C371" s="17"/>
      <c r="D371" s="74"/>
      <c r="E371" s="32"/>
      <c r="F371" s="32"/>
      <c r="G371" s="116"/>
    </row>
    <row r="372" spans="1:7" s="115" customFormat="1" ht="17.25" customHeight="1">
      <c r="A372" s="29"/>
      <c r="B372" s="50" t="s">
        <v>32</v>
      </c>
      <c r="C372" s="18">
        <f>+C373</f>
        <v>90</v>
      </c>
      <c r="D372" s="84">
        <f>+D373</f>
        <v>90000</v>
      </c>
      <c r="E372" s="32"/>
      <c r="F372" s="32"/>
      <c r="G372" s="116"/>
    </row>
    <row r="373" spans="1:7" s="115" customFormat="1" ht="17.25" customHeight="1">
      <c r="A373" s="29">
        <v>41582</v>
      </c>
      <c r="B373" s="33" t="s">
        <v>226</v>
      </c>
      <c r="C373" s="17">
        <v>90</v>
      </c>
      <c r="D373" s="74">
        <v>90000</v>
      </c>
      <c r="E373" s="32">
        <v>34544</v>
      </c>
      <c r="F373" s="32">
        <v>4216</v>
      </c>
      <c r="G373" s="116"/>
    </row>
    <row r="374" spans="1:7" s="115" customFormat="1" ht="17.25" customHeight="1">
      <c r="A374" s="29"/>
      <c r="B374" s="33"/>
      <c r="C374" s="17"/>
      <c r="D374" s="84"/>
      <c r="E374" s="32"/>
      <c r="F374" s="32"/>
      <c r="G374" s="116"/>
    </row>
    <row r="375" spans="1:7" s="115" customFormat="1" ht="17.25" customHeight="1">
      <c r="A375" s="29"/>
      <c r="B375" s="42" t="s">
        <v>122</v>
      </c>
      <c r="C375" s="18">
        <f>+C376+C377+C378+C379+C380+C381+C382</f>
        <v>28095.827</v>
      </c>
      <c r="D375" s="84">
        <f>+D376+D377+D378+D379+D380+D381+D382</f>
        <v>28095827</v>
      </c>
      <c r="E375" s="32"/>
      <c r="F375" s="32"/>
      <c r="G375" s="116"/>
    </row>
    <row r="376" spans="1:7" s="115" customFormat="1" ht="17.25" customHeight="1">
      <c r="A376" s="29">
        <v>41450</v>
      </c>
      <c r="B376" s="33" t="s">
        <v>123</v>
      </c>
      <c r="C376" s="17">
        <v>7428.337</v>
      </c>
      <c r="D376" s="82">
        <v>7428337</v>
      </c>
      <c r="E376" s="32">
        <v>17871</v>
      </c>
      <c r="F376" s="32">
        <v>4216</v>
      </c>
      <c r="G376" s="116"/>
    </row>
    <row r="377" spans="1:7" s="115" customFormat="1" ht="17.25" customHeight="1">
      <c r="A377" s="29">
        <v>41450</v>
      </c>
      <c r="B377" s="33" t="s">
        <v>123</v>
      </c>
      <c r="C377" s="17">
        <v>1310.883</v>
      </c>
      <c r="D377" s="82">
        <v>1310883</v>
      </c>
      <c r="E377" s="32">
        <v>17870</v>
      </c>
      <c r="F377" s="32">
        <v>4216</v>
      </c>
      <c r="G377" s="116"/>
    </row>
    <row r="378" spans="1:7" s="115" customFormat="1" ht="17.25" customHeight="1">
      <c r="A378" s="29">
        <v>41466</v>
      </c>
      <c r="B378" s="33" t="s">
        <v>162</v>
      </c>
      <c r="C378" s="17">
        <v>9924.933</v>
      </c>
      <c r="D378" s="82">
        <v>9924933</v>
      </c>
      <c r="E378" s="32">
        <v>17871</v>
      </c>
      <c r="F378" s="32">
        <v>4216</v>
      </c>
      <c r="G378" s="116"/>
    </row>
    <row r="379" spans="1:7" s="115" customFormat="1" ht="17.25" customHeight="1">
      <c r="A379" s="29">
        <v>41466</v>
      </c>
      <c r="B379" s="33" t="s">
        <v>162</v>
      </c>
      <c r="C379" s="17">
        <v>1751.458</v>
      </c>
      <c r="D379" s="82">
        <v>1751458</v>
      </c>
      <c r="E379" s="32">
        <v>17870</v>
      </c>
      <c r="F379" s="32">
        <v>4216</v>
      </c>
      <c r="G379" s="116"/>
    </row>
    <row r="380" spans="1:7" s="115" customFormat="1" ht="17.25" customHeight="1">
      <c r="A380" s="29">
        <v>41535</v>
      </c>
      <c r="B380" s="33" t="s">
        <v>189</v>
      </c>
      <c r="C380" s="17">
        <v>254.216</v>
      </c>
      <c r="D380" s="74">
        <v>254216</v>
      </c>
      <c r="E380" s="32">
        <v>17871</v>
      </c>
      <c r="F380" s="32">
        <v>4216</v>
      </c>
      <c r="G380" s="116"/>
    </row>
    <row r="381" spans="1:7" s="115" customFormat="1" ht="17.25" customHeight="1">
      <c r="A381" s="29"/>
      <c r="B381" s="33" t="s">
        <v>238</v>
      </c>
      <c r="C381" s="17">
        <v>3821</v>
      </c>
      <c r="D381" s="74">
        <v>3821000</v>
      </c>
      <c r="E381" s="32">
        <v>17880</v>
      </c>
      <c r="F381" s="32">
        <v>4216</v>
      </c>
      <c r="G381" s="116"/>
    </row>
    <row r="382" spans="1:7" s="115" customFormat="1" ht="17.25" customHeight="1">
      <c r="A382" s="29"/>
      <c r="B382" s="33" t="s">
        <v>239</v>
      </c>
      <c r="C382" s="17">
        <v>3605</v>
      </c>
      <c r="D382" s="74">
        <v>3605000</v>
      </c>
      <c r="E382" s="32">
        <v>17880</v>
      </c>
      <c r="F382" s="32">
        <v>4216</v>
      </c>
      <c r="G382" s="116"/>
    </row>
    <row r="383" spans="1:7" s="115" customFormat="1" ht="17.25" customHeight="1">
      <c r="A383" s="29"/>
      <c r="B383" s="33"/>
      <c r="C383" s="17"/>
      <c r="D383" s="84"/>
      <c r="E383" s="32"/>
      <c r="F383" s="32"/>
      <c r="G383" s="116"/>
    </row>
    <row r="384" spans="1:7" s="115" customFormat="1" ht="17.25" customHeight="1">
      <c r="A384" s="29"/>
      <c r="B384" s="42" t="s">
        <v>4</v>
      </c>
      <c r="C384" s="18">
        <f>+SUM(C385:C407)</f>
        <v>562163.1752199999</v>
      </c>
      <c r="D384" s="84">
        <f>+SUM(D385:D407)</f>
        <v>562163175.2199999</v>
      </c>
      <c r="E384" s="32"/>
      <c r="F384" s="32"/>
      <c r="G384" s="116"/>
    </row>
    <row r="385" spans="1:7" s="115" customFormat="1" ht="17.25" customHeight="1">
      <c r="A385" s="29">
        <v>41432</v>
      </c>
      <c r="B385" s="33" t="s">
        <v>118</v>
      </c>
      <c r="C385" s="3">
        <v>283436.77925</v>
      </c>
      <c r="D385" s="82">
        <v>283436779.25</v>
      </c>
      <c r="E385" s="32">
        <v>15825</v>
      </c>
      <c r="F385" s="32">
        <v>4216</v>
      </c>
      <c r="G385" s="116"/>
    </row>
    <row r="386" spans="1:7" s="115" customFormat="1" ht="17.25" customHeight="1">
      <c r="A386" s="29">
        <v>41487</v>
      </c>
      <c r="B386" s="33" t="s">
        <v>118</v>
      </c>
      <c r="C386" s="17">
        <v>39332.20197</v>
      </c>
      <c r="D386" s="74">
        <v>39332201.97</v>
      </c>
      <c r="E386" s="32">
        <v>15825</v>
      </c>
      <c r="F386" s="32">
        <v>4216</v>
      </c>
      <c r="G386" s="116"/>
    </row>
    <row r="387" spans="1:7" s="115" customFormat="1" ht="17.25" customHeight="1">
      <c r="A387" s="29">
        <v>41498</v>
      </c>
      <c r="B387" s="33" t="s">
        <v>173</v>
      </c>
      <c r="C387" s="17">
        <v>5526.63387</v>
      </c>
      <c r="D387" s="74">
        <v>5526633.87</v>
      </c>
      <c r="E387" s="32">
        <v>15835</v>
      </c>
      <c r="F387" s="32">
        <v>4216</v>
      </c>
      <c r="G387" s="116"/>
    </row>
    <row r="388" spans="1:7" s="115" customFormat="1" ht="17.25" customHeight="1">
      <c r="A388" s="29">
        <v>41521</v>
      </c>
      <c r="B388" s="33" t="s">
        <v>118</v>
      </c>
      <c r="C388" s="17">
        <v>43812.14345</v>
      </c>
      <c r="D388" s="74">
        <v>43812143.45</v>
      </c>
      <c r="E388" s="32">
        <v>15825</v>
      </c>
      <c r="F388" s="32">
        <v>4216</v>
      </c>
      <c r="G388" s="116"/>
    </row>
    <row r="389" spans="1:7" s="115" customFormat="1" ht="17.25" customHeight="1">
      <c r="A389" s="29">
        <v>41530</v>
      </c>
      <c r="B389" s="33" t="s">
        <v>173</v>
      </c>
      <c r="C389" s="17">
        <v>1280.90179</v>
      </c>
      <c r="D389" s="74">
        <v>1280901.79</v>
      </c>
      <c r="E389" s="32">
        <v>15835</v>
      </c>
      <c r="F389" s="32">
        <v>4216</v>
      </c>
      <c r="G389" s="116"/>
    </row>
    <row r="390" spans="1:7" s="115" customFormat="1" ht="17.25" customHeight="1">
      <c r="A390" s="29">
        <v>41555</v>
      </c>
      <c r="B390" s="33" t="s">
        <v>198</v>
      </c>
      <c r="C390" s="17">
        <v>1945.51281</v>
      </c>
      <c r="D390" s="74">
        <v>1945512.81</v>
      </c>
      <c r="E390" s="32">
        <v>15827</v>
      </c>
      <c r="F390" s="32">
        <v>4216</v>
      </c>
      <c r="G390" s="116"/>
    </row>
    <row r="391" spans="1:7" s="115" customFormat="1" ht="17.25" customHeight="1">
      <c r="A391" s="29">
        <v>41582</v>
      </c>
      <c r="B391" s="33" t="s">
        <v>118</v>
      </c>
      <c r="C391" s="17">
        <v>74464.55877</v>
      </c>
      <c r="D391" s="74">
        <v>74464558.77</v>
      </c>
      <c r="E391" s="32">
        <v>15825</v>
      </c>
      <c r="F391" s="32">
        <v>4216</v>
      </c>
      <c r="G391" s="116"/>
    </row>
    <row r="392" spans="1:7" s="115" customFormat="1" ht="17.25" customHeight="1">
      <c r="A392" s="29">
        <v>41579</v>
      </c>
      <c r="B392" s="33" t="s">
        <v>216</v>
      </c>
      <c r="C392" s="17">
        <v>11636.64929</v>
      </c>
      <c r="D392" s="74">
        <v>11636649.29</v>
      </c>
      <c r="E392" s="32">
        <v>15827</v>
      </c>
      <c r="F392" s="32">
        <v>4216</v>
      </c>
      <c r="G392" s="116"/>
    </row>
    <row r="393" spans="1:7" s="115" customFormat="1" ht="17.25" customHeight="1">
      <c r="A393" s="29">
        <v>41605</v>
      </c>
      <c r="B393" s="33" t="s">
        <v>118</v>
      </c>
      <c r="C393" s="17">
        <v>57613.02494</v>
      </c>
      <c r="D393" s="74">
        <v>57613024.94</v>
      </c>
      <c r="E393" s="32">
        <v>15825</v>
      </c>
      <c r="F393" s="32">
        <v>4216</v>
      </c>
      <c r="G393" s="116"/>
    </row>
    <row r="394" spans="1:7" s="115" customFormat="1" ht="17.25" customHeight="1">
      <c r="A394" s="29">
        <v>41607</v>
      </c>
      <c r="B394" s="33" t="s">
        <v>232</v>
      </c>
      <c r="C394" s="17">
        <v>14811.83055</v>
      </c>
      <c r="D394" s="74">
        <v>14811830.55</v>
      </c>
      <c r="E394" s="32">
        <v>15835</v>
      </c>
      <c r="F394" s="32">
        <v>4216</v>
      </c>
      <c r="G394" s="116"/>
    </row>
    <row r="395" spans="1:7" s="115" customFormat="1" ht="17.25" customHeight="1">
      <c r="A395" s="29">
        <v>41603</v>
      </c>
      <c r="B395" s="33" t="s">
        <v>234</v>
      </c>
      <c r="C395" s="17">
        <v>281.2052</v>
      </c>
      <c r="D395" s="74">
        <v>281205.2</v>
      </c>
      <c r="E395" s="32">
        <v>15832</v>
      </c>
      <c r="F395" s="32">
        <v>4216</v>
      </c>
      <c r="G395" s="116"/>
    </row>
    <row r="396" spans="1:7" s="115" customFormat="1" ht="17.25" customHeight="1">
      <c r="A396" s="29">
        <v>41603</v>
      </c>
      <c r="B396" s="33" t="s">
        <v>234</v>
      </c>
      <c r="C396" s="17">
        <v>4780.4884</v>
      </c>
      <c r="D396" s="74">
        <v>4780488.4</v>
      </c>
      <c r="E396" s="32">
        <v>15833</v>
      </c>
      <c r="F396" s="32">
        <v>4216</v>
      </c>
      <c r="G396" s="116"/>
    </row>
    <row r="397" spans="1:7" s="115" customFormat="1" ht="17.25" customHeight="1">
      <c r="A397" s="29">
        <v>41614</v>
      </c>
      <c r="B397" s="33" t="s">
        <v>198</v>
      </c>
      <c r="C397" s="17">
        <v>542.29143</v>
      </c>
      <c r="D397" s="74">
        <v>542291.43</v>
      </c>
      <c r="E397" s="32">
        <v>15827</v>
      </c>
      <c r="F397" s="32">
        <v>4216</v>
      </c>
      <c r="G397" s="116"/>
    </row>
    <row r="398" spans="1:7" s="115" customFormat="1" ht="17.25" customHeight="1">
      <c r="A398" s="29">
        <v>41613</v>
      </c>
      <c r="B398" s="33" t="s">
        <v>249</v>
      </c>
      <c r="C398" s="17">
        <v>316.6989</v>
      </c>
      <c r="D398" s="74">
        <v>316698.9</v>
      </c>
      <c r="E398" s="32">
        <v>15828</v>
      </c>
      <c r="F398" s="32">
        <v>4216</v>
      </c>
      <c r="G398" s="116"/>
    </row>
    <row r="399" spans="1:7" s="115" customFormat="1" ht="17.25" customHeight="1">
      <c r="A399" s="29">
        <v>41613</v>
      </c>
      <c r="B399" s="33" t="s">
        <v>249</v>
      </c>
      <c r="C399" s="17">
        <v>5383.88135</v>
      </c>
      <c r="D399" s="74">
        <v>5383881.35</v>
      </c>
      <c r="E399" s="32">
        <v>15829</v>
      </c>
      <c r="F399" s="32">
        <v>4216</v>
      </c>
      <c r="G399" s="116"/>
    </row>
    <row r="400" spans="1:7" s="115" customFormat="1" ht="17.25" customHeight="1">
      <c r="A400" s="29"/>
      <c r="B400" s="33" t="s">
        <v>246</v>
      </c>
      <c r="C400" s="17">
        <v>1667.53255</v>
      </c>
      <c r="D400" s="74">
        <v>1667532.55</v>
      </c>
      <c r="E400" s="32">
        <v>15835</v>
      </c>
      <c r="F400" s="32">
        <v>4216</v>
      </c>
      <c r="G400" s="116"/>
    </row>
    <row r="401" spans="1:7" s="115" customFormat="1" ht="17.25" customHeight="1">
      <c r="A401" s="29"/>
      <c r="B401" s="33" t="s">
        <v>237</v>
      </c>
      <c r="C401" s="17">
        <v>1477.66125</v>
      </c>
      <c r="D401" s="74">
        <f>1477661.25</f>
        <v>1477661.25</v>
      </c>
      <c r="E401" s="32">
        <v>15835</v>
      </c>
      <c r="F401" s="32">
        <v>4216</v>
      </c>
      <c r="G401" s="116"/>
    </row>
    <row r="402" spans="1:7" s="115" customFormat="1" ht="17.25" customHeight="1">
      <c r="A402" s="29"/>
      <c r="B402" s="33" t="s">
        <v>286</v>
      </c>
      <c r="C402" s="17">
        <v>902.58427</v>
      </c>
      <c r="D402" s="74">
        <v>902584.27</v>
      </c>
      <c r="E402" s="32">
        <v>15835</v>
      </c>
      <c r="F402" s="32">
        <v>4216</v>
      </c>
      <c r="G402" s="116"/>
    </row>
    <row r="403" spans="1:7" s="115" customFormat="1" ht="17.25" customHeight="1">
      <c r="A403" s="29"/>
      <c r="B403" s="33" t="s">
        <v>285</v>
      </c>
      <c r="C403" s="17">
        <v>959.54579</v>
      </c>
      <c r="D403" s="74">
        <v>959545.79</v>
      </c>
      <c r="E403" s="32">
        <v>15835</v>
      </c>
      <c r="F403" s="32">
        <v>4216</v>
      </c>
      <c r="G403" s="116"/>
    </row>
    <row r="404" spans="1:7" s="115" customFormat="1" ht="17.25" customHeight="1">
      <c r="A404" s="29"/>
      <c r="B404" s="33" t="s">
        <v>244</v>
      </c>
      <c r="C404" s="17">
        <v>7401.70055</v>
      </c>
      <c r="D404" s="74">
        <v>7401700.55</v>
      </c>
      <c r="E404" s="32">
        <v>15835</v>
      </c>
      <c r="F404" s="32">
        <v>4216</v>
      </c>
      <c r="G404" s="116"/>
    </row>
    <row r="405" spans="1:7" s="115" customFormat="1" ht="17.25" customHeight="1">
      <c r="A405" s="29"/>
      <c r="B405" s="33" t="s">
        <v>247</v>
      </c>
      <c r="C405" s="17">
        <v>1949.38994</v>
      </c>
      <c r="D405" s="74">
        <v>1949389.94</v>
      </c>
      <c r="E405" s="32">
        <v>15835</v>
      </c>
      <c r="F405" s="32">
        <v>4216</v>
      </c>
      <c r="G405" s="116"/>
    </row>
    <row r="406" spans="1:7" s="115" customFormat="1" ht="17.25" customHeight="1">
      <c r="A406" s="29"/>
      <c r="B406" s="33" t="s">
        <v>233</v>
      </c>
      <c r="C406" s="17">
        <v>2639.9589</v>
      </c>
      <c r="D406" s="74">
        <v>2639958.9</v>
      </c>
      <c r="E406" s="32">
        <v>15833</v>
      </c>
      <c r="F406" s="32">
        <v>4216</v>
      </c>
      <c r="G406" s="116"/>
    </row>
    <row r="407" spans="1:7" s="115" customFormat="1" ht="17.25" customHeight="1">
      <c r="A407" s="29"/>
      <c r="B407" s="33"/>
      <c r="C407" s="17"/>
      <c r="D407" s="74"/>
      <c r="E407" s="32"/>
      <c r="F407" s="32"/>
      <c r="G407" s="116"/>
    </row>
    <row r="408" spans="1:7" s="115" customFormat="1" ht="17.25" customHeight="1">
      <c r="A408" s="29"/>
      <c r="B408" s="50" t="s">
        <v>33</v>
      </c>
      <c r="C408" s="18">
        <f>+C409</f>
        <v>4966.372</v>
      </c>
      <c r="D408" s="84">
        <f>+D409</f>
        <v>4966372</v>
      </c>
      <c r="E408" s="32"/>
      <c r="F408" s="32"/>
      <c r="G408" s="116"/>
    </row>
    <row r="409" spans="1:8" ht="17.25" customHeight="1">
      <c r="A409" s="29">
        <v>41556</v>
      </c>
      <c r="B409" s="33" t="s">
        <v>53</v>
      </c>
      <c r="C409" s="17">
        <v>4966.372</v>
      </c>
      <c r="D409" s="74">
        <f>4221416.2+744955.8</f>
        <v>4966372</v>
      </c>
      <c r="E409" s="32">
        <v>33939</v>
      </c>
      <c r="F409" s="32">
        <v>4216</v>
      </c>
      <c r="G409" s="116"/>
      <c r="H409" s="115"/>
    </row>
    <row r="410" spans="1:7" s="115" customFormat="1" ht="17.25" customHeight="1">
      <c r="A410" s="29"/>
      <c r="B410" s="42"/>
      <c r="C410" s="18"/>
      <c r="D410" s="84"/>
      <c r="E410" s="32"/>
      <c r="F410" s="32"/>
      <c r="G410" s="116"/>
    </row>
    <row r="411" spans="1:7" s="115" customFormat="1" ht="17.25" customHeight="1">
      <c r="A411" s="29"/>
      <c r="B411" s="42" t="s">
        <v>38</v>
      </c>
      <c r="C411" s="18">
        <f>SUM(C412:C420)</f>
        <v>5024.638</v>
      </c>
      <c r="D411" s="84">
        <f>SUM(D412:D420)</f>
        <v>5024638</v>
      </c>
      <c r="E411" s="32"/>
      <c r="F411" s="32"/>
      <c r="G411" s="116"/>
    </row>
    <row r="412" spans="1:7" s="115" customFormat="1" ht="17.25" customHeight="1">
      <c r="A412" s="29">
        <v>41317</v>
      </c>
      <c r="B412" s="33" t="s">
        <v>308</v>
      </c>
      <c r="C412" s="3">
        <v>169.8</v>
      </c>
      <c r="D412" s="79">
        <v>169800</v>
      </c>
      <c r="E412" s="32">
        <v>33926</v>
      </c>
      <c r="F412" s="32" t="s">
        <v>42</v>
      </c>
      <c r="G412" s="116"/>
    </row>
    <row r="413" spans="1:7" s="115" customFormat="1" ht="17.25" customHeight="1">
      <c r="A413" s="29">
        <v>41351</v>
      </c>
      <c r="B413" s="33" t="s">
        <v>67</v>
      </c>
      <c r="C413" s="17">
        <v>100</v>
      </c>
      <c r="D413" s="81">
        <v>100000</v>
      </c>
      <c r="E413" s="32">
        <v>33926</v>
      </c>
      <c r="F413" s="32" t="s">
        <v>42</v>
      </c>
      <c r="G413" s="116"/>
    </row>
    <row r="414" spans="1:8" ht="17.25" customHeight="1">
      <c r="A414" s="29">
        <v>41368</v>
      </c>
      <c r="B414" s="33" t="s">
        <v>76</v>
      </c>
      <c r="C414" s="17">
        <v>66.8</v>
      </c>
      <c r="D414" s="74">
        <f>56780+10020</f>
        <v>66800</v>
      </c>
      <c r="E414" s="32">
        <v>33926</v>
      </c>
      <c r="F414" s="32">
        <v>4222</v>
      </c>
      <c r="G414" s="116"/>
      <c r="H414" s="115"/>
    </row>
    <row r="415" spans="1:8" ht="17.25" customHeight="1">
      <c r="A415" s="29">
        <v>41403</v>
      </c>
      <c r="B415" s="33" t="s">
        <v>153</v>
      </c>
      <c r="C415" s="17">
        <v>308</v>
      </c>
      <c r="D415" s="74">
        <f>261800+46200</f>
        <v>308000</v>
      </c>
      <c r="E415" s="32">
        <v>33926</v>
      </c>
      <c r="F415" s="32">
        <v>4222</v>
      </c>
      <c r="G415" s="116"/>
      <c r="H415" s="115"/>
    </row>
    <row r="416" spans="1:8" ht="17.25" customHeight="1">
      <c r="A416" s="29">
        <v>41544</v>
      </c>
      <c r="B416" s="33" t="s">
        <v>192</v>
      </c>
      <c r="C416" s="17">
        <v>46.038</v>
      </c>
      <c r="D416" s="74">
        <v>46038</v>
      </c>
      <c r="E416" s="32">
        <v>33926</v>
      </c>
      <c r="F416" s="32">
        <v>4222</v>
      </c>
      <c r="G416" s="116"/>
      <c r="H416" s="115"/>
    </row>
    <row r="417" spans="1:8" ht="17.25" customHeight="1">
      <c r="A417" s="29"/>
      <c r="B417" s="33" t="s">
        <v>188</v>
      </c>
      <c r="C417" s="17">
        <v>200</v>
      </c>
      <c r="D417" s="74">
        <v>200000</v>
      </c>
      <c r="E417" s="32">
        <v>551</v>
      </c>
      <c r="F417" s="32">
        <v>4222</v>
      </c>
      <c r="G417" s="116"/>
      <c r="H417" s="115"/>
    </row>
    <row r="418" spans="1:8" ht="17.25" customHeight="1">
      <c r="A418" s="29"/>
      <c r="B418" s="33" t="s">
        <v>307</v>
      </c>
      <c r="C418" s="17">
        <v>4000</v>
      </c>
      <c r="D418" s="74">
        <v>4000000</v>
      </c>
      <c r="E418" s="32">
        <v>342</v>
      </c>
      <c r="F418" s="32">
        <v>4222</v>
      </c>
      <c r="G418" s="116"/>
      <c r="H418" s="115"/>
    </row>
    <row r="419" spans="1:8" ht="17.25" customHeight="1">
      <c r="A419" s="29"/>
      <c r="B419" s="33" t="s">
        <v>240</v>
      </c>
      <c r="C419" s="17">
        <v>84</v>
      </c>
      <c r="D419" s="74">
        <v>84000</v>
      </c>
      <c r="E419" s="32">
        <v>551</v>
      </c>
      <c r="F419" s="32">
        <v>4222</v>
      </c>
      <c r="G419" s="116"/>
      <c r="H419" s="115"/>
    </row>
    <row r="420" spans="1:7" s="115" customFormat="1" ht="17.25" customHeight="1">
      <c r="A420" s="29"/>
      <c r="B420" s="34" t="s">
        <v>306</v>
      </c>
      <c r="C420" s="5">
        <v>50</v>
      </c>
      <c r="D420" s="78">
        <v>50000</v>
      </c>
      <c r="E420" s="31">
        <v>433</v>
      </c>
      <c r="F420" s="32">
        <v>4222</v>
      </c>
      <c r="G420" s="116"/>
    </row>
    <row r="421" spans="1:8" ht="17.25" customHeight="1">
      <c r="A421" s="35"/>
      <c r="B421" s="96"/>
      <c r="C421" s="19"/>
      <c r="D421" s="74"/>
      <c r="E421" s="49"/>
      <c r="F421" s="36"/>
      <c r="G421" s="116"/>
      <c r="H421" s="115"/>
    </row>
    <row r="422" spans="1:7" s="115" customFormat="1" ht="17.25" customHeight="1">
      <c r="A422" s="29"/>
      <c r="B422" s="4" t="s">
        <v>160</v>
      </c>
      <c r="C422" s="4">
        <f>+SUM(C423:C439)</f>
        <v>252391.84555</v>
      </c>
      <c r="D422" s="80">
        <f>+SUM(D423:D439)</f>
        <v>252391845.55000004</v>
      </c>
      <c r="E422" s="32"/>
      <c r="F422" s="32"/>
      <c r="G422" s="116"/>
    </row>
    <row r="423" spans="1:7" s="115" customFormat="1" ht="17.25" customHeight="1">
      <c r="A423" s="29">
        <v>41310</v>
      </c>
      <c r="B423" s="33" t="s">
        <v>56</v>
      </c>
      <c r="C423" s="21">
        <v>8445.53094</v>
      </c>
      <c r="D423" s="86">
        <v>8445530.94</v>
      </c>
      <c r="E423" s="38">
        <v>86505</v>
      </c>
      <c r="F423" s="43">
        <v>4223</v>
      </c>
      <c r="G423" s="116"/>
    </row>
    <row r="424" spans="1:7" s="115" customFormat="1" ht="17.25" customHeight="1">
      <c r="A424" s="29">
        <v>41311</v>
      </c>
      <c r="B424" s="33" t="s">
        <v>57</v>
      </c>
      <c r="C424" s="21">
        <v>6195.95681</v>
      </c>
      <c r="D424" s="86">
        <v>6195956.81</v>
      </c>
      <c r="E424" s="38">
        <v>86505</v>
      </c>
      <c r="F424" s="43">
        <v>4223</v>
      </c>
      <c r="G424" s="116"/>
    </row>
    <row r="425" spans="1:7" s="115" customFormat="1" ht="17.25" customHeight="1">
      <c r="A425" s="29">
        <v>41311</v>
      </c>
      <c r="B425" s="33" t="s">
        <v>57</v>
      </c>
      <c r="C425" s="3">
        <v>546.70207</v>
      </c>
      <c r="D425" s="86">
        <v>546702.07</v>
      </c>
      <c r="E425" s="38">
        <v>86501</v>
      </c>
      <c r="F425" s="32">
        <v>4223</v>
      </c>
      <c r="G425" s="116"/>
    </row>
    <row r="426" spans="1:7" s="115" customFormat="1" ht="17.25" customHeight="1">
      <c r="A426" s="29">
        <v>41311</v>
      </c>
      <c r="B426" s="33" t="s">
        <v>58</v>
      </c>
      <c r="C426" s="3">
        <v>3802.34325</v>
      </c>
      <c r="D426" s="86">
        <v>3802343.25</v>
      </c>
      <c r="E426" s="38">
        <v>86505</v>
      </c>
      <c r="F426" s="32">
        <v>4223</v>
      </c>
      <c r="G426" s="116"/>
    </row>
    <row r="427" spans="1:7" s="115" customFormat="1" ht="17.25" customHeight="1">
      <c r="A427" s="29">
        <v>41323</v>
      </c>
      <c r="B427" s="33" t="s">
        <v>61</v>
      </c>
      <c r="C427" s="3">
        <v>10625.43078</v>
      </c>
      <c r="D427" s="82">
        <v>10625430.78</v>
      </c>
      <c r="E427" s="38">
        <v>86505</v>
      </c>
      <c r="F427" s="32">
        <v>4223</v>
      </c>
      <c r="G427" s="116"/>
    </row>
    <row r="428" spans="1:7" s="115" customFormat="1" ht="17.25" customHeight="1">
      <c r="A428" s="29">
        <v>41418</v>
      </c>
      <c r="B428" s="33" t="s">
        <v>117</v>
      </c>
      <c r="C428" s="3">
        <v>61231.88279</v>
      </c>
      <c r="D428" s="74">
        <v>61231882.79</v>
      </c>
      <c r="E428" s="38">
        <v>86505</v>
      </c>
      <c r="F428" s="32">
        <v>4223</v>
      </c>
      <c r="G428" s="116"/>
    </row>
    <row r="429" spans="1:7" s="115" customFormat="1" ht="17.25" customHeight="1">
      <c r="A429" s="29">
        <v>41516</v>
      </c>
      <c r="B429" s="33" t="s">
        <v>183</v>
      </c>
      <c r="C429" s="3">
        <v>13718.67684</v>
      </c>
      <c r="D429" s="74">
        <v>13718676.84</v>
      </c>
      <c r="E429" s="38">
        <v>86505</v>
      </c>
      <c r="F429" s="32">
        <v>4223</v>
      </c>
      <c r="G429" s="116"/>
    </row>
    <row r="430" spans="1:7" s="115" customFormat="1" ht="17.25" customHeight="1">
      <c r="A430" s="29">
        <v>41527</v>
      </c>
      <c r="B430" s="33" t="s">
        <v>185</v>
      </c>
      <c r="C430" s="3">
        <v>89542.00498</v>
      </c>
      <c r="D430" s="74">
        <v>89542004.98</v>
      </c>
      <c r="E430" s="38">
        <v>86505</v>
      </c>
      <c r="F430" s="32">
        <v>4223</v>
      </c>
      <c r="G430" s="116"/>
    </row>
    <row r="431" spans="1:7" s="115" customFormat="1" ht="17.25" customHeight="1">
      <c r="A431" s="29">
        <v>41558</v>
      </c>
      <c r="B431" s="33" t="s">
        <v>202</v>
      </c>
      <c r="C431" s="3">
        <v>16578.63266</v>
      </c>
      <c r="D431" s="74">
        <v>16578632.66</v>
      </c>
      <c r="E431" s="38">
        <v>86505</v>
      </c>
      <c r="F431" s="32">
        <v>4223</v>
      </c>
      <c r="G431" s="116"/>
    </row>
    <row r="432" spans="1:7" s="115" customFormat="1" ht="17.25" customHeight="1">
      <c r="A432" s="29">
        <v>41563</v>
      </c>
      <c r="B432" s="33" t="s">
        <v>203</v>
      </c>
      <c r="C432" s="3">
        <v>269.07259</v>
      </c>
      <c r="D432" s="74">
        <v>269072.59</v>
      </c>
      <c r="E432" s="38">
        <v>86505</v>
      </c>
      <c r="F432" s="32">
        <v>4223</v>
      </c>
      <c r="G432" s="116"/>
    </row>
    <row r="433" spans="1:7" s="115" customFormat="1" ht="17.25" customHeight="1">
      <c r="A433" s="29">
        <v>41563</v>
      </c>
      <c r="B433" s="33" t="s">
        <v>203</v>
      </c>
      <c r="C433" s="3">
        <v>23.7417</v>
      </c>
      <c r="D433" s="74">
        <v>23741.7</v>
      </c>
      <c r="E433" s="38">
        <v>86501</v>
      </c>
      <c r="F433" s="32">
        <v>4223</v>
      </c>
      <c r="G433" s="116"/>
    </row>
    <row r="434" spans="1:7" s="115" customFormat="1" ht="17.25" customHeight="1">
      <c r="A434" s="29">
        <v>41591</v>
      </c>
      <c r="B434" s="33" t="s">
        <v>222</v>
      </c>
      <c r="C434" s="3">
        <v>6147.30449</v>
      </c>
      <c r="D434" s="74">
        <v>6147304.49</v>
      </c>
      <c r="E434" s="38">
        <v>86505</v>
      </c>
      <c r="F434" s="32">
        <v>4223</v>
      </c>
      <c r="G434" s="116"/>
    </row>
    <row r="435" spans="1:7" s="115" customFormat="1" ht="17.25" customHeight="1">
      <c r="A435" s="29">
        <v>41621</v>
      </c>
      <c r="B435" s="33" t="s">
        <v>256</v>
      </c>
      <c r="C435" s="3">
        <v>10387.26934</v>
      </c>
      <c r="D435" s="74">
        <v>10387269.34</v>
      </c>
      <c r="E435" s="38">
        <v>86505</v>
      </c>
      <c r="F435" s="32">
        <v>4223</v>
      </c>
      <c r="G435" s="116"/>
    </row>
    <row r="436" spans="1:7" s="115" customFormat="1" ht="17.25" customHeight="1">
      <c r="A436" s="29">
        <v>41626</v>
      </c>
      <c r="B436" s="33" t="s">
        <v>267</v>
      </c>
      <c r="C436" s="3">
        <v>13503.01802</v>
      </c>
      <c r="D436" s="74">
        <v>13503018.02</v>
      </c>
      <c r="E436" s="38">
        <v>86505</v>
      </c>
      <c r="F436" s="32">
        <v>4223</v>
      </c>
      <c r="G436" s="116"/>
    </row>
    <row r="437" spans="1:7" s="115" customFormat="1" ht="17.25" customHeight="1">
      <c r="A437" s="29">
        <v>41627</v>
      </c>
      <c r="B437" s="33" t="s">
        <v>265</v>
      </c>
      <c r="C437" s="3">
        <v>6520.06258</v>
      </c>
      <c r="D437" s="74">
        <v>6520062.58</v>
      </c>
      <c r="E437" s="38">
        <v>86505</v>
      </c>
      <c r="F437" s="32">
        <v>4223</v>
      </c>
      <c r="G437" s="116"/>
    </row>
    <row r="438" spans="1:7" s="115" customFormat="1" ht="17.25" customHeight="1">
      <c r="A438" s="29">
        <v>41631</v>
      </c>
      <c r="B438" s="33" t="s">
        <v>266</v>
      </c>
      <c r="C438" s="3">
        <v>4854.21571</v>
      </c>
      <c r="D438" s="74">
        <v>4854215.71</v>
      </c>
      <c r="E438" s="38">
        <v>86505</v>
      </c>
      <c r="F438" s="32">
        <v>4223</v>
      </c>
      <c r="G438" s="116"/>
    </row>
    <row r="439" spans="1:7" s="115" customFormat="1" ht="17.25" customHeight="1">
      <c r="A439" s="29"/>
      <c r="B439" s="33"/>
      <c r="C439" s="3"/>
      <c r="D439" s="74"/>
      <c r="E439" s="38"/>
      <c r="F439" s="32"/>
      <c r="G439" s="116"/>
    </row>
    <row r="440" spans="1:7" s="115" customFormat="1" ht="17.25" customHeight="1">
      <c r="A440" s="29"/>
      <c r="B440" s="4" t="s">
        <v>52</v>
      </c>
      <c r="C440" s="4">
        <f>+C441</f>
        <v>1572</v>
      </c>
      <c r="D440" s="80">
        <f>+D441</f>
        <v>1571958.43</v>
      </c>
      <c r="E440" s="38"/>
      <c r="F440" s="32"/>
      <c r="G440" s="116"/>
    </row>
    <row r="441" spans="1:7" s="115" customFormat="1" ht="17.25" customHeight="1">
      <c r="A441" s="29"/>
      <c r="B441" s="33" t="s">
        <v>217</v>
      </c>
      <c r="C441" s="3">
        <v>1572</v>
      </c>
      <c r="D441" s="74">
        <v>1571958.43</v>
      </c>
      <c r="E441" s="38"/>
      <c r="F441" s="32">
        <v>4232</v>
      </c>
      <c r="G441" s="116"/>
    </row>
    <row r="442" spans="1:7" s="115" customFormat="1" ht="17.25" customHeight="1">
      <c r="A442" s="29"/>
      <c r="B442" s="34"/>
      <c r="C442" s="3"/>
      <c r="D442" s="86"/>
      <c r="E442" s="32"/>
      <c r="F442" s="32"/>
      <c r="G442" s="116"/>
    </row>
    <row r="443" spans="1:7" s="115" customFormat="1" ht="17.25" customHeight="1">
      <c r="A443" s="29"/>
      <c r="B443" s="37" t="s">
        <v>210</v>
      </c>
      <c r="C443" s="7">
        <f>+C411+C422+C348+C375+C384+C408+C440+C372+C369</f>
        <v>893676.8152999998</v>
      </c>
      <c r="D443" s="83">
        <f>+D411+D422+D348+D375+D384+D408+D440+D372+D369</f>
        <v>893676773.7299999</v>
      </c>
      <c r="E443" s="8"/>
      <c r="F443" s="31"/>
      <c r="G443" s="116"/>
    </row>
    <row r="444" spans="1:7" s="115" customFormat="1" ht="17.25" customHeight="1" thickBot="1">
      <c r="A444" s="39"/>
      <c r="B444" s="40"/>
      <c r="C444" s="9"/>
      <c r="D444" s="92"/>
      <c r="E444" s="10"/>
      <c r="F444" s="10"/>
      <c r="G444" s="116"/>
    </row>
    <row r="445" spans="1:7" s="115" customFormat="1" ht="15.75">
      <c r="A445" s="52"/>
      <c r="D445" s="77"/>
      <c r="E445" s="53"/>
      <c r="F445" s="53"/>
      <c r="G445" s="116"/>
    </row>
    <row r="446" spans="1:7" s="115" customFormat="1" ht="16.5" thickBot="1">
      <c r="A446" s="54"/>
      <c r="B446" s="22"/>
      <c r="C446" s="22"/>
      <c r="D446" s="89"/>
      <c r="E446" s="55"/>
      <c r="F446" s="55"/>
      <c r="G446" s="116"/>
    </row>
    <row r="447" spans="1:7" s="115" customFormat="1" ht="17.25" customHeight="1">
      <c r="A447" s="56"/>
      <c r="B447" s="23"/>
      <c r="C447" s="23"/>
      <c r="D447" s="90"/>
      <c r="E447" s="57"/>
      <c r="F447" s="53"/>
      <c r="G447" s="116"/>
    </row>
    <row r="448" spans="1:7" s="115" customFormat="1" ht="17.25" customHeight="1" thickBot="1">
      <c r="A448" s="56"/>
      <c r="B448" s="15" t="s">
        <v>211</v>
      </c>
      <c r="C448" s="15" t="s">
        <v>6</v>
      </c>
      <c r="D448" s="85" t="s">
        <v>7</v>
      </c>
      <c r="E448" s="57"/>
      <c r="F448" s="53"/>
      <c r="G448" s="116"/>
    </row>
    <row r="449" spans="1:7" s="115" customFormat="1" ht="17.25" customHeight="1">
      <c r="A449" s="56"/>
      <c r="B449" s="24"/>
      <c r="C449" s="24"/>
      <c r="D449" s="94"/>
      <c r="E449" s="57"/>
      <c r="F449" s="53"/>
      <c r="G449" s="116"/>
    </row>
    <row r="450" spans="1:7" s="115" customFormat="1" ht="17.25" customHeight="1">
      <c r="A450" s="58"/>
      <c r="B450" s="25" t="s">
        <v>212</v>
      </c>
      <c r="C450" s="25">
        <f>+C342</f>
        <v>211615.06586</v>
      </c>
      <c r="D450" s="81">
        <f>+D342</f>
        <v>210974709.91</v>
      </c>
      <c r="E450" s="59"/>
      <c r="F450" s="53"/>
      <c r="G450" s="116"/>
    </row>
    <row r="451" spans="1:7" s="115" customFormat="1" ht="17.25" customHeight="1">
      <c r="A451" s="58"/>
      <c r="B451" s="25" t="s">
        <v>213</v>
      </c>
      <c r="C451" s="25">
        <f>+C443</f>
        <v>893676.8152999998</v>
      </c>
      <c r="D451" s="81">
        <f>+D443</f>
        <v>893676773.7299999</v>
      </c>
      <c r="E451" s="60"/>
      <c r="F451" s="53"/>
      <c r="G451" s="116"/>
    </row>
    <row r="452" spans="1:7" s="115" customFormat="1" ht="15.75">
      <c r="A452" s="58"/>
      <c r="B452" s="25"/>
      <c r="C452" s="25"/>
      <c r="D452" s="81"/>
      <c r="E452" s="60"/>
      <c r="F452" s="53"/>
      <c r="G452" s="116"/>
    </row>
    <row r="453" spans="1:7" s="115" customFormat="1" ht="17.25" customHeight="1">
      <c r="A453" s="58"/>
      <c r="B453" s="26" t="s">
        <v>214</v>
      </c>
      <c r="C453" s="26">
        <f>+C450+C451</f>
        <v>1105291.8811599999</v>
      </c>
      <c r="D453" s="83">
        <f>SUM(D450:D451)</f>
        <v>1104651483.6399999</v>
      </c>
      <c r="E453" s="60"/>
      <c r="G453" s="116"/>
    </row>
    <row r="454" spans="1:7" s="115" customFormat="1" ht="17.25" customHeight="1" thickBot="1">
      <c r="A454" s="58"/>
      <c r="B454" s="27"/>
      <c r="C454" s="27"/>
      <c r="D454" s="92"/>
      <c r="E454" s="59"/>
      <c r="G454" s="116"/>
    </row>
    <row r="455" spans="1:7" s="115" customFormat="1" ht="15.75">
      <c r="A455" s="52"/>
      <c r="D455" s="77"/>
      <c r="G455" s="116"/>
    </row>
    <row r="456" spans="3:8" ht="15.75">
      <c r="C456" s="115"/>
      <c r="E456" s="53"/>
      <c r="F456" s="115"/>
      <c r="G456" s="116"/>
      <c r="H456" s="115"/>
    </row>
    <row r="457" spans="3:8" ht="15.75">
      <c r="C457" s="115"/>
      <c r="E457" s="115"/>
      <c r="F457" s="115"/>
      <c r="G457" s="116"/>
      <c r="H457" s="115"/>
    </row>
    <row r="458" spans="3:8" ht="15.75">
      <c r="C458" s="115"/>
      <c r="E458" s="115"/>
      <c r="F458" s="115"/>
      <c r="G458" s="116"/>
      <c r="H458" s="115"/>
    </row>
    <row r="459" spans="2:8" ht="15.75">
      <c r="B459" s="68"/>
      <c r="C459" s="68"/>
      <c r="D459" s="68"/>
      <c r="E459" s="68"/>
      <c r="F459" s="68"/>
      <c r="G459" s="116"/>
      <c r="H459" s="115"/>
    </row>
    <row r="460" spans="2:8" ht="15.75">
      <c r="B460" s="68"/>
      <c r="C460" s="68"/>
      <c r="D460" s="68"/>
      <c r="E460" s="68"/>
      <c r="F460" s="68"/>
      <c r="G460" s="116"/>
      <c r="H460" s="115"/>
    </row>
    <row r="461" spans="2:8" ht="15.75">
      <c r="B461" s="68"/>
      <c r="C461" s="68"/>
      <c r="D461" s="68"/>
      <c r="E461" s="68"/>
      <c r="F461" s="68"/>
      <c r="G461" s="116"/>
      <c r="H461" s="115"/>
    </row>
    <row r="462" spans="2:8" ht="15.75">
      <c r="B462" s="68"/>
      <c r="C462" s="68"/>
      <c r="D462" s="68"/>
      <c r="E462" s="68"/>
      <c r="F462" s="68"/>
      <c r="G462" s="116"/>
      <c r="H462" s="116"/>
    </row>
    <row r="463" spans="2:8" ht="15.75">
      <c r="B463" s="68"/>
      <c r="C463" s="68"/>
      <c r="D463" s="68"/>
      <c r="E463" s="68"/>
      <c r="F463" s="68"/>
      <c r="G463" s="116"/>
      <c r="H463" s="116"/>
    </row>
    <row r="464" spans="2:8" ht="15.75">
      <c r="B464" s="68"/>
      <c r="C464" s="68"/>
      <c r="D464" s="68"/>
      <c r="E464" s="68"/>
      <c r="F464" s="68"/>
      <c r="G464" s="116"/>
      <c r="H464" s="116"/>
    </row>
    <row r="465" spans="2:8" ht="15.75">
      <c r="B465" s="68"/>
      <c r="C465" s="68"/>
      <c r="D465" s="68"/>
      <c r="E465" s="68"/>
      <c r="F465" s="68"/>
      <c r="G465" s="116"/>
      <c r="H465" s="116"/>
    </row>
    <row r="466" spans="2:8" ht="15.75">
      <c r="B466" s="68"/>
      <c r="C466" s="68"/>
      <c r="D466" s="68"/>
      <c r="E466" s="68"/>
      <c r="F466" s="68"/>
      <c r="G466" s="116"/>
      <c r="H466" s="116"/>
    </row>
    <row r="467" spans="2:8" ht="15.75">
      <c r="B467" s="68"/>
      <c r="C467" s="68"/>
      <c r="D467" s="68"/>
      <c r="E467" s="68"/>
      <c r="F467" s="68"/>
      <c r="G467" s="116"/>
      <c r="H467" s="116"/>
    </row>
    <row r="468" spans="2:8" ht="15.75">
      <c r="B468" s="68"/>
      <c r="C468" s="68"/>
      <c r="D468" s="68"/>
      <c r="E468" s="68"/>
      <c r="F468" s="68"/>
      <c r="G468" s="116"/>
      <c r="H468" s="116"/>
    </row>
    <row r="469" spans="2:8" ht="15.75">
      <c r="B469" s="68"/>
      <c r="C469" s="68"/>
      <c r="D469" s="68"/>
      <c r="E469" s="68"/>
      <c r="F469" s="68"/>
      <c r="G469" s="116"/>
      <c r="H469" s="116"/>
    </row>
    <row r="470" spans="2:8" ht="15.75">
      <c r="B470" s="68"/>
      <c r="C470" s="68"/>
      <c r="D470" s="68"/>
      <c r="E470" s="68"/>
      <c r="F470" s="68"/>
      <c r="G470" s="116"/>
      <c r="H470" s="116"/>
    </row>
    <row r="471" spans="2:8" ht="15.75">
      <c r="B471" s="68"/>
      <c r="C471" s="68"/>
      <c r="D471" s="68"/>
      <c r="E471" s="68"/>
      <c r="F471" s="68"/>
      <c r="G471" s="116"/>
      <c r="H471" s="116"/>
    </row>
    <row r="472" spans="2:8" ht="15.75">
      <c r="B472" s="68"/>
      <c r="C472" s="68"/>
      <c r="D472" s="68"/>
      <c r="E472" s="68"/>
      <c r="F472" s="68"/>
      <c r="G472" s="116"/>
      <c r="H472" s="116"/>
    </row>
    <row r="473" spans="2:8" ht="15.75">
      <c r="B473" s="68"/>
      <c r="C473" s="68"/>
      <c r="D473" s="68"/>
      <c r="E473" s="68"/>
      <c r="F473" s="68"/>
      <c r="G473" s="116"/>
      <c r="H473" s="116"/>
    </row>
    <row r="474" spans="2:8" ht="15.75">
      <c r="B474" s="68"/>
      <c r="C474" s="68"/>
      <c r="D474" s="68"/>
      <c r="E474" s="68"/>
      <c r="F474" s="68"/>
      <c r="G474" s="116"/>
      <c r="H474" s="116"/>
    </row>
    <row r="475" spans="2:8" ht="15.75">
      <c r="B475" s="77"/>
      <c r="C475" s="115"/>
      <c r="E475" s="115"/>
      <c r="F475" s="115"/>
      <c r="G475" s="116"/>
      <c r="H475" s="116"/>
    </row>
    <row r="476" spans="3:8" ht="15.75">
      <c r="C476" s="115"/>
      <c r="G476" s="116"/>
      <c r="H476" s="115"/>
    </row>
    <row r="477" spans="3:8" ht="15.75">
      <c r="C477" s="115"/>
      <c r="G477" s="116"/>
      <c r="H477" s="115"/>
    </row>
    <row r="478" spans="3:8" ht="15.75">
      <c r="C478" s="115"/>
      <c r="G478" s="116"/>
      <c r="H478" s="115"/>
    </row>
    <row r="479" spans="3:8" ht="15.75">
      <c r="C479" s="115"/>
      <c r="G479" s="116"/>
      <c r="H479" s="115"/>
    </row>
    <row r="480" spans="3:8" ht="15.75">
      <c r="C480" s="115"/>
      <c r="G480" s="116"/>
      <c r="H480" s="115"/>
    </row>
    <row r="481" spans="3:8" ht="15.75">
      <c r="C481" s="115"/>
      <c r="G481" s="116"/>
      <c r="H481" s="115"/>
    </row>
    <row r="482" spans="3:8" ht="15.75">
      <c r="C482" s="115"/>
      <c r="G482" s="116"/>
      <c r="H482" s="115"/>
    </row>
    <row r="483" spans="3:8" ht="15.75">
      <c r="C483" s="115"/>
      <c r="G483" s="116"/>
      <c r="H483" s="115"/>
    </row>
    <row r="484" spans="3:8" ht="15.75">
      <c r="C484" s="115"/>
      <c r="G484" s="116"/>
      <c r="H484" s="115"/>
    </row>
    <row r="485" spans="3:8" ht="15.75">
      <c r="C485" s="115"/>
      <c r="G485" s="116"/>
      <c r="H485" s="115"/>
    </row>
    <row r="486" spans="3:8" ht="15.75">
      <c r="C486" s="115"/>
      <c r="G486" s="116"/>
      <c r="H486" s="115"/>
    </row>
    <row r="487" spans="3:8" ht="15.75">
      <c r="C487" s="115"/>
      <c r="G487" s="116"/>
      <c r="H487" s="115"/>
    </row>
    <row r="488" spans="3:8" ht="15.75">
      <c r="C488" s="115"/>
      <c r="G488" s="116"/>
      <c r="H488" s="115"/>
    </row>
    <row r="489" spans="3:8" ht="15.75">
      <c r="C489" s="115"/>
      <c r="G489" s="116"/>
      <c r="H489" s="115"/>
    </row>
    <row r="490" spans="3:8" ht="15.75">
      <c r="C490" s="115"/>
      <c r="G490" s="116"/>
      <c r="H490" s="115"/>
    </row>
    <row r="491" spans="3:8" ht="15.75">
      <c r="C491" s="115"/>
      <c r="G491" s="116"/>
      <c r="H491" s="115"/>
    </row>
    <row r="492" spans="3:8" ht="15.75">
      <c r="C492" s="115"/>
      <c r="G492" s="116"/>
      <c r="H492" s="115"/>
    </row>
    <row r="493" spans="3:8" ht="15.75">
      <c r="C493" s="115"/>
      <c r="G493" s="116"/>
      <c r="H493" s="115"/>
    </row>
    <row r="494" spans="3:8" ht="15.75">
      <c r="C494" s="115"/>
      <c r="G494" s="116"/>
      <c r="H494" s="115"/>
    </row>
    <row r="495" spans="3:8" ht="15.75">
      <c r="C495" s="115"/>
      <c r="G495" s="116"/>
      <c r="H495" s="115"/>
    </row>
    <row r="496" spans="3:8" ht="15.75">
      <c r="C496" s="115"/>
      <c r="G496" s="116"/>
      <c r="H496" s="115"/>
    </row>
    <row r="497" spans="3:8" ht="15.75">
      <c r="C497" s="115"/>
      <c r="G497" s="116"/>
      <c r="H497" s="115"/>
    </row>
    <row r="498" spans="3:8" ht="15.75">
      <c r="C498" s="115"/>
      <c r="G498" s="116"/>
      <c r="H498" s="115"/>
    </row>
    <row r="499" spans="3:8" ht="15.75">
      <c r="C499" s="115"/>
      <c r="G499" s="116"/>
      <c r="H499" s="115"/>
    </row>
    <row r="500" spans="3:8" ht="15.75">
      <c r="C500" s="115"/>
      <c r="G500" s="116"/>
      <c r="H500" s="115"/>
    </row>
    <row r="501" spans="3:8" ht="15.75">
      <c r="C501" s="115"/>
      <c r="G501" s="116"/>
      <c r="H501" s="115"/>
    </row>
    <row r="502" spans="3:8" ht="15.75">
      <c r="C502" s="115"/>
      <c r="G502" s="116"/>
      <c r="H502" s="115"/>
    </row>
    <row r="503" spans="3:8" ht="15.75">
      <c r="C503" s="115"/>
      <c r="G503" s="116"/>
      <c r="H503" s="115"/>
    </row>
    <row r="504" spans="3:8" ht="15.75">
      <c r="C504" s="115"/>
      <c r="G504" s="116"/>
      <c r="H504" s="115"/>
    </row>
    <row r="505" spans="3:8" ht="15.75">
      <c r="C505" s="115"/>
      <c r="G505" s="116"/>
      <c r="H505" s="115"/>
    </row>
    <row r="506" spans="3:8" ht="15.75">
      <c r="C506" s="115"/>
      <c r="G506" s="116"/>
      <c r="H506" s="115"/>
    </row>
    <row r="507" spans="3:8" ht="15.75">
      <c r="C507" s="115"/>
      <c r="G507" s="116"/>
      <c r="H507" s="115"/>
    </row>
    <row r="508" spans="3:8" ht="15.75">
      <c r="C508" s="115"/>
      <c r="G508" s="116"/>
      <c r="H508" s="115"/>
    </row>
    <row r="509" spans="3:8" ht="15.75">
      <c r="C509" s="115"/>
      <c r="G509" s="116"/>
      <c r="H509" s="115"/>
    </row>
    <row r="510" spans="3:8" ht="15.75">
      <c r="C510" s="115"/>
      <c r="G510" s="116"/>
      <c r="H510" s="115"/>
    </row>
    <row r="511" spans="3:8" ht="15.75">
      <c r="C511" s="115"/>
      <c r="G511" s="116"/>
      <c r="H511" s="115"/>
    </row>
    <row r="512" spans="3:8" ht="15.75">
      <c r="C512" s="115"/>
      <c r="G512" s="116"/>
      <c r="H512" s="115"/>
    </row>
    <row r="513" spans="3:8" ht="15.75">
      <c r="C513" s="115"/>
      <c r="G513" s="116"/>
      <c r="H513" s="115"/>
    </row>
    <row r="514" spans="3:8" ht="15.75">
      <c r="C514" s="115"/>
      <c r="G514" s="116"/>
      <c r="H514" s="115"/>
    </row>
    <row r="515" spans="3:8" ht="15.75">
      <c r="C515" s="115"/>
      <c r="G515" s="116"/>
      <c r="H515" s="115"/>
    </row>
    <row r="516" spans="3:8" ht="15.75">
      <c r="C516" s="115"/>
      <c r="G516" s="116"/>
      <c r="H516" s="115"/>
    </row>
    <row r="517" spans="3:8" ht="15.75">
      <c r="C517" s="115"/>
      <c r="G517" s="116"/>
      <c r="H517" s="115"/>
    </row>
    <row r="518" spans="3:8" ht="15.75">
      <c r="C518" s="115"/>
      <c r="G518" s="116"/>
      <c r="H518" s="115"/>
    </row>
    <row r="519" spans="3:8" ht="15.75">
      <c r="C519" s="115"/>
      <c r="G519" s="116"/>
      <c r="H519" s="115"/>
    </row>
    <row r="520" spans="3:8" ht="15.75">
      <c r="C520" s="115"/>
      <c r="G520" s="116"/>
      <c r="H520" s="115"/>
    </row>
    <row r="521" spans="3:8" ht="15.75">
      <c r="C521" s="115"/>
      <c r="H521" s="115"/>
    </row>
    <row r="522" spans="3:8" ht="15.75">
      <c r="C522" s="115"/>
      <c r="H522" s="115"/>
    </row>
    <row r="523" spans="3:8" ht="15.75">
      <c r="C523" s="115"/>
      <c r="H523" s="115"/>
    </row>
    <row r="524" spans="3:8" ht="15.75">
      <c r="C524" s="115"/>
      <c r="H524" s="115"/>
    </row>
    <row r="525" spans="3:8" ht="15.75">
      <c r="C525" s="115"/>
      <c r="H525" s="115"/>
    </row>
    <row r="526" spans="3:8" ht="15.75">
      <c r="C526" s="115"/>
      <c r="H526" s="115"/>
    </row>
    <row r="527" spans="3:8" ht="15.75">
      <c r="C527" s="115"/>
      <c r="H527" s="115"/>
    </row>
    <row r="528" spans="3:8" ht="15.75">
      <c r="C528" s="115"/>
      <c r="H528" s="115"/>
    </row>
    <row r="529" spans="3:8" ht="15.75">
      <c r="C529" s="115"/>
      <c r="H529" s="115"/>
    </row>
    <row r="530" spans="3:8" ht="15.75">
      <c r="C530" s="115"/>
      <c r="H530" s="115"/>
    </row>
    <row r="531" spans="3:8" ht="15.75">
      <c r="C531" s="115"/>
      <c r="H531" s="115"/>
    </row>
    <row r="532" spans="3:8" ht="15.75">
      <c r="C532" s="115"/>
      <c r="H532" s="115"/>
    </row>
    <row r="533" ht="15.75">
      <c r="H533" s="115"/>
    </row>
    <row r="534" ht="15.75">
      <c r="H534" s="115"/>
    </row>
    <row r="535" ht="15.75">
      <c r="H535" s="115"/>
    </row>
    <row r="536" ht="15.75">
      <c r="H536" s="115"/>
    </row>
    <row r="537" ht="15.75">
      <c r="H537" s="115"/>
    </row>
    <row r="538" ht="15.75">
      <c r="H538" s="115"/>
    </row>
    <row r="539" ht="15.75">
      <c r="H539" s="115"/>
    </row>
    <row r="540" ht="15.75">
      <c r="H540" s="115"/>
    </row>
    <row r="541" ht="15.75">
      <c r="H541" s="115"/>
    </row>
    <row r="542" ht="15.75">
      <c r="H542" s="115"/>
    </row>
    <row r="543" ht="15.75">
      <c r="H543" s="115"/>
    </row>
    <row r="544" ht="15.75">
      <c r="H544" s="115"/>
    </row>
    <row r="545" ht="15.75">
      <c r="H545" s="115"/>
    </row>
    <row r="546" ht="15.75">
      <c r="H546" s="115"/>
    </row>
    <row r="547" ht="15.75">
      <c r="H547" s="115"/>
    </row>
    <row r="548" ht="15.75">
      <c r="H548" s="115"/>
    </row>
    <row r="549" ht="15.75">
      <c r="H549" s="115"/>
    </row>
    <row r="550" ht="15.75">
      <c r="H550" s="115"/>
    </row>
    <row r="551" ht="15.75">
      <c r="H551" s="115"/>
    </row>
    <row r="552" ht="15.75">
      <c r="H552" s="115"/>
    </row>
    <row r="553" ht="15.75">
      <c r="H553" s="115"/>
    </row>
    <row r="554" ht="15.75">
      <c r="H554" s="115"/>
    </row>
    <row r="555" ht="15.75">
      <c r="H555" s="115"/>
    </row>
    <row r="556" ht="15.75">
      <c r="H556" s="115"/>
    </row>
    <row r="557" ht="15.75">
      <c r="H557" s="115"/>
    </row>
    <row r="558" ht="15.75">
      <c r="H558" s="115"/>
    </row>
    <row r="559" ht="15.75">
      <c r="H559" s="115"/>
    </row>
    <row r="560" ht="15.75">
      <c r="H560" s="115"/>
    </row>
    <row r="561" ht="15.75">
      <c r="H561" s="115"/>
    </row>
    <row r="562" ht="15.75">
      <c r="H562" s="115"/>
    </row>
    <row r="563" ht="15.75">
      <c r="H563" s="115"/>
    </row>
    <row r="564" ht="15.75">
      <c r="H564" s="115"/>
    </row>
    <row r="565" ht="15.75">
      <c r="H565" s="115"/>
    </row>
    <row r="566" ht="15.75">
      <c r="H566" s="115"/>
    </row>
    <row r="567" ht="15.75">
      <c r="H567" s="115"/>
    </row>
    <row r="568" ht="15.75">
      <c r="H568" s="115"/>
    </row>
    <row r="569" ht="15.75">
      <c r="H569" s="115"/>
    </row>
    <row r="570" ht="15.75">
      <c r="H570" s="115"/>
    </row>
    <row r="571" ht="15.75">
      <c r="H571" s="115"/>
    </row>
    <row r="572" ht="15.75">
      <c r="H572" s="115"/>
    </row>
    <row r="573" ht="15.75">
      <c r="H573" s="115"/>
    </row>
    <row r="574" ht="15.75">
      <c r="H574" s="115"/>
    </row>
    <row r="575" ht="15.75">
      <c r="H575" s="115"/>
    </row>
    <row r="576" ht="15.75">
      <c r="H576" s="115"/>
    </row>
  </sheetData>
  <sheetProtection/>
  <mergeCells count="2">
    <mergeCell ref="A1:F1"/>
    <mergeCell ref="A2:F2"/>
  </mergeCells>
  <printOptions horizontalCentered="1"/>
  <pageMargins left="0.65" right="0.65" top="0.7874015748031497" bottom="0.7874015748031497" header="0.31496062992125984" footer="0.31496062992125984"/>
  <pageSetup fitToHeight="4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hujnakov</dc:creator>
  <cp:keywords/>
  <dc:description/>
  <cp:lastModifiedBy>Jiří Trnečka</cp:lastModifiedBy>
  <cp:lastPrinted>2014-04-29T09:23:56Z</cp:lastPrinted>
  <dcterms:created xsi:type="dcterms:W3CDTF">2012-04-18T06:35:14Z</dcterms:created>
  <dcterms:modified xsi:type="dcterms:W3CDTF">2014-05-02T08:07:58Z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K6F56YJ4D42X-540-371</vt:lpwstr>
  </property>
  <property fmtid="{D5CDD505-2E9C-101B-9397-08002B2CF9AE}" pid="3" name="_dlc_DocIdItemGuid">
    <vt:lpwstr>ae6dfc26-e298-4f06-8210-f1c3d3c750bb</vt:lpwstr>
  </property>
  <property fmtid="{D5CDD505-2E9C-101B-9397-08002B2CF9AE}" pid="4" name="_dlc_DocIdUrl">
    <vt:lpwstr>http://project.brno.cz/ORF/RI/_layouts/DocIdRedir.aspx?ID=K6F56YJ4D42X-540-371, K6F56YJ4D42X-540-371</vt:lpwstr>
  </property>
  <property fmtid="{D5CDD505-2E9C-101B-9397-08002B2CF9AE}" pid="5" name="Rok">
    <vt:lpwstr>15</vt:lpwstr>
  </property>
  <property fmtid="{D5CDD505-2E9C-101B-9397-08002B2CF9AE}" pid="6" name="ContentTypeId">
    <vt:lpwstr>0x010100C27F7902110E8944B0D81D63E54D4995</vt:lpwstr>
  </property>
  <property fmtid="{D5CDD505-2E9C-101B-9397-08002B2CF9AE}" pid="7" name="No">
    <vt:lpwstr>0</vt:lpwstr>
  </property>
  <property fmtid="{D5CDD505-2E9C-101B-9397-08002B2CF9AE}" pid="8" name="Plnění rozpočtu">
    <vt:lpwstr>4</vt:lpwstr>
  </property>
</Properties>
</file>