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900" yWindow="-150" windowWidth="7650" windowHeight="8715"/>
  </bookViews>
  <sheets>
    <sheet name="Statut" sheetId="27" r:id="rId1"/>
    <sheet name="Transfery" sheetId="26" r:id="rId2"/>
    <sheet name="Město" sheetId="28" r:id="rId3"/>
    <sheet name="MČ" sheetId="29" r:id="rId4"/>
    <sheet name="Statut=Město+MČ" sheetId="24" r:id="rId5"/>
  </sheets>
  <definedNames>
    <definedName name="_xlnm._FilterDatabase" localSheetId="3">#REF!</definedName>
    <definedName name="_xlnm._FilterDatabase" localSheetId="2">#REF!</definedName>
    <definedName name="_xlnm._FilterDatabase" localSheetId="0">#REF!</definedName>
    <definedName name="_xlnm._FilterDatabase">#REF!</definedName>
    <definedName name="_xlnm.Print_Area" localSheetId="3">MČ!$A$1:$I$96</definedName>
    <definedName name="_xlnm.Print_Area" localSheetId="2">Město!$A$1:$I$106</definedName>
    <definedName name="_xlnm.Print_Area" localSheetId="0">Statut!$A$1:$S$119</definedName>
    <definedName name="_xlnm.Print_Area" localSheetId="4">'Statut=Město+MČ'!$A$1:$S$119</definedName>
    <definedName name="_xlnm.Print_Area" localSheetId="1">Transfery!$A$1:$D$75</definedName>
  </definedNames>
  <calcPr calcId="125725"/>
</workbook>
</file>

<file path=xl/calcChain.xml><?xml version="1.0" encoding="utf-8"?>
<calcChain xmlns="http://schemas.openxmlformats.org/spreadsheetml/2006/main">
  <c r="F88" i="29"/>
  <c r="F96" s="1"/>
  <c r="G86"/>
  <c r="I84"/>
  <c r="G83"/>
  <c r="G82"/>
  <c r="E82"/>
  <c r="E88" s="1"/>
  <c r="E96" s="1"/>
  <c r="G75"/>
  <c r="F75"/>
  <c r="F76" s="1"/>
  <c r="E75"/>
  <c r="E76" s="1"/>
  <c r="I74"/>
  <c r="I73"/>
  <c r="I72"/>
  <c r="I71"/>
  <c r="H71"/>
  <c r="I70"/>
  <c r="I66"/>
  <c r="I65"/>
  <c r="I64"/>
  <c r="H64"/>
  <c r="G63"/>
  <c r="F63"/>
  <c r="E63"/>
  <c r="I62"/>
  <c r="H62"/>
  <c r="H61"/>
  <c r="F61"/>
  <c r="F68" s="1"/>
  <c r="I60"/>
  <c r="H60"/>
  <c r="I59"/>
  <c r="I58"/>
  <c r="H58"/>
  <c r="I57"/>
  <c r="H57"/>
  <c r="I56"/>
  <c r="H56"/>
  <c r="I55"/>
  <c r="H55"/>
  <c r="I54"/>
  <c r="H54"/>
  <c r="I53"/>
  <c r="H53"/>
  <c r="I52"/>
  <c r="H52"/>
  <c r="I51"/>
  <c r="H51"/>
  <c r="I50"/>
  <c r="H50"/>
  <c r="G43"/>
  <c r="F43"/>
  <c r="E43"/>
  <c r="I42"/>
  <c r="I41"/>
  <c r="I40"/>
  <c r="I39"/>
  <c r="I38"/>
  <c r="G37"/>
  <c r="F37"/>
  <c r="F44" s="1"/>
  <c r="E37"/>
  <c r="E44" s="1"/>
  <c r="I36"/>
  <c r="I35"/>
  <c r="H35"/>
  <c r="I34"/>
  <c r="I33"/>
  <c r="H33"/>
  <c r="I32"/>
  <c r="H32"/>
  <c r="I31"/>
  <c r="H31"/>
  <c r="I30"/>
  <c r="H30"/>
  <c r="I29"/>
  <c r="H29"/>
  <c r="I28"/>
  <c r="H28"/>
  <c r="I27"/>
  <c r="G25"/>
  <c r="F25"/>
  <c r="E25"/>
  <c r="I24"/>
  <c r="H24"/>
  <c r="I23"/>
  <c r="E21"/>
  <c r="G20"/>
  <c r="G21" s="1"/>
  <c r="F20"/>
  <c r="F21" s="1"/>
  <c r="I19"/>
  <c r="I18"/>
  <c r="H18"/>
  <c r="I17"/>
  <c r="H17"/>
  <c r="I16"/>
  <c r="H16"/>
  <c r="I15"/>
  <c r="H15"/>
  <c r="I14"/>
  <c r="H14"/>
  <c r="G13"/>
  <c r="G26" s="1"/>
  <c r="F13"/>
  <c r="E13"/>
  <c r="E26" s="1"/>
  <c r="I12"/>
  <c r="H12"/>
  <c r="I11"/>
  <c r="H11"/>
  <c r="I10"/>
  <c r="H10"/>
  <c r="I9"/>
  <c r="H9"/>
  <c r="I8"/>
  <c r="H8"/>
  <c r="I7"/>
  <c r="H7"/>
  <c r="F98" i="28"/>
  <c r="F106" s="1"/>
  <c r="E98"/>
  <c r="E106" s="1"/>
  <c r="I97"/>
  <c r="H97"/>
  <c r="G98"/>
  <c r="G106" s="1"/>
  <c r="G89"/>
  <c r="G90" s="1"/>
  <c r="F89"/>
  <c r="F90" s="1"/>
  <c r="E89"/>
  <c r="E90" s="1"/>
  <c r="I88"/>
  <c r="I87"/>
  <c r="H87"/>
  <c r="I86"/>
  <c r="I85"/>
  <c r="I84"/>
  <c r="I83"/>
  <c r="H83"/>
  <c r="I79"/>
  <c r="I78"/>
  <c r="I77"/>
  <c r="H77"/>
  <c r="G76"/>
  <c r="F76"/>
  <c r="E76"/>
  <c r="I75"/>
  <c r="H75"/>
  <c r="I74"/>
  <c r="I73"/>
  <c r="H73"/>
  <c r="I72"/>
  <c r="H72"/>
  <c r="G71"/>
  <c r="F71"/>
  <c r="G70"/>
  <c r="G81" s="1"/>
  <c r="F70"/>
  <c r="E70"/>
  <c r="E81" s="1"/>
  <c r="I69"/>
  <c r="H69"/>
  <c r="I68"/>
  <c r="H68"/>
  <c r="I67"/>
  <c r="H67"/>
  <c r="I66"/>
  <c r="H66"/>
  <c r="I65"/>
  <c r="H65"/>
  <c r="I64"/>
  <c r="H64"/>
  <c r="I63"/>
  <c r="H63"/>
  <c r="G56"/>
  <c r="F56"/>
  <c r="I55"/>
  <c r="I54"/>
  <c r="I53"/>
  <c r="I52"/>
  <c r="I51"/>
  <c r="G50"/>
  <c r="G57" s="1"/>
  <c r="F50"/>
  <c r="E50"/>
  <c r="E57" s="1"/>
  <c r="I49"/>
  <c r="I48"/>
  <c r="I47"/>
  <c r="I46"/>
  <c r="H46"/>
  <c r="I45"/>
  <c r="I44"/>
  <c r="I43"/>
  <c r="H43"/>
  <c r="I42"/>
  <c r="I41"/>
  <c r="I40"/>
  <c r="I39"/>
  <c r="I38"/>
  <c r="H38"/>
  <c r="I37"/>
  <c r="F35"/>
  <c r="E35"/>
  <c r="I33"/>
  <c r="G32"/>
  <c r="I32" s="1"/>
  <c r="G31"/>
  <c r="G29"/>
  <c r="F29"/>
  <c r="F30" s="1"/>
  <c r="E29"/>
  <c r="E30" s="1"/>
  <c r="I28"/>
  <c r="H28"/>
  <c r="I27"/>
  <c r="I26"/>
  <c r="H26"/>
  <c r="I25"/>
  <c r="H25"/>
  <c r="I24"/>
  <c r="H24"/>
  <c r="I23"/>
  <c r="H23"/>
  <c r="I22"/>
  <c r="H22"/>
  <c r="I20"/>
  <c r="H20"/>
  <c r="I19"/>
  <c r="H19"/>
  <c r="I18"/>
  <c r="H18"/>
  <c r="I17"/>
  <c r="H17"/>
  <c r="I16"/>
  <c r="H16"/>
  <c r="G15"/>
  <c r="I15" s="1"/>
  <c r="G13"/>
  <c r="F13"/>
  <c r="F21" s="1"/>
  <c r="F36" s="1"/>
  <c r="E13"/>
  <c r="E21" s="1"/>
  <c r="E36" s="1"/>
  <c r="E58" s="1"/>
  <c r="E103" s="1"/>
  <c r="I12"/>
  <c r="H12"/>
  <c r="I11"/>
  <c r="H11"/>
  <c r="I10"/>
  <c r="H10"/>
  <c r="I9"/>
  <c r="H9"/>
  <c r="I8"/>
  <c r="H8"/>
  <c r="I7"/>
  <c r="H7"/>
  <c r="P111" i="27"/>
  <c r="P119" s="1"/>
  <c r="K111"/>
  <c r="K119" s="1"/>
  <c r="J111"/>
  <c r="J119" s="1"/>
  <c r="N110"/>
  <c r="M110"/>
  <c r="G110"/>
  <c r="I110" s="1"/>
  <c r="F110"/>
  <c r="E110"/>
  <c r="G109"/>
  <c r="F109"/>
  <c r="E109"/>
  <c r="F108"/>
  <c r="E108"/>
  <c r="Q107"/>
  <c r="Q108" s="1"/>
  <c r="S106"/>
  <c r="Q105"/>
  <c r="L105"/>
  <c r="L111" s="1"/>
  <c r="L119" s="1"/>
  <c r="G105"/>
  <c r="F105"/>
  <c r="E105"/>
  <c r="Q104"/>
  <c r="O104"/>
  <c r="R104" s="1"/>
  <c r="G104"/>
  <c r="F104"/>
  <c r="F111" s="1"/>
  <c r="F119" s="1"/>
  <c r="E104"/>
  <c r="E111" s="1"/>
  <c r="E119" s="1"/>
  <c r="Q97"/>
  <c r="S97" s="1"/>
  <c r="P97"/>
  <c r="P98" s="1"/>
  <c r="O97"/>
  <c r="O98" s="1"/>
  <c r="L97"/>
  <c r="L98" s="1"/>
  <c r="K97"/>
  <c r="K98" s="1"/>
  <c r="J97"/>
  <c r="J98" s="1"/>
  <c r="G97"/>
  <c r="F97"/>
  <c r="E97"/>
  <c r="N96"/>
  <c r="S95"/>
  <c r="N95"/>
  <c r="M95"/>
  <c r="G95"/>
  <c r="H95" s="1"/>
  <c r="F95"/>
  <c r="E95"/>
  <c r="S94"/>
  <c r="N94"/>
  <c r="G94"/>
  <c r="I94" s="1"/>
  <c r="F94"/>
  <c r="E94"/>
  <c r="N93"/>
  <c r="S92"/>
  <c r="S91"/>
  <c r="R91"/>
  <c r="N91"/>
  <c r="G91"/>
  <c r="H91" s="1"/>
  <c r="F91"/>
  <c r="E91"/>
  <c r="S90"/>
  <c r="N90"/>
  <c r="M90"/>
  <c r="G90"/>
  <c r="H90" s="1"/>
  <c r="F90"/>
  <c r="F98" s="1"/>
  <c r="E90"/>
  <c r="E98" s="1"/>
  <c r="G87"/>
  <c r="F87"/>
  <c r="E87"/>
  <c r="N85"/>
  <c r="S84"/>
  <c r="S83"/>
  <c r="N83"/>
  <c r="G83"/>
  <c r="I83" s="1"/>
  <c r="F83"/>
  <c r="E83"/>
  <c r="S82"/>
  <c r="R82"/>
  <c r="N82"/>
  <c r="M82"/>
  <c r="H82"/>
  <c r="G82"/>
  <c r="I82" s="1"/>
  <c r="F82"/>
  <c r="E82"/>
  <c r="Q81"/>
  <c r="P81"/>
  <c r="O81"/>
  <c r="M81"/>
  <c r="L81"/>
  <c r="N81" s="1"/>
  <c r="K81"/>
  <c r="F81" s="1"/>
  <c r="J81"/>
  <c r="G81"/>
  <c r="I81" s="1"/>
  <c r="E81"/>
  <c r="S80"/>
  <c r="R80"/>
  <c r="N80"/>
  <c r="M80"/>
  <c r="H80"/>
  <c r="G80"/>
  <c r="I80" s="1"/>
  <c r="F80"/>
  <c r="E80"/>
  <c r="R79"/>
  <c r="P79"/>
  <c r="P88" s="1"/>
  <c r="N79"/>
  <c r="G79"/>
  <c r="E79"/>
  <c r="S78"/>
  <c r="R78"/>
  <c r="N78"/>
  <c r="M78"/>
  <c r="S77"/>
  <c r="S76"/>
  <c r="R76"/>
  <c r="N76"/>
  <c r="M76"/>
  <c r="G76"/>
  <c r="I76" s="1"/>
  <c r="F76"/>
  <c r="E76"/>
  <c r="S75"/>
  <c r="R75"/>
  <c r="L75"/>
  <c r="N75" s="1"/>
  <c r="K75"/>
  <c r="G75"/>
  <c r="I75" s="1"/>
  <c r="F75"/>
  <c r="E75"/>
  <c r="S74"/>
  <c r="R74"/>
  <c r="M74"/>
  <c r="L74"/>
  <c r="L88" s="1"/>
  <c r="K74"/>
  <c r="J74"/>
  <c r="J88" s="1"/>
  <c r="G74"/>
  <c r="E74"/>
  <c r="N73"/>
  <c r="M73"/>
  <c r="H73"/>
  <c r="G73"/>
  <c r="I73" s="1"/>
  <c r="F73"/>
  <c r="E73"/>
  <c r="S72"/>
  <c r="R72"/>
  <c r="N72"/>
  <c r="M72"/>
  <c r="G72"/>
  <c r="I72" s="1"/>
  <c r="F72"/>
  <c r="E72"/>
  <c r="S71"/>
  <c r="R71"/>
  <c r="N71"/>
  <c r="M71"/>
  <c r="H71"/>
  <c r="G71"/>
  <c r="I71" s="1"/>
  <c r="F71"/>
  <c r="E71"/>
  <c r="S70"/>
  <c r="R70"/>
  <c r="N70"/>
  <c r="M70"/>
  <c r="G70"/>
  <c r="I70" s="1"/>
  <c r="F70"/>
  <c r="E70"/>
  <c r="S69"/>
  <c r="R69"/>
  <c r="N69"/>
  <c r="M69"/>
  <c r="H69"/>
  <c r="G69"/>
  <c r="I69" s="1"/>
  <c r="F69"/>
  <c r="E69"/>
  <c r="S68"/>
  <c r="R68"/>
  <c r="N68"/>
  <c r="M68"/>
  <c r="G68"/>
  <c r="I68" s="1"/>
  <c r="F68"/>
  <c r="E68"/>
  <c r="S67"/>
  <c r="R67"/>
  <c r="N67"/>
  <c r="M67"/>
  <c r="H67"/>
  <c r="G67"/>
  <c r="F67"/>
  <c r="E67"/>
  <c r="Q60"/>
  <c r="P60"/>
  <c r="S60" s="1"/>
  <c r="O60"/>
  <c r="L60"/>
  <c r="K60"/>
  <c r="S59"/>
  <c r="G59"/>
  <c r="F59"/>
  <c r="I59" s="1"/>
  <c r="N58"/>
  <c r="G58"/>
  <c r="F58"/>
  <c r="I58" s="1"/>
  <c r="S57"/>
  <c r="N57"/>
  <c r="G57"/>
  <c r="I57" s="1"/>
  <c r="F57"/>
  <c r="N56"/>
  <c r="S55"/>
  <c r="S54"/>
  <c r="N54"/>
  <c r="G54"/>
  <c r="F54"/>
  <c r="I54" s="1"/>
  <c r="S53"/>
  <c r="N53"/>
  <c r="G53"/>
  <c r="G60" s="1"/>
  <c r="F53"/>
  <c r="F60" s="1"/>
  <c r="E53"/>
  <c r="E60" s="1"/>
  <c r="Q52"/>
  <c r="Q61" s="1"/>
  <c r="P52"/>
  <c r="P61" s="1"/>
  <c r="O52"/>
  <c r="O61" s="1"/>
  <c r="L52"/>
  <c r="L61" s="1"/>
  <c r="K52"/>
  <c r="K61" s="1"/>
  <c r="J52"/>
  <c r="J61" s="1"/>
  <c r="S51"/>
  <c r="N51"/>
  <c r="G51"/>
  <c r="F51"/>
  <c r="I51" s="1"/>
  <c r="N50"/>
  <c r="G50"/>
  <c r="F50"/>
  <c r="I50" s="1"/>
  <c r="N49"/>
  <c r="G49"/>
  <c r="F49"/>
  <c r="I49" s="1"/>
  <c r="E49"/>
  <c r="S48"/>
  <c r="R48"/>
  <c r="N48"/>
  <c r="M48"/>
  <c r="G48"/>
  <c r="I48" s="1"/>
  <c r="F48"/>
  <c r="E48"/>
  <c r="N47"/>
  <c r="G47"/>
  <c r="F47"/>
  <c r="I47" s="1"/>
  <c r="S46"/>
  <c r="N46"/>
  <c r="G46"/>
  <c r="I46" s="1"/>
  <c r="F46"/>
  <c r="E46"/>
  <c r="S45"/>
  <c r="R45"/>
  <c r="N45"/>
  <c r="M45"/>
  <c r="H45"/>
  <c r="G45"/>
  <c r="I45" s="1"/>
  <c r="F45"/>
  <c r="E45"/>
  <c r="S44"/>
  <c r="R44"/>
  <c r="N44"/>
  <c r="S43"/>
  <c r="R43"/>
  <c r="N42"/>
  <c r="G42"/>
  <c r="F42"/>
  <c r="I42" s="1"/>
  <c r="E42"/>
  <c r="S41"/>
  <c r="R41"/>
  <c r="N41"/>
  <c r="H41"/>
  <c r="G41"/>
  <c r="I41" s="1"/>
  <c r="F41"/>
  <c r="E41"/>
  <c r="S40"/>
  <c r="R40"/>
  <c r="N40"/>
  <c r="H40"/>
  <c r="G40"/>
  <c r="I40" s="1"/>
  <c r="F40"/>
  <c r="E40"/>
  <c r="S39"/>
  <c r="R39"/>
  <c r="N39"/>
  <c r="M39"/>
  <c r="G39"/>
  <c r="I39" s="1"/>
  <c r="F39"/>
  <c r="E39"/>
  <c r="E52" s="1"/>
  <c r="E61" s="1"/>
  <c r="S38"/>
  <c r="N38"/>
  <c r="G38"/>
  <c r="G52" s="1"/>
  <c r="F38"/>
  <c r="F52" s="1"/>
  <c r="F61" s="1"/>
  <c r="Q36"/>
  <c r="S36" s="1"/>
  <c r="P36"/>
  <c r="O36"/>
  <c r="R36" s="1"/>
  <c r="K36"/>
  <c r="J36"/>
  <c r="G35"/>
  <c r="F35"/>
  <c r="E35"/>
  <c r="S34"/>
  <c r="R34"/>
  <c r="N34"/>
  <c r="G34"/>
  <c r="I34" s="1"/>
  <c r="F34"/>
  <c r="E34"/>
  <c r="H34" s="1"/>
  <c r="S33"/>
  <c r="L33"/>
  <c r="N33" s="1"/>
  <c r="G33"/>
  <c r="H33" s="1"/>
  <c r="F33"/>
  <c r="E33"/>
  <c r="M32"/>
  <c r="L32"/>
  <c r="L36" s="1"/>
  <c r="G32"/>
  <c r="H32" s="1"/>
  <c r="F32"/>
  <c r="F36" s="1"/>
  <c r="E32"/>
  <c r="E36" s="1"/>
  <c r="O31"/>
  <c r="Q30"/>
  <c r="Q31" s="1"/>
  <c r="P30"/>
  <c r="P31" s="1"/>
  <c r="L30"/>
  <c r="K30"/>
  <c r="K31" s="1"/>
  <c r="J30"/>
  <c r="E30" s="1"/>
  <c r="G30"/>
  <c r="F30"/>
  <c r="N29"/>
  <c r="M29"/>
  <c r="N28"/>
  <c r="S27"/>
  <c r="S26"/>
  <c r="R26"/>
  <c r="N26"/>
  <c r="M26"/>
  <c r="G26"/>
  <c r="H26" s="1"/>
  <c r="F26"/>
  <c r="E26"/>
  <c r="S25"/>
  <c r="R25"/>
  <c r="N25"/>
  <c r="M25"/>
  <c r="H25"/>
  <c r="G25"/>
  <c r="I25" s="1"/>
  <c r="F25"/>
  <c r="E25"/>
  <c r="S24"/>
  <c r="R24"/>
  <c r="N24"/>
  <c r="M24"/>
  <c r="G24"/>
  <c r="H24" s="1"/>
  <c r="F24"/>
  <c r="E24"/>
  <c r="S23"/>
  <c r="R23"/>
  <c r="N23"/>
  <c r="M23"/>
  <c r="H23"/>
  <c r="G23"/>
  <c r="I23" s="1"/>
  <c r="F23"/>
  <c r="E23"/>
  <c r="S22"/>
  <c r="R22"/>
  <c r="N22"/>
  <c r="M22"/>
  <c r="G22"/>
  <c r="G31" s="1"/>
  <c r="F22"/>
  <c r="F31" s="1"/>
  <c r="E22"/>
  <c r="R21"/>
  <c r="Q21"/>
  <c r="P21"/>
  <c r="P37" s="1"/>
  <c r="O21"/>
  <c r="O37" s="1"/>
  <c r="S20"/>
  <c r="R20"/>
  <c r="N20"/>
  <c r="M20"/>
  <c r="G20"/>
  <c r="H20" s="1"/>
  <c r="F20"/>
  <c r="E20"/>
  <c r="S19"/>
  <c r="R19"/>
  <c r="N19"/>
  <c r="M19"/>
  <c r="H19"/>
  <c r="G19"/>
  <c r="I19" s="1"/>
  <c r="F19"/>
  <c r="E19"/>
  <c r="S18"/>
  <c r="R18"/>
  <c r="N18"/>
  <c r="M18"/>
  <c r="G18"/>
  <c r="H18" s="1"/>
  <c r="F18"/>
  <c r="E18"/>
  <c r="S17"/>
  <c r="R17"/>
  <c r="N17"/>
  <c r="M17"/>
  <c r="H17"/>
  <c r="G17"/>
  <c r="I17" s="1"/>
  <c r="F17"/>
  <c r="E17"/>
  <c r="S16"/>
  <c r="R16"/>
  <c r="N16"/>
  <c r="M16"/>
  <c r="G16"/>
  <c r="H16" s="1"/>
  <c r="F16"/>
  <c r="E16"/>
  <c r="S15"/>
  <c r="R15"/>
  <c r="L15"/>
  <c r="N15" s="1"/>
  <c r="F15"/>
  <c r="E15"/>
  <c r="G14"/>
  <c r="M13"/>
  <c r="L13"/>
  <c r="N13" s="1"/>
  <c r="K13"/>
  <c r="K21" s="1"/>
  <c r="K37" s="1"/>
  <c r="K62" s="1"/>
  <c r="K116" s="1"/>
  <c r="J13"/>
  <c r="J21" s="1"/>
  <c r="N12"/>
  <c r="M12"/>
  <c r="H12"/>
  <c r="G12"/>
  <c r="I12" s="1"/>
  <c r="F12"/>
  <c r="E12"/>
  <c r="N11"/>
  <c r="M11"/>
  <c r="G11"/>
  <c r="H11" s="1"/>
  <c r="F11"/>
  <c r="E11"/>
  <c r="N10"/>
  <c r="M10"/>
  <c r="H10"/>
  <c r="G10"/>
  <c r="I10" s="1"/>
  <c r="F10"/>
  <c r="E10"/>
  <c r="N9"/>
  <c r="M9"/>
  <c r="G9"/>
  <c r="H9" s="1"/>
  <c r="F9"/>
  <c r="E9"/>
  <c r="N8"/>
  <c r="M8"/>
  <c r="H8"/>
  <c r="G8"/>
  <c r="I8" s="1"/>
  <c r="F8"/>
  <c r="E8"/>
  <c r="N7"/>
  <c r="M7"/>
  <c r="G7"/>
  <c r="H7" s="1"/>
  <c r="F7"/>
  <c r="F13" s="1"/>
  <c r="F21" s="1"/>
  <c r="F37" s="1"/>
  <c r="F62" s="1"/>
  <c r="F116" s="1"/>
  <c r="E7"/>
  <c r="E13" s="1"/>
  <c r="E21" s="1"/>
  <c r="Q104" i="24"/>
  <c r="Q97"/>
  <c r="L33"/>
  <c r="L32"/>
  <c r="L88"/>
  <c r="L30"/>
  <c r="Q88"/>
  <c r="Q30"/>
  <c r="P97"/>
  <c r="P88"/>
  <c r="Q108"/>
  <c r="Q105"/>
  <c r="Q81"/>
  <c r="P81"/>
  <c r="S83"/>
  <c r="P30"/>
  <c r="I97" i="27" l="1"/>
  <c r="H97"/>
  <c r="N60"/>
  <c r="R52"/>
  <c r="I30"/>
  <c r="Q111"/>
  <c r="Q119" s="1"/>
  <c r="H30"/>
  <c r="M30"/>
  <c r="F26" i="29"/>
  <c r="I75"/>
  <c r="H25"/>
  <c r="I43"/>
  <c r="H37"/>
  <c r="H82"/>
  <c r="I71" i="28"/>
  <c r="F57"/>
  <c r="F58" s="1"/>
  <c r="F103" s="1"/>
  <c r="G35"/>
  <c r="H29"/>
  <c r="H76"/>
  <c r="I13"/>
  <c r="H31"/>
  <c r="H32"/>
  <c r="I56"/>
  <c r="I21" i="29"/>
  <c r="H21"/>
  <c r="F45"/>
  <c r="F93" s="1"/>
  <c r="I26"/>
  <c r="H26"/>
  <c r="I86"/>
  <c r="H86"/>
  <c r="E45"/>
  <c r="E93" s="1"/>
  <c r="H13"/>
  <c r="I20"/>
  <c r="I25"/>
  <c r="I37"/>
  <c r="G44"/>
  <c r="H63"/>
  <c r="E68"/>
  <c r="G68"/>
  <c r="F69"/>
  <c r="F77" s="1"/>
  <c r="F94" s="1"/>
  <c r="H75"/>
  <c r="G76"/>
  <c r="I82"/>
  <c r="H85"/>
  <c r="G88"/>
  <c r="G96" s="1"/>
  <c r="I13"/>
  <c r="H20"/>
  <c r="I61"/>
  <c r="I63"/>
  <c r="I85"/>
  <c r="H81" i="28"/>
  <c r="I35"/>
  <c r="H35"/>
  <c r="I57"/>
  <c r="H57"/>
  <c r="I90"/>
  <c r="H90"/>
  <c r="H13"/>
  <c r="G21"/>
  <c r="I29"/>
  <c r="G30"/>
  <c r="H50"/>
  <c r="I70"/>
  <c r="I76"/>
  <c r="F81"/>
  <c r="E82"/>
  <c r="E91" s="1"/>
  <c r="E104" s="1"/>
  <c r="E105" s="1"/>
  <c r="G82"/>
  <c r="I89"/>
  <c r="I31"/>
  <c r="I50"/>
  <c r="H70"/>
  <c r="H89"/>
  <c r="I31" i="27"/>
  <c r="N36"/>
  <c r="M36"/>
  <c r="H52"/>
  <c r="G61"/>
  <c r="I52"/>
  <c r="R61"/>
  <c r="S61"/>
  <c r="N98"/>
  <c r="M98"/>
  <c r="Q37"/>
  <c r="E31"/>
  <c r="H31" s="1"/>
  <c r="O62"/>
  <c r="O116" s="1"/>
  <c r="I60"/>
  <c r="S31"/>
  <c r="R31"/>
  <c r="N61"/>
  <c r="M61"/>
  <c r="M88"/>
  <c r="S108"/>
  <c r="R108"/>
  <c r="G108"/>
  <c r="P62"/>
  <c r="P116" s="1"/>
  <c r="I7"/>
  <c r="I9"/>
  <c r="I11"/>
  <c r="G13"/>
  <c r="I16"/>
  <c r="I18"/>
  <c r="I20"/>
  <c r="L21"/>
  <c r="I22"/>
  <c r="I24"/>
  <c r="I26"/>
  <c r="N30"/>
  <c r="S30"/>
  <c r="J31"/>
  <c r="J37" s="1"/>
  <c r="J62" s="1"/>
  <c r="J116" s="1"/>
  <c r="L31"/>
  <c r="I32"/>
  <c r="I33"/>
  <c r="M33"/>
  <c r="G36"/>
  <c r="I38"/>
  <c r="H39"/>
  <c r="H48"/>
  <c r="M52"/>
  <c r="S52"/>
  <c r="I53"/>
  <c r="I67"/>
  <c r="H68"/>
  <c r="H70"/>
  <c r="H72"/>
  <c r="F74"/>
  <c r="I74" s="1"/>
  <c r="H74"/>
  <c r="N74"/>
  <c r="H75"/>
  <c r="H76"/>
  <c r="F79"/>
  <c r="I79" s="1"/>
  <c r="H79"/>
  <c r="H81"/>
  <c r="R81"/>
  <c r="K88"/>
  <c r="F88" s="1"/>
  <c r="O88"/>
  <c r="E88" s="1"/>
  <c r="E89" s="1"/>
  <c r="E99" s="1"/>
  <c r="E117" s="1"/>
  <c r="Q88"/>
  <c r="G88" s="1"/>
  <c r="J89"/>
  <c r="J99" s="1"/>
  <c r="J117" s="1"/>
  <c r="L89"/>
  <c r="P89"/>
  <c r="P99" s="1"/>
  <c r="P117" s="1"/>
  <c r="I90"/>
  <c r="I91"/>
  <c r="I95"/>
  <c r="N97"/>
  <c r="R97"/>
  <c r="G98"/>
  <c r="Q98"/>
  <c r="S104"/>
  <c r="R107"/>
  <c r="H110"/>
  <c r="O111"/>
  <c r="O119" s="1"/>
  <c r="G15"/>
  <c r="S21"/>
  <c r="H22"/>
  <c r="R30"/>
  <c r="N32"/>
  <c r="N52"/>
  <c r="S79"/>
  <c r="S81"/>
  <c r="M97"/>
  <c r="S107"/>
  <c r="L97" i="24"/>
  <c r="K88"/>
  <c r="L81"/>
  <c r="K81"/>
  <c r="L75"/>
  <c r="L74"/>
  <c r="K74"/>
  <c r="J118" i="27" l="1"/>
  <c r="E37"/>
  <c r="E62" s="1"/>
  <c r="E116" s="1"/>
  <c r="H68" i="29"/>
  <c r="I68"/>
  <c r="E69"/>
  <c r="E77" s="1"/>
  <c r="E94" s="1"/>
  <c r="E95" s="1"/>
  <c r="H76"/>
  <c r="I76"/>
  <c r="G45"/>
  <c r="H44"/>
  <c r="I44"/>
  <c r="G69"/>
  <c r="F95"/>
  <c r="H30" i="28"/>
  <c r="I30"/>
  <c r="I81"/>
  <c r="H82"/>
  <c r="G91"/>
  <c r="H21"/>
  <c r="G36"/>
  <c r="I21"/>
  <c r="F82"/>
  <c r="F91" s="1"/>
  <c r="F104" s="1"/>
  <c r="F105" s="1"/>
  <c r="H88" i="27"/>
  <c r="I88"/>
  <c r="G89"/>
  <c r="I15"/>
  <c r="H15"/>
  <c r="H98"/>
  <c r="I98"/>
  <c r="M21"/>
  <c r="L37"/>
  <c r="N21"/>
  <c r="G21"/>
  <c r="H13"/>
  <c r="I13"/>
  <c r="Q89"/>
  <c r="F89"/>
  <c r="F99" s="1"/>
  <c r="F117" s="1"/>
  <c r="F118" s="1"/>
  <c r="N88"/>
  <c r="K89"/>
  <c r="K99" s="1"/>
  <c r="K117" s="1"/>
  <c r="K118" s="1"/>
  <c r="R98"/>
  <c r="S98"/>
  <c r="M89"/>
  <c r="L99"/>
  <c r="R88"/>
  <c r="S88"/>
  <c r="H36"/>
  <c r="I36"/>
  <c r="M31"/>
  <c r="N31"/>
  <c r="H108"/>
  <c r="I108"/>
  <c r="S37"/>
  <c r="R37"/>
  <c r="H61"/>
  <c r="I61"/>
  <c r="O89"/>
  <c r="O99" s="1"/>
  <c r="O117" s="1"/>
  <c r="O118" s="1"/>
  <c r="P118"/>
  <c r="G111"/>
  <c r="G119" s="1"/>
  <c r="E118"/>
  <c r="Q62"/>
  <c r="K97" i="24"/>
  <c r="K30"/>
  <c r="N89" i="27" l="1"/>
  <c r="G77" i="29"/>
  <c r="I69"/>
  <c r="H69"/>
  <c r="G93"/>
  <c r="I45"/>
  <c r="H45"/>
  <c r="G104" i="28"/>
  <c r="H91"/>
  <c r="I91"/>
  <c r="H36"/>
  <c r="G58"/>
  <c r="I36"/>
  <c r="I82"/>
  <c r="L117" i="27"/>
  <c r="M99"/>
  <c r="N99"/>
  <c r="G37"/>
  <c r="I21"/>
  <c r="H21"/>
  <c r="M37"/>
  <c r="L62"/>
  <c r="N37"/>
  <c r="G99"/>
  <c r="I89"/>
  <c r="H89"/>
  <c r="Q116"/>
  <c r="S62"/>
  <c r="R62"/>
  <c r="Q99"/>
  <c r="S89"/>
  <c r="R89"/>
  <c r="S54" i="24"/>
  <c r="I93" i="29" l="1"/>
  <c r="H93"/>
  <c r="I77"/>
  <c r="G94"/>
  <c r="G95" s="1"/>
  <c r="H77"/>
  <c r="I104" i="28"/>
  <c r="H104"/>
  <c r="H58"/>
  <c r="G103"/>
  <c r="I58"/>
  <c r="S99" i="27"/>
  <c r="Q117"/>
  <c r="R99"/>
  <c r="Q118"/>
  <c r="S116"/>
  <c r="R116"/>
  <c r="N117"/>
  <c r="M117"/>
  <c r="I99"/>
  <c r="G117"/>
  <c r="H99"/>
  <c r="M62"/>
  <c r="L116"/>
  <c r="N62"/>
  <c r="G62"/>
  <c r="I37"/>
  <c r="H37"/>
  <c r="N91" i="24"/>
  <c r="H94" i="29" l="1"/>
  <c r="I94"/>
  <c r="H103" i="28"/>
  <c r="G105"/>
  <c r="I103"/>
  <c r="G116" i="27"/>
  <c r="I62"/>
  <c r="H62"/>
  <c r="M116"/>
  <c r="L118"/>
  <c r="N116"/>
  <c r="H117"/>
  <c r="I117"/>
  <c r="R117"/>
  <c r="S117"/>
  <c r="S90" i="24"/>
  <c r="S51"/>
  <c r="S59"/>
  <c r="N58"/>
  <c r="G58"/>
  <c r="F58"/>
  <c r="N15"/>
  <c r="N34"/>
  <c r="G118" i="27" l="1"/>
  <c r="I116"/>
  <c r="H116"/>
  <c r="I58" i="24"/>
  <c r="P79"/>
  <c r="N94"/>
  <c r="L105"/>
  <c r="K75"/>
  <c r="E35" l="1"/>
  <c r="F35"/>
  <c r="G35"/>
  <c r="S77"/>
  <c r="Q36"/>
  <c r="L36"/>
  <c r="N44"/>
  <c r="P36"/>
  <c r="O36"/>
  <c r="K36"/>
  <c r="J36"/>
  <c r="E36"/>
  <c r="N79" l="1"/>
  <c r="S106"/>
  <c r="G109"/>
  <c r="F109"/>
  <c r="E109"/>
  <c r="S53"/>
  <c r="S27"/>
  <c r="E60" l="1"/>
  <c r="F105"/>
  <c r="Q60"/>
  <c r="P60"/>
  <c r="O60"/>
  <c r="N96" l="1"/>
  <c r="L15"/>
  <c r="N85"/>
  <c r="N40"/>
  <c r="N42" l="1"/>
  <c r="S57" l="1"/>
  <c r="N54" l="1"/>
  <c r="N53"/>
  <c r="G54"/>
  <c r="F54"/>
  <c r="G53"/>
  <c r="F53"/>
  <c r="E53"/>
  <c r="L60"/>
  <c r="K60"/>
  <c r="I54" l="1"/>
  <c r="I53"/>
  <c r="S84"/>
  <c r="F50"/>
  <c r="N50"/>
  <c r="N83"/>
  <c r="N28"/>
  <c r="F47"/>
  <c r="N47"/>
  <c r="G47" l="1"/>
  <c r="I47" s="1"/>
  <c r="G79"/>
  <c r="G82"/>
  <c r="S55"/>
  <c r="S94"/>
  <c r="S33"/>
  <c r="N49"/>
  <c r="N93"/>
  <c r="E42"/>
  <c r="F42"/>
  <c r="I42" s="1"/>
  <c r="G42"/>
  <c r="G8"/>
  <c r="N75"/>
  <c r="S95"/>
  <c r="S104"/>
  <c r="S92" l="1"/>
  <c r="S46"/>
  <c r="N56"/>
  <c r="N46"/>
  <c r="N41"/>
  <c r="M90"/>
  <c r="N51"/>
  <c r="O81" l="1"/>
  <c r="G94"/>
  <c r="F94"/>
  <c r="E94"/>
  <c r="O97"/>
  <c r="J97"/>
  <c r="I94" l="1"/>
  <c r="O104"/>
  <c r="R104" s="1"/>
  <c r="O88"/>
  <c r="N57"/>
  <c r="L31"/>
  <c r="J81"/>
  <c r="J74"/>
  <c r="J88" s="1"/>
  <c r="J30"/>
  <c r="Q107"/>
  <c r="G50"/>
  <c r="I50" s="1"/>
  <c r="G59"/>
  <c r="G57"/>
  <c r="F59"/>
  <c r="F57"/>
  <c r="G72"/>
  <c r="E72"/>
  <c r="F72"/>
  <c r="I72" s="1"/>
  <c r="R72"/>
  <c r="S72"/>
  <c r="M72"/>
  <c r="M73"/>
  <c r="N72"/>
  <c r="S71"/>
  <c r="R71"/>
  <c r="N71"/>
  <c r="M71"/>
  <c r="G71"/>
  <c r="F71"/>
  <c r="E71"/>
  <c r="S69"/>
  <c r="R69"/>
  <c r="N69"/>
  <c r="M69"/>
  <c r="G69"/>
  <c r="F69"/>
  <c r="E69"/>
  <c r="H69" s="1"/>
  <c r="C62" i="26"/>
  <c r="C43"/>
  <c r="N90" i="24"/>
  <c r="R70"/>
  <c r="S70"/>
  <c r="R74"/>
  <c r="S74"/>
  <c r="R75"/>
  <c r="S75"/>
  <c r="R76"/>
  <c r="S76"/>
  <c r="R78"/>
  <c r="S78"/>
  <c r="R79"/>
  <c r="S79"/>
  <c r="R80"/>
  <c r="S80"/>
  <c r="R81"/>
  <c r="S81"/>
  <c r="R82"/>
  <c r="S82"/>
  <c r="C61" i="26"/>
  <c r="C42"/>
  <c r="G105" i="24"/>
  <c r="C47" i="26"/>
  <c r="C66"/>
  <c r="F90" i="24"/>
  <c r="G90"/>
  <c r="G83"/>
  <c r="F83"/>
  <c r="F82"/>
  <c r="F79"/>
  <c r="I79" s="1"/>
  <c r="I59"/>
  <c r="I57"/>
  <c r="G16"/>
  <c r="F16"/>
  <c r="E16"/>
  <c r="H16" s="1"/>
  <c r="F49"/>
  <c r="C68" i="26"/>
  <c r="N82" i="24"/>
  <c r="L13"/>
  <c r="L21" s="1"/>
  <c r="L52"/>
  <c r="L61" s="1"/>
  <c r="L98"/>
  <c r="J98"/>
  <c r="J13"/>
  <c r="J21" s="1"/>
  <c r="J31"/>
  <c r="J52"/>
  <c r="J61" s="1"/>
  <c r="K98"/>
  <c r="K31"/>
  <c r="K13"/>
  <c r="K21" s="1"/>
  <c r="K52"/>
  <c r="K61" s="1"/>
  <c r="L111"/>
  <c r="L119" s="1"/>
  <c r="J111"/>
  <c r="J119" s="1"/>
  <c r="K111"/>
  <c r="K119" s="1"/>
  <c r="N60"/>
  <c r="S38"/>
  <c r="F32"/>
  <c r="F33"/>
  <c r="F34"/>
  <c r="G32"/>
  <c r="G33"/>
  <c r="G34"/>
  <c r="E32"/>
  <c r="E33"/>
  <c r="E34"/>
  <c r="G49"/>
  <c r="I49" s="1"/>
  <c r="N48"/>
  <c r="C50" i="26"/>
  <c r="C67"/>
  <c r="C69" s="1"/>
  <c r="C40"/>
  <c r="C41"/>
  <c r="P111" i="24"/>
  <c r="O111"/>
  <c r="G104"/>
  <c r="G110"/>
  <c r="H110" s="1"/>
  <c r="F104"/>
  <c r="F108"/>
  <c r="F110"/>
  <c r="E104"/>
  <c r="E105"/>
  <c r="E108"/>
  <c r="E110"/>
  <c r="M48"/>
  <c r="G51"/>
  <c r="F51"/>
  <c r="F46"/>
  <c r="G46"/>
  <c r="G41"/>
  <c r="F41"/>
  <c r="E41"/>
  <c r="F38"/>
  <c r="G38"/>
  <c r="G17"/>
  <c r="I17" s="1"/>
  <c r="G48"/>
  <c r="E46"/>
  <c r="E48"/>
  <c r="F48"/>
  <c r="E49"/>
  <c r="E90"/>
  <c r="R41"/>
  <c r="N33"/>
  <c r="M33"/>
  <c r="S34"/>
  <c r="R34"/>
  <c r="N95"/>
  <c r="M95"/>
  <c r="N110"/>
  <c r="S91"/>
  <c r="R91"/>
  <c r="S60"/>
  <c r="Q52"/>
  <c r="Q61" s="1"/>
  <c r="P52"/>
  <c r="P61" s="1"/>
  <c r="O52"/>
  <c r="O61" s="1"/>
  <c r="G39"/>
  <c r="G40"/>
  <c r="G45"/>
  <c r="F39"/>
  <c r="F40"/>
  <c r="F45"/>
  <c r="E39"/>
  <c r="E40"/>
  <c r="E45"/>
  <c r="M52"/>
  <c r="G75"/>
  <c r="N38"/>
  <c r="N29"/>
  <c r="S48"/>
  <c r="S45"/>
  <c r="S43"/>
  <c r="S44"/>
  <c r="S41"/>
  <c r="S40"/>
  <c r="S39"/>
  <c r="R26"/>
  <c r="S26"/>
  <c r="O89"/>
  <c r="E79"/>
  <c r="H79" s="1"/>
  <c r="Q31"/>
  <c r="P31"/>
  <c r="G30"/>
  <c r="G25"/>
  <c r="G22"/>
  <c r="G23"/>
  <c r="G24"/>
  <c r="G26"/>
  <c r="G7"/>
  <c r="G9"/>
  <c r="G10"/>
  <c r="G12"/>
  <c r="I12" s="1"/>
  <c r="G11"/>
  <c r="G20"/>
  <c r="H20" s="1"/>
  <c r="G19"/>
  <c r="G18"/>
  <c r="G15"/>
  <c r="G14"/>
  <c r="G97"/>
  <c r="G91"/>
  <c r="G95"/>
  <c r="G67"/>
  <c r="G68"/>
  <c r="G70"/>
  <c r="G74"/>
  <c r="G73"/>
  <c r="G76"/>
  <c r="G80"/>
  <c r="G81"/>
  <c r="G87"/>
  <c r="F67"/>
  <c r="F68"/>
  <c r="F74"/>
  <c r="F76"/>
  <c r="F80"/>
  <c r="F87"/>
  <c r="F70"/>
  <c r="F75"/>
  <c r="F81"/>
  <c r="F73"/>
  <c r="F97"/>
  <c r="F91"/>
  <c r="F95"/>
  <c r="F26"/>
  <c r="F30"/>
  <c r="F22"/>
  <c r="F23"/>
  <c r="F24"/>
  <c r="F25"/>
  <c r="F15"/>
  <c r="F19"/>
  <c r="F20"/>
  <c r="F18"/>
  <c r="F17"/>
  <c r="F10"/>
  <c r="F7"/>
  <c r="F8"/>
  <c r="F9"/>
  <c r="F11"/>
  <c r="F12"/>
  <c r="M110"/>
  <c r="N45"/>
  <c r="R44"/>
  <c r="M19"/>
  <c r="N19"/>
  <c r="Q98"/>
  <c r="R98" s="1"/>
  <c r="P119"/>
  <c r="O119"/>
  <c r="P89"/>
  <c r="P98"/>
  <c r="P21"/>
  <c r="Q21"/>
  <c r="R21" s="1"/>
  <c r="O21"/>
  <c r="O98"/>
  <c r="E7"/>
  <c r="E8"/>
  <c r="E10"/>
  <c r="E11"/>
  <c r="E9"/>
  <c r="E12"/>
  <c r="E17"/>
  <c r="E20"/>
  <c r="E19"/>
  <c r="E15"/>
  <c r="E18"/>
  <c r="E22"/>
  <c r="E23"/>
  <c r="H23" s="1"/>
  <c r="E24"/>
  <c r="E25"/>
  <c r="E26"/>
  <c r="E67"/>
  <c r="H67" s="1"/>
  <c r="E68"/>
  <c r="E74"/>
  <c r="H74" s="1"/>
  <c r="E76"/>
  <c r="E80"/>
  <c r="E87"/>
  <c r="E70"/>
  <c r="E73"/>
  <c r="E75"/>
  <c r="E81"/>
  <c r="E82"/>
  <c r="E83"/>
  <c r="E97"/>
  <c r="E91"/>
  <c r="H91" s="1"/>
  <c r="E95"/>
  <c r="S107"/>
  <c r="R107"/>
  <c r="R40"/>
  <c r="H40"/>
  <c r="M45"/>
  <c r="M23"/>
  <c r="M82"/>
  <c r="M16"/>
  <c r="N16"/>
  <c r="M20"/>
  <c r="S16"/>
  <c r="R16"/>
  <c r="S67"/>
  <c r="S68"/>
  <c r="R67"/>
  <c r="R68"/>
  <c r="N67"/>
  <c r="N68"/>
  <c r="M67"/>
  <c r="M68"/>
  <c r="I68"/>
  <c r="H68"/>
  <c r="R23"/>
  <c r="S23"/>
  <c r="S19"/>
  <c r="S20"/>
  <c r="R19"/>
  <c r="R20"/>
  <c r="N23"/>
  <c r="I19"/>
  <c r="R22"/>
  <c r="N20"/>
  <c r="I20"/>
  <c r="S98"/>
  <c r="S97"/>
  <c r="R97"/>
  <c r="R48"/>
  <c r="R45"/>
  <c r="R43"/>
  <c r="R39"/>
  <c r="S30"/>
  <c r="S25"/>
  <c r="R25"/>
  <c r="S24"/>
  <c r="R24"/>
  <c r="S22"/>
  <c r="S18"/>
  <c r="R18"/>
  <c r="S17"/>
  <c r="R17"/>
  <c r="S15"/>
  <c r="R15"/>
  <c r="I91"/>
  <c r="I24"/>
  <c r="I26"/>
  <c r="I32"/>
  <c r="I40"/>
  <c r="I48"/>
  <c r="N12"/>
  <c r="N13"/>
  <c r="N17"/>
  <c r="N18"/>
  <c r="N22"/>
  <c r="N24"/>
  <c r="N25"/>
  <c r="N26"/>
  <c r="N30"/>
  <c r="N32"/>
  <c r="N39"/>
  <c r="N70"/>
  <c r="N73"/>
  <c r="N74"/>
  <c r="N76"/>
  <c r="N78"/>
  <c r="N80"/>
  <c r="N81"/>
  <c r="N97"/>
  <c r="N98"/>
  <c r="M12"/>
  <c r="M13"/>
  <c r="M17"/>
  <c r="M18"/>
  <c r="M22"/>
  <c r="M24"/>
  <c r="M25"/>
  <c r="M26"/>
  <c r="M29"/>
  <c r="M30"/>
  <c r="M32"/>
  <c r="M39"/>
  <c r="M70"/>
  <c r="M76"/>
  <c r="M78"/>
  <c r="M80"/>
  <c r="M81"/>
  <c r="M97"/>
  <c r="N11"/>
  <c r="M11"/>
  <c r="N10"/>
  <c r="M10"/>
  <c r="N9"/>
  <c r="M9"/>
  <c r="I95"/>
  <c r="H82"/>
  <c r="H81"/>
  <c r="H80"/>
  <c r="I75"/>
  <c r="I74"/>
  <c r="I73"/>
  <c r="H73"/>
  <c r="H70"/>
  <c r="H45"/>
  <c r="H32"/>
  <c r="H25"/>
  <c r="H24"/>
  <c r="H22"/>
  <c r="H12"/>
  <c r="I11"/>
  <c r="I10"/>
  <c r="I9"/>
  <c r="I8"/>
  <c r="H7"/>
  <c r="N8"/>
  <c r="N7"/>
  <c r="M8"/>
  <c r="M7"/>
  <c r="D66" i="26"/>
  <c r="D69" s="1"/>
  <c r="D61"/>
  <c r="D14" s="1"/>
  <c r="D16" s="1"/>
  <c r="C49"/>
  <c r="C21" s="1"/>
  <c r="C51"/>
  <c r="C23" s="1"/>
  <c r="C74"/>
  <c r="C29" s="1"/>
  <c r="C73"/>
  <c r="C28" s="1"/>
  <c r="C60"/>
  <c r="C48"/>
  <c r="C20" s="1"/>
  <c r="D75"/>
  <c r="D30"/>
  <c r="O31" i="24"/>
  <c r="E30"/>
  <c r="E31" s="1"/>
  <c r="R30"/>
  <c r="H9" l="1"/>
  <c r="I51"/>
  <c r="H17"/>
  <c r="I22"/>
  <c r="F60"/>
  <c r="F36"/>
  <c r="P37"/>
  <c r="I83"/>
  <c r="G60"/>
  <c r="I97"/>
  <c r="G36"/>
  <c r="H90"/>
  <c r="H34"/>
  <c r="H18"/>
  <c r="C22" i="26"/>
  <c r="I70" i="24"/>
  <c r="I33"/>
  <c r="I30"/>
  <c r="I80"/>
  <c r="I67"/>
  <c r="I18"/>
  <c r="D63" i="26"/>
  <c r="I45" i="24"/>
  <c r="I39"/>
  <c r="H48"/>
  <c r="E111"/>
  <c r="E119" s="1"/>
  <c r="M98"/>
  <c r="N36"/>
  <c r="I81"/>
  <c r="H76"/>
  <c r="H95"/>
  <c r="H97"/>
  <c r="I15"/>
  <c r="H19"/>
  <c r="H11"/>
  <c r="H10"/>
  <c r="H8"/>
  <c r="H26"/>
  <c r="I23"/>
  <c r="I25"/>
  <c r="H75"/>
  <c r="F52"/>
  <c r="R31"/>
  <c r="C52" i="26"/>
  <c r="H39" i="24"/>
  <c r="H15"/>
  <c r="O99"/>
  <c r="O117" s="1"/>
  <c r="Q37"/>
  <c r="N52"/>
  <c r="F111"/>
  <c r="F119" s="1"/>
  <c r="I110"/>
  <c r="C44" i="26"/>
  <c r="I71" i="24"/>
  <c r="J89"/>
  <c r="J99" s="1"/>
  <c r="J117" s="1"/>
  <c r="E88"/>
  <c r="H30"/>
  <c r="E89"/>
  <c r="F98"/>
  <c r="C19" i="26"/>
  <c r="K89" i="24"/>
  <c r="F88"/>
  <c r="E13"/>
  <c r="F13"/>
  <c r="F21" s="1"/>
  <c r="E52"/>
  <c r="E61" s="1"/>
  <c r="I46"/>
  <c r="I7"/>
  <c r="J37"/>
  <c r="J62" s="1"/>
  <c r="J116" s="1"/>
  <c r="M36"/>
  <c r="G98"/>
  <c r="I82"/>
  <c r="D70" i="26"/>
  <c r="H71" i="24"/>
  <c r="I69"/>
  <c r="C63" i="26"/>
  <c r="C70" s="1"/>
  <c r="I41" i="24"/>
  <c r="S21"/>
  <c r="I16"/>
  <c r="C15" i="26"/>
  <c r="I90" i="24"/>
  <c r="P99"/>
  <c r="P117" s="1"/>
  <c r="I76"/>
  <c r="S31"/>
  <c r="C12" i="26"/>
  <c r="F31" i="24"/>
  <c r="H41"/>
  <c r="E98"/>
  <c r="R52"/>
  <c r="I34"/>
  <c r="S36"/>
  <c r="R36"/>
  <c r="H33"/>
  <c r="O37"/>
  <c r="O62" s="1"/>
  <c r="O116" s="1"/>
  <c r="O118" s="1"/>
  <c r="P62"/>
  <c r="P116" s="1"/>
  <c r="R37"/>
  <c r="E21"/>
  <c r="E37" s="1"/>
  <c r="N31"/>
  <c r="M31"/>
  <c r="C13" i="26"/>
  <c r="C75"/>
  <c r="M74" i="24"/>
  <c r="C24" i="26"/>
  <c r="C53"/>
  <c r="C14"/>
  <c r="F89" i="24"/>
  <c r="H72"/>
  <c r="K99"/>
  <c r="K117" s="1"/>
  <c r="I38"/>
  <c r="C30" i="26"/>
  <c r="G31" i="24"/>
  <c r="L37"/>
  <c r="L62" s="1"/>
  <c r="M21"/>
  <c r="G13"/>
  <c r="G21" s="1"/>
  <c r="Q89"/>
  <c r="R88"/>
  <c r="S88"/>
  <c r="G88"/>
  <c r="L89"/>
  <c r="N88"/>
  <c r="M88"/>
  <c r="R61"/>
  <c r="Q62"/>
  <c r="S61"/>
  <c r="K37"/>
  <c r="K62" s="1"/>
  <c r="K116" s="1"/>
  <c r="N21"/>
  <c r="M61"/>
  <c r="N61"/>
  <c r="G108"/>
  <c r="G111" s="1"/>
  <c r="G119" s="1"/>
  <c r="S108"/>
  <c r="Q111"/>
  <c r="Q119" s="1"/>
  <c r="R108"/>
  <c r="G89"/>
  <c r="D19" i="26"/>
  <c r="D24" s="1"/>
  <c r="D25" s="1"/>
  <c r="S52" i="24"/>
  <c r="G52"/>
  <c r="I31" l="1"/>
  <c r="F61"/>
  <c r="S37"/>
  <c r="F99"/>
  <c r="F117" s="1"/>
  <c r="E62"/>
  <c r="E116" s="1"/>
  <c r="E118" s="1"/>
  <c r="I60"/>
  <c r="I36"/>
  <c r="K118"/>
  <c r="E99"/>
  <c r="E117" s="1"/>
  <c r="F37"/>
  <c r="F62" s="1"/>
  <c r="F116" s="1"/>
  <c r="H31"/>
  <c r="P118"/>
  <c r="H98"/>
  <c r="J118"/>
  <c r="I98"/>
  <c r="C16" i="26"/>
  <c r="C25" s="1"/>
  <c r="H36" i="24"/>
  <c r="H13"/>
  <c r="M37"/>
  <c r="I13"/>
  <c r="I52"/>
  <c r="G61"/>
  <c r="H52"/>
  <c r="H89"/>
  <c r="G99"/>
  <c r="I89"/>
  <c r="H88"/>
  <c r="I88"/>
  <c r="L116"/>
  <c r="N62"/>
  <c r="M62"/>
  <c r="D32" i="26"/>
  <c r="H108" i="24"/>
  <c r="I108"/>
  <c r="R62"/>
  <c r="Q116"/>
  <c r="S62"/>
  <c r="G37"/>
  <c r="I21"/>
  <c r="H21"/>
  <c r="N89"/>
  <c r="M89"/>
  <c r="L99"/>
  <c r="Q99"/>
  <c r="R89"/>
  <c r="S89"/>
  <c r="N37"/>
  <c r="F118" l="1"/>
  <c r="C32" i="26"/>
  <c r="R99" i="24"/>
  <c r="Q117"/>
  <c r="Q118" s="1"/>
  <c r="S99"/>
  <c r="L117"/>
  <c r="L118" s="1"/>
  <c r="N99"/>
  <c r="M99"/>
  <c r="N116"/>
  <c r="M116"/>
  <c r="G117"/>
  <c r="H99"/>
  <c r="I99"/>
  <c r="G62"/>
  <c r="I37"/>
  <c r="H37"/>
  <c r="R116"/>
  <c r="S116"/>
  <c r="I61"/>
  <c r="H61"/>
  <c r="I62" l="1"/>
  <c r="H62"/>
  <c r="G116"/>
  <c r="I117"/>
  <c r="H117"/>
  <c r="N117"/>
  <c r="M117"/>
  <c r="R117"/>
  <c r="S117"/>
  <c r="I116" l="1"/>
  <c r="H116"/>
  <c r="G118"/>
</calcChain>
</file>

<file path=xl/comments1.xml><?xml version="1.0" encoding="utf-8"?>
<comments xmlns="http://schemas.openxmlformats.org/spreadsheetml/2006/main">
  <authors>
    <author>Jiří Trnečka</author>
  </authors>
  <commentList>
    <comment ref="T82" authorId="0">
      <text>
        <r>
          <rPr>
            <b/>
            <sz val="8"/>
            <color indexed="81"/>
            <rFont val="Tahoma"/>
            <family val="2"/>
            <charset val="238"/>
          </rPr>
          <t>Jiří Trnečka:</t>
        </r>
        <r>
          <rPr>
            <sz val="8"/>
            <color indexed="81"/>
            <rFont val="Tahoma"/>
            <family val="2"/>
            <charset val="238"/>
          </rPr>
          <t xml:space="preserve">
1 164 DPH MČ Brno-sever</t>
        </r>
      </text>
    </comment>
  </commentList>
</comments>
</file>

<file path=xl/comments2.xml><?xml version="1.0" encoding="utf-8"?>
<comments xmlns="http://schemas.openxmlformats.org/spreadsheetml/2006/main">
  <authors>
    <author>Jiří Trnečka</author>
  </authors>
  <commentList>
    <comment ref="J64" authorId="0">
      <text>
        <r>
          <rPr>
            <b/>
            <sz val="8"/>
            <color indexed="81"/>
            <rFont val="Tahoma"/>
            <family val="2"/>
            <charset val="238"/>
          </rPr>
          <t>Jiří Trnečka:</t>
        </r>
        <r>
          <rPr>
            <sz val="8"/>
            <color indexed="81"/>
            <rFont val="Tahoma"/>
            <family val="2"/>
            <charset val="238"/>
          </rPr>
          <t xml:space="preserve">
1 164 DPH MČ Brno-sever</t>
        </r>
      </text>
    </comment>
  </commentList>
</comments>
</file>

<file path=xl/comments3.xml><?xml version="1.0" encoding="utf-8"?>
<comments xmlns="http://schemas.openxmlformats.org/spreadsheetml/2006/main">
  <authors>
    <author>Jiří Trnečka</author>
  </authors>
  <commentList>
    <comment ref="T82" authorId="0">
      <text>
        <r>
          <rPr>
            <b/>
            <sz val="8"/>
            <color indexed="81"/>
            <rFont val="Tahoma"/>
            <family val="2"/>
            <charset val="238"/>
          </rPr>
          <t>Jiří Trnečka:</t>
        </r>
        <r>
          <rPr>
            <sz val="8"/>
            <color indexed="81"/>
            <rFont val="Tahoma"/>
            <family val="2"/>
            <charset val="238"/>
          </rPr>
          <t xml:space="preserve">
1 164 DPH MČ Brno-sever</t>
        </r>
      </text>
    </comment>
  </commentList>
</comments>
</file>

<file path=xl/sharedStrings.xml><?xml version="1.0" encoding="utf-8"?>
<sst xmlns="http://schemas.openxmlformats.org/spreadsheetml/2006/main" count="1485" uniqueCount="256">
  <si>
    <t>%</t>
  </si>
  <si>
    <t>č.ř.</t>
  </si>
  <si>
    <t>PŘÍJMY</t>
  </si>
  <si>
    <t xml:space="preserve">Daň z příjmů fyz.osob ze samostatné výdělečné činnosti  </t>
  </si>
  <si>
    <t xml:space="preserve">Daň z příjmů právnických osob </t>
  </si>
  <si>
    <t xml:space="preserve">Daň z nemovitostí  </t>
  </si>
  <si>
    <t xml:space="preserve">Daň z příjmů právnických osob za obce - VHČ </t>
  </si>
  <si>
    <t>Správní poplatky</t>
  </si>
  <si>
    <t xml:space="preserve">Příjmy z vlastní činnosti </t>
  </si>
  <si>
    <t xml:space="preserve">Příjmy z pronájmu majetku </t>
  </si>
  <si>
    <t xml:space="preserve">Přijaté sankční platby </t>
  </si>
  <si>
    <t>Jiné nedaňové příjmy</t>
  </si>
  <si>
    <t>VÝDAJE</t>
  </si>
  <si>
    <t>Rezerva rozpočtu</t>
  </si>
  <si>
    <t>Investiční transfery městským částem</t>
  </si>
  <si>
    <t>PŘEHLED HOSPODAŘENÍ</t>
  </si>
  <si>
    <t>Financování</t>
  </si>
  <si>
    <t>Neinvestiční příspěvky zřízeným příspěvkovým organizacím</t>
  </si>
  <si>
    <t>Investiční transfery neziskovým a podobným organizacím</t>
  </si>
  <si>
    <t>FINANCOVÁNÍ</t>
  </si>
  <si>
    <t>Změna stavu krátkodobých prostředků na bankovních účtech</t>
  </si>
  <si>
    <t>Aktivní krátkodobé operace řízení likvidity</t>
  </si>
  <si>
    <t>rozpočet</t>
  </si>
  <si>
    <t>Skutečnost</t>
  </si>
  <si>
    <t>522x</t>
  </si>
  <si>
    <t>521x mimo 5213</t>
  </si>
  <si>
    <t>533x mimo 5331</t>
  </si>
  <si>
    <t>Ostatní neinvestiční výdaje</t>
  </si>
  <si>
    <t>631x</t>
  </si>
  <si>
    <t>632x</t>
  </si>
  <si>
    <t>133x</t>
  </si>
  <si>
    <t>134x</t>
  </si>
  <si>
    <t>211x</t>
  </si>
  <si>
    <t>212x</t>
  </si>
  <si>
    <t>213x</t>
  </si>
  <si>
    <t>221x</t>
  </si>
  <si>
    <t xml:space="preserve">Ostatní kapitálové výdaje </t>
  </si>
  <si>
    <t>třída</t>
  </si>
  <si>
    <t>podseskupení</t>
  </si>
  <si>
    <t>položka</t>
  </si>
  <si>
    <t>městské části</t>
  </si>
  <si>
    <t>311x</t>
  </si>
  <si>
    <t>tř. 1</t>
  </si>
  <si>
    <t>tř. 3</t>
  </si>
  <si>
    <t>tř. 4</t>
  </si>
  <si>
    <t>tř. 5</t>
  </si>
  <si>
    <t>tř. 6</t>
  </si>
  <si>
    <t>tř. 1 až tř. 4</t>
  </si>
  <si>
    <t>tř. 5 + tř. 6</t>
  </si>
  <si>
    <t>tř. 8</t>
  </si>
  <si>
    <t>Saldo příjmů a výdajů (ř.1 mínus ř.2)</t>
  </si>
  <si>
    <t>*)</t>
  </si>
  <si>
    <t xml:space="preserve">Schválený </t>
  </si>
  <si>
    <t xml:space="preserve">Upravený </t>
  </si>
  <si>
    <t>Upravený</t>
  </si>
  <si>
    <t>2 mimo výše uved.</t>
  </si>
  <si>
    <t>Příjmy celkem</t>
  </si>
  <si>
    <t>Výdaje celkem</t>
  </si>
  <si>
    <t>Daň z příjmů fyz.osob z kapitálových výnosů (srážková daň)</t>
  </si>
  <si>
    <t>Daň z přidané hodnoty</t>
  </si>
  <si>
    <t>Daňové výnosy (ř.1 až ř.6)</t>
  </si>
  <si>
    <t>6 mimo výše uved.</t>
  </si>
  <si>
    <t>statutární město Brno</t>
  </si>
  <si>
    <t>město</t>
  </si>
  <si>
    <t>Odvody přebytků organizací s přímým vztahem</t>
  </si>
  <si>
    <t>S/SR</t>
  </si>
  <si>
    <t>S/UR</t>
  </si>
  <si>
    <t xml:space="preserve"> Bilance zdrojů a výdajů statutárního města Brna (v tis. Kč)</t>
  </si>
  <si>
    <t xml:space="preserve">Daň z příjmů fyz.osob ze závislé činnosti a funkčních požitků </t>
  </si>
  <si>
    <t>Poplatky a odvody v oblasti životního prostředí</t>
  </si>
  <si>
    <t>Zrušené daně, jejichž předmětem je příjem fyzických osob</t>
  </si>
  <si>
    <t>Daň z příjmů právnických osob za obce - rozpočtová činnost</t>
  </si>
  <si>
    <t>Místní poplatky z vybraných činností a služeb</t>
  </si>
  <si>
    <t>Převody z vlastních fondů hospodářské (podnikatelské) činnosti</t>
  </si>
  <si>
    <t>5 mimo výše uved.</t>
  </si>
  <si>
    <t>Dlouhodobé přijaté půjčené prostředky od města</t>
  </si>
  <si>
    <t>Úroky vlastní</t>
  </si>
  <si>
    <t>Neinvestiční transfery příspěvkovým a podobným organizacím</t>
  </si>
  <si>
    <t>Investiční půjčené prostředky městským částem</t>
  </si>
  <si>
    <t>Uhrazené splátky dlouhodobých přijatých půjčených prostředků</t>
  </si>
  <si>
    <t>8117-8118</t>
  </si>
  <si>
    <t>135x</t>
  </si>
  <si>
    <t>Ostatní odvody z vybraných činností a služeb</t>
  </si>
  <si>
    <t>Daňové příjmy celkem (ř.7 až ř.14)</t>
  </si>
  <si>
    <t>tř. 2</t>
  </si>
  <si>
    <t>tř. 5 a tř. 6</t>
  </si>
  <si>
    <t>Platy</t>
  </si>
  <si>
    <t>Ostatní platby za provedenou práci</t>
  </si>
  <si>
    <t>501x</t>
  </si>
  <si>
    <t>502x</t>
  </si>
  <si>
    <t xml:space="preserve">Převody z ostatních vlastních fondů </t>
  </si>
  <si>
    <t>sk.41</t>
  </si>
  <si>
    <t>sk.42</t>
  </si>
  <si>
    <t>Jedná se o převody finančních prostředků, které se konsolidují na úrovni statutárního města Brna</t>
  </si>
  <si>
    <t>v tis. Kč</t>
  </si>
  <si>
    <t>transfery</t>
  </si>
  <si>
    <t>STATUTÁRNÍ MĚSTO  BRNO</t>
  </si>
  <si>
    <t>mezi</t>
  </si>
  <si>
    <t>městem a MČ *)</t>
  </si>
  <si>
    <t>MČ *)</t>
  </si>
  <si>
    <t>Příjmy z finančního vypořádání</t>
  </si>
  <si>
    <t xml:space="preserve">Neinvestiční transfery </t>
  </si>
  <si>
    <t>Výdaje z finančního vypořádání</t>
  </si>
  <si>
    <t>Investiční transfery</t>
  </si>
  <si>
    <t>Saldo příjmů a výdajů</t>
  </si>
  <si>
    <t>Financování celkem</t>
  </si>
  <si>
    <t xml:space="preserve">VÝSLEDEK KONSOLIDACE CELKEM </t>
  </si>
  <si>
    <t xml:space="preserve">*) konsolidace na úrovni statutárního města Brna </t>
  </si>
  <si>
    <t xml:space="preserve"> transfery</t>
  </si>
  <si>
    <t>MĚSTO</t>
  </si>
  <si>
    <t>městem a MČ</t>
  </si>
  <si>
    <t>Neinvestiční transfery MČ</t>
  </si>
  <si>
    <t>Investiční transfery MČ</t>
  </si>
  <si>
    <t>MĚSTSKÉ  ČÁSTI</t>
  </si>
  <si>
    <t>MČ</t>
  </si>
  <si>
    <t>214x</t>
  </si>
  <si>
    <t>Uhrazené splátky dlouh. přijatých půjč. prostředků městu</t>
  </si>
  <si>
    <t>Výdaje z finančního vypořádání městu</t>
  </si>
  <si>
    <t>Neinvestiční přijaté transfery z Všeobecné pokladní správy SR</t>
  </si>
  <si>
    <t xml:space="preserve">Neinvestiční přijaté transfery v rámci souhrnného dotačního vztahu </t>
  </si>
  <si>
    <t>Neinvestiční přijaté transfery ze státních fondů</t>
  </si>
  <si>
    <t>Ostatní neinvestiční přijaté transfery ze státního rozpočtu</t>
  </si>
  <si>
    <t>Neinvestiční přijaté transfery od města</t>
  </si>
  <si>
    <t>Neinvestiční přijaté transfery od obcí z jiného okresu či kraje</t>
  </si>
  <si>
    <t>Neinvestiční přijaté transfery od krajů</t>
  </si>
  <si>
    <t>Investiční přijaté transfery od města</t>
  </si>
  <si>
    <t>Investiční přijaté transfery od krajů</t>
  </si>
  <si>
    <t>Neinvestiční transfer - DPmB a.s.</t>
  </si>
  <si>
    <t>Neinvestiční transfery nefin. podnikatelským sub. - právnickým osobám</t>
  </si>
  <si>
    <t>Neinvestiční transfery podnikatelským subjektům</t>
  </si>
  <si>
    <t>Neinvestiční transfery neziskovým a podobným organizacím</t>
  </si>
  <si>
    <t>Neinvestiční transfery městským částem</t>
  </si>
  <si>
    <t>Neinvestiční transfery obcím mimo okres či kraj</t>
  </si>
  <si>
    <t>Neinvestiční půjčené prostředky městským částem</t>
  </si>
  <si>
    <t>Investiční transfery podnikatelským subjektům</t>
  </si>
  <si>
    <t>Investiční transfery zřízeným příspěvkovým organizacím</t>
  </si>
  <si>
    <t>Neinvestiční přijaté transfery</t>
  </si>
  <si>
    <t>Investiční přijaté transfery</t>
  </si>
  <si>
    <t>Neinvestiční přijaté transfery od města a ostatních MČ</t>
  </si>
  <si>
    <t>Splátky půjček od městských částí</t>
  </si>
  <si>
    <t>Výnosy z finančního majetku</t>
  </si>
  <si>
    <t>Splátky půjčených prostředků</t>
  </si>
  <si>
    <t>Uhrazené splátky půjčených prostředků</t>
  </si>
  <si>
    <t>Uhrazené splátky půjčených prostředků městu</t>
  </si>
  <si>
    <t>Příjmy z finančního vypořádání od města</t>
  </si>
  <si>
    <t>Výdaje z finančního vypořádání MČ</t>
  </si>
  <si>
    <t>Příjmy z finančního vypořádání od MČ</t>
  </si>
  <si>
    <t>Splátky půjčených prostředků od MČ</t>
  </si>
  <si>
    <t>Investiční půjčené prosředky</t>
  </si>
  <si>
    <t>Investiční půjčené prostředky MČ</t>
  </si>
  <si>
    <t>Neinvestiční půjčené prostředky MČ</t>
  </si>
  <si>
    <t>Nedaňové příjmy celkem (ř.16 až ř.24)</t>
  </si>
  <si>
    <t>312x</t>
  </si>
  <si>
    <t>Ostatní kapitálové příjmy</t>
  </si>
  <si>
    <t>Investiční přijaté transfery od regionálních rad</t>
  </si>
  <si>
    <t>Neinvestiční přijaté transfery od mezinárodních institucí</t>
  </si>
  <si>
    <t>8115, 8901</t>
  </si>
  <si>
    <t>Příjmy z prodeje dlouhodobého majetku - ostatní</t>
  </si>
  <si>
    <t>Neinvestiční půjčené prostředky</t>
  </si>
  <si>
    <t>311x mimo výše uved.</t>
  </si>
  <si>
    <t>Příjmy z prodeje dlouhodobého majetku - bytové domy a pozemky</t>
  </si>
  <si>
    <t>Investiční transfery městu</t>
  </si>
  <si>
    <t>Přehled konsolidačních transferů</t>
  </si>
  <si>
    <t>Uhrazené splátky dlouhodobých přijatých půjčených prostředků - EIB</t>
  </si>
  <si>
    <t>Investiční přijaté transfery od městských částí</t>
  </si>
  <si>
    <t xml:space="preserve">Investiční přijaté transfery od města </t>
  </si>
  <si>
    <t>Neinvestiční transfery městu</t>
  </si>
  <si>
    <t>Neinvestiční přijaté transfery od městských částí</t>
  </si>
  <si>
    <t>Neinvestiční transfery městu a jiným MČ</t>
  </si>
  <si>
    <t>Neinvestiční přijaté transfery od MČ</t>
  </si>
  <si>
    <t>Daňové výnosy</t>
  </si>
  <si>
    <t>Daňové příjmy celkem</t>
  </si>
  <si>
    <t>Příjmy z fin. vypořádání předchozího roku od města</t>
  </si>
  <si>
    <t>Příjmy z fin. vypořádání předchozího roku od městských částí</t>
  </si>
  <si>
    <t>Vlastní příjmy celkem</t>
  </si>
  <si>
    <t>Neinvestiční přijaté transfery celkem</t>
  </si>
  <si>
    <t>Investiční přijaté transfery celkem</t>
  </si>
  <si>
    <t>Přijaté transfery celkem</t>
  </si>
  <si>
    <t>Příjmy statutárního města Brna celkem</t>
  </si>
  <si>
    <t>Výdaje z fin. vypořádání předchozího roku mezi krajem a obcemi</t>
  </si>
  <si>
    <t>Výdaje z fin. vypořádání předchozího roku městu</t>
  </si>
  <si>
    <t>Výdaje z fin. vypořádání předchozího roku městským částem</t>
  </si>
  <si>
    <t>Provozní výdaje celkem</t>
  </si>
  <si>
    <t xml:space="preserve">Kapitálové výdaje celkem </t>
  </si>
  <si>
    <t xml:space="preserve">Výdaje statutárního města Brna celkem </t>
  </si>
  <si>
    <t xml:space="preserve">Financování statutárního města Brna celkem </t>
  </si>
  <si>
    <t>503x</t>
  </si>
  <si>
    <t>Povinné pojistné placené zaměstnavatelem</t>
  </si>
  <si>
    <t>516x</t>
  </si>
  <si>
    <t>Nákup služeb</t>
  </si>
  <si>
    <t>Opravy a udržování</t>
  </si>
  <si>
    <t xml:space="preserve">Provozní výdaje celkem (ř.1 až ř.22) </t>
  </si>
  <si>
    <t>Rezervy rozpočtu</t>
  </si>
  <si>
    <t>část 5213</t>
  </si>
  <si>
    <t>Neinvestiční přijaté transfery od cizích států</t>
  </si>
  <si>
    <t>Kapitálové příjmy celkem</t>
  </si>
  <si>
    <t>Nedaňové příjmy celkem</t>
  </si>
  <si>
    <t>Investiční transfery obcím mimo okres či kraj</t>
  </si>
  <si>
    <t>Ostatní neinvestiční přijaté transfery od rozpočtů ústřední úrovně</t>
  </si>
  <si>
    <t>Neinvestiční přijaté transfery od regionálních rad</t>
  </si>
  <si>
    <t xml:space="preserve">Kapitálové výdaje celkem (ř.24 až ř.31) </t>
  </si>
  <si>
    <t>Výdaje statutárního města Brna celkem (ř.23 + ř.32)</t>
  </si>
  <si>
    <t>Investiční přijaté transfery ze státních fondů</t>
  </si>
  <si>
    <t>Ostatní investiční přijaté transfery ze státního rozpočtu</t>
  </si>
  <si>
    <t xml:space="preserve">Financování statutárního města Brna celkem (ř.1 až ř.7) </t>
  </si>
  <si>
    <t>8127-8128</t>
  </si>
  <si>
    <t>Aktivní dlouhodobé operace řízení likvidity</t>
  </si>
  <si>
    <t>320x</t>
  </si>
  <si>
    <t>Příjmy z prodeje dlouhodobého finančního majetku</t>
  </si>
  <si>
    <t xml:space="preserve">Kapitálové příjmy celkem (ř.26 až ř.29) </t>
  </si>
  <si>
    <t>Vlastní příjmy celkem (ř.15 + ř.25 + ř.30)</t>
  </si>
  <si>
    <t>Investiční přijaté transfery celkem (ř.47 až ř.52)</t>
  </si>
  <si>
    <t>Přijaté transfery celkem (ř.46 + ř.53)</t>
  </si>
  <si>
    <t>Příjmy statutárního města Brna celkem (ř.31 + ř.54)</t>
  </si>
  <si>
    <t>Neinvestiční přijaté transfery celkem (ř.32 až ř.45)</t>
  </si>
  <si>
    <t>Investiční přijaté transfery od mezinárodních institucí</t>
  </si>
  <si>
    <t>Plnění rozpočtu k 31.12.2013</t>
  </si>
  <si>
    <t>Skutečnost k 31.12.2013</t>
  </si>
  <si>
    <t xml:space="preserve"> </t>
  </si>
  <si>
    <t>Nedaňové příjmy celkem (ř.16 až ř.23)</t>
  </si>
  <si>
    <t xml:space="preserve">Kapitálové příjmy celkem (ř.25 až ř.28) </t>
  </si>
  <si>
    <t>Vlastní příjmy celkem (ř.15 + ř.24 + ř.29)</t>
  </si>
  <si>
    <t>Neinvestiční přijaté transfery celkem (ř.31 až ř.43)</t>
  </si>
  <si>
    <t>Investiční přijaté transfery celkem (ř.45 až ř.49)</t>
  </si>
  <si>
    <t>Přijaté transfery celkem (ř.44 + ř.50)</t>
  </si>
  <si>
    <t xml:space="preserve">Provozní výdaje celkem (ř.1 až ř.19) </t>
  </si>
  <si>
    <t xml:space="preserve">Kapitálové výdaje celkem (ř.21 až ř.27) </t>
  </si>
  <si>
    <t xml:space="preserve"> Bilance zdrojů a výdajů města Brna (v tis. Kč)</t>
  </si>
  <si>
    <t xml:space="preserve"> Bilance zdrojů a výdajů městských částí (v tis. Kč)</t>
  </si>
  <si>
    <t>Daňové příjmy celkem (ř.1 až ř.6)</t>
  </si>
  <si>
    <t>Nedaňové příjmy celkem (ř.8 až ř.14)</t>
  </si>
  <si>
    <t xml:space="preserve">Kapitálové příjmy celkem (ř.16 až ř.18) </t>
  </si>
  <si>
    <t>Vlastní příjmy celkem (ř.7 + ř.15 + ř.19)</t>
  </si>
  <si>
    <t>Neinvestiční přijaté transfery celkem (ř.21 až ř.30)</t>
  </si>
  <si>
    <t>Investiční přijaté transfery celkem (ř.32 až ř.36)</t>
  </si>
  <si>
    <t>Přijaté transfery celkem (ř.31 + ř.37)</t>
  </si>
  <si>
    <t xml:space="preserve">Kapitálové výdaje celkem (ř.21 až ř.26) </t>
  </si>
  <si>
    <t>Příjmy města Brna celkem (ř.30 + ř.51)</t>
  </si>
  <si>
    <t>Výdaje města Brna celkem (ř.20 + ř.28)</t>
  </si>
  <si>
    <t xml:space="preserve">Financování města Brna celkem (ř.1 + ř.2) </t>
  </si>
  <si>
    <t>Příjmy městských částí celkem (ř.20 + ř.38)</t>
  </si>
  <si>
    <t>Výdaje městských částí celkem (ř.20 + ř.27)</t>
  </si>
  <si>
    <t xml:space="preserve">Financování městských částí celkem (ř.1 až ř.6) </t>
  </si>
  <si>
    <t>Nedaňové příjmy celkem (ř.16 až ř.21)</t>
  </si>
  <si>
    <t xml:space="preserve">Kapitálové příjmy celkem (ř.23 až ř.26) </t>
  </si>
  <si>
    <t>Vlastní příjmy celkem (ř.15 + ř.22 + ř.27)</t>
  </si>
  <si>
    <t>Neinvestiční přijaté transfery celkem (ř.29 až ř.40)</t>
  </si>
  <si>
    <t>Investiční přijaté transfery celkem (ř.42 až ř.46)</t>
  </si>
  <si>
    <t>Přijaté transfery celkem (ř.41 + ř.47)</t>
  </si>
  <si>
    <t>Příjmy statutárního města Brna celkem (ř.28 + ř.48)</t>
  </si>
  <si>
    <t xml:space="preserve">Provozní výdaje celkem (ř.1 až ř.17) </t>
  </si>
  <si>
    <t xml:space="preserve">Kapitálové výdaje celkem (ř.19 až ř.23) </t>
  </si>
  <si>
    <t>Výdaje statutárního města Brna celkem (ř.18 + ř.24)</t>
  </si>
  <si>
    <t xml:space="preserve">Financování statutárního města Brna celkem (ř.1 až ř.5) </t>
  </si>
  <si>
    <t>Investiční přijaté transfery od MČ</t>
  </si>
  <si>
    <t>Dlouhodobé přijaté půjčené prostředky</t>
  </si>
</sst>
</file>

<file path=xl/styles.xml><?xml version="1.0" encoding="utf-8"?>
<styleSheet xmlns="http://schemas.openxmlformats.org/spreadsheetml/2006/main">
  <numFmts count="3">
    <numFmt numFmtId="164" formatCode="#,##0.0_);\(#,##0.0\)"/>
    <numFmt numFmtId="165" formatCode="#,##0_);\(#,##0\)"/>
    <numFmt numFmtId="166" formatCode="#,##0.0"/>
  </numFmts>
  <fonts count="20">
    <font>
      <sz val="12"/>
      <name val="Arial CE"/>
      <charset val="238"/>
    </font>
    <font>
      <sz val="10"/>
      <name val="Courier"/>
      <family val="3"/>
    </font>
    <font>
      <sz val="12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6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sz val="11"/>
      <name val="Times New Roman CE"/>
      <charset val="238"/>
    </font>
    <font>
      <sz val="14"/>
      <name val="Times New Roman CE"/>
      <family val="1"/>
      <charset val="238"/>
    </font>
    <font>
      <sz val="12"/>
      <name val="Arial CE"/>
      <charset val="238"/>
    </font>
    <font>
      <b/>
      <sz val="20"/>
      <name val="Times New Roman CE"/>
      <family val="1"/>
      <charset val="238"/>
    </font>
    <font>
      <sz val="16"/>
      <name val="Times New Roman CE"/>
      <family val="1"/>
      <charset val="238"/>
    </font>
    <font>
      <i/>
      <sz val="12"/>
      <name val="Times New Roman CE"/>
      <family val="1"/>
      <charset val="238"/>
    </font>
    <font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i/>
      <sz val="13"/>
      <name val="Times New Roman CE"/>
      <family val="1"/>
      <charset val="238"/>
    </font>
    <font>
      <b/>
      <sz val="8"/>
      <name val="Times New Roman CE"/>
      <family val="1"/>
      <charset val="238"/>
    </font>
    <font>
      <b/>
      <u/>
      <sz val="18"/>
      <name val="Times New Roman CE"/>
      <family val="1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14"/>
      <name val="Times New Roman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64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07">
    <xf numFmtId="0" fontId="0" fillId="0" borderId="0" xfId="0"/>
    <xf numFmtId="0" fontId="2" fillId="0" borderId="0" xfId="0" applyFont="1" applyFill="1" applyBorder="1"/>
    <xf numFmtId="0" fontId="2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centerContinuous"/>
    </xf>
    <xf numFmtId="0" fontId="2" fillId="0" borderId="0" xfId="0" applyFont="1" applyFill="1"/>
    <xf numFmtId="0" fontId="2" fillId="0" borderId="0" xfId="0" applyFont="1" applyFill="1" applyAlignment="1">
      <alignment horizontal="left"/>
    </xf>
    <xf numFmtId="1" fontId="2" fillId="0" borderId="0" xfId="0" applyNumberFormat="1" applyFont="1" applyFill="1" applyBorder="1"/>
    <xf numFmtId="0" fontId="3" fillId="0" borderId="0" xfId="0" applyFont="1" applyFill="1"/>
    <xf numFmtId="0" fontId="4" fillId="0" borderId="0" xfId="0" applyFont="1" applyFill="1" applyAlignment="1">
      <alignment horizontal="centerContinuous"/>
    </xf>
    <xf numFmtId="1" fontId="2" fillId="0" borderId="1" xfId="0" applyNumberFormat="1" applyFont="1" applyFill="1" applyBorder="1" applyProtection="1"/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1" fontId="2" fillId="0" borderId="4" xfId="0" applyNumberFormat="1" applyFont="1" applyFill="1" applyBorder="1" applyProtection="1"/>
    <xf numFmtId="0" fontId="2" fillId="0" borderId="5" xfId="0" applyFont="1" applyFill="1" applyBorder="1"/>
    <xf numFmtId="1" fontId="2" fillId="0" borderId="6" xfId="0" applyNumberFormat="1" applyFont="1" applyFill="1" applyBorder="1" applyProtection="1"/>
    <xf numFmtId="1" fontId="2" fillId="0" borderId="1" xfId="0" applyNumberFormat="1" applyFont="1" applyFill="1" applyBorder="1" applyAlignment="1">
      <alignment horizontal="right"/>
    </xf>
    <xf numFmtId="1" fontId="2" fillId="0" borderId="1" xfId="0" applyNumberFormat="1" applyFont="1" applyFill="1" applyBorder="1" applyAlignment="1" applyProtection="1">
      <alignment horizontal="right"/>
    </xf>
    <xf numFmtId="1" fontId="2" fillId="0" borderId="4" xfId="0" applyNumberFormat="1" applyFont="1" applyFill="1" applyBorder="1" applyAlignment="1" applyProtection="1">
      <alignment horizontal="right"/>
    </xf>
    <xf numFmtId="1" fontId="2" fillId="0" borderId="6" xfId="0" applyNumberFormat="1" applyFont="1" applyFill="1" applyBorder="1" applyAlignment="1" applyProtection="1">
      <alignment horizontal="right"/>
    </xf>
    <xf numFmtId="1" fontId="2" fillId="0" borderId="7" xfId="0" applyNumberFormat="1" applyFont="1" applyFill="1" applyBorder="1" applyAlignment="1" applyProtection="1">
      <alignment horizontal="right"/>
    </xf>
    <xf numFmtId="1" fontId="2" fillId="0" borderId="6" xfId="0" applyNumberFormat="1" applyFont="1" applyFill="1" applyBorder="1" applyAlignment="1">
      <alignment horizontal="right"/>
    </xf>
    <xf numFmtId="1" fontId="2" fillId="0" borderId="4" xfId="0" applyNumberFormat="1" applyFont="1" applyFill="1" applyBorder="1" applyAlignment="1">
      <alignment horizontal="right"/>
    </xf>
    <xf numFmtId="1" fontId="2" fillId="0" borderId="8" xfId="0" applyNumberFormat="1" applyFont="1" applyFill="1" applyBorder="1" applyProtection="1"/>
    <xf numFmtId="1" fontId="2" fillId="0" borderId="7" xfId="0" applyNumberFormat="1" applyFont="1" applyFill="1" applyBorder="1" applyProtection="1"/>
    <xf numFmtId="0" fontId="2" fillId="0" borderId="9" xfId="0" applyFont="1" applyFill="1" applyBorder="1"/>
    <xf numFmtId="0" fontId="2" fillId="0" borderId="10" xfId="0" applyFont="1" applyFill="1" applyBorder="1" applyAlignment="1">
      <alignment horizontal="right"/>
    </xf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3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2" fillId="0" borderId="14" xfId="0" applyFont="1" applyFill="1" applyBorder="1"/>
    <xf numFmtId="1" fontId="2" fillId="0" borderId="8" xfId="0" applyNumberFormat="1" applyFont="1" applyFill="1" applyBorder="1" applyAlignment="1">
      <alignment horizontal="center"/>
    </xf>
    <xf numFmtId="0" fontId="2" fillId="0" borderId="15" xfId="0" applyFont="1" applyFill="1" applyBorder="1"/>
    <xf numFmtId="1" fontId="2" fillId="0" borderId="16" xfId="0" applyNumberFormat="1" applyFont="1" applyFill="1" applyBorder="1" applyProtection="1"/>
    <xf numFmtId="0" fontId="3" fillId="0" borderId="3" xfId="0" applyFont="1" applyFill="1" applyBorder="1" applyAlignment="1">
      <alignment horizontal="center"/>
    </xf>
    <xf numFmtId="3" fontId="7" fillId="0" borderId="4" xfId="0" applyNumberFormat="1" applyFont="1" applyFill="1" applyBorder="1" applyProtection="1"/>
    <xf numFmtId="3" fontId="7" fillId="0" borderId="6" xfId="0" applyNumberFormat="1" applyFont="1" applyFill="1" applyBorder="1" applyProtection="1"/>
    <xf numFmtId="3" fontId="7" fillId="0" borderId="7" xfId="0" applyNumberFormat="1" applyFont="1" applyFill="1" applyBorder="1" applyProtection="1"/>
    <xf numFmtId="3" fontId="7" fillId="0" borderId="17" xfId="0" applyNumberFormat="1" applyFont="1" applyFill="1" applyBorder="1" applyProtection="1"/>
    <xf numFmtId="1" fontId="2" fillId="0" borderId="16" xfId="0" applyNumberFormat="1" applyFont="1" applyFill="1" applyBorder="1" applyAlignment="1" applyProtection="1">
      <alignment horizontal="right"/>
    </xf>
    <xf numFmtId="1" fontId="2" fillId="0" borderId="18" xfId="0" applyNumberFormat="1" applyFont="1" applyFill="1" applyBorder="1" applyAlignment="1" applyProtection="1">
      <alignment horizontal="right"/>
    </xf>
    <xf numFmtId="1" fontId="2" fillId="0" borderId="2" xfId="0" applyNumberFormat="1" applyFont="1" applyFill="1" applyBorder="1" applyAlignment="1" applyProtection="1">
      <alignment horizontal="right"/>
    </xf>
    <xf numFmtId="0" fontId="2" fillId="0" borderId="19" xfId="0" applyFont="1" applyFill="1" applyBorder="1"/>
    <xf numFmtId="0" fontId="3" fillId="0" borderId="8" xfId="0" applyFont="1" applyFill="1" applyBorder="1" applyAlignment="1">
      <alignment horizontal="center"/>
    </xf>
    <xf numFmtId="1" fontId="2" fillId="0" borderId="0" xfId="0" applyNumberFormat="1" applyFont="1" applyFill="1" applyBorder="1" applyProtection="1"/>
    <xf numFmtId="164" fontId="3" fillId="0" borderId="0" xfId="0" applyNumberFormat="1" applyFont="1" applyFill="1" applyBorder="1" applyAlignment="1" applyProtection="1">
      <alignment horizontal="left"/>
    </xf>
    <xf numFmtId="3" fontId="5" fillId="2" borderId="4" xfId="0" applyNumberFormat="1" applyFont="1" applyFill="1" applyBorder="1" applyAlignment="1" applyProtection="1">
      <alignment horizontal="right"/>
    </xf>
    <xf numFmtId="0" fontId="2" fillId="0" borderId="17" xfId="0" applyFont="1" applyFill="1" applyBorder="1" applyAlignment="1">
      <alignment horizontal="right"/>
    </xf>
    <xf numFmtId="1" fontId="2" fillId="2" borderId="4" xfId="0" applyNumberFormat="1" applyFont="1" applyFill="1" applyBorder="1" applyAlignment="1" applyProtection="1">
      <alignment horizontal="right"/>
    </xf>
    <xf numFmtId="0" fontId="2" fillId="0" borderId="6" xfId="0" applyFont="1" applyFill="1" applyBorder="1" applyAlignment="1">
      <alignment horizontal="right"/>
    </xf>
    <xf numFmtId="0" fontId="2" fillId="0" borderId="4" xfId="0" applyFont="1" applyFill="1" applyBorder="1" applyAlignment="1">
      <alignment horizontal="right"/>
    </xf>
    <xf numFmtId="0" fontId="2" fillId="0" borderId="20" xfId="0" applyFont="1" applyFill="1" applyBorder="1" applyAlignment="1">
      <alignment horizontal="right"/>
    </xf>
    <xf numFmtId="3" fontId="7" fillId="0" borderId="20" xfId="0" applyNumberFormat="1" applyFont="1" applyFill="1" applyBorder="1" applyProtection="1"/>
    <xf numFmtId="164" fontId="5" fillId="0" borderId="21" xfId="0" applyNumberFormat="1" applyFont="1" applyFill="1" applyBorder="1" applyAlignment="1" applyProtection="1">
      <alignment horizontal="left"/>
    </xf>
    <xf numFmtId="164" fontId="7" fillId="0" borderId="22" xfId="0" applyNumberFormat="1" applyFont="1" applyFill="1" applyBorder="1" applyAlignment="1" applyProtection="1">
      <alignment horizontal="left"/>
    </xf>
    <xf numFmtId="164" fontId="7" fillId="0" borderId="16" xfId="0" applyNumberFormat="1" applyFont="1" applyFill="1" applyBorder="1" applyAlignment="1" applyProtection="1">
      <alignment horizontal="left"/>
    </xf>
    <xf numFmtId="165" fontId="7" fillId="0" borderId="16" xfId="0" applyNumberFormat="1" applyFont="1" applyFill="1" applyBorder="1" applyAlignment="1" applyProtection="1">
      <alignment horizontal="left"/>
    </xf>
    <xf numFmtId="164" fontId="5" fillId="0" borderId="18" xfId="0" applyNumberFormat="1" applyFont="1" applyFill="1" applyBorder="1" applyAlignment="1" applyProtection="1">
      <alignment horizontal="left"/>
    </xf>
    <xf numFmtId="0" fontId="3" fillId="0" borderId="23" xfId="0" applyFont="1" applyFill="1" applyBorder="1" applyAlignment="1">
      <alignment horizontal="centerContinuous"/>
    </xf>
    <xf numFmtId="0" fontId="3" fillId="0" borderId="24" xfId="0" applyFont="1" applyFill="1" applyBorder="1" applyAlignment="1">
      <alignment horizontal="centerContinuous"/>
    </xf>
    <xf numFmtId="3" fontId="7" fillId="0" borderId="6" xfId="0" applyNumberFormat="1" applyFont="1" applyFill="1" applyBorder="1" applyAlignment="1" applyProtection="1">
      <alignment horizontal="right"/>
    </xf>
    <xf numFmtId="3" fontId="7" fillId="0" borderId="1" xfId="0" applyNumberFormat="1" applyFont="1" applyFill="1" applyBorder="1" applyAlignment="1" applyProtection="1">
      <alignment horizontal="right"/>
    </xf>
    <xf numFmtId="3" fontId="7" fillId="0" borderId="4" xfId="0" applyNumberFormat="1" applyFont="1" applyFill="1" applyBorder="1" applyAlignment="1" applyProtection="1">
      <alignment horizontal="right"/>
    </xf>
    <xf numFmtId="3" fontId="7" fillId="0" borderId="1" xfId="0" applyNumberFormat="1" applyFont="1" applyFill="1" applyBorder="1" applyAlignment="1">
      <alignment horizontal="right"/>
    </xf>
    <xf numFmtId="3" fontId="5" fillId="0" borderId="4" xfId="0" applyNumberFormat="1" applyFont="1" applyFill="1" applyBorder="1" applyAlignment="1" applyProtection="1">
      <alignment horizontal="right"/>
    </xf>
    <xf numFmtId="3" fontId="7" fillId="0" borderId="1" xfId="0" applyNumberFormat="1" applyFont="1" applyFill="1" applyBorder="1" applyAlignment="1">
      <alignment horizontal="center"/>
    </xf>
    <xf numFmtId="3" fontId="7" fillId="0" borderId="6" xfId="0" applyNumberFormat="1" applyFont="1" applyFill="1" applyBorder="1" applyAlignment="1">
      <alignment horizontal="right"/>
    </xf>
    <xf numFmtId="3" fontId="5" fillId="0" borderId="8" xfId="0" applyNumberFormat="1" applyFont="1" applyFill="1" applyBorder="1" applyAlignment="1" applyProtection="1">
      <alignment horizontal="right"/>
    </xf>
    <xf numFmtId="3" fontId="7" fillId="0" borderId="7" xfId="0" applyNumberFormat="1" applyFont="1" applyFill="1" applyBorder="1" applyAlignment="1" applyProtection="1">
      <alignment horizontal="right"/>
    </xf>
    <xf numFmtId="3" fontId="7" fillId="0" borderId="7" xfId="0" applyNumberFormat="1" applyFont="1" applyFill="1" applyBorder="1" applyAlignment="1" applyProtection="1">
      <alignment horizontal="center"/>
    </xf>
    <xf numFmtId="3" fontId="7" fillId="0" borderId="17" xfId="0" applyNumberFormat="1" applyFont="1" applyFill="1" applyBorder="1" applyAlignment="1" applyProtection="1">
      <alignment horizontal="right"/>
    </xf>
    <xf numFmtId="1" fontId="2" fillId="0" borderId="2" xfId="0" applyNumberFormat="1" applyFont="1" applyFill="1" applyBorder="1" applyAlignment="1">
      <alignment horizontal="right"/>
    </xf>
    <xf numFmtId="0" fontId="2" fillId="0" borderId="25" xfId="0" applyFont="1" applyFill="1" applyBorder="1"/>
    <xf numFmtId="3" fontId="7" fillId="0" borderId="6" xfId="0" applyNumberFormat="1" applyFont="1" applyFill="1" applyBorder="1" applyAlignment="1">
      <alignment horizontal="center"/>
    </xf>
    <xf numFmtId="3" fontId="7" fillId="0" borderId="6" xfId="0" applyNumberFormat="1" applyFont="1" applyFill="1" applyBorder="1" applyAlignment="1" applyProtection="1">
      <alignment horizontal="center"/>
    </xf>
    <xf numFmtId="3" fontId="7" fillId="0" borderId="1" xfId="0" applyNumberFormat="1" applyFont="1" applyFill="1" applyBorder="1" applyAlignment="1" applyProtection="1">
      <alignment horizontal="center"/>
    </xf>
    <xf numFmtId="0" fontId="7" fillId="0" borderId="0" xfId="0" applyFont="1" applyFill="1" applyAlignment="1">
      <alignment horizontal="centerContinuous"/>
    </xf>
    <xf numFmtId="3" fontId="7" fillId="0" borderId="6" xfId="0" applyNumberFormat="1" applyFont="1" applyFill="1" applyBorder="1" applyAlignment="1" applyProtection="1"/>
    <xf numFmtId="1" fontId="2" fillId="0" borderId="17" xfId="0" applyNumberFormat="1" applyFont="1" applyFill="1" applyBorder="1" applyProtection="1"/>
    <xf numFmtId="3" fontId="7" fillId="0" borderId="17" xfId="0" applyNumberFormat="1" applyFont="1" applyFill="1" applyBorder="1" applyAlignment="1" applyProtection="1"/>
    <xf numFmtId="0" fontId="3" fillId="0" borderId="26" xfId="0" applyFont="1" applyFill="1" applyBorder="1" applyAlignment="1">
      <alignment horizontal="center"/>
    </xf>
    <xf numFmtId="0" fontId="3" fillId="0" borderId="27" xfId="0" applyFont="1" applyFill="1" applyBorder="1" applyAlignment="1">
      <alignment horizontal="center"/>
    </xf>
    <xf numFmtId="3" fontId="7" fillId="0" borderId="28" xfId="0" applyNumberFormat="1" applyFont="1" applyFill="1" applyBorder="1" applyAlignment="1" applyProtection="1">
      <alignment horizontal="right"/>
    </xf>
    <xf numFmtId="3" fontId="7" fillId="0" borderId="29" xfId="0" applyNumberFormat="1" applyFont="1" applyFill="1" applyBorder="1" applyAlignment="1" applyProtection="1">
      <alignment horizontal="right"/>
    </xf>
    <xf numFmtId="3" fontId="7" fillId="0" borderId="30" xfId="0" applyNumberFormat="1" applyFont="1" applyFill="1" applyBorder="1" applyAlignment="1" applyProtection="1">
      <alignment horizontal="right"/>
    </xf>
    <xf numFmtId="3" fontId="7" fillId="0" borderId="31" xfId="0" applyNumberFormat="1" applyFont="1" applyFill="1" applyBorder="1" applyAlignment="1" applyProtection="1">
      <alignment horizontal="right"/>
    </xf>
    <xf numFmtId="3" fontId="7" fillId="0" borderId="29" xfId="0" applyNumberFormat="1" applyFont="1" applyFill="1" applyBorder="1" applyAlignment="1">
      <alignment horizontal="right"/>
    </xf>
    <xf numFmtId="3" fontId="5" fillId="0" borderId="30" xfId="0" applyNumberFormat="1" applyFont="1" applyFill="1" applyBorder="1" applyAlignment="1" applyProtection="1">
      <alignment horizontal="right"/>
    </xf>
    <xf numFmtId="3" fontId="7" fillId="0" borderId="28" xfId="0" applyNumberFormat="1" applyFont="1" applyFill="1" applyBorder="1" applyAlignment="1">
      <alignment horizontal="right"/>
    </xf>
    <xf numFmtId="3" fontId="5" fillId="0" borderId="27" xfId="0" applyNumberFormat="1" applyFont="1" applyFill="1" applyBorder="1" applyAlignment="1" applyProtection="1">
      <alignment horizontal="right"/>
    </xf>
    <xf numFmtId="3" fontId="7" fillId="0" borderId="32" xfId="0" applyNumberFormat="1" applyFont="1" applyFill="1" applyBorder="1" applyAlignment="1" applyProtection="1">
      <alignment horizontal="right"/>
    </xf>
    <xf numFmtId="3" fontId="7" fillId="0" borderId="31" xfId="0" applyNumberFormat="1" applyFont="1" applyFill="1" applyBorder="1" applyProtection="1"/>
    <xf numFmtId="0" fontId="2" fillId="0" borderId="33" xfId="0" applyFont="1" applyFill="1" applyBorder="1" applyAlignment="1">
      <alignment horizontal="left"/>
    </xf>
    <xf numFmtId="0" fontId="6" fillId="0" borderId="34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left"/>
    </xf>
    <xf numFmtId="165" fontId="7" fillId="0" borderId="35" xfId="0" applyNumberFormat="1" applyFont="1" applyFill="1" applyBorder="1" applyAlignment="1" applyProtection="1">
      <alignment horizontal="left"/>
    </xf>
    <xf numFmtId="164" fontId="7" fillId="0" borderId="36" xfId="0" applyNumberFormat="1" applyFont="1" applyFill="1" applyBorder="1" applyAlignment="1" applyProtection="1">
      <alignment horizontal="left"/>
    </xf>
    <xf numFmtId="164" fontId="7" fillId="0" borderId="37" xfId="0" applyNumberFormat="1" applyFont="1" applyFill="1" applyBorder="1" applyAlignment="1" applyProtection="1">
      <alignment horizontal="left"/>
    </xf>
    <xf numFmtId="0" fontId="7" fillId="0" borderId="16" xfId="0" applyFont="1" applyFill="1" applyBorder="1" applyAlignment="1">
      <alignment horizontal="left"/>
    </xf>
    <xf numFmtId="164" fontId="5" fillId="0" borderId="36" xfId="0" applyNumberFormat="1" applyFont="1" applyFill="1" applyBorder="1" applyAlignment="1" applyProtection="1">
      <alignment horizontal="left"/>
    </xf>
    <xf numFmtId="164" fontId="7" fillId="0" borderId="35" xfId="0" applyNumberFormat="1" applyFont="1" applyFill="1" applyBorder="1" applyAlignment="1" applyProtection="1">
      <alignment horizontal="left"/>
    </xf>
    <xf numFmtId="0" fontId="7" fillId="0" borderId="35" xfId="0" applyFont="1" applyFill="1" applyBorder="1" applyAlignment="1">
      <alignment horizontal="left"/>
    </xf>
    <xf numFmtId="164" fontId="5" fillId="2" borderId="36" xfId="0" applyNumberFormat="1" applyFont="1" applyFill="1" applyBorder="1" applyAlignment="1" applyProtection="1">
      <alignment horizontal="left"/>
    </xf>
    <xf numFmtId="0" fontId="3" fillId="0" borderId="38" xfId="0" applyFont="1" applyFill="1" applyBorder="1" applyAlignment="1">
      <alignment horizontal="centerContinuous"/>
    </xf>
    <xf numFmtId="0" fontId="3" fillId="0" borderId="39" xfId="0" applyFont="1" applyFill="1" applyBorder="1" applyAlignment="1">
      <alignment horizontal="center"/>
    </xf>
    <xf numFmtId="0" fontId="3" fillId="0" borderId="40" xfId="0" applyFont="1" applyFill="1" applyBorder="1" applyAlignment="1">
      <alignment horizontal="center"/>
    </xf>
    <xf numFmtId="3" fontId="7" fillId="0" borderId="41" xfId="0" applyNumberFormat="1" applyFont="1" applyFill="1" applyBorder="1" applyAlignment="1" applyProtection="1">
      <alignment horizontal="right"/>
    </xf>
    <xf numFmtId="3" fontId="7" fillId="0" borderId="42" xfId="0" applyNumberFormat="1" applyFont="1" applyFill="1" applyBorder="1" applyAlignment="1" applyProtection="1">
      <alignment horizontal="right"/>
    </xf>
    <xf numFmtId="3" fontId="7" fillId="0" borderId="43" xfId="0" applyNumberFormat="1" applyFont="1" applyFill="1" applyBorder="1" applyAlignment="1" applyProtection="1">
      <alignment horizontal="right"/>
    </xf>
    <xf numFmtId="3" fontId="7" fillId="0" borderId="44" xfId="0" applyNumberFormat="1" applyFont="1" applyFill="1" applyBorder="1" applyAlignment="1" applyProtection="1">
      <alignment horizontal="right"/>
    </xf>
    <xf numFmtId="3" fontId="7" fillId="0" borderId="44" xfId="0" applyNumberFormat="1" applyFont="1" applyFill="1" applyBorder="1" applyAlignment="1">
      <alignment horizontal="right"/>
    </xf>
    <xf numFmtId="3" fontId="5" fillId="0" borderId="42" xfId="0" applyNumberFormat="1" applyFont="1" applyFill="1" applyBorder="1" applyAlignment="1" applyProtection="1">
      <alignment horizontal="right"/>
    </xf>
    <xf numFmtId="3" fontId="7" fillId="0" borderId="44" xfId="0" applyNumberFormat="1" applyFont="1" applyFill="1" applyBorder="1" applyAlignment="1">
      <alignment horizontal="center"/>
    </xf>
    <xf numFmtId="3" fontId="7" fillId="0" borderId="41" xfId="0" applyNumberFormat="1" applyFont="1" applyFill="1" applyBorder="1" applyAlignment="1">
      <alignment horizontal="right"/>
    </xf>
    <xf numFmtId="3" fontId="5" fillId="0" borderId="40" xfId="0" applyNumberFormat="1" applyFont="1" applyFill="1" applyBorder="1" applyAlignment="1" applyProtection="1">
      <alignment horizontal="right"/>
    </xf>
    <xf numFmtId="3" fontId="5" fillId="2" borderId="42" xfId="0" applyNumberFormat="1" applyFont="1" applyFill="1" applyBorder="1" applyAlignment="1" applyProtection="1">
      <alignment horizontal="right"/>
    </xf>
    <xf numFmtId="165" fontId="7" fillId="0" borderId="34" xfId="0" applyNumberFormat="1" applyFont="1" applyFill="1" applyBorder="1" applyAlignment="1" applyProtection="1">
      <alignment horizontal="left"/>
    </xf>
    <xf numFmtId="165" fontId="7" fillId="0" borderId="37" xfId="0" applyNumberFormat="1" applyFont="1" applyFill="1" applyBorder="1" applyAlignment="1" applyProtection="1">
      <alignment horizontal="left"/>
    </xf>
    <xf numFmtId="3" fontId="7" fillId="0" borderId="45" xfId="0" applyNumberFormat="1" applyFont="1" applyFill="1" applyBorder="1" applyProtection="1"/>
    <xf numFmtId="3" fontId="7" fillId="0" borderId="45" xfId="0" applyNumberFormat="1" applyFont="1" applyFill="1" applyBorder="1" applyAlignment="1" applyProtection="1">
      <alignment horizontal="right"/>
    </xf>
    <xf numFmtId="3" fontId="7" fillId="0" borderId="45" xfId="0" applyNumberFormat="1" applyFont="1" applyFill="1" applyBorder="1" applyAlignment="1" applyProtection="1">
      <alignment horizontal="center"/>
    </xf>
    <xf numFmtId="3" fontId="7" fillId="0" borderId="44" xfId="0" applyNumberFormat="1" applyFont="1" applyFill="1" applyBorder="1" applyAlignment="1" applyProtection="1">
      <alignment horizontal="center"/>
    </xf>
    <xf numFmtId="1" fontId="7" fillId="0" borderId="22" xfId="0" applyNumberFormat="1" applyFont="1" applyFill="1" applyBorder="1" applyProtection="1"/>
    <xf numFmtId="1" fontId="7" fillId="0" borderId="35" xfId="0" applyNumberFormat="1" applyFont="1" applyFill="1" applyBorder="1" applyProtection="1"/>
    <xf numFmtId="1" fontId="7" fillId="0" borderId="36" xfId="0" applyNumberFormat="1" applyFont="1" applyFill="1" applyBorder="1" applyProtection="1"/>
    <xf numFmtId="1" fontId="7" fillId="0" borderId="46" xfId="0" applyNumberFormat="1" applyFont="1" applyFill="1" applyBorder="1" applyProtection="1"/>
    <xf numFmtId="3" fontId="7" fillId="0" borderId="43" xfId="0" applyNumberFormat="1" applyFont="1" applyFill="1" applyBorder="1" applyProtection="1"/>
    <xf numFmtId="3" fontId="7" fillId="0" borderId="41" xfId="0" applyNumberFormat="1" applyFont="1" applyFill="1" applyBorder="1" applyProtection="1"/>
    <xf numFmtId="3" fontId="7" fillId="0" borderId="42" xfId="0" applyNumberFormat="1" applyFont="1" applyFill="1" applyBorder="1" applyProtection="1"/>
    <xf numFmtId="3" fontId="7" fillId="0" borderId="47" xfId="0" applyNumberFormat="1" applyFont="1" applyFill="1" applyBorder="1" applyProtection="1"/>
    <xf numFmtId="3" fontId="7" fillId="0" borderId="32" xfId="0" applyNumberFormat="1" applyFont="1" applyFill="1" applyBorder="1" applyProtection="1"/>
    <xf numFmtId="3" fontId="7" fillId="0" borderId="28" xfId="0" applyNumberFormat="1" applyFont="1" applyFill="1" applyBorder="1" applyProtection="1"/>
    <xf numFmtId="3" fontId="7" fillId="0" borderId="30" xfId="0" applyNumberFormat="1" applyFont="1" applyFill="1" applyBorder="1" applyProtection="1"/>
    <xf numFmtId="3" fontId="7" fillId="0" borderId="24" xfId="0" applyNumberFormat="1" applyFont="1" applyFill="1" applyBorder="1" applyProtection="1"/>
    <xf numFmtId="3" fontId="2" fillId="0" borderId="0" xfId="0" applyNumberFormat="1" applyFont="1" applyFill="1" applyAlignment="1">
      <alignment horizontal="left"/>
    </xf>
    <xf numFmtId="166" fontId="7" fillId="0" borderId="6" xfId="0" applyNumberFormat="1" applyFont="1" applyFill="1" applyBorder="1" applyAlignment="1" applyProtection="1">
      <alignment horizontal="right"/>
    </xf>
    <xf numFmtId="166" fontId="5" fillId="0" borderId="4" xfId="0" applyNumberFormat="1" applyFont="1" applyFill="1" applyBorder="1" applyAlignment="1" applyProtection="1">
      <alignment horizontal="right"/>
    </xf>
    <xf numFmtId="166" fontId="7" fillId="0" borderId="17" xfId="0" applyNumberFormat="1" applyFont="1" applyFill="1" applyBorder="1" applyAlignment="1" applyProtection="1">
      <alignment horizontal="right"/>
    </xf>
    <xf numFmtId="166" fontId="7" fillId="0" borderId="1" xfId="0" applyNumberFormat="1" applyFont="1" applyFill="1" applyBorder="1" applyAlignment="1" applyProtection="1">
      <alignment horizontal="right"/>
    </xf>
    <xf numFmtId="166" fontId="7" fillId="0" borderId="1" xfId="0" applyNumberFormat="1" applyFont="1" applyFill="1" applyBorder="1" applyAlignment="1">
      <alignment horizontal="right"/>
    </xf>
    <xf numFmtId="166" fontId="7" fillId="0" borderId="6" xfId="0" applyNumberFormat="1" applyFont="1" applyFill="1" applyBorder="1" applyAlignment="1">
      <alignment horizontal="right"/>
    </xf>
    <xf numFmtId="166" fontId="5" fillId="0" borderId="8" xfId="0" applyNumberFormat="1" applyFont="1" applyFill="1" applyBorder="1" applyAlignment="1" applyProtection="1">
      <alignment horizontal="right"/>
    </xf>
    <xf numFmtId="166" fontId="2" fillId="0" borderId="0" xfId="0" applyNumberFormat="1" applyFont="1" applyFill="1" applyBorder="1" applyAlignment="1">
      <alignment horizontal="left"/>
    </xf>
    <xf numFmtId="166" fontId="3" fillId="0" borderId="23" xfId="0" applyNumberFormat="1" applyFont="1" applyFill="1" applyBorder="1" applyAlignment="1">
      <alignment horizontal="centerContinuous"/>
    </xf>
    <xf numFmtId="166" fontId="3" fillId="0" borderId="3" xfId="0" applyNumberFormat="1" applyFont="1" applyFill="1" applyBorder="1" applyAlignment="1">
      <alignment horizontal="center"/>
    </xf>
    <xf numFmtId="166" fontId="3" fillId="0" borderId="8" xfId="0" applyNumberFormat="1" applyFont="1" applyFill="1" applyBorder="1" applyAlignment="1">
      <alignment horizontal="center"/>
    </xf>
    <xf numFmtId="166" fontId="7" fillId="0" borderId="7" xfId="0" applyNumberFormat="1" applyFont="1" applyFill="1" applyBorder="1" applyProtection="1"/>
    <xf numFmtId="166" fontId="7" fillId="0" borderId="7" xfId="0" applyNumberFormat="1" applyFont="1" applyFill="1" applyBorder="1" applyAlignment="1" applyProtection="1">
      <alignment horizontal="right"/>
    </xf>
    <xf numFmtId="166" fontId="3" fillId="0" borderId="0" xfId="0" applyNumberFormat="1" applyFont="1" applyFill="1" applyBorder="1" applyAlignment="1" applyProtection="1">
      <alignment horizontal="left"/>
    </xf>
    <xf numFmtId="166" fontId="2" fillId="0" borderId="0" xfId="0" applyNumberFormat="1" applyFont="1" applyFill="1" applyAlignment="1">
      <alignment horizontal="left"/>
    </xf>
    <xf numFmtId="166" fontId="7" fillId="0" borderId="17" xfId="0" applyNumberFormat="1" applyFont="1" applyFill="1" applyBorder="1" applyProtection="1"/>
    <xf numFmtId="166" fontId="7" fillId="0" borderId="6" xfId="0" applyNumberFormat="1" applyFont="1" applyFill="1" applyBorder="1" applyProtection="1"/>
    <xf numFmtId="166" fontId="7" fillId="0" borderId="20" xfId="0" applyNumberFormat="1" applyFont="1" applyFill="1" applyBorder="1" applyProtection="1"/>
    <xf numFmtId="166" fontId="3" fillId="0" borderId="20" xfId="0" applyNumberFormat="1" applyFont="1" applyFill="1" applyBorder="1" applyAlignment="1">
      <alignment horizontal="centerContinuous"/>
    </xf>
    <xf numFmtId="3" fontId="2" fillId="0" borderId="0" xfId="0" applyNumberFormat="1" applyFont="1" applyFill="1" applyBorder="1" applyAlignment="1">
      <alignment horizontal="left"/>
    </xf>
    <xf numFmtId="166" fontId="5" fillId="2" borderId="4" xfId="0" applyNumberFormat="1" applyFont="1" applyFill="1" applyBorder="1" applyAlignment="1" applyProtection="1">
      <alignment horizontal="right"/>
    </xf>
    <xf numFmtId="166" fontId="7" fillId="0" borderId="4" xfId="0" applyNumberFormat="1" applyFont="1" applyFill="1" applyBorder="1" applyAlignment="1" applyProtection="1">
      <alignment horizontal="right"/>
    </xf>
    <xf numFmtId="0" fontId="8" fillId="0" borderId="0" xfId="0" applyFont="1" applyAlignment="1">
      <alignment horizontal="centerContinuous"/>
    </xf>
    <xf numFmtId="0" fontId="8" fillId="0" borderId="0" xfId="0" applyFont="1"/>
    <xf numFmtId="3" fontId="5" fillId="2" borderId="30" xfId="0" applyNumberFormat="1" applyFont="1" applyFill="1" applyBorder="1" applyAlignment="1" applyProtection="1">
      <alignment horizontal="right"/>
    </xf>
    <xf numFmtId="166" fontId="8" fillId="0" borderId="0" xfId="0" applyNumberFormat="1" applyFont="1" applyAlignment="1">
      <alignment horizontal="centerContinuous"/>
    </xf>
    <xf numFmtId="166" fontId="4" fillId="0" borderId="0" xfId="0" applyNumberFormat="1" applyFont="1" applyFill="1" applyAlignment="1">
      <alignment horizontal="centerContinuous"/>
    </xf>
    <xf numFmtId="166" fontId="3" fillId="0" borderId="48" xfId="0" applyNumberFormat="1" applyFont="1" applyFill="1" applyBorder="1" applyAlignment="1">
      <alignment horizontal="centerContinuous"/>
    </xf>
    <xf numFmtId="166" fontId="3" fillId="0" borderId="49" xfId="0" applyNumberFormat="1" applyFont="1" applyFill="1" applyBorder="1" applyAlignment="1">
      <alignment horizontal="center"/>
    </xf>
    <xf numFmtId="166" fontId="3" fillId="0" borderId="50" xfId="0" applyNumberFormat="1" applyFont="1" applyFill="1" applyBorder="1" applyAlignment="1">
      <alignment horizontal="center"/>
    </xf>
    <xf numFmtId="166" fontId="7" fillId="0" borderId="51" xfId="0" applyNumberFormat="1" applyFont="1" applyFill="1" applyBorder="1" applyAlignment="1" applyProtection="1">
      <alignment horizontal="right"/>
    </xf>
    <xf numFmtId="166" fontId="7" fillId="0" borderId="52" xfId="0" applyNumberFormat="1" applyFont="1" applyFill="1" applyBorder="1" applyAlignment="1" applyProtection="1">
      <alignment horizontal="right"/>
    </xf>
    <xf numFmtId="166" fontId="7" fillId="0" borderId="53" xfId="0" applyNumberFormat="1" applyFont="1" applyFill="1" applyBorder="1" applyAlignment="1" applyProtection="1">
      <alignment horizontal="right"/>
    </xf>
    <xf numFmtId="166" fontId="5" fillId="0" borderId="52" xfId="0" applyNumberFormat="1" applyFont="1" applyFill="1" applyBorder="1" applyAlignment="1" applyProtection="1">
      <alignment horizontal="right"/>
    </xf>
    <xf numFmtId="166" fontId="7" fillId="0" borderId="1" xfId="0" applyNumberFormat="1" applyFont="1" applyFill="1" applyBorder="1" applyAlignment="1">
      <alignment horizontal="center"/>
    </xf>
    <xf numFmtId="166" fontId="5" fillId="0" borderId="50" xfId="0" applyNumberFormat="1" applyFont="1" applyFill="1" applyBorder="1" applyAlignment="1" applyProtection="1">
      <alignment horizontal="right"/>
    </xf>
    <xf numFmtId="166" fontId="7" fillId="0" borderId="6" xfId="0" applyNumberFormat="1" applyFont="1" applyFill="1" applyBorder="1" applyAlignment="1">
      <alignment horizontal="center"/>
    </xf>
    <xf numFmtId="166" fontId="5" fillId="2" borderId="52" xfId="0" applyNumberFormat="1" applyFont="1" applyFill="1" applyBorder="1" applyAlignment="1" applyProtection="1">
      <alignment horizontal="right"/>
    </xf>
    <xf numFmtId="166" fontId="7" fillId="0" borderId="54" xfId="0" applyNumberFormat="1" applyFont="1" applyFill="1" applyBorder="1" applyProtection="1"/>
    <xf numFmtId="166" fontId="7" fillId="0" borderId="54" xfId="0" applyNumberFormat="1" applyFont="1" applyFill="1" applyBorder="1" applyAlignment="1" applyProtection="1">
      <alignment horizontal="right"/>
    </xf>
    <xf numFmtId="166" fontId="7" fillId="0" borderId="7" xfId="0" applyNumberFormat="1" applyFont="1" applyFill="1" applyBorder="1" applyAlignment="1" applyProtection="1">
      <alignment horizontal="center"/>
    </xf>
    <xf numFmtId="166" fontId="7" fillId="0" borderId="54" xfId="0" applyNumberFormat="1" applyFont="1" applyFill="1" applyBorder="1" applyAlignment="1" applyProtection="1">
      <alignment horizontal="center"/>
    </xf>
    <xf numFmtId="166" fontId="3" fillId="0" borderId="0" xfId="0" applyNumberFormat="1" applyFont="1" applyFill="1" applyAlignment="1">
      <alignment horizontal="centerContinuous"/>
    </xf>
    <xf numFmtId="166" fontId="3" fillId="0" borderId="0" xfId="0" applyNumberFormat="1" applyFont="1" applyFill="1"/>
    <xf numFmtId="166" fontId="7" fillId="0" borderId="55" xfId="0" applyNumberFormat="1" applyFont="1" applyFill="1" applyBorder="1" applyProtection="1"/>
    <xf numFmtId="166" fontId="7" fillId="0" borderId="51" xfId="0" applyNumberFormat="1" applyFont="1" applyFill="1" applyBorder="1" applyProtection="1"/>
    <xf numFmtId="166" fontId="7" fillId="0" borderId="56" xfId="0" applyNumberFormat="1" applyFont="1" applyFill="1" applyBorder="1" applyProtection="1"/>
    <xf numFmtId="166" fontId="5" fillId="0" borderId="56" xfId="0" applyNumberFormat="1" applyFont="1" applyFill="1" applyBorder="1" applyAlignment="1" applyProtection="1">
      <alignment horizontal="right"/>
    </xf>
    <xf numFmtId="166" fontId="5" fillId="0" borderId="54" xfId="0" applyNumberFormat="1" applyFont="1" applyFill="1" applyBorder="1" applyAlignment="1" applyProtection="1">
      <alignment horizontal="right"/>
    </xf>
    <xf numFmtId="166" fontId="5" fillId="0" borderId="20" xfId="0" applyNumberFormat="1" applyFont="1" applyFill="1" applyBorder="1" applyAlignment="1" applyProtection="1">
      <alignment horizontal="right"/>
    </xf>
    <xf numFmtId="166" fontId="5" fillId="2" borderId="20" xfId="0" applyNumberFormat="1" applyFont="1" applyFill="1" applyBorder="1" applyAlignment="1" applyProtection="1">
      <alignment horizontal="right"/>
    </xf>
    <xf numFmtId="166" fontId="5" fillId="2" borderId="56" xfId="0" applyNumberFormat="1" applyFont="1" applyFill="1" applyBorder="1" applyAlignment="1" applyProtection="1">
      <alignment horizontal="right"/>
    </xf>
    <xf numFmtId="166" fontId="5" fillId="0" borderId="7" xfId="0" applyNumberFormat="1" applyFont="1" applyFill="1" applyBorder="1" applyAlignment="1" applyProtection="1">
      <alignment horizontal="right"/>
    </xf>
    <xf numFmtId="166" fontId="7" fillId="0" borderId="23" xfId="0" applyNumberFormat="1" applyFont="1" applyFill="1" applyBorder="1" applyAlignment="1" applyProtection="1">
      <alignment horizontal="right"/>
    </xf>
    <xf numFmtId="164" fontId="3" fillId="0" borderId="23" xfId="0" applyNumberFormat="1" applyFont="1" applyFill="1" applyBorder="1" applyAlignment="1" applyProtection="1">
      <alignment horizontal="left"/>
    </xf>
    <xf numFmtId="166" fontId="7" fillId="0" borderId="2" xfId="0" applyNumberFormat="1" applyFont="1" applyFill="1" applyBorder="1" applyAlignment="1" applyProtection="1">
      <alignment horizontal="right"/>
    </xf>
    <xf numFmtId="166" fontId="7" fillId="0" borderId="2" xfId="0" applyNumberFormat="1" applyFont="1" applyFill="1" applyBorder="1" applyProtection="1"/>
    <xf numFmtId="3" fontId="5" fillId="2" borderId="20" xfId="0" applyNumberFormat="1" applyFont="1" applyFill="1" applyBorder="1" applyAlignment="1" applyProtection="1">
      <alignment horizontal="right"/>
    </xf>
    <xf numFmtId="3" fontId="5" fillId="2" borderId="24" xfId="0" applyNumberFormat="1" applyFont="1" applyFill="1" applyBorder="1" applyAlignment="1" applyProtection="1">
      <alignment horizontal="right"/>
    </xf>
    <xf numFmtId="3" fontId="7" fillId="0" borderId="57" xfId="0" applyNumberFormat="1" applyFont="1" applyFill="1" applyBorder="1" applyAlignment="1" applyProtection="1">
      <alignment horizontal="right"/>
    </xf>
    <xf numFmtId="3" fontId="7" fillId="0" borderId="57" xfId="0" applyNumberFormat="1" applyFont="1" applyFill="1" applyBorder="1" applyAlignment="1" applyProtection="1">
      <alignment horizontal="center"/>
    </xf>
    <xf numFmtId="3" fontId="7" fillId="0" borderId="31" xfId="0" applyNumberFormat="1" applyFont="1" applyFill="1" applyBorder="1" applyAlignment="1" applyProtection="1">
      <alignment horizontal="center"/>
    </xf>
    <xf numFmtId="3" fontId="7" fillId="0" borderId="58" xfId="0" applyNumberFormat="1" applyFont="1" applyFill="1" applyBorder="1" applyAlignment="1">
      <alignment horizontal="right"/>
    </xf>
    <xf numFmtId="3" fontId="7" fillId="0" borderId="58" xfId="0" applyNumberFormat="1" applyFont="1" applyFill="1" applyBorder="1" applyAlignment="1">
      <alignment horizontal="center"/>
    </xf>
    <xf numFmtId="3" fontId="7" fillId="0" borderId="29" xfId="0" applyNumberFormat="1" applyFont="1" applyFill="1" applyBorder="1" applyAlignment="1">
      <alignment horizontal="center"/>
    </xf>
    <xf numFmtId="3" fontId="7" fillId="0" borderId="59" xfId="0" applyNumberFormat="1" applyFont="1" applyFill="1" applyBorder="1" applyAlignment="1" applyProtection="1">
      <alignment horizontal="right"/>
    </xf>
    <xf numFmtId="3" fontId="7" fillId="0" borderId="2" xfId="0" applyNumberFormat="1" applyFont="1" applyFill="1" applyBorder="1" applyAlignment="1" applyProtection="1">
      <alignment horizontal="right"/>
    </xf>
    <xf numFmtId="3" fontId="7" fillId="0" borderId="60" xfId="0" applyNumberFormat="1" applyFont="1" applyFill="1" applyBorder="1" applyAlignment="1" applyProtection="1">
      <alignment horizontal="right"/>
    </xf>
    <xf numFmtId="164" fontId="5" fillId="0" borderId="35" xfId="0" applyNumberFormat="1" applyFont="1" applyFill="1" applyBorder="1" applyAlignment="1" applyProtection="1">
      <alignment horizontal="left"/>
    </xf>
    <xf numFmtId="3" fontId="5" fillId="0" borderId="6" xfId="0" applyNumberFormat="1" applyFont="1" applyFill="1" applyBorder="1" applyAlignment="1" applyProtection="1"/>
    <xf numFmtId="3" fontId="5" fillId="0" borderId="6" xfId="0" applyNumberFormat="1" applyFont="1" applyFill="1" applyBorder="1" applyAlignment="1" applyProtection="1">
      <alignment horizontal="right"/>
    </xf>
    <xf numFmtId="166" fontId="5" fillId="0" borderId="6" xfId="0" applyNumberFormat="1" applyFont="1" applyFill="1" applyBorder="1" applyAlignment="1" applyProtection="1">
      <alignment horizontal="right"/>
    </xf>
    <xf numFmtId="166" fontId="5" fillId="0" borderId="1" xfId="0" applyNumberFormat="1" applyFont="1" applyFill="1" applyBorder="1" applyAlignment="1" applyProtection="1">
      <alignment horizontal="right"/>
    </xf>
    <xf numFmtId="166" fontId="5" fillId="0" borderId="53" xfId="0" applyNumberFormat="1" applyFont="1" applyFill="1" applyBorder="1" applyAlignment="1" applyProtection="1">
      <alignment horizontal="right"/>
    </xf>
    <xf numFmtId="166" fontId="7" fillId="0" borderId="61" xfId="0" applyNumberFormat="1" applyFont="1" applyFill="1" applyBorder="1" applyAlignment="1" applyProtection="1">
      <alignment horizontal="right"/>
    </xf>
    <xf numFmtId="3" fontId="5" fillId="0" borderId="28" xfId="0" applyNumberFormat="1" applyFont="1" applyFill="1" applyBorder="1" applyAlignment="1" applyProtection="1">
      <alignment horizontal="right"/>
    </xf>
    <xf numFmtId="0" fontId="2" fillId="0" borderId="10" xfId="0" applyFont="1" applyFill="1" applyBorder="1"/>
    <xf numFmtId="0" fontId="7" fillId="0" borderId="34" xfId="0" applyFont="1" applyFill="1" applyBorder="1" applyAlignment="1">
      <alignment horizontal="left"/>
    </xf>
    <xf numFmtId="164" fontId="5" fillId="0" borderId="16" xfId="0" applyNumberFormat="1" applyFont="1" applyFill="1" applyBorder="1" applyAlignment="1" applyProtection="1">
      <alignment horizontal="left"/>
    </xf>
    <xf numFmtId="3" fontId="5" fillId="0" borderId="62" xfId="0" applyNumberFormat="1" applyFont="1" applyFill="1" applyBorder="1" applyAlignment="1" applyProtection="1">
      <alignment horizontal="right"/>
    </xf>
    <xf numFmtId="3" fontId="5" fillId="0" borderId="41" xfId="0" applyNumberFormat="1" applyFont="1" applyFill="1" applyBorder="1" applyAlignment="1" applyProtection="1"/>
    <xf numFmtId="166" fontId="7" fillId="0" borderId="1" xfId="0" applyNumberFormat="1" applyFont="1" applyFill="1" applyBorder="1" applyAlignment="1" applyProtection="1">
      <alignment horizontal="center"/>
    </xf>
    <xf numFmtId="166" fontId="7" fillId="0" borderId="0" xfId="0" applyNumberFormat="1" applyFont="1" applyFill="1" applyBorder="1" applyAlignment="1" applyProtection="1">
      <alignment horizontal="right"/>
    </xf>
    <xf numFmtId="3" fontId="3" fillId="0" borderId="0" xfId="0" applyNumberFormat="1" applyFont="1" applyFill="1"/>
    <xf numFmtId="0" fontId="2" fillId="0" borderId="0" xfId="0" applyFont="1"/>
    <xf numFmtId="0" fontId="10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165" fontId="3" fillId="0" borderId="0" xfId="0" applyNumberFormat="1" applyFont="1" applyAlignment="1" applyProtection="1">
      <alignment horizontal="centerContinuous"/>
    </xf>
    <xf numFmtId="165" fontId="11" fillId="0" borderId="0" xfId="0" applyNumberFormat="1" applyFont="1" applyAlignment="1" applyProtection="1">
      <alignment horizontal="right"/>
    </xf>
    <xf numFmtId="0" fontId="12" fillId="0" borderId="63" xfId="0" applyFont="1" applyBorder="1"/>
    <xf numFmtId="165" fontId="13" fillId="0" borderId="64" xfId="0" applyNumberFormat="1" applyFont="1" applyBorder="1" applyAlignment="1" applyProtection="1">
      <alignment horizontal="centerContinuous"/>
    </xf>
    <xf numFmtId="0" fontId="12" fillId="0" borderId="65" xfId="0" applyFont="1" applyBorder="1" applyAlignment="1">
      <alignment horizontal="centerContinuous"/>
    </xf>
    <xf numFmtId="165" fontId="13" fillId="0" borderId="66" xfId="0" applyNumberFormat="1" applyFont="1" applyBorder="1" applyAlignment="1" applyProtection="1">
      <alignment horizontal="center"/>
    </xf>
    <xf numFmtId="0" fontId="13" fillId="0" borderId="67" xfId="0" applyFont="1" applyBorder="1" applyAlignment="1">
      <alignment horizontal="center"/>
    </xf>
    <xf numFmtId="0" fontId="12" fillId="0" borderId="68" xfId="0" applyFont="1" applyBorder="1"/>
    <xf numFmtId="165" fontId="13" fillId="0" borderId="69" xfId="0" applyNumberFormat="1" applyFont="1" applyBorder="1" applyAlignment="1" applyProtection="1">
      <alignment horizontal="center"/>
    </xf>
    <xf numFmtId="165" fontId="13" fillId="0" borderId="68" xfId="0" applyNumberFormat="1" applyFont="1" applyBorder="1" applyAlignment="1" applyProtection="1">
      <alignment horizontal="center"/>
    </xf>
    <xf numFmtId="0" fontId="12" fillId="0" borderId="66" xfId="0" applyFont="1" applyBorder="1"/>
    <xf numFmtId="3" fontId="12" fillId="0" borderId="66" xfId="0" applyNumberFormat="1" applyFont="1" applyBorder="1" applyProtection="1"/>
    <xf numFmtId="0" fontId="13" fillId="0" borderId="66" xfId="0" applyFont="1" applyBorder="1"/>
    <xf numFmtId="0" fontId="12" fillId="0" borderId="66" xfId="0" applyFont="1" applyBorder="1" applyAlignment="1">
      <alignment horizontal="right"/>
    </xf>
    <xf numFmtId="3" fontId="12" fillId="0" borderId="67" xfId="0" applyNumberFormat="1" applyFont="1" applyBorder="1" applyProtection="1"/>
    <xf numFmtId="0" fontId="14" fillId="0" borderId="70" xfId="0" applyFont="1" applyBorder="1" applyAlignment="1">
      <alignment horizontal="right"/>
    </xf>
    <xf numFmtId="0" fontId="14" fillId="0" borderId="70" xfId="0" applyFont="1" applyBorder="1"/>
    <xf numFmtId="3" fontId="14" fillId="0" borderId="65" xfId="0" applyNumberFormat="1" applyFont="1" applyBorder="1" applyProtection="1"/>
    <xf numFmtId="0" fontId="13" fillId="0" borderId="66" xfId="0" applyFont="1" applyBorder="1" applyAlignment="1">
      <alignment horizontal="right"/>
    </xf>
    <xf numFmtId="0" fontId="12" fillId="0" borderId="66" xfId="0" applyFont="1" applyBorder="1" applyAlignment="1">
      <alignment horizontal="left"/>
    </xf>
    <xf numFmtId="3" fontId="14" fillId="0" borderId="70" xfId="0" applyNumberFormat="1" applyFont="1" applyBorder="1" applyProtection="1"/>
    <xf numFmtId="0" fontId="14" fillId="0" borderId="68" xfId="0" applyFont="1" applyBorder="1" applyAlignment="1">
      <alignment horizontal="right"/>
    </xf>
    <xf numFmtId="0" fontId="14" fillId="0" borderId="68" xfId="0" applyFont="1" applyBorder="1"/>
    <xf numFmtId="3" fontId="14" fillId="0" borderId="68" xfId="0" applyNumberFormat="1" applyFont="1" applyBorder="1" applyProtection="1"/>
    <xf numFmtId="3" fontId="13" fillId="0" borderId="66" xfId="0" applyNumberFormat="1" applyFont="1" applyBorder="1" applyProtection="1"/>
    <xf numFmtId="0" fontId="12" fillId="0" borderId="68" xfId="0" applyFont="1" applyBorder="1" applyAlignment="1">
      <alignment horizontal="right"/>
    </xf>
    <xf numFmtId="3" fontId="12" fillId="0" borderId="68" xfId="0" applyNumberFormat="1" applyFont="1" applyBorder="1" applyProtection="1"/>
    <xf numFmtId="3" fontId="13" fillId="0" borderId="68" xfId="0" applyNumberFormat="1" applyFont="1" applyBorder="1" applyProtection="1"/>
    <xf numFmtId="0" fontId="13" fillId="0" borderId="68" xfId="0" applyFont="1" applyBorder="1" applyAlignment="1">
      <alignment horizontal="right"/>
    </xf>
    <xf numFmtId="0" fontId="13" fillId="0" borderId="68" xfId="0" applyFont="1" applyBorder="1"/>
    <xf numFmtId="0" fontId="7" fillId="0" borderId="0" xfId="0" applyFont="1"/>
    <xf numFmtId="0" fontId="12" fillId="0" borderId="71" xfId="0" applyFont="1" applyBorder="1"/>
    <xf numFmtId="165" fontId="13" fillId="0" borderId="71" xfId="0" applyNumberFormat="1" applyFont="1" applyBorder="1" applyAlignment="1" applyProtection="1">
      <alignment horizontal="center"/>
    </xf>
    <xf numFmtId="0" fontId="13" fillId="0" borderId="72" xfId="0" applyFont="1" applyBorder="1" applyAlignment="1">
      <alignment horizontal="center"/>
    </xf>
    <xf numFmtId="0" fontId="12" fillId="0" borderId="73" xfId="0" applyFont="1" applyBorder="1"/>
    <xf numFmtId="165" fontId="13" fillId="0" borderId="72" xfId="0" applyNumberFormat="1" applyFont="1" applyBorder="1" applyAlignment="1" applyProtection="1">
      <alignment horizontal="center"/>
    </xf>
    <xf numFmtId="3" fontId="12" fillId="0" borderId="68" xfId="0" applyNumberFormat="1" applyFont="1" applyFill="1" applyBorder="1" applyProtection="1"/>
    <xf numFmtId="3" fontId="14" fillId="0" borderId="68" xfId="0" applyNumberFormat="1" applyFont="1" applyFill="1" applyBorder="1" applyProtection="1"/>
    <xf numFmtId="3" fontId="2" fillId="0" borderId="0" xfId="0" applyNumberFormat="1" applyFont="1"/>
    <xf numFmtId="165" fontId="7" fillId="0" borderId="36" xfId="0" applyNumberFormat="1" applyFont="1" applyFill="1" applyBorder="1" applyAlignment="1" applyProtection="1">
      <alignment horizontal="left"/>
    </xf>
    <xf numFmtId="166" fontId="15" fillId="0" borderId="0" xfId="0" applyNumberFormat="1" applyFont="1" applyFill="1"/>
    <xf numFmtId="166" fontId="7" fillId="0" borderId="50" xfId="0" applyNumberFormat="1" applyFont="1" applyFill="1" applyBorder="1" applyProtection="1"/>
    <xf numFmtId="3" fontId="8" fillId="0" borderId="0" xfId="0" applyNumberFormat="1" applyFont="1"/>
    <xf numFmtId="0" fontId="8" fillId="0" borderId="34" xfId="0" applyFont="1" applyBorder="1"/>
    <xf numFmtId="3" fontId="7" fillId="0" borderId="34" xfId="0" applyNumberFormat="1" applyFont="1" applyFill="1" applyBorder="1" applyAlignment="1" applyProtection="1">
      <alignment horizontal="right"/>
    </xf>
    <xf numFmtId="3" fontId="8" fillId="0" borderId="34" xfId="0" applyNumberFormat="1" applyFont="1" applyBorder="1"/>
    <xf numFmtId="3" fontId="12" fillId="0" borderId="66" xfId="0" applyNumberFormat="1" applyFont="1" applyFill="1" applyBorder="1" applyProtection="1"/>
    <xf numFmtId="0" fontId="16" fillId="0" borderId="0" xfId="0" applyFont="1" applyFill="1" applyAlignment="1">
      <alignment horizontal="centerContinuous"/>
    </xf>
    <xf numFmtId="166" fontId="7" fillId="0" borderId="61" xfId="0" applyNumberFormat="1" applyFont="1" applyFill="1" applyBorder="1" applyProtection="1"/>
    <xf numFmtId="49" fontId="2" fillId="0" borderId="1" xfId="0" applyNumberFormat="1" applyFont="1" applyFill="1" applyBorder="1" applyAlignment="1">
      <alignment horizontal="right"/>
    </xf>
    <xf numFmtId="3" fontId="7" fillId="0" borderId="62" xfId="0" applyNumberFormat="1" applyFont="1" applyFill="1" applyBorder="1" applyAlignment="1" applyProtection="1">
      <alignment horizontal="right"/>
    </xf>
    <xf numFmtId="3" fontId="7" fillId="0" borderId="74" xfId="0" applyNumberFormat="1" applyFont="1" applyFill="1" applyBorder="1" applyAlignment="1" applyProtection="1">
      <alignment horizontal="right"/>
    </xf>
    <xf numFmtId="3" fontId="7" fillId="0" borderId="59" xfId="0" applyNumberFormat="1" applyFont="1" applyFill="1" applyBorder="1" applyAlignment="1">
      <alignment horizontal="right"/>
    </xf>
    <xf numFmtId="3" fontId="7" fillId="0" borderId="2" xfId="0" applyNumberFormat="1" applyFont="1" applyFill="1" applyBorder="1" applyAlignment="1">
      <alignment horizontal="right"/>
    </xf>
    <xf numFmtId="3" fontId="7" fillId="0" borderId="60" xfId="0" applyNumberFormat="1" applyFont="1" applyFill="1" applyBorder="1" applyAlignment="1">
      <alignment horizontal="right"/>
    </xf>
    <xf numFmtId="1" fontId="2" fillId="2" borderId="20" xfId="0" applyNumberFormat="1" applyFont="1" applyFill="1" applyBorder="1" applyAlignment="1" applyProtection="1">
      <alignment horizontal="right"/>
    </xf>
    <xf numFmtId="165" fontId="5" fillId="2" borderId="46" xfId="0" applyNumberFormat="1" applyFont="1" applyFill="1" applyBorder="1" applyAlignment="1" applyProtection="1">
      <alignment horizontal="left"/>
    </xf>
    <xf numFmtId="3" fontId="5" fillId="2" borderId="47" xfId="0" applyNumberFormat="1" applyFont="1" applyFill="1" applyBorder="1" applyAlignment="1" applyProtection="1">
      <alignment horizontal="right"/>
    </xf>
    <xf numFmtId="0" fontId="2" fillId="0" borderId="75" xfId="0" applyFont="1" applyFill="1" applyBorder="1"/>
    <xf numFmtId="1" fontId="2" fillId="0" borderId="2" xfId="0" applyNumberFormat="1" applyFont="1" applyFill="1" applyBorder="1" applyAlignment="1">
      <alignment horizontal="right" shrinkToFit="1"/>
    </xf>
    <xf numFmtId="3" fontId="5" fillId="0" borderId="44" xfId="0" applyNumberFormat="1" applyFont="1" applyFill="1" applyBorder="1" applyAlignment="1">
      <alignment horizontal="right"/>
    </xf>
    <xf numFmtId="1" fontId="2" fillId="0" borderId="7" xfId="0" applyNumberFormat="1" applyFont="1" applyFill="1" applyBorder="1" applyAlignment="1">
      <alignment horizontal="right"/>
    </xf>
    <xf numFmtId="0" fontId="7" fillId="0" borderId="37" xfId="0" applyFont="1" applyFill="1" applyBorder="1" applyAlignment="1">
      <alignment horizontal="left"/>
    </xf>
    <xf numFmtId="3" fontId="5" fillId="0" borderId="1" xfId="0" applyNumberFormat="1" applyFont="1" applyFill="1" applyBorder="1" applyAlignment="1" applyProtection="1"/>
    <xf numFmtId="3" fontId="7" fillId="0" borderId="1" xfId="0" applyNumberFormat="1" applyFont="1" applyFill="1" applyBorder="1" applyAlignment="1" applyProtection="1"/>
    <xf numFmtId="3" fontId="2" fillId="3" borderId="0" xfId="0" applyNumberFormat="1" applyFont="1" applyFill="1" applyAlignment="1">
      <alignment horizontal="left"/>
    </xf>
    <xf numFmtId="166" fontId="7" fillId="0" borderId="53" xfId="0" applyNumberFormat="1" applyFont="1" applyFill="1" applyBorder="1" applyAlignment="1" applyProtection="1">
      <alignment horizontal="center"/>
    </xf>
    <xf numFmtId="3" fontId="2" fillId="0" borderId="0" xfId="0" applyNumberFormat="1" applyFont="1" applyFill="1"/>
    <xf numFmtId="164" fontId="5" fillId="0" borderId="52" xfId="0" applyNumberFormat="1" applyFont="1" applyFill="1" applyBorder="1" applyAlignment="1" applyProtection="1">
      <alignment horizontal="left"/>
    </xf>
    <xf numFmtId="3" fontId="5" fillId="0" borderId="74" xfId="0" applyNumberFormat="1" applyFont="1" applyFill="1" applyBorder="1" applyAlignment="1" applyProtection="1">
      <alignment horizontal="right"/>
    </xf>
    <xf numFmtId="3" fontId="19" fillId="0" borderId="6" xfId="0" applyNumberFormat="1" applyFont="1" applyFill="1" applyBorder="1" applyAlignment="1" applyProtection="1">
      <alignment horizontal="right"/>
    </xf>
    <xf numFmtId="3" fontId="19" fillId="0" borderId="28" xfId="0" applyNumberFormat="1" applyFont="1" applyFill="1" applyBorder="1" applyAlignment="1" applyProtection="1">
      <alignment horizontal="right"/>
    </xf>
    <xf numFmtId="0" fontId="8" fillId="0" borderId="0" xfId="0" applyFont="1" applyBorder="1"/>
    <xf numFmtId="3" fontId="7" fillId="0" borderId="0" xfId="0" applyNumberFormat="1" applyFont="1" applyFill="1" applyBorder="1" applyAlignment="1" applyProtection="1">
      <alignment horizontal="right"/>
    </xf>
    <xf numFmtId="3" fontId="8" fillId="0" borderId="0" xfId="0" applyNumberFormat="1" applyFont="1" applyBorder="1"/>
    <xf numFmtId="166" fontId="3" fillId="0" borderId="56" xfId="0" applyNumberFormat="1" applyFont="1" applyFill="1" applyBorder="1" applyAlignment="1">
      <alignment horizontal="centerContinuous"/>
    </xf>
    <xf numFmtId="166" fontId="7" fillId="0" borderId="53" xfId="0" applyNumberFormat="1" applyFont="1" applyFill="1" applyBorder="1" applyAlignment="1">
      <alignment horizontal="right"/>
    </xf>
    <xf numFmtId="166" fontId="5" fillId="0" borderId="51" xfId="0" applyNumberFormat="1" applyFont="1" applyFill="1" applyBorder="1" applyAlignment="1" applyProtection="1">
      <alignment horizontal="right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/>
    </xf>
    <xf numFmtId="0" fontId="8" fillId="0" borderId="23" xfId="0" applyFont="1" applyFill="1" applyBorder="1" applyAlignment="1"/>
    <xf numFmtId="0" fontId="8" fillId="0" borderId="48" xfId="0" applyFont="1" applyFill="1" applyBorder="1" applyAlignme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Nedefinován" xfId="1"/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23"/>
  <sheetViews>
    <sheetView showZeros="0" tabSelected="1" zoomScale="75" zoomScaleNormal="75" zoomScaleSheetLayoutView="50" workbookViewId="0">
      <pane xSplit="2" topLeftCell="C1" activePane="topRight" state="frozen"/>
      <selection pane="topRight" activeCell="A3" sqref="A3"/>
    </sheetView>
  </sheetViews>
  <sheetFormatPr defaultRowHeight="15.75"/>
  <cols>
    <col min="1" max="1" width="3.6640625" style="4" bestFit="1" customWidth="1"/>
    <col min="2" max="2" width="15.44140625" style="4" customWidth="1"/>
    <col min="3" max="3" width="0.5546875" style="5" hidden="1" customWidth="1"/>
    <col min="4" max="4" width="66.6640625" style="5" customWidth="1"/>
    <col min="5" max="5" width="18.109375" style="5" customWidth="1"/>
    <col min="6" max="6" width="18" style="5" customWidth="1"/>
    <col min="7" max="7" width="18.109375" style="5" customWidth="1"/>
    <col min="8" max="8" width="12.44140625" style="149" customWidth="1"/>
    <col min="9" max="9" width="12.33203125" style="149" customWidth="1"/>
    <col min="10" max="10" width="11.44140625" style="7" hidden="1" customWidth="1"/>
    <col min="11" max="11" width="11.77734375" style="7" hidden="1" customWidth="1"/>
    <col min="12" max="12" width="11.88671875" style="7" hidden="1" customWidth="1"/>
    <col min="13" max="14" width="8.44140625" style="178" hidden="1" customWidth="1"/>
    <col min="15" max="15" width="12" style="7" hidden="1" customWidth="1"/>
    <col min="16" max="16" width="11.77734375" style="7" hidden="1" customWidth="1"/>
    <col min="17" max="17" width="11.88671875" style="7" hidden="1" customWidth="1"/>
    <col min="18" max="19" width="8.44140625" style="178" hidden="1" customWidth="1"/>
    <col min="20" max="20" width="10.21875" style="158" bestFit="1" customWidth="1"/>
    <col min="21" max="21" width="9.77734375" style="158" bestFit="1" customWidth="1"/>
    <col min="22" max="16384" width="8.88671875" style="4"/>
  </cols>
  <sheetData>
    <row r="1" spans="1:21" ht="22.5">
      <c r="A1" s="269" t="s">
        <v>67</v>
      </c>
      <c r="B1" s="157"/>
      <c r="C1" s="157"/>
      <c r="D1" s="157"/>
      <c r="E1" s="157"/>
      <c r="F1" s="157"/>
      <c r="G1" s="157"/>
      <c r="H1" s="160"/>
      <c r="I1" s="160"/>
      <c r="J1" s="3"/>
      <c r="K1" s="3"/>
      <c r="L1" s="3"/>
      <c r="M1" s="177"/>
      <c r="N1" s="177"/>
      <c r="O1" s="3"/>
      <c r="P1" s="3"/>
      <c r="Q1" s="3"/>
      <c r="R1" s="177"/>
      <c r="S1" s="177"/>
      <c r="U1" s="4"/>
    </row>
    <row r="2" spans="1:21" ht="20.25">
      <c r="A2" s="76" t="s">
        <v>216</v>
      </c>
      <c r="B2" s="2"/>
      <c r="C2" s="8"/>
      <c r="D2" s="8"/>
      <c r="E2" s="8"/>
      <c r="F2" s="8"/>
      <c r="G2" s="8"/>
      <c r="H2" s="161"/>
      <c r="I2" s="161"/>
      <c r="J2" s="3"/>
      <c r="K2" s="3"/>
      <c r="L2" s="3"/>
      <c r="M2" s="177"/>
      <c r="N2" s="177"/>
      <c r="O2" s="3"/>
      <c r="P2" s="3"/>
      <c r="Q2" s="3"/>
      <c r="R2" s="177"/>
      <c r="S2" s="177"/>
      <c r="U2" s="4"/>
    </row>
    <row r="3" spans="1:21" ht="11.25" customHeight="1" thickBot="1">
      <c r="A3" s="2"/>
      <c r="B3" s="2"/>
      <c r="C3" s="8"/>
      <c r="D3" s="8"/>
      <c r="E3" s="8"/>
      <c r="F3" s="8"/>
      <c r="G3" s="8"/>
      <c r="H3" s="161"/>
      <c r="I3" s="161"/>
      <c r="N3" s="262"/>
      <c r="U3" s="4"/>
    </row>
    <row r="4" spans="1:21" ht="16.5" thickBot="1">
      <c r="A4" s="24"/>
      <c r="B4" s="11" t="s">
        <v>39</v>
      </c>
      <c r="C4" s="92"/>
      <c r="D4" s="92"/>
      <c r="E4" s="103" t="s">
        <v>62</v>
      </c>
      <c r="F4" s="58"/>
      <c r="G4" s="58"/>
      <c r="H4" s="143"/>
      <c r="I4" s="162"/>
      <c r="J4" s="103" t="s">
        <v>63</v>
      </c>
      <c r="K4" s="58"/>
      <c r="L4" s="58"/>
      <c r="M4" s="143"/>
      <c r="N4" s="162"/>
      <c r="O4" s="58" t="s">
        <v>40</v>
      </c>
      <c r="P4" s="58"/>
      <c r="Q4" s="59"/>
      <c r="R4" s="153"/>
      <c r="S4" s="153"/>
      <c r="U4" s="4"/>
    </row>
    <row r="5" spans="1:21">
      <c r="A5" s="25" t="s">
        <v>218</v>
      </c>
      <c r="B5" s="10" t="s">
        <v>38</v>
      </c>
      <c r="C5" s="93" t="s">
        <v>2</v>
      </c>
      <c r="D5" s="93" t="s">
        <v>2</v>
      </c>
      <c r="E5" s="104" t="s">
        <v>52</v>
      </c>
      <c r="F5" s="34" t="s">
        <v>53</v>
      </c>
      <c r="G5" s="300" t="s">
        <v>23</v>
      </c>
      <c r="H5" s="144" t="s">
        <v>0</v>
      </c>
      <c r="I5" s="163" t="s">
        <v>0</v>
      </c>
      <c r="J5" s="104" t="s">
        <v>52</v>
      </c>
      <c r="K5" s="34" t="s">
        <v>53</v>
      </c>
      <c r="L5" s="300" t="s">
        <v>23</v>
      </c>
      <c r="M5" s="144" t="s">
        <v>0</v>
      </c>
      <c r="N5" s="163" t="s">
        <v>0</v>
      </c>
      <c r="O5" s="80" t="s">
        <v>52</v>
      </c>
      <c r="P5" s="34" t="s">
        <v>53</v>
      </c>
      <c r="Q5" s="300" t="s">
        <v>23</v>
      </c>
      <c r="R5" s="144" t="s">
        <v>0</v>
      </c>
      <c r="S5" s="144" t="s">
        <v>0</v>
      </c>
      <c r="U5" s="4"/>
    </row>
    <row r="6" spans="1:21" ht="16.5" thickBot="1">
      <c r="A6" s="42"/>
      <c r="B6" s="31" t="s">
        <v>37</v>
      </c>
      <c r="C6" s="94"/>
      <c r="D6" s="94"/>
      <c r="E6" s="105" t="s">
        <v>22</v>
      </c>
      <c r="F6" s="43" t="s">
        <v>22</v>
      </c>
      <c r="G6" s="301"/>
      <c r="H6" s="145" t="s">
        <v>65</v>
      </c>
      <c r="I6" s="164" t="s">
        <v>66</v>
      </c>
      <c r="J6" s="105" t="s">
        <v>22</v>
      </c>
      <c r="K6" s="43" t="s">
        <v>22</v>
      </c>
      <c r="L6" s="301"/>
      <c r="M6" s="145" t="s">
        <v>65</v>
      </c>
      <c r="N6" s="164" t="s">
        <v>66</v>
      </c>
      <c r="O6" s="81" t="s">
        <v>22</v>
      </c>
      <c r="P6" s="43" t="s">
        <v>22</v>
      </c>
      <c r="Q6" s="301"/>
      <c r="R6" s="145" t="s">
        <v>65</v>
      </c>
      <c r="S6" s="145" t="s">
        <v>66</v>
      </c>
      <c r="U6" s="4"/>
    </row>
    <row r="7" spans="1:21" ht="18.75">
      <c r="A7" s="26">
        <v>1</v>
      </c>
      <c r="B7" s="14">
        <v>1111</v>
      </c>
      <c r="C7" s="95" t="s">
        <v>68</v>
      </c>
      <c r="D7" s="95" t="s">
        <v>68</v>
      </c>
      <c r="E7" s="109">
        <f t="shared" ref="E7:G20" si="0">+J7+O7</f>
        <v>1530000</v>
      </c>
      <c r="F7" s="61">
        <f t="shared" si="0"/>
        <v>1530000</v>
      </c>
      <c r="G7" s="61">
        <f t="shared" si="0"/>
        <v>1615923</v>
      </c>
      <c r="H7" s="135">
        <f t="shared" ref="H7:H13" si="1">+G7/E7*100</f>
        <v>105.61588235294117</v>
      </c>
      <c r="I7" s="165">
        <f t="shared" ref="I7:I13" si="2">+G7/F7*100</f>
        <v>105.61588235294117</v>
      </c>
      <c r="J7" s="106">
        <v>1530000</v>
      </c>
      <c r="K7" s="60">
        <v>1530000</v>
      </c>
      <c r="L7" s="60">
        <v>1615923</v>
      </c>
      <c r="M7" s="135">
        <f t="shared" ref="M7:M13" si="3">+L7/J7*100</f>
        <v>105.61588235294117</v>
      </c>
      <c r="N7" s="165">
        <f t="shared" ref="N7:N13" si="4">+L7/K7*100</f>
        <v>105.61588235294117</v>
      </c>
      <c r="O7" s="82"/>
      <c r="P7" s="60"/>
      <c r="Q7" s="60"/>
      <c r="R7" s="135"/>
      <c r="S7" s="135"/>
      <c r="U7" s="4"/>
    </row>
    <row r="8" spans="1:21" ht="18.75">
      <c r="A8" s="13">
        <v>2</v>
      </c>
      <c r="B8" s="9">
        <v>1112</v>
      </c>
      <c r="C8" s="56" t="s">
        <v>3</v>
      </c>
      <c r="D8" s="56" t="s">
        <v>3</v>
      </c>
      <c r="E8" s="109">
        <f t="shared" si="0"/>
        <v>70000</v>
      </c>
      <c r="F8" s="61">
        <f t="shared" si="0"/>
        <v>70000</v>
      </c>
      <c r="G8" s="61">
        <f t="shared" si="0"/>
        <v>112903</v>
      </c>
      <c r="H8" s="135">
        <f t="shared" si="1"/>
        <v>161.29</v>
      </c>
      <c r="I8" s="165">
        <f t="shared" si="2"/>
        <v>161.29</v>
      </c>
      <c r="J8" s="106">
        <v>70000</v>
      </c>
      <c r="K8" s="60">
        <v>70000</v>
      </c>
      <c r="L8" s="60">
        <v>112903</v>
      </c>
      <c r="M8" s="138">
        <f t="shared" si="3"/>
        <v>161.29</v>
      </c>
      <c r="N8" s="167">
        <f t="shared" si="4"/>
        <v>161.29</v>
      </c>
      <c r="O8" s="83"/>
      <c r="P8" s="61"/>
      <c r="Q8" s="61"/>
      <c r="R8" s="138"/>
      <c r="S8" s="138"/>
      <c r="U8" s="4"/>
    </row>
    <row r="9" spans="1:21" ht="18.75">
      <c r="A9" s="26">
        <v>3</v>
      </c>
      <c r="B9" s="9">
        <v>1113</v>
      </c>
      <c r="C9" s="56" t="s">
        <v>58</v>
      </c>
      <c r="D9" s="56" t="s">
        <v>58</v>
      </c>
      <c r="E9" s="109">
        <f t="shared" si="0"/>
        <v>150000</v>
      </c>
      <c r="F9" s="61">
        <f t="shared" si="0"/>
        <v>150000</v>
      </c>
      <c r="G9" s="61">
        <f t="shared" si="0"/>
        <v>156113</v>
      </c>
      <c r="H9" s="135">
        <f t="shared" si="1"/>
        <v>104.07533333333335</v>
      </c>
      <c r="I9" s="165">
        <f t="shared" si="2"/>
        <v>104.07533333333335</v>
      </c>
      <c r="J9" s="106">
        <v>150000</v>
      </c>
      <c r="K9" s="60">
        <v>150000</v>
      </c>
      <c r="L9" s="60">
        <v>156113</v>
      </c>
      <c r="M9" s="138">
        <f t="shared" si="3"/>
        <v>104.07533333333335</v>
      </c>
      <c r="N9" s="167">
        <f t="shared" si="4"/>
        <v>104.07533333333335</v>
      </c>
      <c r="O9" s="83"/>
      <c r="P9" s="61"/>
      <c r="Q9" s="61"/>
      <c r="R9" s="138"/>
      <c r="S9" s="138"/>
      <c r="U9" s="4"/>
    </row>
    <row r="10" spans="1:21" ht="18.75">
      <c r="A10" s="13">
        <v>4</v>
      </c>
      <c r="B10" s="9">
        <v>1121</v>
      </c>
      <c r="C10" s="56" t="s">
        <v>4</v>
      </c>
      <c r="D10" s="56" t="s">
        <v>4</v>
      </c>
      <c r="E10" s="109">
        <f t="shared" si="0"/>
        <v>1430000</v>
      </c>
      <c r="F10" s="61">
        <f t="shared" si="0"/>
        <v>1430000</v>
      </c>
      <c r="G10" s="61">
        <f t="shared" si="0"/>
        <v>1546119</v>
      </c>
      <c r="H10" s="135">
        <f t="shared" si="1"/>
        <v>108.1202097902098</v>
      </c>
      <c r="I10" s="165">
        <f t="shared" si="2"/>
        <v>108.1202097902098</v>
      </c>
      <c r="J10" s="106">
        <v>1430000</v>
      </c>
      <c r="K10" s="60">
        <v>1430000</v>
      </c>
      <c r="L10" s="60">
        <v>1546119</v>
      </c>
      <c r="M10" s="138">
        <f t="shared" si="3"/>
        <v>108.1202097902098</v>
      </c>
      <c r="N10" s="167">
        <f t="shared" si="4"/>
        <v>108.1202097902098</v>
      </c>
      <c r="O10" s="83"/>
      <c r="P10" s="61"/>
      <c r="Q10" s="61"/>
      <c r="R10" s="138"/>
      <c r="S10" s="138"/>
      <c r="U10" s="4"/>
    </row>
    <row r="11" spans="1:21" ht="18.75">
      <c r="A11" s="26">
        <v>5</v>
      </c>
      <c r="B11" s="9">
        <v>1211</v>
      </c>
      <c r="C11" s="56" t="s">
        <v>59</v>
      </c>
      <c r="D11" s="56" t="s">
        <v>59</v>
      </c>
      <c r="E11" s="109">
        <f t="shared" si="0"/>
        <v>3140000</v>
      </c>
      <c r="F11" s="61">
        <f t="shared" si="0"/>
        <v>3140000</v>
      </c>
      <c r="G11" s="61">
        <f t="shared" si="0"/>
        <v>3285204</v>
      </c>
      <c r="H11" s="135">
        <f t="shared" si="1"/>
        <v>104.62433121019107</v>
      </c>
      <c r="I11" s="165">
        <f t="shared" si="2"/>
        <v>104.62433121019107</v>
      </c>
      <c r="J11" s="109">
        <v>3140000</v>
      </c>
      <c r="K11" s="61">
        <v>3140000</v>
      </c>
      <c r="L11" s="60">
        <v>3285204</v>
      </c>
      <c r="M11" s="138">
        <f t="shared" si="3"/>
        <v>104.62433121019107</v>
      </c>
      <c r="N11" s="167">
        <f t="shared" si="4"/>
        <v>104.62433121019107</v>
      </c>
      <c r="O11" s="83"/>
      <c r="P11" s="61"/>
      <c r="Q11" s="61"/>
      <c r="R11" s="138"/>
      <c r="S11" s="138"/>
      <c r="U11" s="4"/>
    </row>
    <row r="12" spans="1:21" ht="18.75">
      <c r="A12" s="13">
        <v>6</v>
      </c>
      <c r="B12" s="9">
        <v>1511</v>
      </c>
      <c r="C12" s="55" t="s">
        <v>5</v>
      </c>
      <c r="D12" s="55" t="s">
        <v>5</v>
      </c>
      <c r="E12" s="109">
        <f t="shared" si="0"/>
        <v>220000</v>
      </c>
      <c r="F12" s="61">
        <f t="shared" si="0"/>
        <v>220000</v>
      </c>
      <c r="G12" s="61">
        <f t="shared" si="0"/>
        <v>227460</v>
      </c>
      <c r="H12" s="135">
        <f t="shared" si="1"/>
        <v>103.39090909090909</v>
      </c>
      <c r="I12" s="165">
        <f t="shared" si="2"/>
        <v>103.39090909090909</v>
      </c>
      <c r="J12" s="109">
        <v>220000</v>
      </c>
      <c r="K12" s="61">
        <v>220000</v>
      </c>
      <c r="L12" s="60">
        <v>227460</v>
      </c>
      <c r="M12" s="138">
        <f t="shared" si="3"/>
        <v>103.39090909090909</v>
      </c>
      <c r="N12" s="167">
        <f t="shared" si="4"/>
        <v>103.39090909090909</v>
      </c>
      <c r="O12" s="83"/>
      <c r="P12" s="61"/>
      <c r="Q12" s="61"/>
      <c r="R12" s="138"/>
      <c r="S12" s="138"/>
      <c r="U12" s="4"/>
    </row>
    <row r="13" spans="1:21" ht="19.5" thickBot="1">
      <c r="A13" s="26">
        <v>7</v>
      </c>
      <c r="B13" s="12"/>
      <c r="C13" s="96" t="s">
        <v>170</v>
      </c>
      <c r="D13" s="96" t="s">
        <v>60</v>
      </c>
      <c r="E13" s="107">
        <f>SUM(E7:E12)</f>
        <v>6540000</v>
      </c>
      <c r="F13" s="62">
        <f>SUM(F7:F12)</f>
        <v>6540000</v>
      </c>
      <c r="G13" s="62">
        <f>SUM(G7:G12)</f>
        <v>6943722</v>
      </c>
      <c r="H13" s="156">
        <f t="shared" si="1"/>
        <v>106.17311926605504</v>
      </c>
      <c r="I13" s="166">
        <f t="shared" si="2"/>
        <v>106.17311926605504</v>
      </c>
      <c r="J13" s="107">
        <f>SUM(J7:J12)</f>
        <v>6540000</v>
      </c>
      <c r="K13" s="62">
        <f>SUM(K7:K12)</f>
        <v>6540000</v>
      </c>
      <c r="L13" s="62">
        <f>SUM(L7:L12)</f>
        <v>6943722</v>
      </c>
      <c r="M13" s="156">
        <f t="shared" si="3"/>
        <v>106.17311926605504</v>
      </c>
      <c r="N13" s="166">
        <f t="shared" si="4"/>
        <v>106.17311926605504</v>
      </c>
      <c r="O13" s="84"/>
      <c r="P13" s="84"/>
      <c r="Q13" s="62"/>
      <c r="R13" s="156"/>
      <c r="S13" s="156"/>
      <c r="T13" s="265"/>
      <c r="U13" s="4"/>
    </row>
    <row r="14" spans="1:21" ht="18.75">
      <c r="A14" s="13">
        <v>8</v>
      </c>
      <c r="B14" s="23">
        <v>1119</v>
      </c>
      <c r="C14" s="97" t="s">
        <v>70</v>
      </c>
      <c r="D14" s="97" t="s">
        <v>70</v>
      </c>
      <c r="E14" s="108"/>
      <c r="F14" s="70"/>
      <c r="G14" s="70">
        <f t="shared" si="0"/>
        <v>1</v>
      </c>
      <c r="H14" s="137"/>
      <c r="I14" s="165"/>
      <c r="J14" s="119"/>
      <c r="K14" s="68"/>
      <c r="L14" s="68">
        <v>1</v>
      </c>
      <c r="M14" s="135"/>
      <c r="N14" s="165"/>
      <c r="O14" s="85"/>
      <c r="P14" s="68"/>
      <c r="Q14" s="68"/>
      <c r="R14" s="147"/>
      <c r="S14" s="190"/>
      <c r="T14" s="265"/>
      <c r="U14" s="4"/>
    </row>
    <row r="15" spans="1:21" ht="18.75">
      <c r="A15" s="26">
        <v>9</v>
      </c>
      <c r="B15" s="9">
        <v>1122</v>
      </c>
      <c r="C15" s="56" t="s">
        <v>6</v>
      </c>
      <c r="D15" s="56" t="s">
        <v>6</v>
      </c>
      <c r="E15" s="106">
        <f t="shared" si="0"/>
        <v>59877</v>
      </c>
      <c r="F15" s="60">
        <f t="shared" si="0"/>
        <v>126548</v>
      </c>
      <c r="G15" s="60">
        <f t="shared" si="0"/>
        <v>126548</v>
      </c>
      <c r="H15" s="135">
        <f t="shared" ref="H15:H26" si="5">+G15/E15*100</f>
        <v>211.34659385072734</v>
      </c>
      <c r="I15" s="165">
        <f t="shared" ref="I15:I26" si="6">+G15/F15*100</f>
        <v>100</v>
      </c>
      <c r="J15" s="109"/>
      <c r="K15" s="61">
        <v>3203</v>
      </c>
      <c r="L15" s="61">
        <f>372+2831</f>
        <v>3203</v>
      </c>
      <c r="M15" s="138"/>
      <c r="N15" s="167">
        <f t="shared" ref="N15:N42" si="7">+L15/K15*100</f>
        <v>100</v>
      </c>
      <c r="O15" s="83">
        <v>59877</v>
      </c>
      <c r="P15" s="83">
        <v>123345</v>
      </c>
      <c r="Q15" s="61">
        <v>123345</v>
      </c>
      <c r="R15" s="138">
        <f t="shared" ref="R15:R21" si="8">+Q15/O15*100</f>
        <v>205.99729445362996</v>
      </c>
      <c r="S15" s="138">
        <f t="shared" ref="S15:S27" si="9">+Q15/P15*100</f>
        <v>100</v>
      </c>
      <c r="T15" s="265"/>
      <c r="U15" s="4"/>
    </row>
    <row r="16" spans="1:21" ht="18.75">
      <c r="A16" s="13">
        <v>10</v>
      </c>
      <c r="B16" s="9">
        <v>1122</v>
      </c>
      <c r="C16" s="56" t="s">
        <v>71</v>
      </c>
      <c r="D16" s="56" t="s">
        <v>71</v>
      </c>
      <c r="E16" s="109">
        <f t="shared" si="0"/>
        <v>360030</v>
      </c>
      <c r="F16" s="61">
        <f t="shared" si="0"/>
        <v>319693</v>
      </c>
      <c r="G16" s="60">
        <f t="shared" si="0"/>
        <v>319693</v>
      </c>
      <c r="H16" s="135">
        <f>+G16/E16*100</f>
        <v>88.79621142682555</v>
      </c>
      <c r="I16" s="165">
        <f>+G16/F16*100</f>
        <v>100</v>
      </c>
      <c r="J16" s="109">
        <v>350000</v>
      </c>
      <c r="K16" s="61">
        <v>294186</v>
      </c>
      <c r="L16" s="61">
        <v>294186</v>
      </c>
      <c r="M16" s="138">
        <f>+L16/J16*100</f>
        <v>84.053142857142859</v>
      </c>
      <c r="N16" s="167">
        <f t="shared" si="7"/>
        <v>100</v>
      </c>
      <c r="O16" s="83">
        <v>10030</v>
      </c>
      <c r="P16" s="83">
        <v>25507</v>
      </c>
      <c r="Q16" s="61">
        <v>25507</v>
      </c>
      <c r="R16" s="138">
        <f t="shared" si="8"/>
        <v>254.30707876370886</v>
      </c>
      <c r="S16" s="138">
        <f t="shared" si="9"/>
        <v>100</v>
      </c>
      <c r="T16" s="266"/>
      <c r="U16" s="4"/>
    </row>
    <row r="17" spans="1:21" ht="18.75">
      <c r="A17" s="26">
        <v>11</v>
      </c>
      <c r="B17" s="15" t="s">
        <v>30</v>
      </c>
      <c r="C17" s="98" t="s">
        <v>69</v>
      </c>
      <c r="D17" s="98" t="s">
        <v>69</v>
      </c>
      <c r="E17" s="110">
        <f t="shared" si="0"/>
        <v>903</v>
      </c>
      <c r="F17" s="63">
        <f t="shared" si="0"/>
        <v>904</v>
      </c>
      <c r="G17" s="60">
        <f t="shared" si="0"/>
        <v>1810</v>
      </c>
      <c r="H17" s="139">
        <f t="shared" si="5"/>
        <v>200.44296788482833</v>
      </c>
      <c r="I17" s="165">
        <f t="shared" si="6"/>
        <v>200.22123893805309</v>
      </c>
      <c r="J17" s="110">
        <v>850</v>
      </c>
      <c r="K17" s="63">
        <v>850</v>
      </c>
      <c r="L17" s="63">
        <v>1810</v>
      </c>
      <c r="M17" s="138">
        <f>+L17/J17*100</f>
        <v>212.94117647058823</v>
      </c>
      <c r="N17" s="167">
        <f t="shared" si="7"/>
        <v>212.94117647058823</v>
      </c>
      <c r="O17" s="86">
        <v>53</v>
      </c>
      <c r="P17" s="86">
        <v>54</v>
      </c>
      <c r="Q17" s="63"/>
      <c r="R17" s="139">
        <f t="shared" si="8"/>
        <v>0</v>
      </c>
      <c r="S17" s="139">
        <f t="shared" si="9"/>
        <v>0</v>
      </c>
      <c r="T17" s="267"/>
      <c r="U17" s="4"/>
    </row>
    <row r="18" spans="1:21" ht="18.75">
      <c r="A18" s="13">
        <v>12</v>
      </c>
      <c r="B18" s="16" t="s">
        <v>31</v>
      </c>
      <c r="C18" s="55" t="s">
        <v>72</v>
      </c>
      <c r="D18" s="55" t="s">
        <v>72</v>
      </c>
      <c r="E18" s="109">
        <f t="shared" si="0"/>
        <v>349753</v>
      </c>
      <c r="F18" s="61">
        <f t="shared" si="0"/>
        <v>359756</v>
      </c>
      <c r="G18" s="61">
        <f t="shared" si="0"/>
        <v>340700</v>
      </c>
      <c r="H18" s="138">
        <f t="shared" si="5"/>
        <v>97.411601901913642</v>
      </c>
      <c r="I18" s="165">
        <f t="shared" si="6"/>
        <v>94.703076529647873</v>
      </c>
      <c r="J18" s="109">
        <v>265600</v>
      </c>
      <c r="K18" s="61">
        <v>265600</v>
      </c>
      <c r="L18" s="61">
        <v>252334</v>
      </c>
      <c r="M18" s="138">
        <f>+L18/J18*100</f>
        <v>95.005271084337352</v>
      </c>
      <c r="N18" s="167">
        <f t="shared" si="7"/>
        <v>95.005271084337352</v>
      </c>
      <c r="O18" s="83">
        <v>84153</v>
      </c>
      <c r="P18" s="83">
        <v>94156</v>
      </c>
      <c r="Q18" s="61">
        <v>88366</v>
      </c>
      <c r="R18" s="138">
        <f t="shared" si="8"/>
        <v>105.00635746794529</v>
      </c>
      <c r="S18" s="138">
        <f t="shared" si="9"/>
        <v>93.850630867921325</v>
      </c>
      <c r="T18" s="267"/>
      <c r="U18" s="4"/>
    </row>
    <row r="19" spans="1:21" ht="18.75">
      <c r="A19" s="26">
        <v>13</v>
      </c>
      <c r="B19" s="19" t="s">
        <v>81</v>
      </c>
      <c r="C19" s="55" t="s">
        <v>82</v>
      </c>
      <c r="D19" s="55" t="s">
        <v>82</v>
      </c>
      <c r="E19" s="109">
        <f t="shared" si="0"/>
        <v>240040</v>
      </c>
      <c r="F19" s="61">
        <f t="shared" si="0"/>
        <v>240060</v>
      </c>
      <c r="G19" s="61">
        <f t="shared" si="0"/>
        <v>268022</v>
      </c>
      <c r="H19" s="138">
        <f t="shared" si="5"/>
        <v>111.657223796034</v>
      </c>
      <c r="I19" s="165">
        <f t="shared" si="6"/>
        <v>111.64792135299508</v>
      </c>
      <c r="J19" s="119">
        <v>240000</v>
      </c>
      <c r="K19" s="68">
        <v>240000</v>
      </c>
      <c r="L19" s="68">
        <v>267953</v>
      </c>
      <c r="M19" s="138">
        <f>+L19/J19*100</f>
        <v>111.64708333333333</v>
      </c>
      <c r="N19" s="167">
        <f t="shared" si="7"/>
        <v>111.64708333333333</v>
      </c>
      <c r="O19" s="85">
        <v>40</v>
      </c>
      <c r="P19" s="85">
        <v>60</v>
      </c>
      <c r="Q19" s="68">
        <v>69</v>
      </c>
      <c r="R19" s="138">
        <f t="shared" si="8"/>
        <v>172.5</v>
      </c>
      <c r="S19" s="138">
        <f t="shared" si="9"/>
        <v>114.99999999999999</v>
      </c>
      <c r="T19" s="265"/>
      <c r="U19" s="4"/>
    </row>
    <row r="20" spans="1:21" ht="18.75">
      <c r="A20" s="13">
        <v>14</v>
      </c>
      <c r="B20" s="19">
        <v>1361</v>
      </c>
      <c r="C20" s="55" t="s">
        <v>7</v>
      </c>
      <c r="D20" s="55" t="s">
        <v>7</v>
      </c>
      <c r="E20" s="109">
        <f t="shared" si="0"/>
        <v>72457</v>
      </c>
      <c r="F20" s="61">
        <f t="shared" si="0"/>
        <v>77494</v>
      </c>
      <c r="G20" s="61">
        <f t="shared" si="0"/>
        <v>81401</v>
      </c>
      <c r="H20" s="138">
        <f t="shared" si="5"/>
        <v>112.34387291773051</v>
      </c>
      <c r="I20" s="165">
        <f t="shared" si="6"/>
        <v>105.04168064624358</v>
      </c>
      <c r="J20" s="119">
        <v>65205</v>
      </c>
      <c r="K20" s="68">
        <v>65205</v>
      </c>
      <c r="L20" s="68">
        <v>66182</v>
      </c>
      <c r="M20" s="138">
        <f t="shared" ref="M20:M26" si="10">+L20/J20*100</f>
        <v>101.49835135342383</v>
      </c>
      <c r="N20" s="174">
        <f t="shared" si="7"/>
        <v>101.49835135342383</v>
      </c>
      <c r="O20" s="85">
        <v>7252</v>
      </c>
      <c r="P20" s="85">
        <v>12289</v>
      </c>
      <c r="Q20" s="68">
        <v>15219</v>
      </c>
      <c r="R20" s="138">
        <f t="shared" si="8"/>
        <v>209.85934914506342</v>
      </c>
      <c r="S20" s="138">
        <f t="shared" si="9"/>
        <v>123.84246073724469</v>
      </c>
      <c r="T20" s="266"/>
      <c r="U20" s="4"/>
    </row>
    <row r="21" spans="1:21" ht="19.5" thickBot="1">
      <c r="A21" s="26">
        <v>15</v>
      </c>
      <c r="B21" s="17" t="s">
        <v>42</v>
      </c>
      <c r="C21" s="99" t="s">
        <v>171</v>
      </c>
      <c r="D21" s="99" t="s">
        <v>83</v>
      </c>
      <c r="E21" s="111">
        <f>SUM(E13:E20)</f>
        <v>7623060</v>
      </c>
      <c r="F21" s="64">
        <f>SUM(F13:F20)</f>
        <v>7664455</v>
      </c>
      <c r="G21" s="64">
        <f>SUM(G13:G20)</f>
        <v>8081897</v>
      </c>
      <c r="H21" s="136">
        <f t="shared" si="5"/>
        <v>106.01906583445493</v>
      </c>
      <c r="I21" s="168">
        <f t="shared" si="6"/>
        <v>105.44646683945564</v>
      </c>
      <c r="J21" s="111">
        <f>SUM(J13:J20)</f>
        <v>7461655</v>
      </c>
      <c r="K21" s="64">
        <f>SUM(K13:K20)</f>
        <v>7409044</v>
      </c>
      <c r="L21" s="64">
        <f>SUM(L13:L20)</f>
        <v>7829391</v>
      </c>
      <c r="M21" s="136">
        <f t="shared" si="10"/>
        <v>104.92834364494203</v>
      </c>
      <c r="N21" s="168">
        <f t="shared" si="7"/>
        <v>105.67343101215218</v>
      </c>
      <c r="O21" s="87">
        <f>SUM(O13:O20)</f>
        <v>161405</v>
      </c>
      <c r="P21" s="64">
        <f>SUM(P13:P20)</f>
        <v>255411</v>
      </c>
      <c r="Q21" s="64">
        <f>SUM(Q13:Q20)</f>
        <v>252506</v>
      </c>
      <c r="R21" s="136">
        <f t="shared" si="8"/>
        <v>156.44248939004368</v>
      </c>
      <c r="S21" s="136">
        <f t="shared" si="9"/>
        <v>98.862617506685297</v>
      </c>
      <c r="T21" s="265"/>
      <c r="U21" s="4"/>
    </row>
    <row r="22" spans="1:21" ht="18.75">
      <c r="A22" s="13">
        <v>16</v>
      </c>
      <c r="B22" s="18" t="s">
        <v>32</v>
      </c>
      <c r="C22" s="100" t="s">
        <v>8</v>
      </c>
      <c r="D22" s="100" t="s">
        <v>8</v>
      </c>
      <c r="E22" s="106">
        <f t="shared" ref="E22:G26" si="11">+J22+O22</f>
        <v>51368</v>
      </c>
      <c r="F22" s="60">
        <f t="shared" si="11"/>
        <v>50756</v>
      </c>
      <c r="G22" s="60">
        <f t="shared" si="11"/>
        <v>53345</v>
      </c>
      <c r="H22" s="135">
        <f t="shared" si="5"/>
        <v>103.84869957950475</v>
      </c>
      <c r="I22" s="165">
        <f t="shared" si="6"/>
        <v>105.1008747734258</v>
      </c>
      <c r="J22" s="106">
        <v>17030</v>
      </c>
      <c r="K22" s="60">
        <v>17969</v>
      </c>
      <c r="L22" s="60">
        <v>20230</v>
      </c>
      <c r="M22" s="135">
        <f t="shared" si="10"/>
        <v>118.79036993540811</v>
      </c>
      <c r="N22" s="165">
        <f t="shared" si="7"/>
        <v>112.58278145695364</v>
      </c>
      <c r="O22" s="82">
        <v>34338</v>
      </c>
      <c r="P22" s="82">
        <v>32787</v>
      </c>
      <c r="Q22" s="60">
        <v>33115</v>
      </c>
      <c r="R22" s="135">
        <f>+Q22/O22*100</f>
        <v>96.438348185683495</v>
      </c>
      <c r="S22" s="135">
        <f t="shared" si="9"/>
        <v>101.00039649861226</v>
      </c>
      <c r="U22" s="4"/>
    </row>
    <row r="23" spans="1:21" ht="18.75">
      <c r="A23" s="26">
        <v>17</v>
      </c>
      <c r="B23" s="18" t="s">
        <v>33</v>
      </c>
      <c r="C23" s="100" t="s">
        <v>64</v>
      </c>
      <c r="D23" s="100" t="s">
        <v>64</v>
      </c>
      <c r="E23" s="106">
        <f t="shared" si="11"/>
        <v>121752</v>
      </c>
      <c r="F23" s="60">
        <f t="shared" si="11"/>
        <v>142758</v>
      </c>
      <c r="G23" s="60">
        <f t="shared" si="11"/>
        <v>142910</v>
      </c>
      <c r="H23" s="135">
        <f t="shared" si="5"/>
        <v>117.37794861686051</v>
      </c>
      <c r="I23" s="165">
        <f t="shared" si="6"/>
        <v>100.10647389288165</v>
      </c>
      <c r="J23" s="106">
        <v>118215</v>
      </c>
      <c r="K23" s="60">
        <v>131904</v>
      </c>
      <c r="L23" s="60">
        <v>132672</v>
      </c>
      <c r="M23" s="138">
        <f t="shared" si="10"/>
        <v>112.22941251110265</v>
      </c>
      <c r="N23" s="167">
        <f t="shared" si="7"/>
        <v>100.58224163027656</v>
      </c>
      <c r="O23" s="82">
        <v>3537</v>
      </c>
      <c r="P23" s="82">
        <v>10854</v>
      </c>
      <c r="Q23" s="60">
        <v>10238</v>
      </c>
      <c r="R23" s="139">
        <f>+Q23/O23*100</f>
        <v>289.45433983601919</v>
      </c>
      <c r="S23" s="135">
        <f t="shared" si="9"/>
        <v>94.324672931638105</v>
      </c>
      <c r="U23" s="4"/>
    </row>
    <row r="24" spans="1:21" ht="18.75">
      <c r="A24" s="13">
        <v>18</v>
      </c>
      <c r="B24" s="15" t="s">
        <v>34</v>
      </c>
      <c r="C24" s="98" t="s">
        <v>9</v>
      </c>
      <c r="D24" s="98" t="s">
        <v>9</v>
      </c>
      <c r="E24" s="110">
        <f t="shared" si="11"/>
        <v>261186</v>
      </c>
      <c r="F24" s="63">
        <f t="shared" si="11"/>
        <v>264943</v>
      </c>
      <c r="G24" s="63">
        <f t="shared" si="11"/>
        <v>260062</v>
      </c>
      <c r="H24" s="139">
        <f t="shared" si="5"/>
        <v>99.5696553414042</v>
      </c>
      <c r="I24" s="165">
        <f t="shared" si="6"/>
        <v>98.157716942889607</v>
      </c>
      <c r="J24" s="110">
        <v>174615</v>
      </c>
      <c r="K24" s="63">
        <v>174259</v>
      </c>
      <c r="L24" s="63">
        <v>171972</v>
      </c>
      <c r="M24" s="138">
        <f t="shared" si="10"/>
        <v>98.486384331243016</v>
      </c>
      <c r="N24" s="167">
        <f t="shared" si="7"/>
        <v>98.68758572010627</v>
      </c>
      <c r="O24" s="86">
        <v>86571</v>
      </c>
      <c r="P24" s="86">
        <v>90684</v>
      </c>
      <c r="Q24" s="63">
        <v>88090</v>
      </c>
      <c r="R24" s="139">
        <f>+Q24/O24*100</f>
        <v>101.75462914832912</v>
      </c>
      <c r="S24" s="135">
        <f t="shared" si="9"/>
        <v>97.139517445194301</v>
      </c>
      <c r="U24" s="4"/>
    </row>
    <row r="25" spans="1:21" ht="18.75">
      <c r="A25" s="26">
        <v>19</v>
      </c>
      <c r="B25" s="15" t="s">
        <v>115</v>
      </c>
      <c r="C25" s="98" t="s">
        <v>140</v>
      </c>
      <c r="D25" s="98" t="s">
        <v>140</v>
      </c>
      <c r="E25" s="197">
        <f t="shared" si="11"/>
        <v>52585</v>
      </c>
      <c r="F25" s="63">
        <f t="shared" si="11"/>
        <v>56465</v>
      </c>
      <c r="G25" s="86">
        <f t="shared" si="11"/>
        <v>68229</v>
      </c>
      <c r="H25" s="139">
        <f t="shared" si="5"/>
        <v>129.7499286868879</v>
      </c>
      <c r="I25" s="165">
        <f t="shared" si="6"/>
        <v>120.83414504560348</v>
      </c>
      <c r="J25" s="110">
        <v>42350</v>
      </c>
      <c r="K25" s="63">
        <v>42350</v>
      </c>
      <c r="L25" s="63">
        <v>54200</v>
      </c>
      <c r="M25" s="138">
        <f t="shared" si="10"/>
        <v>127.98110979929163</v>
      </c>
      <c r="N25" s="167">
        <f t="shared" si="7"/>
        <v>127.98110979929163</v>
      </c>
      <c r="O25" s="86">
        <v>10235</v>
      </c>
      <c r="P25" s="86">
        <v>14115</v>
      </c>
      <c r="Q25" s="63">
        <v>14029</v>
      </c>
      <c r="R25" s="139">
        <f>+Q25/O25*100</f>
        <v>137.06888128969223</v>
      </c>
      <c r="S25" s="135">
        <f t="shared" si="9"/>
        <v>99.390719093163298</v>
      </c>
      <c r="U25" s="4"/>
    </row>
    <row r="26" spans="1:21" ht="18.75">
      <c r="A26" s="13">
        <v>20</v>
      </c>
      <c r="B26" s="15" t="s">
        <v>35</v>
      </c>
      <c r="C26" s="98" t="s">
        <v>10</v>
      </c>
      <c r="D26" s="98" t="s">
        <v>10</v>
      </c>
      <c r="E26" s="197">
        <f t="shared" si="11"/>
        <v>47158</v>
      </c>
      <c r="F26" s="63">
        <f t="shared" si="11"/>
        <v>49573</v>
      </c>
      <c r="G26" s="86">
        <f t="shared" si="11"/>
        <v>55661</v>
      </c>
      <c r="H26" s="139">
        <f t="shared" si="5"/>
        <v>118.03087493108275</v>
      </c>
      <c r="I26" s="165">
        <f t="shared" si="6"/>
        <v>112.2808787041333</v>
      </c>
      <c r="J26" s="110">
        <v>43300</v>
      </c>
      <c r="K26" s="63">
        <v>43372</v>
      </c>
      <c r="L26" s="63">
        <v>49993</v>
      </c>
      <c r="M26" s="138">
        <f t="shared" si="10"/>
        <v>115.45727482678984</v>
      </c>
      <c r="N26" s="167">
        <f t="shared" si="7"/>
        <v>115.26560914875957</v>
      </c>
      <c r="O26" s="86">
        <v>3858</v>
      </c>
      <c r="P26" s="86">
        <v>6201</v>
      </c>
      <c r="Q26" s="63">
        <v>5668</v>
      </c>
      <c r="R26" s="139">
        <f>+Q26/O26*100</f>
        <v>146.91550025920165</v>
      </c>
      <c r="S26" s="139">
        <f t="shared" si="9"/>
        <v>91.404612159329133</v>
      </c>
      <c r="U26" s="4"/>
    </row>
    <row r="27" spans="1:21" ht="18.75" hidden="1">
      <c r="A27" s="26">
        <v>21</v>
      </c>
      <c r="B27" s="15">
        <v>2226</v>
      </c>
      <c r="C27" s="98" t="s">
        <v>172</v>
      </c>
      <c r="D27" s="98" t="s">
        <v>172</v>
      </c>
      <c r="E27" s="198" t="s">
        <v>51</v>
      </c>
      <c r="F27" s="65" t="s">
        <v>51</v>
      </c>
      <c r="G27" s="199" t="s">
        <v>51</v>
      </c>
      <c r="H27" s="139"/>
      <c r="I27" s="165"/>
      <c r="J27" s="110"/>
      <c r="K27" s="63"/>
      <c r="L27" s="63"/>
      <c r="M27" s="138"/>
      <c r="N27" s="167"/>
      <c r="O27" s="86"/>
      <c r="P27" s="86">
        <v>205267</v>
      </c>
      <c r="Q27" s="63">
        <v>205267</v>
      </c>
      <c r="R27" s="139"/>
      <c r="S27" s="139">
        <f t="shared" si="9"/>
        <v>100</v>
      </c>
      <c r="U27" s="4"/>
    </row>
    <row r="28" spans="1:21" ht="18.75" hidden="1">
      <c r="A28" s="13">
        <v>22</v>
      </c>
      <c r="B28" s="15">
        <v>2226</v>
      </c>
      <c r="C28" s="98" t="s">
        <v>173</v>
      </c>
      <c r="D28" s="98" t="s">
        <v>173</v>
      </c>
      <c r="E28" s="198" t="s">
        <v>51</v>
      </c>
      <c r="F28" s="65" t="s">
        <v>51</v>
      </c>
      <c r="G28" s="199" t="s">
        <v>51</v>
      </c>
      <c r="H28" s="169"/>
      <c r="I28" s="165"/>
      <c r="J28" s="110"/>
      <c r="K28" s="63">
        <v>7624</v>
      </c>
      <c r="L28" s="63">
        <v>7625</v>
      </c>
      <c r="M28" s="138"/>
      <c r="N28" s="167">
        <f t="shared" si="7"/>
        <v>100.01311647429172</v>
      </c>
      <c r="O28" s="86"/>
      <c r="P28" s="86"/>
      <c r="Q28" s="63"/>
      <c r="R28" s="139"/>
      <c r="S28" s="139"/>
      <c r="U28" s="289"/>
    </row>
    <row r="29" spans="1:21" ht="18.75" hidden="1">
      <c r="A29" s="26">
        <v>23</v>
      </c>
      <c r="B29" s="15">
        <v>2441</v>
      </c>
      <c r="C29" s="98" t="s">
        <v>139</v>
      </c>
      <c r="D29" s="98" t="s">
        <v>139</v>
      </c>
      <c r="E29" s="198" t="s">
        <v>51</v>
      </c>
      <c r="F29" s="65" t="s">
        <v>51</v>
      </c>
      <c r="G29" s="199" t="s">
        <v>51</v>
      </c>
      <c r="H29" s="169"/>
      <c r="I29" s="165"/>
      <c r="J29" s="110">
        <v>13541</v>
      </c>
      <c r="K29" s="63">
        <v>13541</v>
      </c>
      <c r="L29" s="63">
        <v>13541</v>
      </c>
      <c r="M29" s="138">
        <f t="shared" ref="M29:M37" si="12">+L29/J29*100</f>
        <v>100</v>
      </c>
      <c r="N29" s="167">
        <f t="shared" si="7"/>
        <v>100</v>
      </c>
      <c r="O29" s="86"/>
      <c r="P29" s="86"/>
      <c r="Q29" s="63"/>
      <c r="R29" s="139"/>
      <c r="S29" s="139"/>
      <c r="U29" s="4"/>
    </row>
    <row r="30" spans="1:21" ht="18.75">
      <c r="A30" s="13">
        <v>21</v>
      </c>
      <c r="B30" s="16" t="s">
        <v>55</v>
      </c>
      <c r="C30" s="55" t="s">
        <v>11</v>
      </c>
      <c r="D30" s="55" t="s">
        <v>11</v>
      </c>
      <c r="E30" s="109">
        <f>+J30+O30</f>
        <v>85877</v>
      </c>
      <c r="F30" s="61">
        <f>+K30+P30</f>
        <v>116230</v>
      </c>
      <c r="G30" s="61">
        <f>+L30+Q30</f>
        <v>142606</v>
      </c>
      <c r="H30" s="138">
        <f t="shared" ref="H30:H37" si="13">+G30/E30*100</f>
        <v>166.05843240914331</v>
      </c>
      <c r="I30" s="165">
        <f t="shared" ref="I30:I42" si="14">+G30/F30*100</f>
        <v>122.6929364191689</v>
      </c>
      <c r="J30" s="109">
        <f>482328-J22-J23-J24-J25-J26-J29</f>
        <v>73277</v>
      </c>
      <c r="K30" s="61">
        <f>530981-K22-K23-K24-K25-K26-K28-K29</f>
        <v>99962</v>
      </c>
      <c r="L30" s="61">
        <f>577100-L22-L23-L24-L25-L26-L28-L29</f>
        <v>126867</v>
      </c>
      <c r="M30" s="138">
        <f t="shared" si="12"/>
        <v>173.13345251579622</v>
      </c>
      <c r="N30" s="167">
        <f t="shared" si="7"/>
        <v>126.91522778655889</v>
      </c>
      <c r="O30" s="83">
        <v>12600</v>
      </c>
      <c r="P30" s="83">
        <f>376176-P22-P23-P24-P25-P26-P27</f>
        <v>16268</v>
      </c>
      <c r="Q30" s="61">
        <f>372146-Q22-Q23-Q24-Q25-Q26-Q27</f>
        <v>15739</v>
      </c>
      <c r="R30" s="138">
        <f>+Q30/O30*100</f>
        <v>124.9126984126984</v>
      </c>
      <c r="S30" s="138">
        <f>+Q30/P30*100</f>
        <v>96.748217359232854</v>
      </c>
      <c r="U30" s="4"/>
    </row>
    <row r="31" spans="1:21" ht="19.5" thickBot="1">
      <c r="A31" s="26">
        <v>22</v>
      </c>
      <c r="B31" s="17" t="s">
        <v>84</v>
      </c>
      <c r="C31" s="99" t="s">
        <v>196</v>
      </c>
      <c r="D31" s="99" t="s">
        <v>243</v>
      </c>
      <c r="E31" s="111">
        <f>SUM(E22:E30)</f>
        <v>619926</v>
      </c>
      <c r="F31" s="64">
        <f>SUM(F22:F30)</f>
        <v>680725</v>
      </c>
      <c r="G31" s="64">
        <f>SUM(G22:G30)</f>
        <v>722813</v>
      </c>
      <c r="H31" s="136">
        <f t="shared" si="13"/>
        <v>116.59665831083063</v>
      </c>
      <c r="I31" s="168">
        <f t="shared" si="14"/>
        <v>106.18281978772632</v>
      </c>
      <c r="J31" s="111">
        <f>SUM(J22:J30)</f>
        <v>482328</v>
      </c>
      <c r="K31" s="64">
        <f>SUM(K22:K30)</f>
        <v>530981</v>
      </c>
      <c r="L31" s="64">
        <f>SUM(L22:L30)</f>
        <v>577100</v>
      </c>
      <c r="M31" s="136">
        <f t="shared" si="12"/>
        <v>119.64886964886965</v>
      </c>
      <c r="N31" s="168">
        <f t="shared" si="7"/>
        <v>108.68562151941406</v>
      </c>
      <c r="O31" s="87">
        <f>SUM(O22:O30)</f>
        <v>151139</v>
      </c>
      <c r="P31" s="64">
        <f>SUM(P22:P30)</f>
        <v>376176</v>
      </c>
      <c r="Q31" s="64">
        <f>SUM(Q22:Q30)</f>
        <v>372146</v>
      </c>
      <c r="R31" s="136">
        <f>+Q31/O31*100</f>
        <v>246.2276447508585</v>
      </c>
      <c r="S31" s="136">
        <f>+Q31/P31*100</f>
        <v>98.928692952235124</v>
      </c>
      <c r="U31" s="4"/>
    </row>
    <row r="32" spans="1:21" ht="18.75">
      <c r="A32" s="13">
        <v>23</v>
      </c>
      <c r="B32" s="20" t="s">
        <v>41</v>
      </c>
      <c r="C32" s="101" t="s">
        <v>160</v>
      </c>
      <c r="D32" s="101" t="s">
        <v>160</v>
      </c>
      <c r="E32" s="113">
        <f t="shared" ref="E32:G35" si="15">+J32+O32</f>
        <v>600000</v>
      </c>
      <c r="F32" s="66">
        <f t="shared" si="15"/>
        <v>600000</v>
      </c>
      <c r="G32" s="66">
        <f t="shared" si="15"/>
        <v>655340</v>
      </c>
      <c r="H32" s="140">
        <f t="shared" si="13"/>
        <v>109.22333333333334</v>
      </c>
      <c r="I32" s="165">
        <f t="shared" si="14"/>
        <v>109.22333333333334</v>
      </c>
      <c r="J32" s="113">
        <v>600000</v>
      </c>
      <c r="K32" s="66">
        <v>600000</v>
      </c>
      <c r="L32" s="66">
        <f>9968+645113</f>
        <v>655081</v>
      </c>
      <c r="M32" s="135">
        <f t="shared" si="12"/>
        <v>109.18016666666665</v>
      </c>
      <c r="N32" s="165">
        <f t="shared" si="7"/>
        <v>109.18016666666665</v>
      </c>
      <c r="O32" s="88"/>
      <c r="P32" s="66"/>
      <c r="Q32" s="66">
        <v>259</v>
      </c>
      <c r="R32" s="140"/>
      <c r="S32" s="139"/>
      <c r="U32" s="4"/>
    </row>
    <row r="33" spans="1:21" ht="18.75">
      <c r="A33" s="26">
        <v>24</v>
      </c>
      <c r="B33" s="281" t="s">
        <v>159</v>
      </c>
      <c r="C33" s="212" t="s">
        <v>157</v>
      </c>
      <c r="D33" s="212" t="s">
        <v>157</v>
      </c>
      <c r="E33" s="113">
        <f t="shared" si="15"/>
        <v>207580</v>
      </c>
      <c r="F33" s="66">
        <f t="shared" si="15"/>
        <v>214995</v>
      </c>
      <c r="G33" s="66">
        <f t="shared" si="15"/>
        <v>255242</v>
      </c>
      <c r="H33" s="135">
        <f t="shared" si="13"/>
        <v>122.96078620290972</v>
      </c>
      <c r="I33" s="165">
        <f t="shared" si="14"/>
        <v>118.71997023186587</v>
      </c>
      <c r="J33" s="274">
        <v>207580</v>
      </c>
      <c r="K33" s="275">
        <v>214852</v>
      </c>
      <c r="L33" s="275">
        <f>148170+101002+4+2129+2000+1361+258+176</f>
        <v>255100</v>
      </c>
      <c r="M33" s="135">
        <f>+L33/J33*100</f>
        <v>122.89237884189228</v>
      </c>
      <c r="N33" s="165">
        <f>+L33/K33*100</f>
        <v>118.73289520227878</v>
      </c>
      <c r="O33" s="276"/>
      <c r="P33" s="275">
        <v>143</v>
      </c>
      <c r="Q33" s="275">
        <v>142</v>
      </c>
      <c r="R33" s="138"/>
      <c r="S33" s="138">
        <f>+Q33/P33*100</f>
        <v>99.300699300699307</v>
      </c>
      <c r="U33" s="4"/>
    </row>
    <row r="34" spans="1:21" ht="18.75">
      <c r="A34" s="13">
        <v>25</v>
      </c>
      <c r="B34" s="15" t="s">
        <v>152</v>
      </c>
      <c r="C34" s="98" t="s">
        <v>153</v>
      </c>
      <c r="D34" s="98" t="s">
        <v>153</v>
      </c>
      <c r="E34" s="113">
        <f t="shared" si="15"/>
        <v>10</v>
      </c>
      <c r="F34" s="66">
        <f t="shared" si="15"/>
        <v>1656</v>
      </c>
      <c r="G34" s="66">
        <f t="shared" si="15"/>
        <v>2404</v>
      </c>
      <c r="H34" s="135">
        <f t="shared" si="13"/>
        <v>24040</v>
      </c>
      <c r="I34" s="165">
        <f t="shared" si="14"/>
        <v>145.16908212560386</v>
      </c>
      <c r="J34" s="110"/>
      <c r="K34" s="63">
        <v>1399</v>
      </c>
      <c r="L34" s="63">
        <v>2149</v>
      </c>
      <c r="M34" s="138"/>
      <c r="N34" s="165">
        <f>+L34/K34*100</f>
        <v>153.6097212294496</v>
      </c>
      <c r="O34" s="86">
        <v>10</v>
      </c>
      <c r="P34" s="63">
        <v>257</v>
      </c>
      <c r="Q34" s="63">
        <v>255</v>
      </c>
      <c r="R34" s="138">
        <f>+Q34/O34*100</f>
        <v>2550</v>
      </c>
      <c r="S34" s="138">
        <f>+Q34/P34*100</f>
        <v>99.221789883268485</v>
      </c>
      <c r="U34" s="4"/>
    </row>
    <row r="35" spans="1:21" ht="18.75">
      <c r="A35" s="26">
        <v>26</v>
      </c>
      <c r="B35" s="283" t="s">
        <v>207</v>
      </c>
      <c r="C35" s="284"/>
      <c r="D35" s="284" t="s">
        <v>208</v>
      </c>
      <c r="E35" s="113">
        <f t="shared" si="15"/>
        <v>0</v>
      </c>
      <c r="F35" s="66">
        <f t="shared" si="15"/>
        <v>0</v>
      </c>
      <c r="G35" s="66">
        <f t="shared" si="15"/>
        <v>94</v>
      </c>
      <c r="H35" s="135"/>
      <c r="I35" s="165"/>
      <c r="J35" s="110"/>
      <c r="K35" s="63"/>
      <c r="L35" s="63">
        <v>94</v>
      </c>
      <c r="M35" s="138"/>
      <c r="N35" s="167"/>
      <c r="O35" s="86"/>
      <c r="P35" s="63"/>
      <c r="Q35" s="63"/>
      <c r="R35" s="138"/>
      <c r="S35" s="138"/>
      <c r="U35" s="4"/>
    </row>
    <row r="36" spans="1:21" ht="19.5" thickBot="1">
      <c r="A36" s="13">
        <v>27</v>
      </c>
      <c r="B36" s="21" t="s">
        <v>43</v>
      </c>
      <c r="C36" s="99" t="s">
        <v>195</v>
      </c>
      <c r="D36" s="99" t="s">
        <v>244</v>
      </c>
      <c r="E36" s="111">
        <f>SUM(E32:E35)</f>
        <v>807590</v>
      </c>
      <c r="F36" s="64">
        <f t="shared" ref="F36:G36" si="16">SUM(F32:F35)</f>
        <v>816651</v>
      </c>
      <c r="G36" s="64">
        <f t="shared" si="16"/>
        <v>913080</v>
      </c>
      <c r="H36" s="136">
        <f t="shared" si="13"/>
        <v>113.06232122735547</v>
      </c>
      <c r="I36" s="168">
        <f t="shared" si="14"/>
        <v>111.80785917117592</v>
      </c>
      <c r="J36" s="111">
        <f>SUM(J32:J35)</f>
        <v>807580</v>
      </c>
      <c r="K36" s="64">
        <f t="shared" ref="K36:L36" si="17">SUM(K32:K35)</f>
        <v>816251</v>
      </c>
      <c r="L36" s="64">
        <f t="shared" si="17"/>
        <v>912424</v>
      </c>
      <c r="M36" s="187">
        <f>+L36/J36*100</f>
        <v>112.98249089873448</v>
      </c>
      <c r="N36" s="183">
        <f>+L36/K36*100</f>
        <v>111.78228265570272</v>
      </c>
      <c r="O36" s="111">
        <f>SUM(O32:O35)</f>
        <v>10</v>
      </c>
      <c r="P36" s="64">
        <f t="shared" ref="P36:Q36" si="18">SUM(P32:P35)</f>
        <v>400</v>
      </c>
      <c r="Q36" s="64">
        <f t="shared" si="18"/>
        <v>656</v>
      </c>
      <c r="R36" s="136">
        <f>+Q36/O36*100</f>
        <v>6559.9999999999991</v>
      </c>
      <c r="S36" s="136">
        <f>+Q36/P36*100</f>
        <v>164</v>
      </c>
      <c r="U36" s="4"/>
    </row>
    <row r="37" spans="1:21" ht="19.5" thickBot="1">
      <c r="A37" s="26">
        <v>28</v>
      </c>
      <c r="B37" s="22"/>
      <c r="C37" s="57" t="s">
        <v>174</v>
      </c>
      <c r="D37" s="57" t="s">
        <v>245</v>
      </c>
      <c r="E37" s="114">
        <f>+E21+E31+E36</f>
        <v>9050576</v>
      </c>
      <c r="F37" s="67">
        <f>+F21+F31+F36</f>
        <v>9161831</v>
      </c>
      <c r="G37" s="67">
        <f>+G21+G31+G36</f>
        <v>9717790</v>
      </c>
      <c r="H37" s="141">
        <f t="shared" si="13"/>
        <v>107.37206118152038</v>
      </c>
      <c r="I37" s="182">
        <f t="shared" si="14"/>
        <v>106.06820841816445</v>
      </c>
      <c r="J37" s="114">
        <f>+J21+J31+J36</f>
        <v>8751563</v>
      </c>
      <c r="K37" s="67">
        <f>+K21+K31+K36</f>
        <v>8756276</v>
      </c>
      <c r="L37" s="67">
        <f>+L21+L31+L36</f>
        <v>9318915</v>
      </c>
      <c r="M37" s="184">
        <f t="shared" si="12"/>
        <v>106.48286483225911</v>
      </c>
      <c r="N37" s="182">
        <f t="shared" si="7"/>
        <v>106.4255512274853</v>
      </c>
      <c r="O37" s="89">
        <f>+O21+O31+O36</f>
        <v>312554</v>
      </c>
      <c r="P37" s="67">
        <f>+P21+P31+P36</f>
        <v>631987</v>
      </c>
      <c r="Q37" s="67">
        <f>+Q21+Q31+Q36</f>
        <v>625308</v>
      </c>
      <c r="R37" s="141">
        <f>+Q37/O37*100</f>
        <v>200.06398894271072</v>
      </c>
      <c r="S37" s="141">
        <f t="shared" ref="S37:S45" si="19">+Q37/P37*100</f>
        <v>98.943174464031699</v>
      </c>
      <c r="U37" s="4"/>
    </row>
    <row r="38" spans="1:21" ht="18.75">
      <c r="A38" s="13">
        <v>29</v>
      </c>
      <c r="B38" s="78">
        <v>4111</v>
      </c>
      <c r="C38" s="54" t="s">
        <v>118</v>
      </c>
      <c r="D38" s="54" t="s">
        <v>118</v>
      </c>
      <c r="E38" s="108"/>
      <c r="F38" s="79">
        <f t="shared" ref="E38:G42" si="20">+K38+P38</f>
        <v>22144</v>
      </c>
      <c r="G38" s="70">
        <f>+L38+Q38</f>
        <v>22144</v>
      </c>
      <c r="H38" s="135"/>
      <c r="I38" s="165">
        <f t="shared" si="14"/>
        <v>100</v>
      </c>
      <c r="J38" s="108"/>
      <c r="K38" s="70">
        <v>218</v>
      </c>
      <c r="L38" s="70">
        <v>218</v>
      </c>
      <c r="M38" s="135"/>
      <c r="N38" s="167">
        <f t="shared" si="7"/>
        <v>100</v>
      </c>
      <c r="O38" s="90"/>
      <c r="P38" s="70">
        <v>21926</v>
      </c>
      <c r="Q38" s="70">
        <v>21926</v>
      </c>
      <c r="R38" s="135"/>
      <c r="S38" s="139">
        <f t="shared" si="19"/>
        <v>100</v>
      </c>
      <c r="U38" s="4"/>
    </row>
    <row r="39" spans="1:21" ht="18.75">
      <c r="A39" s="26">
        <v>30</v>
      </c>
      <c r="B39" s="14">
        <v>4112</v>
      </c>
      <c r="C39" s="100" t="s">
        <v>119</v>
      </c>
      <c r="D39" s="100" t="s">
        <v>119</v>
      </c>
      <c r="E39" s="106">
        <f t="shared" si="20"/>
        <v>329336</v>
      </c>
      <c r="F39" s="77">
        <f t="shared" si="20"/>
        <v>329336</v>
      </c>
      <c r="G39" s="60">
        <f>+L39+Q39</f>
        <v>329336</v>
      </c>
      <c r="H39" s="135">
        <f>+G39/E39*100</f>
        <v>100</v>
      </c>
      <c r="I39" s="165">
        <f t="shared" si="14"/>
        <v>100</v>
      </c>
      <c r="J39" s="106">
        <v>131899</v>
      </c>
      <c r="K39" s="60">
        <v>131899</v>
      </c>
      <c r="L39" s="60">
        <v>131899</v>
      </c>
      <c r="M39" s="138">
        <f>+L39/J39*100</f>
        <v>100</v>
      </c>
      <c r="N39" s="167">
        <f t="shared" si="7"/>
        <v>100</v>
      </c>
      <c r="O39" s="82">
        <v>197437</v>
      </c>
      <c r="P39" s="82">
        <v>197437</v>
      </c>
      <c r="Q39" s="60">
        <v>197437</v>
      </c>
      <c r="R39" s="135">
        <f t="shared" ref="R39:R45" si="21">+Q39/O39*100</f>
        <v>100</v>
      </c>
      <c r="S39" s="139">
        <f t="shared" si="19"/>
        <v>100</v>
      </c>
      <c r="U39" s="4"/>
    </row>
    <row r="40" spans="1:21" ht="18.75">
      <c r="A40" s="13">
        <v>31</v>
      </c>
      <c r="B40" s="14">
        <v>4113</v>
      </c>
      <c r="C40" s="100" t="s">
        <v>120</v>
      </c>
      <c r="D40" s="100" t="s">
        <v>120</v>
      </c>
      <c r="E40" s="109">
        <f t="shared" si="20"/>
        <v>4104</v>
      </c>
      <c r="F40" s="77">
        <f t="shared" si="20"/>
        <v>9483</v>
      </c>
      <c r="G40" s="60">
        <f>+L40+Q40</f>
        <v>9220</v>
      </c>
      <c r="H40" s="135">
        <f>+G40/E40*100</f>
        <v>224.65886939571149</v>
      </c>
      <c r="I40" s="165">
        <f t="shared" si="14"/>
        <v>97.22661604977327</v>
      </c>
      <c r="J40" s="106"/>
      <c r="K40" s="60">
        <v>368</v>
      </c>
      <c r="L40" s="60">
        <v>661</v>
      </c>
      <c r="M40" s="138"/>
      <c r="N40" s="167">
        <f t="shared" si="7"/>
        <v>179.61956521739131</v>
      </c>
      <c r="O40" s="82">
        <v>4104</v>
      </c>
      <c r="P40" s="82">
        <v>9115</v>
      </c>
      <c r="Q40" s="60">
        <v>8559</v>
      </c>
      <c r="R40" s="135">
        <f t="shared" si="21"/>
        <v>208.5526315789474</v>
      </c>
      <c r="S40" s="139">
        <f t="shared" si="19"/>
        <v>93.900164563905648</v>
      </c>
      <c r="U40" s="4"/>
    </row>
    <row r="41" spans="1:21" ht="18.75">
      <c r="A41" s="26">
        <v>32</v>
      </c>
      <c r="B41" s="18">
        <v>4116</v>
      </c>
      <c r="C41" s="100" t="s">
        <v>121</v>
      </c>
      <c r="D41" s="100" t="s">
        <v>121</v>
      </c>
      <c r="E41" s="106">
        <f t="shared" si="20"/>
        <v>2617</v>
      </c>
      <c r="F41" s="77">
        <f t="shared" si="20"/>
        <v>109250</v>
      </c>
      <c r="G41" s="60">
        <f t="shared" si="20"/>
        <v>108457</v>
      </c>
      <c r="H41" s="135">
        <f>+G41/E41*100</f>
        <v>4144.3255636224685</v>
      </c>
      <c r="I41" s="165">
        <f t="shared" si="14"/>
        <v>99.274141876430207</v>
      </c>
      <c r="J41" s="106"/>
      <c r="K41" s="60">
        <v>62976</v>
      </c>
      <c r="L41" s="60">
        <v>62976</v>
      </c>
      <c r="M41" s="138"/>
      <c r="N41" s="167">
        <f t="shared" si="7"/>
        <v>100</v>
      </c>
      <c r="O41" s="82">
        <v>2617</v>
      </c>
      <c r="P41" s="82">
        <v>46274</v>
      </c>
      <c r="Q41" s="60">
        <v>45481</v>
      </c>
      <c r="R41" s="135">
        <f t="shared" si="21"/>
        <v>1737.9059992357661</v>
      </c>
      <c r="S41" s="139">
        <f t="shared" si="19"/>
        <v>98.286294679517667</v>
      </c>
      <c r="U41" s="4"/>
    </row>
    <row r="42" spans="1:21" ht="18.75">
      <c r="A42" s="13">
        <v>33</v>
      </c>
      <c r="B42" s="18">
        <v>4119</v>
      </c>
      <c r="C42" s="100" t="s">
        <v>198</v>
      </c>
      <c r="D42" s="100" t="s">
        <v>198</v>
      </c>
      <c r="E42" s="106">
        <f t="shared" si="20"/>
        <v>0</v>
      </c>
      <c r="F42" s="77">
        <f t="shared" si="20"/>
        <v>63</v>
      </c>
      <c r="G42" s="60">
        <f t="shared" si="20"/>
        <v>63</v>
      </c>
      <c r="H42" s="135"/>
      <c r="I42" s="165">
        <f t="shared" si="14"/>
        <v>100</v>
      </c>
      <c r="J42" s="106"/>
      <c r="K42" s="60">
        <v>63</v>
      </c>
      <c r="L42" s="60">
        <v>63</v>
      </c>
      <c r="M42" s="138"/>
      <c r="N42" s="167">
        <f t="shared" si="7"/>
        <v>100</v>
      </c>
      <c r="O42" s="82"/>
      <c r="P42" s="202"/>
      <c r="Q42" s="201"/>
      <c r="R42" s="135"/>
      <c r="S42" s="139"/>
      <c r="U42" s="4"/>
    </row>
    <row r="43" spans="1:21" ht="18.75" hidden="1">
      <c r="A43" s="26">
        <v>37</v>
      </c>
      <c r="B43" s="14">
        <v>4121</v>
      </c>
      <c r="C43" s="100" t="s">
        <v>122</v>
      </c>
      <c r="D43" s="100" t="s">
        <v>122</v>
      </c>
      <c r="E43" s="112" t="s">
        <v>51</v>
      </c>
      <c r="F43" s="65" t="s">
        <v>51</v>
      </c>
      <c r="G43" s="73" t="s">
        <v>51</v>
      </c>
      <c r="H43" s="171"/>
      <c r="I43" s="165"/>
      <c r="J43" s="106"/>
      <c r="K43" s="60"/>
      <c r="L43" s="60"/>
      <c r="M43" s="138"/>
      <c r="N43" s="167"/>
      <c r="O43" s="82">
        <v>974958</v>
      </c>
      <c r="P43" s="68">
        <v>1015067</v>
      </c>
      <c r="Q43" s="68">
        <v>1014967</v>
      </c>
      <c r="R43" s="135">
        <f t="shared" si="21"/>
        <v>104.10366395270361</v>
      </c>
      <c r="S43" s="139">
        <f t="shared" si="19"/>
        <v>99.990148433551667</v>
      </c>
      <c r="U43" s="4"/>
    </row>
    <row r="44" spans="1:21" ht="18.75" hidden="1">
      <c r="A44" s="13">
        <v>38</v>
      </c>
      <c r="B44" s="14">
        <v>4121</v>
      </c>
      <c r="C44" s="100" t="s">
        <v>167</v>
      </c>
      <c r="D44" s="100" t="s">
        <v>167</v>
      </c>
      <c r="E44" s="112" t="s">
        <v>51</v>
      </c>
      <c r="F44" s="65" t="s">
        <v>51</v>
      </c>
      <c r="G44" s="73" t="s">
        <v>51</v>
      </c>
      <c r="H44" s="171"/>
      <c r="I44" s="165"/>
      <c r="J44" s="106"/>
      <c r="K44" s="60">
        <v>1396</v>
      </c>
      <c r="L44" s="60">
        <v>1396</v>
      </c>
      <c r="M44" s="138"/>
      <c r="N44" s="167">
        <f t="shared" ref="N44:N58" si="22">+L44/K44*100</f>
        <v>100</v>
      </c>
      <c r="O44" s="82">
        <v>390</v>
      </c>
      <c r="P44" s="61">
        <v>604</v>
      </c>
      <c r="Q44" s="61">
        <v>604</v>
      </c>
      <c r="R44" s="135">
        <f t="shared" si="21"/>
        <v>154.87179487179489</v>
      </c>
      <c r="S44" s="139">
        <f t="shared" si="19"/>
        <v>100</v>
      </c>
      <c r="U44" s="4"/>
    </row>
    <row r="45" spans="1:21" ht="18.75">
      <c r="A45" s="26">
        <v>34</v>
      </c>
      <c r="B45" s="14">
        <v>4121</v>
      </c>
      <c r="C45" s="100" t="s">
        <v>123</v>
      </c>
      <c r="D45" s="100" t="s">
        <v>123</v>
      </c>
      <c r="E45" s="106">
        <f t="shared" ref="E45:G50" si="23">+J45+O45</f>
        <v>54</v>
      </c>
      <c r="F45" s="77">
        <f t="shared" si="23"/>
        <v>535</v>
      </c>
      <c r="G45" s="60">
        <f t="shared" si="23"/>
        <v>526</v>
      </c>
      <c r="H45" s="135">
        <f>+G45/E45*100</f>
        <v>974.07407407407402</v>
      </c>
      <c r="I45" s="165">
        <f t="shared" ref="I45:I54" si="24">+G45/F45*100</f>
        <v>98.317757009345797</v>
      </c>
      <c r="J45" s="106">
        <v>30</v>
      </c>
      <c r="K45" s="60">
        <v>30</v>
      </c>
      <c r="L45" s="60">
        <v>21</v>
      </c>
      <c r="M45" s="138">
        <f>+L45/J45*100</f>
        <v>70</v>
      </c>
      <c r="N45" s="167">
        <f t="shared" si="22"/>
        <v>70</v>
      </c>
      <c r="O45" s="82">
        <v>24</v>
      </c>
      <c r="P45" s="82">
        <v>505</v>
      </c>
      <c r="Q45" s="60">
        <v>505</v>
      </c>
      <c r="R45" s="135">
        <f t="shared" si="21"/>
        <v>2104.166666666667</v>
      </c>
      <c r="S45" s="139">
        <f t="shared" si="19"/>
        <v>100</v>
      </c>
      <c r="U45" s="4"/>
    </row>
    <row r="46" spans="1:21" ht="18.75">
      <c r="A46" s="13">
        <v>35</v>
      </c>
      <c r="B46" s="14">
        <v>4122</v>
      </c>
      <c r="C46" s="100" t="s">
        <v>124</v>
      </c>
      <c r="D46" s="100" t="s">
        <v>124</v>
      </c>
      <c r="E46" s="106">
        <f t="shared" si="23"/>
        <v>0</v>
      </c>
      <c r="F46" s="77">
        <f t="shared" si="23"/>
        <v>44935</v>
      </c>
      <c r="G46" s="60">
        <f t="shared" si="23"/>
        <v>44935</v>
      </c>
      <c r="H46" s="135"/>
      <c r="I46" s="165">
        <f t="shared" si="24"/>
        <v>100</v>
      </c>
      <c r="J46" s="106"/>
      <c r="K46" s="60">
        <v>40081</v>
      </c>
      <c r="L46" s="60">
        <v>40081</v>
      </c>
      <c r="M46" s="138"/>
      <c r="N46" s="167">
        <f t="shared" si="22"/>
        <v>100</v>
      </c>
      <c r="O46" s="82"/>
      <c r="P46" s="82">
        <v>4854</v>
      </c>
      <c r="Q46" s="60">
        <v>4854</v>
      </c>
      <c r="R46" s="135"/>
      <c r="S46" s="139">
        <f>+Q46/P46*100</f>
        <v>100</v>
      </c>
      <c r="U46" s="4"/>
    </row>
    <row r="47" spans="1:21" ht="18.75">
      <c r="A47" s="26">
        <v>36</v>
      </c>
      <c r="B47" s="14">
        <v>4123</v>
      </c>
      <c r="C47" s="100" t="s">
        <v>199</v>
      </c>
      <c r="D47" s="100" t="s">
        <v>199</v>
      </c>
      <c r="E47" s="106"/>
      <c r="F47" s="77">
        <f t="shared" si="23"/>
        <v>8223</v>
      </c>
      <c r="G47" s="60">
        <f>+L47+Q47</f>
        <v>8223</v>
      </c>
      <c r="H47" s="135"/>
      <c r="I47" s="165">
        <f t="shared" si="24"/>
        <v>100</v>
      </c>
      <c r="J47" s="106"/>
      <c r="K47" s="60">
        <v>8223</v>
      </c>
      <c r="L47" s="60">
        <v>8223</v>
      </c>
      <c r="M47" s="138"/>
      <c r="N47" s="167">
        <f t="shared" si="22"/>
        <v>100</v>
      </c>
      <c r="O47" s="273"/>
      <c r="P47" s="61"/>
      <c r="Q47" s="60"/>
      <c r="R47" s="135"/>
      <c r="S47" s="139"/>
      <c r="U47" s="4"/>
    </row>
    <row r="48" spans="1:21" ht="18.75">
      <c r="A48" s="13">
        <v>37</v>
      </c>
      <c r="B48" s="18">
        <v>4131</v>
      </c>
      <c r="C48" s="100" t="s">
        <v>73</v>
      </c>
      <c r="D48" s="100" t="s">
        <v>73</v>
      </c>
      <c r="E48" s="106">
        <f t="shared" si="23"/>
        <v>890532</v>
      </c>
      <c r="F48" s="77">
        <f t="shared" si="23"/>
        <v>1038151</v>
      </c>
      <c r="G48" s="60">
        <f t="shared" si="23"/>
        <v>933859</v>
      </c>
      <c r="H48" s="135">
        <f>+G48/E48*100</f>
        <v>104.86529400403354</v>
      </c>
      <c r="I48" s="165">
        <f t="shared" si="24"/>
        <v>89.954062559300141</v>
      </c>
      <c r="J48" s="106">
        <v>420883</v>
      </c>
      <c r="K48" s="60">
        <v>421031</v>
      </c>
      <c r="L48" s="60">
        <v>421031</v>
      </c>
      <c r="M48" s="138">
        <f>+L48/J48*100</f>
        <v>100.03516416676368</v>
      </c>
      <c r="N48" s="167">
        <f t="shared" si="22"/>
        <v>100</v>
      </c>
      <c r="O48" s="273">
        <v>469649</v>
      </c>
      <c r="P48" s="61">
        <v>617120</v>
      </c>
      <c r="Q48" s="60">
        <v>512828</v>
      </c>
      <c r="R48" s="135">
        <f>+Q48/O48*100</f>
        <v>109.1938873499145</v>
      </c>
      <c r="S48" s="139">
        <f>+Q48/P48*100</f>
        <v>83.100207415089443</v>
      </c>
      <c r="U48" s="4"/>
    </row>
    <row r="49" spans="1:21" ht="18.75">
      <c r="A49" s="26">
        <v>38</v>
      </c>
      <c r="B49" s="18">
        <v>4132</v>
      </c>
      <c r="C49" s="100" t="s">
        <v>90</v>
      </c>
      <c r="D49" s="100" t="s">
        <v>90</v>
      </c>
      <c r="E49" s="106">
        <f t="shared" si="23"/>
        <v>0</v>
      </c>
      <c r="F49" s="60">
        <f t="shared" si="23"/>
        <v>245</v>
      </c>
      <c r="G49" s="60">
        <f t="shared" si="23"/>
        <v>5990</v>
      </c>
      <c r="H49" s="135"/>
      <c r="I49" s="165">
        <f t="shared" si="24"/>
        <v>2444.8979591836737</v>
      </c>
      <c r="J49" s="106"/>
      <c r="K49" s="60">
        <v>245</v>
      </c>
      <c r="L49" s="60">
        <v>5990</v>
      </c>
      <c r="M49" s="138"/>
      <c r="N49" s="167">
        <f t="shared" si="22"/>
        <v>2444.8979591836737</v>
      </c>
      <c r="O49" s="273"/>
      <c r="P49" s="60"/>
      <c r="Q49" s="60"/>
      <c r="R49" s="135"/>
      <c r="S49" s="138"/>
      <c r="U49" s="4"/>
    </row>
    <row r="50" spans="1:21" ht="18.75">
      <c r="A50" s="13">
        <v>39</v>
      </c>
      <c r="B50" s="18">
        <v>4151</v>
      </c>
      <c r="C50" s="100" t="s">
        <v>194</v>
      </c>
      <c r="D50" s="100" t="s">
        <v>194</v>
      </c>
      <c r="E50" s="106"/>
      <c r="F50" s="60">
        <f t="shared" si="23"/>
        <v>1600</v>
      </c>
      <c r="G50" s="60">
        <f t="shared" si="23"/>
        <v>1600</v>
      </c>
      <c r="H50" s="135"/>
      <c r="I50" s="165">
        <f t="shared" si="24"/>
        <v>100</v>
      </c>
      <c r="J50" s="272"/>
      <c r="K50" s="60">
        <v>1600</v>
      </c>
      <c r="L50" s="82">
        <v>1600</v>
      </c>
      <c r="M50" s="138"/>
      <c r="N50" s="167">
        <f t="shared" si="22"/>
        <v>100</v>
      </c>
      <c r="O50" s="273"/>
      <c r="P50" s="60"/>
      <c r="Q50" s="82"/>
      <c r="R50" s="135"/>
      <c r="S50" s="138"/>
      <c r="U50" s="4"/>
    </row>
    <row r="51" spans="1:21" ht="18.75">
      <c r="A51" s="26">
        <v>40</v>
      </c>
      <c r="B51" s="18">
        <v>4152</v>
      </c>
      <c r="C51" s="100" t="s">
        <v>155</v>
      </c>
      <c r="D51" s="100" t="s">
        <v>155</v>
      </c>
      <c r="E51" s="106"/>
      <c r="F51" s="286">
        <f>+K51+P51</f>
        <v>15895</v>
      </c>
      <c r="G51" s="60">
        <f>+L51+Q51</f>
        <v>16333</v>
      </c>
      <c r="H51" s="135"/>
      <c r="I51" s="165">
        <f t="shared" si="24"/>
        <v>102.75558351682919</v>
      </c>
      <c r="J51" s="272"/>
      <c r="K51" s="60">
        <v>14823</v>
      </c>
      <c r="L51" s="82">
        <v>15261</v>
      </c>
      <c r="M51" s="138"/>
      <c r="N51" s="167">
        <f t="shared" si="22"/>
        <v>102.95486743574176</v>
      </c>
      <c r="O51" s="273"/>
      <c r="P51" s="60">
        <v>1072</v>
      </c>
      <c r="Q51" s="82">
        <v>1072</v>
      </c>
      <c r="R51" s="135"/>
      <c r="S51" s="139">
        <f>+Q51/P51*100</f>
        <v>100</v>
      </c>
      <c r="U51" s="4"/>
    </row>
    <row r="52" spans="1:21" ht="18.75">
      <c r="A52" s="13">
        <v>41</v>
      </c>
      <c r="B52" s="18" t="s">
        <v>91</v>
      </c>
      <c r="C52" s="203" t="s">
        <v>175</v>
      </c>
      <c r="D52" s="203" t="s">
        <v>246</v>
      </c>
      <c r="E52" s="215">
        <f>SUM(E38:E51)</f>
        <v>1226643</v>
      </c>
      <c r="F52" s="204">
        <f>SUM(F38:F51)</f>
        <v>1579860</v>
      </c>
      <c r="G52" s="204">
        <f>SUM(G38:G51)</f>
        <v>1480686</v>
      </c>
      <c r="H52" s="207">
        <f>+G52/E52*100</f>
        <v>120.71042675008133</v>
      </c>
      <c r="I52" s="208">
        <f t="shared" si="24"/>
        <v>93.722608332383885</v>
      </c>
      <c r="J52" s="214">
        <f>SUM(J38:J51)</f>
        <v>552812</v>
      </c>
      <c r="K52" s="205">
        <f>SUM(K38:K51)</f>
        <v>682953</v>
      </c>
      <c r="L52" s="210">
        <f>SUM(L38:L51)</f>
        <v>689420</v>
      </c>
      <c r="M52" s="207">
        <f>+L52/J52*100</f>
        <v>124.71147514887519</v>
      </c>
      <c r="N52" s="208">
        <f t="shared" si="22"/>
        <v>100.94691728420551</v>
      </c>
      <c r="O52" s="214">
        <f>SUM(O38:O51)</f>
        <v>1649179</v>
      </c>
      <c r="P52" s="205">
        <f>SUM(P38:P51)</f>
        <v>1913974</v>
      </c>
      <c r="Q52" s="210">
        <f>SUM(Q38:Q51)</f>
        <v>1808233</v>
      </c>
      <c r="R52" s="207">
        <f>+Q52/O52*100</f>
        <v>109.6444352007878</v>
      </c>
      <c r="S52" s="207">
        <f>+Q52/P52*100</f>
        <v>94.475316801586644</v>
      </c>
      <c r="U52" s="4"/>
    </row>
    <row r="53" spans="1:21" ht="18.75">
      <c r="A53" s="26">
        <v>42</v>
      </c>
      <c r="B53" s="14">
        <v>4213</v>
      </c>
      <c r="C53" s="100" t="s">
        <v>202</v>
      </c>
      <c r="D53" s="100" t="s">
        <v>202</v>
      </c>
      <c r="E53" s="112">
        <f t="shared" ref="E53:G54" si="25">+J53+O53</f>
        <v>0</v>
      </c>
      <c r="F53" s="77">
        <f t="shared" si="25"/>
        <v>32475</v>
      </c>
      <c r="G53" s="60">
        <f t="shared" si="25"/>
        <v>32475</v>
      </c>
      <c r="H53" s="216"/>
      <c r="I53" s="167">
        <f t="shared" si="24"/>
        <v>100</v>
      </c>
      <c r="J53" s="106"/>
      <c r="K53" s="60">
        <v>31435</v>
      </c>
      <c r="L53" s="60">
        <v>31435</v>
      </c>
      <c r="M53" s="138"/>
      <c r="N53" s="167">
        <f t="shared" si="22"/>
        <v>100</v>
      </c>
      <c r="O53" s="82"/>
      <c r="P53" s="60">
        <v>1040</v>
      </c>
      <c r="Q53" s="60">
        <v>1040</v>
      </c>
      <c r="R53" s="135"/>
      <c r="S53" s="139">
        <f>+Q53/P53*100</f>
        <v>100</v>
      </c>
      <c r="U53" s="4"/>
    </row>
    <row r="54" spans="1:21" ht="18.75">
      <c r="A54" s="13">
        <v>43</v>
      </c>
      <c r="B54" s="18">
        <v>4216</v>
      </c>
      <c r="C54" s="100" t="s">
        <v>203</v>
      </c>
      <c r="D54" s="100" t="s">
        <v>203</v>
      </c>
      <c r="E54" s="106"/>
      <c r="F54" s="77">
        <f t="shared" si="25"/>
        <v>602213</v>
      </c>
      <c r="G54" s="60">
        <f t="shared" si="25"/>
        <v>602213</v>
      </c>
      <c r="H54" s="207"/>
      <c r="I54" s="165">
        <f t="shared" si="24"/>
        <v>100</v>
      </c>
      <c r="J54" s="272"/>
      <c r="K54" s="60">
        <v>577789</v>
      </c>
      <c r="L54" s="82">
        <v>577789</v>
      </c>
      <c r="M54" s="207"/>
      <c r="N54" s="167">
        <f t="shared" si="22"/>
        <v>100</v>
      </c>
      <c r="O54" s="291"/>
      <c r="P54" s="292">
        <v>24424</v>
      </c>
      <c r="Q54" s="293">
        <v>24424</v>
      </c>
      <c r="R54" s="135"/>
      <c r="S54" s="139">
        <f>+Q54/P54*100</f>
        <v>100</v>
      </c>
      <c r="U54" s="4"/>
    </row>
    <row r="55" spans="1:21" ht="18.75" hidden="1">
      <c r="A55" s="26">
        <v>49</v>
      </c>
      <c r="B55" s="14">
        <v>4221</v>
      </c>
      <c r="C55" s="100" t="s">
        <v>165</v>
      </c>
      <c r="D55" s="100" t="s">
        <v>165</v>
      </c>
      <c r="E55" s="112" t="s">
        <v>51</v>
      </c>
      <c r="F55" s="65" t="s">
        <v>51</v>
      </c>
      <c r="G55" s="74" t="s">
        <v>51</v>
      </c>
      <c r="H55" s="216"/>
      <c r="I55" s="167"/>
      <c r="J55" s="106"/>
      <c r="K55" s="60"/>
      <c r="L55" s="60"/>
      <c r="M55" s="138"/>
      <c r="N55" s="167"/>
      <c r="O55" s="82"/>
      <c r="P55" s="60">
        <v>172347</v>
      </c>
      <c r="Q55" s="60">
        <v>171452</v>
      </c>
      <c r="R55" s="135"/>
      <c r="S55" s="139">
        <f>+Q55/P55*100</f>
        <v>99.480698822723923</v>
      </c>
      <c r="U55" s="4"/>
    </row>
    <row r="56" spans="1:21" ht="18.75" hidden="1">
      <c r="A56" s="13">
        <v>50</v>
      </c>
      <c r="B56" s="14">
        <v>4221</v>
      </c>
      <c r="C56" s="100" t="s">
        <v>164</v>
      </c>
      <c r="D56" s="100" t="s">
        <v>164</v>
      </c>
      <c r="E56" s="112" t="s">
        <v>51</v>
      </c>
      <c r="F56" s="65" t="s">
        <v>51</v>
      </c>
      <c r="G56" s="74" t="s">
        <v>51</v>
      </c>
      <c r="H56" s="216"/>
      <c r="I56" s="167"/>
      <c r="J56" s="106"/>
      <c r="K56" s="60">
        <v>17308</v>
      </c>
      <c r="L56" s="60">
        <v>17308</v>
      </c>
      <c r="M56" s="138"/>
      <c r="N56" s="167">
        <f t="shared" si="22"/>
        <v>100</v>
      </c>
      <c r="O56" s="82"/>
      <c r="P56" s="60"/>
      <c r="Q56" s="60"/>
      <c r="R56" s="135"/>
      <c r="S56" s="139"/>
      <c r="U56" s="4"/>
    </row>
    <row r="57" spans="1:21" ht="18.75">
      <c r="A57" s="26">
        <v>44</v>
      </c>
      <c r="B57" s="9">
        <v>4222</v>
      </c>
      <c r="C57" s="55" t="s">
        <v>126</v>
      </c>
      <c r="D57" s="55" t="s">
        <v>126</v>
      </c>
      <c r="E57" s="112"/>
      <c r="F57" s="77">
        <f t="shared" ref="F57:G59" si="26">+K57+P57</f>
        <v>5025</v>
      </c>
      <c r="G57" s="60">
        <f t="shared" si="26"/>
        <v>5025</v>
      </c>
      <c r="H57" s="135"/>
      <c r="I57" s="165">
        <f t="shared" ref="I57:I62" si="27">+G57/F57*100</f>
        <v>100</v>
      </c>
      <c r="J57" s="109"/>
      <c r="K57" s="61">
        <v>691</v>
      </c>
      <c r="L57" s="61">
        <v>691</v>
      </c>
      <c r="M57" s="138"/>
      <c r="N57" s="167">
        <f t="shared" si="22"/>
        <v>100</v>
      </c>
      <c r="O57" s="83"/>
      <c r="P57" s="61">
        <v>4334</v>
      </c>
      <c r="Q57" s="61">
        <v>4334</v>
      </c>
      <c r="R57" s="138"/>
      <c r="S57" s="139">
        <f>+Q57/P57*100</f>
        <v>100</v>
      </c>
      <c r="U57" s="4"/>
    </row>
    <row r="58" spans="1:21" ht="18.75">
      <c r="A58" s="13">
        <v>45</v>
      </c>
      <c r="B58" s="9">
        <v>4223</v>
      </c>
      <c r="C58" s="100" t="s">
        <v>154</v>
      </c>
      <c r="D58" s="100" t="s">
        <v>154</v>
      </c>
      <c r="E58" s="112"/>
      <c r="F58" s="77">
        <f t="shared" si="26"/>
        <v>252392</v>
      </c>
      <c r="G58" s="60">
        <f t="shared" si="26"/>
        <v>252392</v>
      </c>
      <c r="H58" s="135"/>
      <c r="I58" s="165">
        <f t="shared" si="27"/>
        <v>100</v>
      </c>
      <c r="J58" s="272"/>
      <c r="K58" s="60">
        <v>252392</v>
      </c>
      <c r="L58" s="82">
        <v>252392</v>
      </c>
      <c r="M58" s="138"/>
      <c r="N58" s="167">
        <f t="shared" si="22"/>
        <v>100</v>
      </c>
      <c r="O58" s="273"/>
      <c r="P58" s="60"/>
      <c r="Q58" s="82"/>
      <c r="R58" s="138"/>
      <c r="S58" s="139"/>
      <c r="U58" s="4"/>
    </row>
    <row r="59" spans="1:21" ht="18.75">
      <c r="A59" s="13">
        <v>46</v>
      </c>
      <c r="B59" s="9">
        <v>4232</v>
      </c>
      <c r="C59" s="100" t="s">
        <v>154</v>
      </c>
      <c r="D59" s="100" t="s">
        <v>215</v>
      </c>
      <c r="E59" s="112"/>
      <c r="F59" s="77">
        <f t="shared" si="26"/>
        <v>1572</v>
      </c>
      <c r="G59" s="60">
        <f t="shared" si="26"/>
        <v>1572</v>
      </c>
      <c r="H59" s="135"/>
      <c r="I59" s="165">
        <f t="shared" si="27"/>
        <v>100</v>
      </c>
      <c r="J59" s="272"/>
      <c r="K59" s="60"/>
      <c r="L59" s="82"/>
      <c r="M59" s="138"/>
      <c r="N59" s="167"/>
      <c r="O59" s="273"/>
      <c r="P59" s="60">
        <v>1572</v>
      </c>
      <c r="Q59" s="82">
        <v>1572</v>
      </c>
      <c r="R59" s="138"/>
      <c r="S59" s="139">
        <f>+Q59/P59*100</f>
        <v>100</v>
      </c>
      <c r="U59" s="4"/>
    </row>
    <row r="60" spans="1:21" ht="18.75">
      <c r="A60" s="26">
        <v>47</v>
      </c>
      <c r="B60" s="16" t="s">
        <v>92</v>
      </c>
      <c r="C60" s="213" t="s">
        <v>176</v>
      </c>
      <c r="D60" s="213" t="s">
        <v>247</v>
      </c>
      <c r="E60" s="282">
        <f>SUM(E53:E59)</f>
        <v>0</v>
      </c>
      <c r="F60" s="285">
        <f>SUM(F53:F59)</f>
        <v>893677</v>
      </c>
      <c r="G60" s="204">
        <f>SUM(G53:G59)</f>
        <v>893677</v>
      </c>
      <c r="H60" s="207"/>
      <c r="I60" s="208">
        <f t="shared" si="27"/>
        <v>100</v>
      </c>
      <c r="J60" s="214"/>
      <c r="K60" s="205">
        <f>SUM(K53:K59)</f>
        <v>879615</v>
      </c>
      <c r="L60" s="210">
        <f>SUM(L53:L59)</f>
        <v>879615</v>
      </c>
      <c r="M60" s="207"/>
      <c r="N60" s="208">
        <f>+L60/K60*100</f>
        <v>100</v>
      </c>
      <c r="O60" s="214">
        <f>SUM(O53:O59)</f>
        <v>0</v>
      </c>
      <c r="P60" s="205">
        <f>SUM(P53:P59)</f>
        <v>203717</v>
      </c>
      <c r="Q60" s="210">
        <f>SUM(Q53:Q59)</f>
        <v>202822</v>
      </c>
      <c r="R60" s="207"/>
      <c r="S60" s="206">
        <f>+Q60/P60*100</f>
        <v>99.560665040227363</v>
      </c>
      <c r="U60" s="4"/>
    </row>
    <row r="61" spans="1:21" ht="19.5" thickBot="1">
      <c r="A61" s="13">
        <v>48</v>
      </c>
      <c r="B61" s="17" t="s">
        <v>44</v>
      </c>
      <c r="C61" s="99" t="s">
        <v>177</v>
      </c>
      <c r="D61" s="99" t="s">
        <v>248</v>
      </c>
      <c r="E61" s="111">
        <f>E52+E60</f>
        <v>1226643</v>
      </c>
      <c r="F61" s="64">
        <f>F52+F60</f>
        <v>2473537</v>
      </c>
      <c r="G61" s="64">
        <f>G52+G60</f>
        <v>2374363</v>
      </c>
      <c r="H61" s="141">
        <f>+G61/E61*100</f>
        <v>193.56593564712799</v>
      </c>
      <c r="I61" s="170">
        <f t="shared" si="27"/>
        <v>95.990599695901039</v>
      </c>
      <c r="J61" s="111">
        <f>J52+J60</f>
        <v>552812</v>
      </c>
      <c r="K61" s="64">
        <f>K52+K60</f>
        <v>1562568</v>
      </c>
      <c r="L61" s="64">
        <f>L52+L60</f>
        <v>1569035</v>
      </c>
      <c r="M61" s="187">
        <f>+L61/J61*100</f>
        <v>283.82795597780074</v>
      </c>
      <c r="N61" s="183">
        <f>+L61/K61*100</f>
        <v>100.41386998837811</v>
      </c>
      <c r="O61" s="87">
        <f>O52+O60</f>
        <v>1649179</v>
      </c>
      <c r="P61" s="64">
        <f>P52+P60</f>
        <v>2117691</v>
      </c>
      <c r="Q61" s="64">
        <f>Q52+Q60</f>
        <v>2011055</v>
      </c>
      <c r="R61" s="136">
        <f>+Q61/O61*100</f>
        <v>121.94279699171527</v>
      </c>
      <c r="S61" s="136">
        <f>+Q61/P61*100</f>
        <v>94.964515597412472</v>
      </c>
      <c r="U61" s="4"/>
    </row>
    <row r="62" spans="1:21" ht="19.5" thickBot="1">
      <c r="A62" s="72">
        <v>49</v>
      </c>
      <c r="B62" s="48" t="s">
        <v>47</v>
      </c>
      <c r="C62" s="102" t="s">
        <v>178</v>
      </c>
      <c r="D62" s="102" t="s">
        <v>249</v>
      </c>
      <c r="E62" s="115">
        <f>+E37+E61</f>
        <v>10277219</v>
      </c>
      <c r="F62" s="46">
        <f>+F37+F61</f>
        <v>11635368</v>
      </c>
      <c r="G62" s="46">
        <f>+G37+G61</f>
        <v>12092153</v>
      </c>
      <c r="H62" s="155">
        <f>+G62/E62*100</f>
        <v>117.6597774164392</v>
      </c>
      <c r="I62" s="172">
        <f t="shared" si="27"/>
        <v>103.92583199775032</v>
      </c>
      <c r="J62" s="115">
        <f>+J37+J61</f>
        <v>9304375</v>
      </c>
      <c r="K62" s="192">
        <f>+K37+K61</f>
        <v>10318844</v>
      </c>
      <c r="L62" s="192">
        <f>+L37+L61</f>
        <v>10887950</v>
      </c>
      <c r="M62" s="185">
        <f>+L62/J62*100</f>
        <v>117.0196816013972</v>
      </c>
      <c r="N62" s="186">
        <f>+L62/K62*100</f>
        <v>105.51521081237394</v>
      </c>
      <c r="O62" s="193">
        <f>+O61+O37</f>
        <v>1961733</v>
      </c>
      <c r="P62" s="46">
        <f>+P61+P37</f>
        <v>2749678</v>
      </c>
      <c r="Q62" s="46">
        <f>+Q61+Q37</f>
        <v>2636363</v>
      </c>
      <c r="R62" s="155">
        <f>+Q62/O62*100</f>
        <v>134.38949133240865</v>
      </c>
      <c r="S62" s="155">
        <f>+Q62/P62*100</f>
        <v>95.878972010540878</v>
      </c>
      <c r="U62" s="4"/>
    </row>
    <row r="63" spans="1:21" ht="19.5" thickBot="1">
      <c r="A63" s="1"/>
      <c r="B63" s="6"/>
      <c r="C63" s="29"/>
      <c r="D63" s="29"/>
      <c r="E63" s="29"/>
      <c r="F63" s="29"/>
      <c r="G63" s="154"/>
      <c r="H63" s="142"/>
      <c r="I63" s="142"/>
      <c r="J63" s="29"/>
      <c r="K63" s="29"/>
      <c r="L63" s="154"/>
      <c r="M63" s="217"/>
      <c r="N63" s="217"/>
      <c r="O63" s="29"/>
      <c r="P63" s="29"/>
      <c r="Q63" s="29"/>
      <c r="R63" s="142"/>
      <c r="S63" s="142"/>
      <c r="U63" s="4"/>
    </row>
    <row r="64" spans="1:21" ht="16.5" thickBot="1">
      <c r="A64" s="24"/>
      <c r="B64" s="11" t="s">
        <v>39</v>
      </c>
      <c r="C64" s="92"/>
      <c r="D64" s="92"/>
      <c r="E64" s="103" t="s">
        <v>62</v>
      </c>
      <c r="F64" s="58"/>
      <c r="G64" s="58"/>
      <c r="H64" s="143"/>
      <c r="I64" s="162"/>
      <c r="J64" s="302" t="s">
        <v>63</v>
      </c>
      <c r="K64" s="303"/>
      <c r="L64" s="303"/>
      <c r="M64" s="303"/>
      <c r="N64" s="304"/>
      <c r="O64" s="103" t="s">
        <v>40</v>
      </c>
      <c r="P64" s="58"/>
      <c r="Q64" s="59"/>
      <c r="R64" s="153"/>
      <c r="S64" s="153"/>
      <c r="U64" s="4"/>
    </row>
    <row r="65" spans="1:21">
      <c r="A65" s="25" t="s">
        <v>1</v>
      </c>
      <c r="B65" s="10" t="s">
        <v>38</v>
      </c>
      <c r="C65" s="93" t="s">
        <v>12</v>
      </c>
      <c r="D65" s="93" t="s">
        <v>12</v>
      </c>
      <c r="E65" s="104" t="s">
        <v>52</v>
      </c>
      <c r="F65" s="34" t="s">
        <v>54</v>
      </c>
      <c r="G65" s="300" t="s">
        <v>23</v>
      </c>
      <c r="H65" s="144" t="s">
        <v>0</v>
      </c>
      <c r="I65" s="163" t="s">
        <v>0</v>
      </c>
      <c r="J65" s="104" t="s">
        <v>52</v>
      </c>
      <c r="K65" s="34" t="s">
        <v>54</v>
      </c>
      <c r="L65" s="300" t="s">
        <v>23</v>
      </c>
      <c r="M65" s="144" t="s">
        <v>0</v>
      </c>
      <c r="N65" s="163" t="s">
        <v>0</v>
      </c>
      <c r="O65" s="80" t="s">
        <v>52</v>
      </c>
      <c r="P65" s="34" t="s">
        <v>54</v>
      </c>
      <c r="Q65" s="300" t="s">
        <v>23</v>
      </c>
      <c r="R65" s="144" t="s">
        <v>0</v>
      </c>
      <c r="S65" s="144" t="s">
        <v>0</v>
      </c>
      <c r="U65" s="4"/>
    </row>
    <row r="66" spans="1:21" ht="16.5" thickBot="1">
      <c r="A66" s="42"/>
      <c r="B66" s="31" t="s">
        <v>37</v>
      </c>
      <c r="C66" s="94"/>
      <c r="D66" s="94"/>
      <c r="E66" s="105" t="s">
        <v>22</v>
      </c>
      <c r="F66" s="43" t="s">
        <v>22</v>
      </c>
      <c r="G66" s="301"/>
      <c r="H66" s="145" t="s">
        <v>65</v>
      </c>
      <c r="I66" s="164" t="s">
        <v>66</v>
      </c>
      <c r="J66" s="105" t="s">
        <v>22</v>
      </c>
      <c r="K66" s="43" t="s">
        <v>22</v>
      </c>
      <c r="L66" s="301"/>
      <c r="M66" s="145" t="s">
        <v>65</v>
      </c>
      <c r="N66" s="164" t="s">
        <v>66</v>
      </c>
      <c r="O66" s="81" t="s">
        <v>22</v>
      </c>
      <c r="P66" s="43" t="s">
        <v>22</v>
      </c>
      <c r="Q66" s="301"/>
      <c r="R66" s="145" t="s">
        <v>65</v>
      </c>
      <c r="S66" s="145" t="s">
        <v>66</v>
      </c>
      <c r="U66" s="4"/>
    </row>
    <row r="67" spans="1:21" ht="18.75" customHeight="1">
      <c r="A67" s="211">
        <v>1</v>
      </c>
      <c r="B67" s="71" t="s">
        <v>88</v>
      </c>
      <c r="C67" s="212" t="s">
        <v>86</v>
      </c>
      <c r="D67" s="212" t="s">
        <v>86</v>
      </c>
      <c r="E67" s="200">
        <f t="shared" ref="E67:G76" si="28">+J67+O67</f>
        <v>921275</v>
      </c>
      <c r="F67" s="201">
        <f t="shared" si="28"/>
        <v>953073</v>
      </c>
      <c r="G67" s="201">
        <f t="shared" si="28"/>
        <v>936065</v>
      </c>
      <c r="H67" s="190">
        <f t="shared" ref="H67:H99" si="29">+G67/E67*100</f>
        <v>101.60538384304361</v>
      </c>
      <c r="I67" s="209">
        <f t="shared" ref="I67:I99" si="30">+G67/F67*100</f>
        <v>98.21545673836107</v>
      </c>
      <c r="J67" s="200">
        <v>575621</v>
      </c>
      <c r="K67" s="201">
        <v>583288</v>
      </c>
      <c r="L67" s="201">
        <v>573235</v>
      </c>
      <c r="M67" s="190">
        <f t="shared" ref="M67:M76" si="31">+L67/J67*100</f>
        <v>99.58549114782123</v>
      </c>
      <c r="N67" s="209">
        <f t="shared" ref="N67:N79" si="32">+L67/K67*100</f>
        <v>98.276494630439842</v>
      </c>
      <c r="O67" s="202">
        <v>345654</v>
      </c>
      <c r="P67" s="202">
        <v>369785</v>
      </c>
      <c r="Q67" s="201">
        <v>362830</v>
      </c>
      <c r="R67" s="190">
        <f>+Q67/O67*100</f>
        <v>104.96913098069167</v>
      </c>
      <c r="S67" s="190">
        <f>+Q67/P67*100</f>
        <v>98.119177359817186</v>
      </c>
      <c r="U67" s="4"/>
    </row>
    <row r="68" spans="1:21" ht="18.75" customHeight="1">
      <c r="A68" s="13">
        <v>2</v>
      </c>
      <c r="B68" s="15" t="s">
        <v>89</v>
      </c>
      <c r="C68" s="98" t="s">
        <v>87</v>
      </c>
      <c r="D68" s="98" t="s">
        <v>87</v>
      </c>
      <c r="E68" s="109">
        <f t="shared" si="28"/>
        <v>92851</v>
      </c>
      <c r="F68" s="61">
        <f t="shared" si="28"/>
        <v>113209</v>
      </c>
      <c r="G68" s="61">
        <f t="shared" si="28"/>
        <v>108281</v>
      </c>
      <c r="H68" s="138">
        <f t="shared" si="29"/>
        <v>116.61802242302184</v>
      </c>
      <c r="I68" s="167">
        <f t="shared" si="30"/>
        <v>95.646989196971973</v>
      </c>
      <c r="J68" s="109">
        <v>17419</v>
      </c>
      <c r="K68" s="61">
        <v>19398</v>
      </c>
      <c r="L68" s="61">
        <v>18055</v>
      </c>
      <c r="M68" s="138">
        <f t="shared" si="31"/>
        <v>103.65118548711179</v>
      </c>
      <c r="N68" s="167">
        <f t="shared" si="32"/>
        <v>93.076605835653154</v>
      </c>
      <c r="O68" s="83">
        <v>75432</v>
      </c>
      <c r="P68" s="83">
        <v>93811</v>
      </c>
      <c r="Q68" s="61">
        <v>90226</v>
      </c>
      <c r="R68" s="138">
        <f>+Q68/O68*100</f>
        <v>119.612366104571</v>
      </c>
      <c r="S68" s="138">
        <f>+Q68/P68*100</f>
        <v>96.178486531430224</v>
      </c>
      <c r="U68" s="4"/>
    </row>
    <row r="69" spans="1:21" ht="18.75" customHeight="1">
      <c r="A69" s="13">
        <v>3</v>
      </c>
      <c r="B69" s="15" t="s">
        <v>186</v>
      </c>
      <c r="C69" s="98" t="s">
        <v>187</v>
      </c>
      <c r="D69" s="98" t="s">
        <v>187</v>
      </c>
      <c r="E69" s="109">
        <f>+J69+O69</f>
        <v>345107</v>
      </c>
      <c r="F69" s="61">
        <f>+K69+P69</f>
        <v>357064</v>
      </c>
      <c r="G69" s="61">
        <f>+L69+Q69</f>
        <v>346448</v>
      </c>
      <c r="H69" s="138">
        <f>+G69/E69*100</f>
        <v>100.38857513756602</v>
      </c>
      <c r="I69" s="167">
        <f>+G69/F69*100</f>
        <v>97.02686353146774</v>
      </c>
      <c r="J69" s="109">
        <v>205397</v>
      </c>
      <c r="K69" s="61">
        <v>208058</v>
      </c>
      <c r="L69" s="61">
        <v>202342</v>
      </c>
      <c r="M69" s="138">
        <f t="shared" si="31"/>
        <v>98.512636503941152</v>
      </c>
      <c r="N69" s="167">
        <f>+L69/K69*100</f>
        <v>97.252689153985898</v>
      </c>
      <c r="O69" s="83">
        <v>139710</v>
      </c>
      <c r="P69" s="83">
        <v>149006</v>
      </c>
      <c r="Q69" s="61">
        <v>144106</v>
      </c>
      <c r="R69" s="138">
        <f>+Q69/O69*100</f>
        <v>103.14651778684419</v>
      </c>
      <c r="S69" s="138">
        <f>+Q69/P69*100</f>
        <v>96.711541817108042</v>
      </c>
      <c r="U69" s="4"/>
    </row>
    <row r="70" spans="1:21" ht="18.75">
      <c r="A70" s="26">
        <v>4</v>
      </c>
      <c r="B70" s="41">
        <v>5141</v>
      </c>
      <c r="C70" s="116" t="s">
        <v>76</v>
      </c>
      <c r="D70" s="116" t="s">
        <v>76</v>
      </c>
      <c r="E70" s="200">
        <f t="shared" si="28"/>
        <v>246194</v>
      </c>
      <c r="F70" s="201">
        <f t="shared" si="28"/>
        <v>246955</v>
      </c>
      <c r="G70" s="61">
        <f t="shared" si="28"/>
        <v>101783</v>
      </c>
      <c r="H70" s="190">
        <f t="shared" si="29"/>
        <v>41.342599738417668</v>
      </c>
      <c r="I70" s="209">
        <f t="shared" si="30"/>
        <v>41.215201150007083</v>
      </c>
      <c r="J70" s="200">
        <v>224000</v>
      </c>
      <c r="K70" s="201">
        <v>224000</v>
      </c>
      <c r="L70" s="201">
        <v>83707</v>
      </c>
      <c r="M70" s="135">
        <f t="shared" si="31"/>
        <v>37.369196428571428</v>
      </c>
      <c r="N70" s="165">
        <f t="shared" si="32"/>
        <v>37.369196428571428</v>
      </c>
      <c r="O70" s="202">
        <v>22194</v>
      </c>
      <c r="P70" s="202">
        <v>22955</v>
      </c>
      <c r="Q70" s="201">
        <v>18076</v>
      </c>
      <c r="R70" s="138">
        <f t="shared" ref="R70:R82" si="33">+Q70/O70*100</f>
        <v>81.44543570334325</v>
      </c>
      <c r="S70" s="138">
        <f t="shared" ref="S70:S84" si="34">+Q70/P70*100</f>
        <v>78.745371378784583</v>
      </c>
      <c r="U70" s="4"/>
    </row>
    <row r="71" spans="1:21" ht="18.75" customHeight="1">
      <c r="A71" s="13">
        <v>5</v>
      </c>
      <c r="B71" s="15" t="s">
        <v>188</v>
      </c>
      <c r="C71" s="98" t="s">
        <v>189</v>
      </c>
      <c r="D71" s="98" t="s">
        <v>189</v>
      </c>
      <c r="E71" s="109">
        <f t="shared" si="28"/>
        <v>1739248</v>
      </c>
      <c r="F71" s="61">
        <f t="shared" si="28"/>
        <v>1782338</v>
      </c>
      <c r="G71" s="61">
        <f t="shared" si="28"/>
        <v>1621155</v>
      </c>
      <c r="H71" s="138">
        <f>+G71/E71*100</f>
        <v>93.210111496462844</v>
      </c>
      <c r="I71" s="167">
        <f>+G71/F71*100</f>
        <v>90.956653564026581</v>
      </c>
      <c r="J71" s="109">
        <v>1370516</v>
      </c>
      <c r="K71" s="61">
        <v>1357566</v>
      </c>
      <c r="L71" s="61">
        <v>1245177</v>
      </c>
      <c r="M71" s="138">
        <f t="shared" si="31"/>
        <v>90.854612423350034</v>
      </c>
      <c r="N71" s="167">
        <f>+L71/K71*100</f>
        <v>91.721286478889425</v>
      </c>
      <c r="O71" s="83">
        <v>368732</v>
      </c>
      <c r="P71" s="83">
        <v>424772</v>
      </c>
      <c r="Q71" s="61">
        <v>375978</v>
      </c>
      <c r="R71" s="138">
        <f>+Q71/O71*100</f>
        <v>101.96511287330637</v>
      </c>
      <c r="S71" s="138">
        <f>+Q71/P71*100</f>
        <v>88.512896330266585</v>
      </c>
      <c r="U71" s="4"/>
    </row>
    <row r="72" spans="1:21" ht="18.75" customHeight="1">
      <c r="A72" s="13">
        <v>6</v>
      </c>
      <c r="B72" s="283">
        <v>5171</v>
      </c>
      <c r="C72" s="284" t="s">
        <v>190</v>
      </c>
      <c r="D72" s="284" t="s">
        <v>190</v>
      </c>
      <c r="E72" s="119">
        <f t="shared" si="28"/>
        <v>343038</v>
      </c>
      <c r="F72" s="68">
        <f t="shared" si="28"/>
        <v>440410</v>
      </c>
      <c r="G72" s="61">
        <f t="shared" si="28"/>
        <v>350274</v>
      </c>
      <c r="H72" s="147">
        <f>+G72/E72*100</f>
        <v>102.1093872982002</v>
      </c>
      <c r="I72" s="174">
        <f>+G72/F72*100</f>
        <v>79.533616402897295</v>
      </c>
      <c r="J72" s="119">
        <v>224458</v>
      </c>
      <c r="K72" s="68">
        <v>248226</v>
      </c>
      <c r="L72" s="68">
        <v>206520</v>
      </c>
      <c r="M72" s="138">
        <f t="shared" si="31"/>
        <v>92.008304448939228</v>
      </c>
      <c r="N72" s="167">
        <f>+L72/K72*100</f>
        <v>83.198375673781158</v>
      </c>
      <c r="O72" s="85">
        <v>118580</v>
      </c>
      <c r="P72" s="85">
        <v>192184</v>
      </c>
      <c r="Q72" s="68">
        <v>143754</v>
      </c>
      <c r="R72" s="138">
        <f>+Q72/O72*100</f>
        <v>121.2295496711081</v>
      </c>
      <c r="S72" s="138">
        <f>+Q72/P72*100</f>
        <v>74.800191483161967</v>
      </c>
      <c r="U72" s="4"/>
    </row>
    <row r="73" spans="1:21" ht="18.75" customHeight="1">
      <c r="A73" s="13">
        <v>7</v>
      </c>
      <c r="B73" s="19" t="s">
        <v>193</v>
      </c>
      <c r="C73" s="117" t="s">
        <v>127</v>
      </c>
      <c r="D73" s="117" t="s">
        <v>127</v>
      </c>
      <c r="E73" s="118">
        <f t="shared" si="28"/>
        <v>1741000</v>
      </c>
      <c r="F73" s="37">
        <f t="shared" si="28"/>
        <v>1744296</v>
      </c>
      <c r="G73" s="61">
        <f t="shared" si="28"/>
        <v>1744296</v>
      </c>
      <c r="H73" s="146">
        <f t="shared" si="29"/>
        <v>100.18931648477887</v>
      </c>
      <c r="I73" s="173">
        <f t="shared" si="30"/>
        <v>100</v>
      </c>
      <c r="J73" s="118">
        <v>1741000</v>
      </c>
      <c r="K73" s="37">
        <v>1744296</v>
      </c>
      <c r="L73" s="37">
        <v>1744296</v>
      </c>
      <c r="M73" s="138">
        <f t="shared" si="31"/>
        <v>100.18931648477887</v>
      </c>
      <c r="N73" s="167">
        <f t="shared" si="32"/>
        <v>100</v>
      </c>
      <c r="O73" s="91"/>
      <c r="P73" s="91"/>
      <c r="Q73" s="37"/>
      <c r="R73" s="138"/>
      <c r="S73" s="138"/>
      <c r="U73" s="4"/>
    </row>
    <row r="74" spans="1:21" ht="18.75" customHeight="1">
      <c r="A74" s="26">
        <v>8</v>
      </c>
      <c r="B74" s="19">
        <v>5213</v>
      </c>
      <c r="C74" s="97" t="s">
        <v>128</v>
      </c>
      <c r="D74" s="97" t="s">
        <v>128</v>
      </c>
      <c r="E74" s="119">
        <f t="shared" si="28"/>
        <v>94677</v>
      </c>
      <c r="F74" s="68">
        <f t="shared" si="28"/>
        <v>139789</v>
      </c>
      <c r="G74" s="61">
        <f t="shared" si="28"/>
        <v>101040</v>
      </c>
      <c r="H74" s="147">
        <f t="shared" si="29"/>
        <v>106.72074527076269</v>
      </c>
      <c r="I74" s="174">
        <f t="shared" si="30"/>
        <v>72.280365407864707</v>
      </c>
      <c r="J74" s="119">
        <f>1834012-J73</f>
        <v>93012</v>
      </c>
      <c r="K74" s="68">
        <f>1882208-K73</f>
        <v>137912</v>
      </c>
      <c r="L74" s="68">
        <f>1843570-L73</f>
        <v>99274</v>
      </c>
      <c r="M74" s="138">
        <f t="shared" si="31"/>
        <v>106.73246462822001</v>
      </c>
      <c r="N74" s="167">
        <f t="shared" si="32"/>
        <v>71.983583734555367</v>
      </c>
      <c r="O74" s="85">
        <v>1665</v>
      </c>
      <c r="P74" s="85">
        <v>1877</v>
      </c>
      <c r="Q74" s="68">
        <v>1766</v>
      </c>
      <c r="R74" s="138">
        <f t="shared" si="33"/>
        <v>106.06606606606606</v>
      </c>
      <c r="S74" s="138">
        <f t="shared" si="34"/>
        <v>94.086307938199255</v>
      </c>
      <c r="U74" s="4"/>
    </row>
    <row r="75" spans="1:21" ht="18.75">
      <c r="A75" s="13">
        <v>9</v>
      </c>
      <c r="B75" s="19" t="s">
        <v>25</v>
      </c>
      <c r="C75" s="117" t="s">
        <v>129</v>
      </c>
      <c r="D75" s="117" t="s">
        <v>129</v>
      </c>
      <c r="E75" s="119">
        <f t="shared" si="28"/>
        <v>117</v>
      </c>
      <c r="F75" s="68">
        <f t="shared" si="28"/>
        <v>7146</v>
      </c>
      <c r="G75" s="60">
        <f t="shared" si="28"/>
        <v>3308</v>
      </c>
      <c r="H75" s="147">
        <f t="shared" si="29"/>
        <v>2827.3504273504273</v>
      </c>
      <c r="I75" s="167">
        <f t="shared" si="30"/>
        <v>46.291631682059894</v>
      </c>
      <c r="J75" s="119"/>
      <c r="K75" s="68">
        <f>1264+5680</f>
        <v>6944</v>
      </c>
      <c r="L75" s="68">
        <f>1154+1954</f>
        <v>3108</v>
      </c>
      <c r="M75" s="138"/>
      <c r="N75" s="167">
        <f t="shared" si="32"/>
        <v>44.758064516129032</v>
      </c>
      <c r="O75" s="85">
        <v>117</v>
      </c>
      <c r="P75" s="85">
        <v>202</v>
      </c>
      <c r="Q75" s="68">
        <v>200</v>
      </c>
      <c r="R75" s="138">
        <f t="shared" si="33"/>
        <v>170.94017094017093</v>
      </c>
      <c r="S75" s="138">
        <f t="shared" si="34"/>
        <v>99.009900990099013</v>
      </c>
      <c r="U75" s="4"/>
    </row>
    <row r="76" spans="1:21" ht="18.75">
      <c r="A76" s="26">
        <v>10</v>
      </c>
      <c r="B76" s="19" t="s">
        <v>24</v>
      </c>
      <c r="C76" s="117" t="s">
        <v>130</v>
      </c>
      <c r="D76" s="117" t="s">
        <v>130</v>
      </c>
      <c r="E76" s="119">
        <f t="shared" si="28"/>
        <v>460766</v>
      </c>
      <c r="F76" s="68">
        <f t="shared" si="28"/>
        <v>550946</v>
      </c>
      <c r="G76" s="61">
        <f t="shared" si="28"/>
        <v>389989</v>
      </c>
      <c r="H76" s="147">
        <f t="shared" si="29"/>
        <v>84.639274599254293</v>
      </c>
      <c r="I76" s="167">
        <f t="shared" si="30"/>
        <v>70.785340124077507</v>
      </c>
      <c r="J76" s="119">
        <v>448017</v>
      </c>
      <c r="K76" s="68">
        <v>537768</v>
      </c>
      <c r="L76" s="68">
        <v>377236</v>
      </c>
      <c r="M76" s="138">
        <f t="shared" si="31"/>
        <v>84.201269148268935</v>
      </c>
      <c r="N76" s="167">
        <f t="shared" si="32"/>
        <v>70.148465509290247</v>
      </c>
      <c r="O76" s="85">
        <v>12749</v>
      </c>
      <c r="P76" s="85">
        <v>13178</v>
      </c>
      <c r="Q76" s="68">
        <v>12753</v>
      </c>
      <c r="R76" s="138">
        <f t="shared" si="33"/>
        <v>100.03137500980471</v>
      </c>
      <c r="S76" s="138">
        <f t="shared" si="34"/>
        <v>96.774927910153281</v>
      </c>
      <c r="U76" s="4"/>
    </row>
    <row r="77" spans="1:21" ht="18.75" hidden="1">
      <c r="A77" s="26">
        <v>11</v>
      </c>
      <c r="B77" s="19">
        <v>5321</v>
      </c>
      <c r="C77" s="117" t="s">
        <v>166</v>
      </c>
      <c r="D77" s="117" t="s">
        <v>166</v>
      </c>
      <c r="E77" s="120" t="s">
        <v>51</v>
      </c>
      <c r="F77" s="69" t="s">
        <v>51</v>
      </c>
      <c r="G77" s="69" t="s">
        <v>51</v>
      </c>
      <c r="H77" s="147"/>
      <c r="I77" s="167"/>
      <c r="J77" s="119"/>
      <c r="K77" s="68"/>
      <c r="L77" s="68"/>
      <c r="M77" s="138"/>
      <c r="N77" s="167"/>
      <c r="O77" s="85"/>
      <c r="P77" s="85">
        <v>1396</v>
      </c>
      <c r="Q77" s="68">
        <v>1396</v>
      </c>
      <c r="R77" s="138"/>
      <c r="S77" s="138">
        <f t="shared" si="34"/>
        <v>100</v>
      </c>
    </row>
    <row r="78" spans="1:21" ht="18.75" hidden="1">
      <c r="A78" s="13">
        <v>12</v>
      </c>
      <c r="B78" s="19">
        <v>5321</v>
      </c>
      <c r="C78" s="117" t="s">
        <v>131</v>
      </c>
      <c r="D78" s="117" t="s">
        <v>131</v>
      </c>
      <c r="E78" s="120" t="s">
        <v>51</v>
      </c>
      <c r="F78" s="69" t="s">
        <v>51</v>
      </c>
      <c r="G78" s="69" t="s">
        <v>51</v>
      </c>
      <c r="H78" s="175"/>
      <c r="I78" s="288"/>
      <c r="J78" s="119">
        <v>974958</v>
      </c>
      <c r="K78" s="68">
        <v>1015067</v>
      </c>
      <c r="L78" s="68">
        <v>1014967</v>
      </c>
      <c r="M78" s="138">
        <f>+L78/J78*100</f>
        <v>104.10366395270361</v>
      </c>
      <c r="N78" s="167">
        <f t="shared" si="32"/>
        <v>99.990148433551667</v>
      </c>
      <c r="O78" s="85">
        <v>390</v>
      </c>
      <c r="P78" s="85">
        <v>604</v>
      </c>
      <c r="Q78" s="68">
        <v>604</v>
      </c>
      <c r="R78" s="138">
        <f t="shared" si="33"/>
        <v>154.87179487179489</v>
      </c>
      <c r="S78" s="138">
        <f t="shared" si="34"/>
        <v>100</v>
      </c>
      <c r="U78" s="4"/>
    </row>
    <row r="79" spans="1:21" ht="18.75">
      <c r="A79" s="26">
        <v>11</v>
      </c>
      <c r="B79" s="19">
        <v>5321</v>
      </c>
      <c r="C79" s="117" t="s">
        <v>132</v>
      </c>
      <c r="D79" s="117" t="s">
        <v>132</v>
      </c>
      <c r="E79" s="119">
        <f t="shared" ref="E79:G83" si="35">+J79+O79</f>
        <v>15</v>
      </c>
      <c r="F79" s="68">
        <f t="shared" si="35"/>
        <v>1692</v>
      </c>
      <c r="G79" s="68">
        <f t="shared" si="35"/>
        <v>1691</v>
      </c>
      <c r="H79" s="147">
        <f>+G79/E79*100</f>
        <v>11273.333333333334</v>
      </c>
      <c r="I79" s="167">
        <f>+G79/F79*100</f>
        <v>99.940898345153656</v>
      </c>
      <c r="J79" s="119"/>
      <c r="K79" s="68">
        <v>1232</v>
      </c>
      <c r="L79" s="68">
        <v>1231</v>
      </c>
      <c r="M79" s="138"/>
      <c r="N79" s="167">
        <f t="shared" si="32"/>
        <v>99.918831168831161</v>
      </c>
      <c r="O79" s="85">
        <v>15</v>
      </c>
      <c r="P79" s="85">
        <f>395+65</f>
        <v>460</v>
      </c>
      <c r="Q79" s="68">
        <v>460</v>
      </c>
      <c r="R79" s="138">
        <f t="shared" si="33"/>
        <v>3066.666666666667</v>
      </c>
      <c r="S79" s="138">
        <f t="shared" si="34"/>
        <v>100</v>
      </c>
    </row>
    <row r="80" spans="1:21" ht="18.75">
      <c r="A80" s="13">
        <v>12</v>
      </c>
      <c r="B80" s="23">
        <v>5331</v>
      </c>
      <c r="C80" s="117" t="s">
        <v>17</v>
      </c>
      <c r="D80" s="117" t="s">
        <v>17</v>
      </c>
      <c r="E80" s="119">
        <f t="shared" si="35"/>
        <v>1491798</v>
      </c>
      <c r="F80" s="68">
        <f t="shared" si="35"/>
        <v>1552360</v>
      </c>
      <c r="G80" s="68">
        <f t="shared" si="35"/>
        <v>1551269</v>
      </c>
      <c r="H80" s="147">
        <f t="shared" si="29"/>
        <v>103.98653168860663</v>
      </c>
      <c r="I80" s="167">
        <f t="shared" si="30"/>
        <v>99.929719910330078</v>
      </c>
      <c r="J80" s="119">
        <v>1124363</v>
      </c>
      <c r="K80" s="68">
        <v>1157312</v>
      </c>
      <c r="L80" s="68">
        <v>1157020</v>
      </c>
      <c r="M80" s="138">
        <f>+L80/J80*100</f>
        <v>102.90448903067781</v>
      </c>
      <c r="N80" s="167">
        <f>+L80/K80*100</f>
        <v>99.974769120168119</v>
      </c>
      <c r="O80" s="85">
        <v>367435</v>
      </c>
      <c r="P80" s="85">
        <v>395048</v>
      </c>
      <c r="Q80" s="68">
        <v>394249</v>
      </c>
      <c r="R80" s="138">
        <f t="shared" si="33"/>
        <v>107.29761726563882</v>
      </c>
      <c r="S80" s="138">
        <f t="shared" si="34"/>
        <v>99.79774609667686</v>
      </c>
    </row>
    <row r="81" spans="1:21" ht="18.75">
      <c r="A81" s="26">
        <v>13</v>
      </c>
      <c r="B81" s="19" t="s">
        <v>26</v>
      </c>
      <c r="C81" s="117" t="s">
        <v>77</v>
      </c>
      <c r="D81" s="117" t="s">
        <v>77</v>
      </c>
      <c r="E81" s="119">
        <f t="shared" si="35"/>
        <v>12287</v>
      </c>
      <c r="F81" s="68">
        <f t="shared" si="35"/>
        <v>94098</v>
      </c>
      <c r="G81" s="68">
        <f t="shared" si="35"/>
        <v>93926</v>
      </c>
      <c r="H81" s="147">
        <f t="shared" si="29"/>
        <v>764.43395458614805</v>
      </c>
      <c r="I81" s="167">
        <f t="shared" si="30"/>
        <v>99.817211842972213</v>
      </c>
      <c r="J81" s="119">
        <f>980+0+10777</f>
        <v>11757</v>
      </c>
      <c r="K81" s="68">
        <f>1715+73293+10582</f>
        <v>85590</v>
      </c>
      <c r="L81" s="68">
        <f>1595+73293+10562</f>
        <v>85450</v>
      </c>
      <c r="M81" s="138">
        <f>+L81/J81*100</f>
        <v>726.80105469082253</v>
      </c>
      <c r="N81" s="167">
        <f>+L81/K81*100</f>
        <v>99.836429489426337</v>
      </c>
      <c r="O81" s="85">
        <f>20+510</f>
        <v>530</v>
      </c>
      <c r="P81" s="85">
        <f>10+20+7310+1168</f>
        <v>8508</v>
      </c>
      <c r="Q81" s="68">
        <f>10+20+7310+1136</f>
        <v>8476</v>
      </c>
      <c r="R81" s="138">
        <f t="shared" si="33"/>
        <v>1599.2452830188679</v>
      </c>
      <c r="S81" s="138">
        <f t="shared" si="34"/>
        <v>99.623883403855189</v>
      </c>
    </row>
    <row r="82" spans="1:21" ht="18.75">
      <c r="A82" s="13">
        <v>14</v>
      </c>
      <c r="B82" s="19">
        <v>5362</v>
      </c>
      <c r="C82" s="117" t="s">
        <v>71</v>
      </c>
      <c r="D82" s="117" t="s">
        <v>71</v>
      </c>
      <c r="E82" s="194">
        <f>+J82+O82</f>
        <v>360030</v>
      </c>
      <c r="F82" s="68">
        <f>+K82+P82</f>
        <v>319693</v>
      </c>
      <c r="G82" s="68">
        <f t="shared" si="35"/>
        <v>319693</v>
      </c>
      <c r="H82" s="147">
        <f t="shared" si="29"/>
        <v>88.79621142682555</v>
      </c>
      <c r="I82" s="167">
        <f t="shared" si="30"/>
        <v>100</v>
      </c>
      <c r="J82" s="119">
        <v>350000</v>
      </c>
      <c r="K82" s="68">
        <v>294186</v>
      </c>
      <c r="L82" s="61">
        <v>294186</v>
      </c>
      <c r="M82" s="138">
        <f>+L82/J82*100</f>
        <v>84.053142857142859</v>
      </c>
      <c r="N82" s="167">
        <f>+L82/K82*100</f>
        <v>100</v>
      </c>
      <c r="O82" s="83">
        <v>10030</v>
      </c>
      <c r="P82" s="83">
        <v>25507</v>
      </c>
      <c r="Q82" s="61">
        <v>25507</v>
      </c>
      <c r="R82" s="138">
        <f t="shared" si="33"/>
        <v>254.30707876370886</v>
      </c>
      <c r="S82" s="138">
        <f t="shared" si="34"/>
        <v>100</v>
      </c>
      <c r="T82" s="266"/>
    </row>
    <row r="83" spans="1:21" ht="18.75">
      <c r="A83" s="26">
        <v>15</v>
      </c>
      <c r="B83" s="19">
        <v>5366</v>
      </c>
      <c r="C83" s="117" t="s">
        <v>179</v>
      </c>
      <c r="D83" s="117" t="s">
        <v>179</v>
      </c>
      <c r="E83" s="194">
        <f>+J83+O83</f>
        <v>0</v>
      </c>
      <c r="F83" s="68">
        <f>+K83+P83</f>
        <v>7637</v>
      </c>
      <c r="G83" s="68">
        <f t="shared" si="35"/>
        <v>7637</v>
      </c>
      <c r="H83" s="147"/>
      <c r="I83" s="167">
        <f t="shared" si="30"/>
        <v>100</v>
      </c>
      <c r="J83" s="119"/>
      <c r="K83" s="68">
        <v>7437</v>
      </c>
      <c r="L83" s="68">
        <v>7437</v>
      </c>
      <c r="M83" s="138"/>
      <c r="N83" s="167">
        <f>+L83/K83*100</f>
        <v>100</v>
      </c>
      <c r="O83" s="85"/>
      <c r="P83" s="85">
        <v>200</v>
      </c>
      <c r="Q83" s="68">
        <v>200</v>
      </c>
      <c r="R83" s="138"/>
      <c r="S83" s="138">
        <f t="shared" si="34"/>
        <v>100</v>
      </c>
    </row>
    <row r="84" spans="1:21" ht="18.75" hidden="1">
      <c r="A84" s="13">
        <v>18</v>
      </c>
      <c r="B84" s="19">
        <v>5367</v>
      </c>
      <c r="C84" s="117" t="s">
        <v>180</v>
      </c>
      <c r="D84" s="117" t="s">
        <v>180</v>
      </c>
      <c r="E84" s="195" t="s">
        <v>51</v>
      </c>
      <c r="F84" s="69" t="s">
        <v>51</v>
      </c>
      <c r="G84" s="196" t="s">
        <v>51</v>
      </c>
      <c r="H84" s="175"/>
      <c r="I84" s="288"/>
      <c r="J84" s="119"/>
      <c r="K84" s="68"/>
      <c r="L84" s="68"/>
      <c r="M84" s="138"/>
      <c r="N84" s="167"/>
      <c r="O84" s="85"/>
      <c r="P84" s="85">
        <v>7624</v>
      </c>
      <c r="Q84" s="68">
        <v>7625</v>
      </c>
      <c r="R84" s="138"/>
      <c r="S84" s="138">
        <f t="shared" si="34"/>
        <v>100.01311647429172</v>
      </c>
    </row>
    <row r="85" spans="1:21" ht="18.75" hidden="1">
      <c r="A85" s="26">
        <v>19</v>
      </c>
      <c r="B85" s="19">
        <v>5367</v>
      </c>
      <c r="C85" s="117" t="s">
        <v>181</v>
      </c>
      <c r="D85" s="117" t="s">
        <v>181</v>
      </c>
      <c r="E85" s="195" t="s">
        <v>51</v>
      </c>
      <c r="F85" s="69" t="s">
        <v>51</v>
      </c>
      <c r="G85" s="196" t="s">
        <v>51</v>
      </c>
      <c r="H85" s="175"/>
      <c r="I85" s="288"/>
      <c r="J85" s="119"/>
      <c r="K85" s="68">
        <v>205267</v>
      </c>
      <c r="L85" s="68">
        <v>205267</v>
      </c>
      <c r="M85" s="138"/>
      <c r="N85" s="167">
        <f>+L85/K85*100</f>
        <v>100</v>
      </c>
      <c r="O85" s="85"/>
      <c r="P85" s="85"/>
      <c r="Q85" s="68"/>
      <c r="R85" s="138"/>
      <c r="S85" s="138"/>
    </row>
    <row r="86" spans="1:21" ht="18.75" hidden="1">
      <c r="A86" s="13">
        <v>20</v>
      </c>
      <c r="B86" s="19">
        <v>5641</v>
      </c>
      <c r="C86" s="117" t="s">
        <v>133</v>
      </c>
      <c r="D86" s="117" t="s">
        <v>133</v>
      </c>
      <c r="E86" s="195" t="s">
        <v>51</v>
      </c>
      <c r="F86" s="69" t="s">
        <v>51</v>
      </c>
      <c r="G86" s="196" t="s">
        <v>51</v>
      </c>
      <c r="H86" s="175"/>
      <c r="I86" s="176"/>
      <c r="J86" s="119"/>
      <c r="K86" s="68"/>
      <c r="L86" s="68"/>
      <c r="M86" s="138"/>
      <c r="N86" s="167"/>
      <c r="O86" s="85"/>
      <c r="P86" s="85"/>
      <c r="Q86" s="68"/>
      <c r="R86" s="138"/>
      <c r="S86" s="138"/>
    </row>
    <row r="87" spans="1:21" ht="18.75">
      <c r="A87" s="26">
        <v>16</v>
      </c>
      <c r="B87" s="19">
        <v>5901</v>
      </c>
      <c r="C87" s="97" t="s">
        <v>13</v>
      </c>
      <c r="D87" s="97" t="s">
        <v>192</v>
      </c>
      <c r="E87" s="194">
        <f t="shared" ref="E87:G88" si="36">+J87+O87</f>
        <v>16247</v>
      </c>
      <c r="F87" s="61">
        <f t="shared" si="36"/>
        <v>62494</v>
      </c>
      <c r="G87" s="61">
        <f t="shared" si="36"/>
        <v>0</v>
      </c>
      <c r="H87" s="147"/>
      <c r="I87" s="174"/>
      <c r="J87" s="119">
        <v>7611</v>
      </c>
      <c r="K87" s="68">
        <v>6511</v>
      </c>
      <c r="L87" s="68"/>
      <c r="M87" s="138"/>
      <c r="N87" s="167"/>
      <c r="O87" s="85">
        <v>8636</v>
      </c>
      <c r="P87" s="85">
        <v>55983</v>
      </c>
      <c r="Q87" s="68"/>
      <c r="R87" s="147"/>
      <c r="S87" s="147"/>
    </row>
    <row r="88" spans="1:21" ht="18.75">
      <c r="A88" s="13">
        <v>17</v>
      </c>
      <c r="B88" s="19" t="s">
        <v>74</v>
      </c>
      <c r="C88" s="97" t="s">
        <v>27</v>
      </c>
      <c r="D88" s="97" t="s">
        <v>27</v>
      </c>
      <c r="E88" s="119">
        <f t="shared" si="36"/>
        <v>458522</v>
      </c>
      <c r="F88" s="68">
        <f t="shared" si="36"/>
        <v>595047</v>
      </c>
      <c r="G88" s="68">
        <f t="shared" si="36"/>
        <v>404333</v>
      </c>
      <c r="H88" s="147">
        <f t="shared" si="29"/>
        <v>88.181810251198414</v>
      </c>
      <c r="I88" s="174">
        <f t="shared" si="30"/>
        <v>67.949758590497893</v>
      </c>
      <c r="J88" s="119">
        <f>7675101-SUM(J67:J87)</f>
        <v>306972</v>
      </c>
      <c r="K88" s="68">
        <f>8156725-SUM(K67:K87)</f>
        <v>316667</v>
      </c>
      <c r="L88" s="68">
        <f>26088214-33304-272508-17296971-943550-SUM(L67:L87)</f>
        <v>223373</v>
      </c>
      <c r="M88" s="138">
        <f>+L88/J88*100</f>
        <v>72.766571543984469</v>
      </c>
      <c r="N88" s="167">
        <f>+L88/K88*100</f>
        <v>70.538767853928576</v>
      </c>
      <c r="O88" s="85">
        <f>1623419-SUM(O67:O87)</f>
        <v>151550</v>
      </c>
      <c r="P88" s="85">
        <f>2041480-SUM(P67:P87)</f>
        <v>278380</v>
      </c>
      <c r="Q88" s="68">
        <f>4274791-14039-44083-2433871-13632-SUM(Q67:Q87)</f>
        <v>180960</v>
      </c>
      <c r="R88" s="147">
        <f>+Q88/O88*100</f>
        <v>119.40613658858463</v>
      </c>
      <c r="S88" s="147">
        <f>+Q88/P88*100</f>
        <v>65.004669875709467</v>
      </c>
    </row>
    <row r="89" spans="1:21" ht="19.5" thickBot="1">
      <c r="A89" s="26">
        <v>18</v>
      </c>
      <c r="B89" s="17" t="s">
        <v>45</v>
      </c>
      <c r="C89" s="53" t="s">
        <v>182</v>
      </c>
      <c r="D89" s="290" t="s">
        <v>250</v>
      </c>
      <c r="E89" s="111">
        <f>SUM(E67:E88)</f>
        <v>8323172</v>
      </c>
      <c r="F89" s="64">
        <f>SUM(F67:F88)</f>
        <v>8968247</v>
      </c>
      <c r="G89" s="64">
        <f>SUM(G67:G88)</f>
        <v>8081188</v>
      </c>
      <c r="H89" s="136">
        <f t="shared" si="29"/>
        <v>97.092646889911677</v>
      </c>
      <c r="I89" s="168">
        <f t="shared" si="30"/>
        <v>90.108891960714288</v>
      </c>
      <c r="J89" s="111">
        <f>SUM(J67:J88)</f>
        <v>7675101</v>
      </c>
      <c r="K89" s="64">
        <f>SUM(K67:K88)</f>
        <v>8156725</v>
      </c>
      <c r="L89" s="64">
        <f>SUM(L67:L88)</f>
        <v>7541881</v>
      </c>
      <c r="M89" s="136">
        <f>+L89/J89*100</f>
        <v>98.264257369381852</v>
      </c>
      <c r="N89" s="168">
        <f>+L89/K89*100</f>
        <v>92.462121746166503</v>
      </c>
      <c r="O89" s="87">
        <f>SUM(O67:O88)</f>
        <v>1623419</v>
      </c>
      <c r="P89" s="64">
        <f>SUM(P67:P88)</f>
        <v>2041480</v>
      </c>
      <c r="Q89" s="64">
        <f>SUM(Q67:Q88)</f>
        <v>1769166</v>
      </c>
      <c r="R89" s="136">
        <f>+Q89/O89*100</f>
        <v>108.97778084400885</v>
      </c>
      <c r="S89" s="136">
        <f>+Q89/P89*100</f>
        <v>86.660951858455633</v>
      </c>
    </row>
    <row r="90" spans="1:21" ht="18.75">
      <c r="A90" s="13">
        <v>19</v>
      </c>
      <c r="B90" s="39" t="s">
        <v>28</v>
      </c>
      <c r="C90" s="54" t="s">
        <v>134</v>
      </c>
      <c r="D90" s="54" t="s">
        <v>134</v>
      </c>
      <c r="E90" s="194">
        <f t="shared" ref="E90:G91" si="37">+J90+O90</f>
        <v>7909</v>
      </c>
      <c r="F90" s="61">
        <f t="shared" si="37"/>
        <v>13629</v>
      </c>
      <c r="G90" s="68">
        <f t="shared" si="37"/>
        <v>4627</v>
      </c>
      <c r="H90" s="138">
        <f t="shared" si="29"/>
        <v>58.50297129852067</v>
      </c>
      <c r="I90" s="167">
        <f t="shared" si="30"/>
        <v>33.949666153055986</v>
      </c>
      <c r="J90" s="108">
        <v>7909</v>
      </c>
      <c r="K90" s="70">
        <v>2529</v>
      </c>
      <c r="L90" s="70">
        <v>2527</v>
      </c>
      <c r="M90" s="138">
        <f>+L90/J90*100</f>
        <v>31.95094196485017</v>
      </c>
      <c r="N90" s="167">
        <f>+L90/K90*100</f>
        <v>99.920917358639784</v>
      </c>
      <c r="O90" s="90"/>
      <c r="P90" s="70">
        <v>11100</v>
      </c>
      <c r="Q90" s="70">
        <v>2100</v>
      </c>
      <c r="R90" s="137"/>
      <c r="S90" s="147">
        <f>+Q90/P90*100</f>
        <v>18.918918918918919</v>
      </c>
      <c r="U90" s="264"/>
    </row>
    <row r="91" spans="1:21" ht="18.75">
      <c r="A91" s="26">
        <v>20</v>
      </c>
      <c r="B91" s="39" t="s">
        <v>29</v>
      </c>
      <c r="C91" s="55" t="s">
        <v>18</v>
      </c>
      <c r="D91" s="55" t="s">
        <v>18</v>
      </c>
      <c r="E91" s="109">
        <f t="shared" si="37"/>
        <v>900</v>
      </c>
      <c r="F91" s="61">
        <f t="shared" si="37"/>
        <v>1311</v>
      </c>
      <c r="G91" s="61">
        <f t="shared" si="37"/>
        <v>911</v>
      </c>
      <c r="H91" s="138">
        <f t="shared" si="29"/>
        <v>101.22222222222221</v>
      </c>
      <c r="I91" s="167">
        <f t="shared" si="30"/>
        <v>69.488939740655979</v>
      </c>
      <c r="J91" s="109"/>
      <c r="K91" s="61">
        <v>422</v>
      </c>
      <c r="L91" s="61">
        <v>422</v>
      </c>
      <c r="M91" s="135"/>
      <c r="N91" s="167">
        <f>+L91/K91*100</f>
        <v>100</v>
      </c>
      <c r="O91" s="83">
        <v>900</v>
      </c>
      <c r="P91" s="61">
        <v>889</v>
      </c>
      <c r="Q91" s="61">
        <v>489</v>
      </c>
      <c r="R91" s="147">
        <f>+Q91/O91*100</f>
        <v>54.333333333333336</v>
      </c>
      <c r="S91" s="147">
        <f>+Q91/P91*100</f>
        <v>55.005624296962885</v>
      </c>
      <c r="U91" s="264"/>
    </row>
    <row r="92" spans="1:21" ht="18.75" hidden="1">
      <c r="A92" s="13">
        <v>26</v>
      </c>
      <c r="B92" s="39">
        <v>6341</v>
      </c>
      <c r="C92" s="55" t="s">
        <v>161</v>
      </c>
      <c r="D92" s="55" t="s">
        <v>161</v>
      </c>
      <c r="E92" s="195" t="s">
        <v>51</v>
      </c>
      <c r="F92" s="69" t="s">
        <v>51</v>
      </c>
      <c r="G92" s="196" t="s">
        <v>51</v>
      </c>
      <c r="H92" s="138"/>
      <c r="I92" s="167"/>
      <c r="J92" s="109"/>
      <c r="K92" s="61"/>
      <c r="L92" s="61"/>
      <c r="M92" s="138"/>
      <c r="N92" s="167"/>
      <c r="O92" s="83"/>
      <c r="P92" s="61">
        <v>17308</v>
      </c>
      <c r="Q92" s="61">
        <v>17308</v>
      </c>
      <c r="R92" s="147"/>
      <c r="S92" s="147">
        <f>+Q92/P92*100</f>
        <v>100</v>
      </c>
    </row>
    <row r="93" spans="1:21" ht="18.75" hidden="1">
      <c r="A93" s="26">
        <v>27</v>
      </c>
      <c r="B93" s="39">
        <v>6341</v>
      </c>
      <c r="C93" s="55" t="s">
        <v>14</v>
      </c>
      <c r="D93" s="55" t="s">
        <v>14</v>
      </c>
      <c r="E93" s="195" t="s">
        <v>51</v>
      </c>
      <c r="F93" s="69" t="s">
        <v>51</v>
      </c>
      <c r="G93" s="196" t="s">
        <v>51</v>
      </c>
      <c r="H93" s="138"/>
      <c r="I93" s="167"/>
      <c r="J93" s="109"/>
      <c r="K93" s="61">
        <v>172347</v>
      </c>
      <c r="L93" s="61">
        <v>171452</v>
      </c>
      <c r="M93" s="138"/>
      <c r="N93" s="167">
        <f t="shared" ref="N93:N99" si="38">+L93/K93*100</f>
        <v>99.480698822723923</v>
      </c>
      <c r="O93" s="83"/>
      <c r="P93" s="61"/>
      <c r="Q93" s="61"/>
      <c r="R93" s="147"/>
      <c r="S93" s="147"/>
    </row>
    <row r="94" spans="1:21" ht="18.75">
      <c r="A94" s="26">
        <v>21</v>
      </c>
      <c r="B94" s="39">
        <v>6341</v>
      </c>
      <c r="C94" s="117" t="s">
        <v>197</v>
      </c>
      <c r="D94" s="117" t="s">
        <v>197</v>
      </c>
      <c r="E94" s="109">
        <f t="shared" ref="E94:G95" si="39">+J94+O94</f>
        <v>0</v>
      </c>
      <c r="F94" s="61">
        <f t="shared" si="39"/>
        <v>230</v>
      </c>
      <c r="G94" s="61">
        <f t="shared" si="39"/>
        <v>228</v>
      </c>
      <c r="H94" s="138"/>
      <c r="I94" s="167">
        <f t="shared" ref="I94" si="40">+G94/F94*100</f>
        <v>99.130434782608702</v>
      </c>
      <c r="J94" s="109"/>
      <c r="K94" s="61">
        <v>170</v>
      </c>
      <c r="L94" s="61">
        <v>170</v>
      </c>
      <c r="M94" s="138"/>
      <c r="N94" s="167">
        <f t="shared" si="38"/>
        <v>100</v>
      </c>
      <c r="O94" s="83"/>
      <c r="P94" s="61">
        <v>60</v>
      </c>
      <c r="Q94" s="61">
        <v>58</v>
      </c>
      <c r="R94" s="147"/>
      <c r="S94" s="147">
        <f>+Q94/P94*100</f>
        <v>96.666666666666671</v>
      </c>
    </row>
    <row r="95" spans="1:21" ht="18.75">
      <c r="A95" s="26">
        <v>22</v>
      </c>
      <c r="B95" s="33">
        <v>6351</v>
      </c>
      <c r="C95" s="55" t="s">
        <v>135</v>
      </c>
      <c r="D95" s="55" t="s">
        <v>135</v>
      </c>
      <c r="E95" s="109">
        <f t="shared" si="39"/>
        <v>200</v>
      </c>
      <c r="F95" s="61">
        <f t="shared" si="39"/>
        <v>50964</v>
      </c>
      <c r="G95" s="61">
        <f t="shared" si="39"/>
        <v>50880</v>
      </c>
      <c r="H95" s="138">
        <f t="shared" si="29"/>
        <v>25440</v>
      </c>
      <c r="I95" s="167">
        <f t="shared" si="30"/>
        <v>99.835177772545322</v>
      </c>
      <c r="J95" s="109">
        <v>200</v>
      </c>
      <c r="K95" s="61">
        <v>48247</v>
      </c>
      <c r="L95" s="61">
        <v>48167</v>
      </c>
      <c r="M95" s="138">
        <f>+L95/J95*100</f>
        <v>24083.5</v>
      </c>
      <c r="N95" s="167">
        <f t="shared" si="38"/>
        <v>99.834186581549105</v>
      </c>
      <c r="O95" s="83"/>
      <c r="P95" s="61">
        <v>2717</v>
      </c>
      <c r="Q95" s="61">
        <v>2713</v>
      </c>
      <c r="R95" s="138"/>
      <c r="S95" s="138">
        <f>+Q95/P95*100</f>
        <v>99.85277880014722</v>
      </c>
    </row>
    <row r="96" spans="1:21" ht="18.75" hidden="1">
      <c r="A96" s="13">
        <v>30</v>
      </c>
      <c r="B96" s="33">
        <v>6441</v>
      </c>
      <c r="C96" s="55" t="s">
        <v>78</v>
      </c>
      <c r="D96" s="55" t="s">
        <v>78</v>
      </c>
      <c r="E96" s="121" t="s">
        <v>51</v>
      </c>
      <c r="F96" s="75" t="s">
        <v>51</v>
      </c>
      <c r="G96" s="75" t="s">
        <v>51</v>
      </c>
      <c r="H96" s="138"/>
      <c r="I96" s="167"/>
      <c r="J96" s="109"/>
      <c r="K96" s="61">
        <v>18067</v>
      </c>
      <c r="L96" s="61">
        <v>14146</v>
      </c>
      <c r="M96" s="138"/>
      <c r="N96" s="167">
        <f t="shared" si="38"/>
        <v>78.297448386561129</v>
      </c>
      <c r="O96" s="83"/>
      <c r="P96" s="61"/>
      <c r="Q96" s="61"/>
      <c r="R96" s="138"/>
      <c r="S96" s="138"/>
    </row>
    <row r="97" spans="1:19" ht="18.75">
      <c r="A97" s="13">
        <v>23</v>
      </c>
      <c r="B97" s="39" t="s">
        <v>61</v>
      </c>
      <c r="C97" s="56" t="s">
        <v>36</v>
      </c>
      <c r="D97" s="56" t="s">
        <v>36</v>
      </c>
      <c r="E97" s="109">
        <f t="shared" ref="E97:G97" si="41">+J97+O97</f>
        <v>2928266</v>
      </c>
      <c r="F97" s="61">
        <f t="shared" si="41"/>
        <v>3896515</v>
      </c>
      <c r="G97" s="61">
        <f t="shared" si="41"/>
        <v>2669700</v>
      </c>
      <c r="H97" s="138">
        <f t="shared" si="29"/>
        <v>91.169996168380877</v>
      </c>
      <c r="I97" s="167">
        <f t="shared" si="30"/>
        <v>68.515070518142494</v>
      </c>
      <c r="J97" s="109">
        <f>1993563-J90-J91-J95-J96</f>
        <v>1985454</v>
      </c>
      <c r="K97" s="61">
        <f>2508988-K90-K91-K93-K94-K95-K96</f>
        <v>2267206</v>
      </c>
      <c r="L97" s="61">
        <f>2229927-L90-L91-L93-L94-L95-L96</f>
        <v>1993043</v>
      </c>
      <c r="M97" s="138">
        <f>+L97/J97*100</f>
        <v>100.3822299584881</v>
      </c>
      <c r="N97" s="167">
        <f t="shared" si="38"/>
        <v>87.907450844784279</v>
      </c>
      <c r="O97" s="83">
        <f>943712-O91-O92-O95</f>
        <v>942812</v>
      </c>
      <c r="P97" s="61">
        <f>1661383-P90-P91-P92-P94-P95</f>
        <v>1629309</v>
      </c>
      <c r="Q97" s="61">
        <f>699325-Q90-Q91-Q92-Q94-Q95</f>
        <v>676657</v>
      </c>
      <c r="R97" s="138">
        <f>+Q97/O97*100</f>
        <v>71.770087779960377</v>
      </c>
      <c r="S97" s="138">
        <f>+Q97/P97*100</f>
        <v>41.530305178452956</v>
      </c>
    </row>
    <row r="98" spans="1:19" ht="19.5" thickBot="1">
      <c r="A98" s="211">
        <v>24</v>
      </c>
      <c r="B98" s="40" t="s">
        <v>46</v>
      </c>
      <c r="C98" s="57" t="s">
        <v>183</v>
      </c>
      <c r="D98" s="57" t="s">
        <v>251</v>
      </c>
      <c r="E98" s="114">
        <f>SUM(E90:E97)</f>
        <v>2937275</v>
      </c>
      <c r="F98" s="67">
        <f>SUM(F90:F97)</f>
        <v>3962649</v>
      </c>
      <c r="G98" s="67">
        <f>SUM(G90:G97)</f>
        <v>2726346</v>
      </c>
      <c r="H98" s="141">
        <f t="shared" si="29"/>
        <v>92.818888255270622</v>
      </c>
      <c r="I98" s="170">
        <f t="shared" si="30"/>
        <v>68.801097447692186</v>
      </c>
      <c r="J98" s="114">
        <f>SUM(J90:J97)</f>
        <v>1993563</v>
      </c>
      <c r="K98" s="67">
        <f>SUM(K90:K97)</f>
        <v>2508988</v>
      </c>
      <c r="L98" s="67">
        <f>SUM(L90:L97)</f>
        <v>2229927</v>
      </c>
      <c r="M98" s="187">
        <f>+L98/J98*100</f>
        <v>111.85635969367409</v>
      </c>
      <c r="N98" s="183">
        <f t="shared" si="38"/>
        <v>88.877547441438537</v>
      </c>
      <c r="O98" s="89">
        <f>SUM(O90:O97)</f>
        <v>943712</v>
      </c>
      <c r="P98" s="67">
        <f>SUM(P90:P97)</f>
        <v>1661383</v>
      </c>
      <c r="Q98" s="67">
        <f>SUM(Q90:Q97)</f>
        <v>699325</v>
      </c>
      <c r="R98" s="141">
        <f>+Q98/O98*100</f>
        <v>74.103646027601641</v>
      </c>
      <c r="S98" s="141">
        <f>+Q98/P98*100</f>
        <v>42.092943048050927</v>
      </c>
    </row>
    <row r="99" spans="1:19" ht="19.5" thickBot="1">
      <c r="A99" s="72">
        <v>25</v>
      </c>
      <c r="B99" s="48" t="s">
        <v>48</v>
      </c>
      <c r="C99" s="102" t="s">
        <v>184</v>
      </c>
      <c r="D99" s="102" t="s">
        <v>252</v>
      </c>
      <c r="E99" s="115">
        <f>+E89+E98</f>
        <v>11260447</v>
      </c>
      <c r="F99" s="46">
        <f>+F89+F98</f>
        <v>12930896</v>
      </c>
      <c r="G99" s="46">
        <f>+G89+G98</f>
        <v>10807534</v>
      </c>
      <c r="H99" s="155">
        <f t="shared" si="29"/>
        <v>95.977841732215424</v>
      </c>
      <c r="I99" s="172">
        <f t="shared" si="30"/>
        <v>83.579158010396185</v>
      </c>
      <c r="J99" s="115">
        <f>+J89+J98</f>
        <v>9668664</v>
      </c>
      <c r="K99" s="46">
        <f>+K89+K98</f>
        <v>10665713</v>
      </c>
      <c r="L99" s="46">
        <f>+L89+L98</f>
        <v>9771808</v>
      </c>
      <c r="M99" s="185">
        <f>+L99/J99*100</f>
        <v>101.06678647639427</v>
      </c>
      <c r="N99" s="186">
        <f t="shared" si="38"/>
        <v>91.618891301500426</v>
      </c>
      <c r="O99" s="159">
        <f>+O89+O98</f>
        <v>2567131</v>
      </c>
      <c r="P99" s="46">
        <f>+P89+P98</f>
        <v>3702863</v>
      </c>
      <c r="Q99" s="46">
        <f>+Q89+Q98</f>
        <v>2468491</v>
      </c>
      <c r="R99" s="155">
        <f>+Q99/O99*100</f>
        <v>96.157578245909534</v>
      </c>
      <c r="S99" s="155">
        <f>+Q99/P99*100</f>
        <v>66.664389149693093</v>
      </c>
    </row>
    <row r="100" spans="1:19" ht="19.5" thickBot="1">
      <c r="A100" s="1"/>
      <c r="B100" s="44"/>
      <c r="C100" s="45"/>
      <c r="D100" s="45"/>
      <c r="E100" s="45"/>
      <c r="F100" s="45"/>
      <c r="G100" s="45"/>
      <c r="H100" s="148"/>
      <c r="I100" s="148"/>
      <c r="J100" s="45"/>
      <c r="K100" s="45"/>
      <c r="L100" s="45"/>
      <c r="M100" s="188"/>
      <c r="N100" s="188"/>
      <c r="O100" s="189"/>
      <c r="P100" s="45"/>
      <c r="Q100" s="45"/>
      <c r="R100" s="148"/>
      <c r="S100" s="148"/>
    </row>
    <row r="101" spans="1:19" ht="16.5" thickBot="1">
      <c r="A101" s="24"/>
      <c r="B101" s="11" t="s">
        <v>39</v>
      </c>
      <c r="C101" s="92"/>
      <c r="D101" s="92"/>
      <c r="E101" s="103" t="s">
        <v>62</v>
      </c>
      <c r="F101" s="58"/>
      <c r="G101" s="58"/>
      <c r="H101" s="143"/>
      <c r="I101" s="162"/>
      <c r="J101" s="302" t="s">
        <v>63</v>
      </c>
      <c r="K101" s="303"/>
      <c r="L101" s="303"/>
      <c r="M101" s="303"/>
      <c r="N101" s="304"/>
      <c r="O101" s="58" t="s">
        <v>40</v>
      </c>
      <c r="P101" s="58"/>
      <c r="Q101" s="59"/>
      <c r="R101" s="153"/>
      <c r="S101" s="153"/>
    </row>
    <row r="102" spans="1:19">
      <c r="A102" s="25" t="s">
        <v>1</v>
      </c>
      <c r="B102" s="10" t="s">
        <v>37</v>
      </c>
      <c r="C102" s="93" t="s">
        <v>19</v>
      </c>
      <c r="D102" s="93" t="s">
        <v>19</v>
      </c>
      <c r="E102" s="104" t="s">
        <v>52</v>
      </c>
      <c r="F102" s="34" t="s">
        <v>53</v>
      </c>
      <c r="G102" s="300" t="s">
        <v>23</v>
      </c>
      <c r="H102" s="144" t="s">
        <v>0</v>
      </c>
      <c r="I102" s="163" t="s">
        <v>0</v>
      </c>
      <c r="J102" s="104" t="s">
        <v>52</v>
      </c>
      <c r="K102" s="34" t="s">
        <v>54</v>
      </c>
      <c r="L102" s="300" t="s">
        <v>23</v>
      </c>
      <c r="M102" s="144" t="s">
        <v>0</v>
      </c>
      <c r="N102" s="163" t="s">
        <v>0</v>
      </c>
      <c r="O102" s="80" t="s">
        <v>52</v>
      </c>
      <c r="P102" s="34" t="s">
        <v>54</v>
      </c>
      <c r="Q102" s="300" t="s">
        <v>23</v>
      </c>
      <c r="R102" s="144" t="s">
        <v>0</v>
      </c>
      <c r="S102" s="144" t="s">
        <v>0</v>
      </c>
    </row>
    <row r="103" spans="1:19" ht="16.5" thickBot="1">
      <c r="A103" s="42"/>
      <c r="B103" s="31"/>
      <c r="C103" s="94"/>
      <c r="D103" s="94"/>
      <c r="E103" s="105" t="s">
        <v>22</v>
      </c>
      <c r="F103" s="43" t="s">
        <v>22</v>
      </c>
      <c r="G103" s="301"/>
      <c r="H103" s="145" t="s">
        <v>65</v>
      </c>
      <c r="I103" s="164" t="s">
        <v>66</v>
      </c>
      <c r="J103" s="105" t="s">
        <v>22</v>
      </c>
      <c r="K103" s="43" t="s">
        <v>22</v>
      </c>
      <c r="L103" s="301"/>
      <c r="M103" s="145" t="s">
        <v>65</v>
      </c>
      <c r="N103" s="164" t="s">
        <v>66</v>
      </c>
      <c r="O103" s="81" t="s">
        <v>22</v>
      </c>
      <c r="P103" s="43" t="s">
        <v>22</v>
      </c>
      <c r="Q103" s="301"/>
      <c r="R103" s="145" t="s">
        <v>65</v>
      </c>
      <c r="S103" s="145" t="s">
        <v>66</v>
      </c>
    </row>
    <row r="104" spans="1:19" ht="18.75">
      <c r="A104" s="13">
        <v>1</v>
      </c>
      <c r="B104" s="271" t="s">
        <v>156</v>
      </c>
      <c r="C104" s="117" t="s">
        <v>20</v>
      </c>
      <c r="D104" s="117" t="s">
        <v>20</v>
      </c>
      <c r="E104" s="118">
        <f t="shared" ref="E104:G105" si="42">+J104+O104</f>
        <v>1266551</v>
      </c>
      <c r="F104" s="37">
        <f t="shared" si="42"/>
        <v>1578871</v>
      </c>
      <c r="G104" s="68">
        <f t="shared" si="42"/>
        <v>-940265</v>
      </c>
      <c r="H104" s="147"/>
      <c r="I104" s="174"/>
      <c r="J104" s="118">
        <v>574816</v>
      </c>
      <c r="K104" s="37">
        <v>557396</v>
      </c>
      <c r="L104" s="37">
        <v>-905616</v>
      </c>
      <c r="M104" s="138"/>
      <c r="N104" s="167"/>
      <c r="O104" s="91">
        <f>688020+3715</f>
        <v>691735</v>
      </c>
      <c r="P104" s="91">
        <v>1021475</v>
      </c>
      <c r="Q104" s="37">
        <f>-40411+5762</f>
        <v>-34649</v>
      </c>
      <c r="R104" s="138">
        <f>+Q104/O104*100</f>
        <v>-5.0089991109312093</v>
      </c>
      <c r="S104" s="138">
        <f>+Q104/P104*100</f>
        <v>-3.3920556058640692</v>
      </c>
    </row>
    <row r="105" spans="1:19" ht="18.75">
      <c r="A105" s="13">
        <v>2</v>
      </c>
      <c r="B105" s="15" t="s">
        <v>80</v>
      </c>
      <c r="C105" s="117" t="s">
        <v>21</v>
      </c>
      <c r="D105" s="117" t="s">
        <v>21</v>
      </c>
      <c r="E105" s="118">
        <f t="shared" si="42"/>
        <v>0</v>
      </c>
      <c r="F105" s="37">
        <f t="shared" si="42"/>
        <v>0</v>
      </c>
      <c r="G105" s="68">
        <f t="shared" si="42"/>
        <v>-46000</v>
      </c>
      <c r="H105" s="147"/>
      <c r="I105" s="174"/>
      <c r="J105" s="118"/>
      <c r="K105" s="37"/>
      <c r="L105" s="37">
        <f>-325+325</f>
        <v>0</v>
      </c>
      <c r="M105" s="138"/>
      <c r="N105" s="167"/>
      <c r="O105" s="91"/>
      <c r="P105" s="91"/>
      <c r="Q105" s="37">
        <f>515953-561953</f>
        <v>-46000</v>
      </c>
      <c r="R105" s="138"/>
      <c r="S105" s="138"/>
    </row>
    <row r="106" spans="1:19" ht="18.75" hidden="1">
      <c r="A106" s="26">
        <v>3</v>
      </c>
      <c r="B106" s="71">
        <v>8123</v>
      </c>
      <c r="C106" s="97" t="s">
        <v>75</v>
      </c>
      <c r="D106" s="97" t="s">
        <v>75</v>
      </c>
      <c r="E106" s="120" t="s">
        <v>51</v>
      </c>
      <c r="F106" s="69" t="s">
        <v>51</v>
      </c>
      <c r="G106" s="69" t="s">
        <v>51</v>
      </c>
      <c r="H106" s="147"/>
      <c r="I106" s="174"/>
      <c r="J106" s="118"/>
      <c r="K106" s="37"/>
      <c r="L106" s="37"/>
      <c r="M106" s="138"/>
      <c r="N106" s="167"/>
      <c r="O106" s="91"/>
      <c r="P106" s="91">
        <v>18067</v>
      </c>
      <c r="Q106" s="37">
        <v>14146</v>
      </c>
      <c r="R106" s="138"/>
      <c r="S106" s="138">
        <f>+Q106/P106*100</f>
        <v>78.297448386561129</v>
      </c>
    </row>
    <row r="107" spans="1:19" ht="18.75" hidden="1">
      <c r="A107" s="26">
        <v>4</v>
      </c>
      <c r="B107" s="23">
        <v>8124</v>
      </c>
      <c r="C107" s="56" t="s">
        <v>116</v>
      </c>
      <c r="D107" s="56" t="s">
        <v>116</v>
      </c>
      <c r="E107" s="120" t="s">
        <v>51</v>
      </c>
      <c r="F107" s="69" t="s">
        <v>51</v>
      </c>
      <c r="G107" s="69" t="s">
        <v>51</v>
      </c>
      <c r="H107" s="147"/>
      <c r="I107" s="174"/>
      <c r="J107" s="119"/>
      <c r="K107" s="68"/>
      <c r="L107" s="68"/>
      <c r="M107" s="138"/>
      <c r="N107" s="167"/>
      <c r="O107" s="85">
        <v>-13541</v>
      </c>
      <c r="P107" s="85">
        <v>-13541</v>
      </c>
      <c r="Q107" s="63">
        <f>-L29</f>
        <v>-13541</v>
      </c>
      <c r="R107" s="138">
        <f>+Q107/O107*100</f>
        <v>100</v>
      </c>
      <c r="S107" s="138">
        <f>+Q107/P107*100</f>
        <v>100</v>
      </c>
    </row>
    <row r="108" spans="1:19" ht="18.75">
      <c r="A108" s="26">
        <v>3</v>
      </c>
      <c r="B108" s="9">
        <v>8124</v>
      </c>
      <c r="C108" s="56" t="s">
        <v>79</v>
      </c>
      <c r="D108" s="56" t="s">
        <v>79</v>
      </c>
      <c r="E108" s="109">
        <f t="shared" ref="E108:G110" si="43">+J108+O108</f>
        <v>-72796</v>
      </c>
      <c r="F108" s="61">
        <f t="shared" si="43"/>
        <v>-72816</v>
      </c>
      <c r="G108" s="68">
        <f t="shared" si="43"/>
        <v>-72828</v>
      </c>
      <c r="H108" s="147">
        <f>+G108/E108*100</f>
        <v>100.043958459256</v>
      </c>
      <c r="I108" s="174">
        <f>+G108/F108*100</f>
        <v>100.01647989452866</v>
      </c>
      <c r="J108" s="109"/>
      <c r="K108" s="61"/>
      <c r="L108" s="61"/>
      <c r="M108" s="138"/>
      <c r="N108" s="167"/>
      <c r="O108" s="83">
        <v>-72796</v>
      </c>
      <c r="P108" s="83">
        <v>-72816</v>
      </c>
      <c r="Q108" s="61">
        <f>-86369-Q107</f>
        <v>-72828</v>
      </c>
      <c r="R108" s="138">
        <f>+Q108/O108*100</f>
        <v>100.043958459256</v>
      </c>
      <c r="S108" s="138">
        <f>+Q108/P108*100</f>
        <v>100.01647989452866</v>
      </c>
    </row>
    <row r="109" spans="1:19" ht="18.75">
      <c r="A109" s="13">
        <v>4</v>
      </c>
      <c r="B109" s="15" t="s">
        <v>205</v>
      </c>
      <c r="C109" s="117" t="s">
        <v>206</v>
      </c>
      <c r="D109" s="117" t="s">
        <v>206</v>
      </c>
      <c r="E109" s="118">
        <f t="shared" si="43"/>
        <v>0</v>
      </c>
      <c r="F109" s="37">
        <f t="shared" si="43"/>
        <v>0</v>
      </c>
      <c r="G109" s="68">
        <f t="shared" si="43"/>
        <v>-15000</v>
      </c>
      <c r="H109" s="147"/>
      <c r="I109" s="174"/>
      <c r="J109" s="118"/>
      <c r="K109" s="37"/>
      <c r="L109" s="37"/>
      <c r="M109" s="138"/>
      <c r="N109" s="167"/>
      <c r="O109" s="91"/>
      <c r="P109" s="91"/>
      <c r="Q109" s="37">
        <v>-15000</v>
      </c>
      <c r="R109" s="138"/>
      <c r="S109" s="138"/>
    </row>
    <row r="110" spans="1:19" ht="19.5" thickBot="1">
      <c r="A110" s="280">
        <v>5</v>
      </c>
      <c r="B110" s="17">
        <v>8224</v>
      </c>
      <c r="C110" s="261" t="s">
        <v>163</v>
      </c>
      <c r="D110" s="261" t="s">
        <v>163</v>
      </c>
      <c r="E110" s="107">
        <f t="shared" si="43"/>
        <v>-210527</v>
      </c>
      <c r="F110" s="62">
        <f t="shared" si="43"/>
        <v>-210527</v>
      </c>
      <c r="G110" s="68">
        <f t="shared" si="43"/>
        <v>-210526</v>
      </c>
      <c r="H110" s="156">
        <f>+G110/E110*100</f>
        <v>99.999525001543745</v>
      </c>
      <c r="I110" s="166">
        <f>+G110/F110*100</f>
        <v>99.999525001543745</v>
      </c>
      <c r="J110" s="107">
        <v>-210527</v>
      </c>
      <c r="K110" s="62">
        <v>-210527</v>
      </c>
      <c r="L110" s="62">
        <v>-210526</v>
      </c>
      <c r="M110" s="138">
        <f>+L110/J110*100</f>
        <v>99.999525001543745</v>
      </c>
      <c r="N110" s="167">
        <f>+L110/K110*100</f>
        <v>99.999525001543745</v>
      </c>
      <c r="O110" s="84"/>
      <c r="P110" s="62"/>
      <c r="Q110" s="62"/>
      <c r="R110" s="147"/>
      <c r="S110" s="156"/>
    </row>
    <row r="111" spans="1:19" ht="19.5" thickBot="1">
      <c r="A111" s="72">
        <v>6</v>
      </c>
      <c r="B111" s="277" t="s">
        <v>49</v>
      </c>
      <c r="C111" s="278" t="s">
        <v>185</v>
      </c>
      <c r="D111" s="278" t="s">
        <v>253</v>
      </c>
      <c r="E111" s="279">
        <f>SUM(E104:E110)</f>
        <v>983228</v>
      </c>
      <c r="F111" s="192">
        <f>SUM(F104:F110)</f>
        <v>1295528</v>
      </c>
      <c r="G111" s="192">
        <f>SUM(G104:G110)</f>
        <v>-1284619</v>
      </c>
      <c r="H111" s="185"/>
      <c r="I111" s="186"/>
      <c r="J111" s="279">
        <f>SUM(J104:J110)</f>
        <v>364289</v>
      </c>
      <c r="K111" s="192">
        <f>SUM(K104:K110)</f>
        <v>346869</v>
      </c>
      <c r="L111" s="192">
        <f>SUM(L104:L110)</f>
        <v>-1116142</v>
      </c>
      <c r="M111" s="185"/>
      <c r="N111" s="186"/>
      <c r="O111" s="193">
        <f>SUM(O104:O110)</f>
        <v>605398</v>
      </c>
      <c r="P111" s="192">
        <f>SUM(P104:P110)</f>
        <v>953185</v>
      </c>
      <c r="Q111" s="192">
        <f>SUM(Q104:Q110)</f>
        <v>-167872</v>
      </c>
      <c r="R111" s="185"/>
      <c r="S111" s="185"/>
    </row>
    <row r="112" spans="1:19" ht="16.5" thickBot="1">
      <c r="E112" s="134"/>
      <c r="G112" s="134"/>
      <c r="J112" s="5"/>
      <c r="K112" s="5"/>
      <c r="L112" s="5"/>
      <c r="M112" s="149"/>
      <c r="N112" s="149"/>
      <c r="O112" s="5"/>
      <c r="P112" s="5"/>
      <c r="Q112" s="5"/>
      <c r="R112" s="149"/>
      <c r="S112" s="149"/>
    </row>
    <row r="113" spans="1:21" ht="16.5" thickBot="1">
      <c r="A113" s="24"/>
      <c r="B113" s="11" t="s">
        <v>37</v>
      </c>
      <c r="C113" s="92"/>
      <c r="D113" s="92"/>
      <c r="E113" s="103" t="s">
        <v>62</v>
      </c>
      <c r="F113" s="58"/>
      <c r="G113" s="58"/>
      <c r="H113" s="143"/>
      <c r="I113" s="162"/>
      <c r="J113" s="103" t="s">
        <v>63</v>
      </c>
      <c r="K113" s="58"/>
      <c r="L113" s="58"/>
      <c r="M113" s="143"/>
      <c r="N113" s="162"/>
      <c r="O113" s="58" t="s">
        <v>40</v>
      </c>
      <c r="P113" s="58"/>
      <c r="Q113" s="59"/>
      <c r="R113" s="153"/>
      <c r="S113" s="153"/>
    </row>
    <row r="114" spans="1:21">
      <c r="A114" s="28" t="s">
        <v>1</v>
      </c>
      <c r="B114" s="10"/>
      <c r="C114" s="93" t="s">
        <v>15</v>
      </c>
      <c r="D114" s="93" t="s">
        <v>15</v>
      </c>
      <c r="E114" s="104" t="s">
        <v>52</v>
      </c>
      <c r="F114" s="34" t="s">
        <v>54</v>
      </c>
      <c r="G114" s="300" t="s">
        <v>23</v>
      </c>
      <c r="H114" s="144" t="s">
        <v>0</v>
      </c>
      <c r="I114" s="163" t="s">
        <v>0</v>
      </c>
      <c r="J114" s="104" t="s">
        <v>52</v>
      </c>
      <c r="K114" s="34" t="s">
        <v>54</v>
      </c>
      <c r="L114" s="300" t="s">
        <v>23</v>
      </c>
      <c r="M114" s="144" t="s">
        <v>0</v>
      </c>
      <c r="N114" s="163" t="s">
        <v>0</v>
      </c>
      <c r="O114" s="80" t="s">
        <v>52</v>
      </c>
      <c r="P114" s="34" t="s">
        <v>54</v>
      </c>
      <c r="Q114" s="300" t="s">
        <v>23</v>
      </c>
      <c r="R114" s="144" t="s">
        <v>0</v>
      </c>
      <c r="S114" s="144" t="s">
        <v>0</v>
      </c>
    </row>
    <row r="115" spans="1:21" ht="16.5" thickBot="1">
      <c r="A115" s="30"/>
      <c r="B115" s="31"/>
      <c r="C115" s="94"/>
      <c r="D115" s="94"/>
      <c r="E115" s="105" t="s">
        <v>22</v>
      </c>
      <c r="F115" s="43" t="s">
        <v>22</v>
      </c>
      <c r="G115" s="301"/>
      <c r="H115" s="145" t="s">
        <v>65</v>
      </c>
      <c r="I115" s="164" t="s">
        <v>66</v>
      </c>
      <c r="J115" s="105" t="s">
        <v>22</v>
      </c>
      <c r="K115" s="43" t="s">
        <v>22</v>
      </c>
      <c r="L115" s="301"/>
      <c r="M115" s="145" t="s">
        <v>65</v>
      </c>
      <c r="N115" s="164" t="s">
        <v>66</v>
      </c>
      <c r="O115" s="81" t="s">
        <v>22</v>
      </c>
      <c r="P115" s="43" t="s">
        <v>22</v>
      </c>
      <c r="Q115" s="301"/>
      <c r="R115" s="145" t="s">
        <v>65</v>
      </c>
      <c r="S115" s="145" t="s">
        <v>66</v>
      </c>
    </row>
    <row r="116" spans="1:21" ht="18.75">
      <c r="A116" s="32">
        <v>1</v>
      </c>
      <c r="B116" s="47" t="s">
        <v>47</v>
      </c>
      <c r="C116" s="122" t="s">
        <v>56</v>
      </c>
      <c r="D116" s="122" t="s">
        <v>56</v>
      </c>
      <c r="E116" s="126">
        <f>+E62</f>
        <v>10277219</v>
      </c>
      <c r="F116" s="38">
        <f>+F62</f>
        <v>11635368</v>
      </c>
      <c r="G116" s="38">
        <f>+G62</f>
        <v>12092153</v>
      </c>
      <c r="H116" s="150">
        <f>+G116/E116*100</f>
        <v>117.6597774164392</v>
      </c>
      <c r="I116" s="179">
        <f>+G116/F116*100</f>
        <v>103.92583199775032</v>
      </c>
      <c r="J116" s="126">
        <f>+J62</f>
        <v>9304375</v>
      </c>
      <c r="K116" s="38">
        <f>+K62</f>
        <v>10318844</v>
      </c>
      <c r="L116" s="38">
        <f>+L62</f>
        <v>10887950</v>
      </c>
      <c r="M116" s="150">
        <f>+L116/J116*100</f>
        <v>117.0196816013972</v>
      </c>
      <c r="N116" s="179">
        <f>+L116/K116*100</f>
        <v>105.51521081237394</v>
      </c>
      <c r="O116" s="130">
        <f>+O62</f>
        <v>1961733</v>
      </c>
      <c r="P116" s="38">
        <f>+P62</f>
        <v>2749678</v>
      </c>
      <c r="Q116" s="38">
        <f>+Q62</f>
        <v>2636363</v>
      </c>
      <c r="R116" s="150">
        <f>+Q116/O116*100</f>
        <v>134.38949133240865</v>
      </c>
      <c r="S116" s="150">
        <f>+Q116/P116*100</f>
        <v>95.878972010540878</v>
      </c>
      <c r="U116" s="264"/>
    </row>
    <row r="117" spans="1:21" ht="18.75">
      <c r="A117" s="26">
        <v>2</v>
      </c>
      <c r="B117" s="49" t="s">
        <v>85</v>
      </c>
      <c r="C117" s="123" t="s">
        <v>57</v>
      </c>
      <c r="D117" s="123" t="s">
        <v>57</v>
      </c>
      <c r="E117" s="127">
        <f>+E99</f>
        <v>11260447</v>
      </c>
      <c r="F117" s="36">
        <f>+F99</f>
        <v>12930896</v>
      </c>
      <c r="G117" s="36">
        <f>+G99</f>
        <v>10807534</v>
      </c>
      <c r="H117" s="151">
        <f>+G117/E117*100</f>
        <v>95.977841732215424</v>
      </c>
      <c r="I117" s="180">
        <f>+G117/F117*100</f>
        <v>83.579158010396185</v>
      </c>
      <c r="J117" s="127">
        <f>+J99</f>
        <v>9668664</v>
      </c>
      <c r="K117" s="36">
        <f>+K99</f>
        <v>10665713</v>
      </c>
      <c r="L117" s="36">
        <f>+L99</f>
        <v>9771808</v>
      </c>
      <c r="M117" s="151">
        <f>+L117/J117*100</f>
        <v>101.06678647639427</v>
      </c>
      <c r="N117" s="180">
        <f>+L117/K117*100</f>
        <v>91.618891301500426</v>
      </c>
      <c r="O117" s="131">
        <f>+O99</f>
        <v>2567131</v>
      </c>
      <c r="P117" s="36">
        <f>+P99</f>
        <v>3702863</v>
      </c>
      <c r="Q117" s="36">
        <f>+Q99</f>
        <v>2468491</v>
      </c>
      <c r="R117" s="151">
        <f>+Q117/O117*100</f>
        <v>96.157578245909534</v>
      </c>
      <c r="S117" s="151">
        <f>+Q117/P117*100</f>
        <v>66.664389149693093</v>
      </c>
    </row>
    <row r="118" spans="1:21" ht="19.5" thickBot="1">
      <c r="A118" s="27">
        <v>3</v>
      </c>
      <c r="B118" s="50"/>
      <c r="C118" s="124" t="s">
        <v>50</v>
      </c>
      <c r="D118" s="124" t="s">
        <v>50</v>
      </c>
      <c r="E118" s="128">
        <f>+E116-E117</f>
        <v>-983228</v>
      </c>
      <c r="F118" s="35">
        <f>+F116-F117</f>
        <v>-1295528</v>
      </c>
      <c r="G118" s="35">
        <f>+G116-G117</f>
        <v>1284619</v>
      </c>
      <c r="H118" s="191"/>
      <c r="I118" s="270"/>
      <c r="J118" s="128">
        <f>+J116-J117</f>
        <v>-364289</v>
      </c>
      <c r="K118" s="35">
        <f>+K116-K117</f>
        <v>-346869</v>
      </c>
      <c r="L118" s="35">
        <f>+L116-L117</f>
        <v>1116142</v>
      </c>
      <c r="M118" s="191"/>
      <c r="N118" s="263"/>
      <c r="O118" s="132">
        <f>+O116-O117</f>
        <v>-605398</v>
      </c>
      <c r="P118" s="35">
        <f>+P116-P117</f>
        <v>-953185</v>
      </c>
      <c r="Q118" s="35">
        <f>+Q116-Q117</f>
        <v>167872</v>
      </c>
      <c r="R118" s="191"/>
      <c r="S118" s="191"/>
    </row>
    <row r="119" spans="1:21" ht="19.5" thickBot="1">
      <c r="A119" s="72">
        <v>4</v>
      </c>
      <c r="B119" s="51" t="s">
        <v>49</v>
      </c>
      <c r="C119" s="125" t="s">
        <v>16</v>
      </c>
      <c r="D119" s="125" t="s">
        <v>16</v>
      </c>
      <c r="E119" s="129">
        <f>+E111</f>
        <v>983228</v>
      </c>
      <c r="F119" s="52">
        <f>+F111</f>
        <v>1295528</v>
      </c>
      <c r="G119" s="52">
        <f>+G111</f>
        <v>-1284619</v>
      </c>
      <c r="H119" s="152"/>
      <c r="I119" s="181"/>
      <c r="J119" s="129">
        <f>+J111</f>
        <v>364289</v>
      </c>
      <c r="K119" s="52">
        <f>+K111</f>
        <v>346869</v>
      </c>
      <c r="L119" s="52">
        <f>+L111</f>
        <v>-1116142</v>
      </c>
      <c r="M119" s="152"/>
      <c r="N119" s="181"/>
      <c r="O119" s="133">
        <f>+O111</f>
        <v>605398</v>
      </c>
      <c r="P119" s="52">
        <f>+P111</f>
        <v>953185</v>
      </c>
      <c r="Q119" s="52">
        <f>+Q111</f>
        <v>-167872</v>
      </c>
      <c r="R119" s="152"/>
      <c r="S119" s="152"/>
      <c r="U119" s="264"/>
    </row>
    <row r="120" spans="1:21">
      <c r="G120" s="134"/>
      <c r="L120" s="218"/>
    </row>
    <row r="121" spans="1:21">
      <c r="F121" s="134"/>
      <c r="G121" s="134"/>
      <c r="H121" s="134"/>
      <c r="L121" s="218"/>
    </row>
    <row r="122" spans="1:21">
      <c r="F122" s="134"/>
      <c r="G122" s="134"/>
    </row>
    <row r="123" spans="1:21" hidden="1">
      <c r="F123" s="287"/>
    </row>
  </sheetData>
  <mergeCells count="14">
    <mergeCell ref="J101:N101"/>
    <mergeCell ref="G102:G103"/>
    <mergeCell ref="L102:L103"/>
    <mergeCell ref="Q102:Q103"/>
    <mergeCell ref="G114:G115"/>
    <mergeCell ref="L114:L115"/>
    <mergeCell ref="Q114:Q115"/>
    <mergeCell ref="G5:G6"/>
    <mergeCell ref="L5:L6"/>
    <mergeCell ref="Q5:Q6"/>
    <mergeCell ref="J64:N64"/>
    <mergeCell ref="G65:G66"/>
    <mergeCell ref="L65:L66"/>
    <mergeCell ref="Q65:Q66"/>
  </mergeCells>
  <printOptions horizontalCentered="1"/>
  <pageMargins left="0.19685039370078741" right="0.19685039370078741" top="0.35433070866141736" bottom="0.27559055118110237" header="0" footer="0"/>
  <pageSetup paperSize="9" scale="53" fitToHeight="2" orientation="landscape" r:id="rId1"/>
  <headerFooter alignWithMargins="0"/>
  <rowBreaks count="1" manualBreakCount="1">
    <brk id="62" max="1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2"/>
  <dimension ref="A1:D77"/>
  <sheetViews>
    <sheetView showZeros="0" zoomScale="75" zoomScaleNormal="75" workbookViewId="0">
      <selection activeCell="B53" sqref="B53"/>
    </sheetView>
  </sheetViews>
  <sheetFormatPr defaultRowHeight="15.75"/>
  <cols>
    <col min="1" max="1" width="8.88671875" style="219"/>
    <col min="2" max="2" width="49.6640625" style="219" customWidth="1"/>
    <col min="3" max="3" width="19.5546875" style="219" bestFit="1" customWidth="1"/>
    <col min="4" max="4" width="18.21875" style="219" customWidth="1"/>
    <col min="5" max="16384" width="8.88671875" style="219"/>
  </cols>
  <sheetData>
    <row r="1" spans="1:4" ht="30" customHeight="1">
      <c r="A1" s="305" t="s">
        <v>162</v>
      </c>
      <c r="B1" s="305"/>
      <c r="C1" s="305"/>
      <c r="D1" s="305"/>
    </row>
    <row r="2" spans="1:4" ht="25.5" customHeight="1">
      <c r="A2" s="306" t="s">
        <v>217</v>
      </c>
      <c r="B2" s="306"/>
      <c r="C2" s="306"/>
      <c r="D2" s="306"/>
    </row>
    <row r="3" spans="1:4" ht="6.75" customHeight="1"/>
    <row r="4" spans="1:4" ht="20.25">
      <c r="A4" s="220" t="s">
        <v>93</v>
      </c>
      <c r="B4" s="221"/>
      <c r="C4" s="221"/>
      <c r="D4" s="222"/>
    </row>
    <row r="5" spans="1:4" ht="5.25" customHeight="1"/>
    <row r="6" spans="1:4" ht="16.5" thickBot="1">
      <c r="D6" s="223" t="s">
        <v>94</v>
      </c>
    </row>
    <row r="7" spans="1:4" ht="17.25" thickBot="1">
      <c r="A7" s="224"/>
      <c r="B7" s="224"/>
      <c r="C7" s="225" t="s">
        <v>95</v>
      </c>
      <c r="D7" s="226"/>
    </row>
    <row r="8" spans="1:4" ht="16.5">
      <c r="A8" s="227" t="s">
        <v>39</v>
      </c>
      <c r="B8" s="227" t="s">
        <v>96</v>
      </c>
      <c r="C8" s="228" t="s">
        <v>97</v>
      </c>
      <c r="D8" s="228" t="s">
        <v>97</v>
      </c>
    </row>
    <row r="9" spans="1:4" ht="17.25" thickBot="1">
      <c r="A9" s="229"/>
      <c r="B9" s="229"/>
      <c r="C9" s="230" t="s">
        <v>98</v>
      </c>
      <c r="D9" s="231" t="s">
        <v>99</v>
      </c>
    </row>
    <row r="10" spans="1:4" ht="11.85" customHeight="1">
      <c r="A10" s="232"/>
      <c r="B10" s="232"/>
      <c r="C10" s="233"/>
      <c r="D10" s="233"/>
    </row>
    <row r="11" spans="1:4" ht="16.5">
      <c r="A11" s="234"/>
      <c r="B11" s="234" t="s">
        <v>2</v>
      </c>
      <c r="C11" s="233"/>
      <c r="D11" s="233"/>
    </row>
    <row r="12" spans="1:4" ht="16.5">
      <c r="A12" s="232">
        <v>2226</v>
      </c>
      <c r="B12" s="232" t="s">
        <v>100</v>
      </c>
      <c r="C12" s="233">
        <f>C40+C60</f>
        <v>212892</v>
      </c>
      <c r="D12" s="233"/>
    </row>
    <row r="13" spans="1:4" ht="16.5">
      <c r="A13" s="235">
        <v>2441</v>
      </c>
      <c r="B13" s="232" t="s">
        <v>141</v>
      </c>
      <c r="C13" s="233">
        <f>+C41</f>
        <v>13541</v>
      </c>
      <c r="D13" s="233"/>
    </row>
    <row r="14" spans="1:4" ht="16.5">
      <c r="A14" s="235">
        <v>4121</v>
      </c>
      <c r="B14" s="232" t="s">
        <v>136</v>
      </c>
      <c r="C14" s="233">
        <f>+C61+C42</f>
        <v>1016363</v>
      </c>
      <c r="D14" s="233">
        <f>D61</f>
        <v>604</v>
      </c>
    </row>
    <row r="15" spans="1:4" ht="17.25" thickBot="1">
      <c r="A15" s="235">
        <v>4221</v>
      </c>
      <c r="B15" s="232" t="s">
        <v>137</v>
      </c>
      <c r="C15" s="236">
        <f>+C62+C43</f>
        <v>188760</v>
      </c>
      <c r="D15" s="236"/>
    </row>
    <row r="16" spans="1:4" ht="18" thickBot="1">
      <c r="A16" s="237"/>
      <c r="B16" s="238" t="s">
        <v>56</v>
      </c>
      <c r="C16" s="239">
        <f>SUM(C12:C15)</f>
        <v>1431556</v>
      </c>
      <c r="D16" s="239">
        <f>SUM(D10:D14)</f>
        <v>604</v>
      </c>
    </row>
    <row r="17" spans="1:4" ht="9" customHeight="1">
      <c r="A17" s="235"/>
      <c r="B17" s="232"/>
      <c r="C17" s="233"/>
      <c r="D17" s="233"/>
    </row>
    <row r="18" spans="1:4" ht="16.5">
      <c r="A18" s="240"/>
      <c r="B18" s="234" t="s">
        <v>12</v>
      </c>
      <c r="C18" s="233"/>
      <c r="D18" s="233"/>
    </row>
    <row r="19" spans="1:4" ht="16.5">
      <c r="A19" s="235">
        <v>5321</v>
      </c>
      <c r="B19" s="241" t="s">
        <v>101</v>
      </c>
      <c r="C19" s="233">
        <f>+C47+C66</f>
        <v>1016363</v>
      </c>
      <c r="D19" s="268">
        <f>D66</f>
        <v>604</v>
      </c>
    </row>
    <row r="20" spans="1:4" ht="16.5">
      <c r="A20" s="235">
        <v>5367</v>
      </c>
      <c r="B20" s="241" t="s">
        <v>102</v>
      </c>
      <c r="C20" s="233">
        <f>C67+C48</f>
        <v>212892</v>
      </c>
      <c r="D20" s="233"/>
    </row>
    <row r="21" spans="1:4" ht="16.5" hidden="1">
      <c r="A21" s="235">
        <v>5641</v>
      </c>
      <c r="B21" s="232" t="s">
        <v>158</v>
      </c>
      <c r="C21" s="233">
        <f>C49</f>
        <v>0</v>
      </c>
      <c r="D21" s="233"/>
    </row>
    <row r="22" spans="1:4" ht="16.5">
      <c r="A22" s="235">
        <v>6341</v>
      </c>
      <c r="B22" s="241" t="s">
        <v>103</v>
      </c>
      <c r="C22" s="233">
        <f>+C50+C68</f>
        <v>188760</v>
      </c>
      <c r="D22" s="233"/>
    </row>
    <row r="23" spans="1:4" ht="17.25" thickBot="1">
      <c r="A23" s="235">
        <v>6441</v>
      </c>
      <c r="B23" s="241" t="s">
        <v>148</v>
      </c>
      <c r="C23" s="233">
        <f>C51</f>
        <v>14146</v>
      </c>
      <c r="D23" s="233"/>
    </row>
    <row r="24" spans="1:4" ht="18" thickBot="1">
      <c r="A24" s="237"/>
      <c r="B24" s="238" t="s">
        <v>57</v>
      </c>
      <c r="C24" s="242">
        <f>SUM(C19:C23)</f>
        <v>1432161</v>
      </c>
      <c r="D24" s="242">
        <f>SUM(D17:D19)</f>
        <v>604</v>
      </c>
    </row>
    <row r="25" spans="1:4" ht="18" thickBot="1">
      <c r="A25" s="243"/>
      <c r="B25" s="244" t="s">
        <v>104</v>
      </c>
      <c r="C25" s="245">
        <f>C16-C24</f>
        <v>-605</v>
      </c>
      <c r="D25" s="245">
        <f>D16-D24</f>
        <v>0</v>
      </c>
    </row>
    <row r="26" spans="1:4" ht="9" customHeight="1">
      <c r="A26" s="235"/>
      <c r="B26" s="232"/>
      <c r="C26" s="233"/>
      <c r="D26" s="233"/>
    </row>
    <row r="27" spans="1:4" ht="16.5">
      <c r="A27" s="240"/>
      <c r="B27" s="234" t="s">
        <v>19</v>
      </c>
      <c r="C27" s="246"/>
      <c r="D27" s="233"/>
    </row>
    <row r="28" spans="1:4" ht="16.5">
      <c r="A28" s="235">
        <v>8123</v>
      </c>
      <c r="B28" s="232" t="s">
        <v>255</v>
      </c>
      <c r="C28" s="233">
        <f>+C73</f>
        <v>14146</v>
      </c>
      <c r="D28" s="233"/>
    </row>
    <row r="29" spans="1:4" ht="17.25" thickBot="1">
      <c r="A29" s="247">
        <v>8124</v>
      </c>
      <c r="B29" s="229" t="s">
        <v>142</v>
      </c>
      <c r="C29" s="248">
        <f>+C74</f>
        <v>-13541</v>
      </c>
      <c r="D29" s="248"/>
    </row>
    <row r="30" spans="1:4" ht="18" thickBot="1">
      <c r="A30" s="243"/>
      <c r="B30" s="244" t="s">
        <v>105</v>
      </c>
      <c r="C30" s="245">
        <f>SUM(C28:C29)</f>
        <v>605</v>
      </c>
      <c r="D30" s="245">
        <f>SUM(D29)</f>
        <v>0</v>
      </c>
    </row>
    <row r="31" spans="1:4" ht="12.75" customHeight="1" thickBot="1">
      <c r="A31" s="243"/>
      <c r="B31" s="244"/>
      <c r="C31" s="249"/>
      <c r="D31" s="249"/>
    </row>
    <row r="32" spans="1:4" ht="17.25" thickBot="1">
      <c r="A32" s="250"/>
      <c r="B32" s="251" t="s">
        <v>106</v>
      </c>
      <c r="C32" s="249">
        <f>C16-C24+C30</f>
        <v>0</v>
      </c>
      <c r="D32" s="249">
        <f>D16-D24+D30</f>
        <v>0</v>
      </c>
    </row>
    <row r="33" spans="1:3" ht="18.75">
      <c r="B33" s="252" t="s">
        <v>107</v>
      </c>
    </row>
    <row r="34" spans="1:3" ht="16.5" thickBot="1">
      <c r="C34" s="223" t="s">
        <v>94</v>
      </c>
    </row>
    <row r="35" spans="1:3" ht="16.5">
      <c r="A35" s="253"/>
      <c r="B35" s="253"/>
      <c r="C35" s="254" t="s">
        <v>108</v>
      </c>
    </row>
    <row r="36" spans="1:3" ht="16.5">
      <c r="A36" s="227" t="s">
        <v>39</v>
      </c>
      <c r="B36" s="255" t="s">
        <v>109</v>
      </c>
      <c r="C36" s="227" t="s">
        <v>97</v>
      </c>
    </row>
    <row r="37" spans="1:3" ht="17.25" thickBot="1">
      <c r="A37" s="229"/>
      <c r="B37" s="229"/>
      <c r="C37" s="231" t="s">
        <v>110</v>
      </c>
    </row>
    <row r="38" spans="1:3" ht="11.85" customHeight="1">
      <c r="A38" s="232"/>
      <c r="B38" s="232"/>
      <c r="C38" s="233"/>
    </row>
    <row r="39" spans="1:3" ht="16.5">
      <c r="A39" s="234"/>
      <c r="B39" s="234" t="s">
        <v>2</v>
      </c>
      <c r="C39" s="233"/>
    </row>
    <row r="40" spans="1:3" ht="16.5">
      <c r="A40" s="232">
        <v>2226</v>
      </c>
      <c r="B40" s="232" t="s">
        <v>146</v>
      </c>
      <c r="C40" s="233">
        <f>'Statut=Město+MČ'!L28</f>
        <v>7625</v>
      </c>
    </row>
    <row r="41" spans="1:3" ht="16.5">
      <c r="A41" s="232">
        <v>2441</v>
      </c>
      <c r="B41" s="232" t="s">
        <v>147</v>
      </c>
      <c r="C41" s="233">
        <f>'Statut=Město+MČ'!L29</f>
        <v>13541</v>
      </c>
    </row>
    <row r="42" spans="1:3" ht="16.5">
      <c r="A42" s="232">
        <v>4121</v>
      </c>
      <c r="B42" s="232" t="s">
        <v>169</v>
      </c>
      <c r="C42" s="233">
        <f>'Statut=Město+MČ'!L44</f>
        <v>1396</v>
      </c>
    </row>
    <row r="43" spans="1:3" ht="17.25" thickBot="1">
      <c r="A43" s="232">
        <v>4221</v>
      </c>
      <c r="B43" s="232" t="s">
        <v>254</v>
      </c>
      <c r="C43" s="233">
        <f>'Statut=Město+MČ'!L56</f>
        <v>17308</v>
      </c>
    </row>
    <row r="44" spans="1:3" ht="18" thickBot="1">
      <c r="A44" s="238"/>
      <c r="B44" s="238" t="s">
        <v>56</v>
      </c>
      <c r="C44" s="242">
        <f>SUM(C40:C42)</f>
        <v>22562</v>
      </c>
    </row>
    <row r="45" spans="1:3" ht="11.85" customHeight="1">
      <c r="A45" s="232"/>
      <c r="B45" s="232"/>
      <c r="C45" s="233"/>
    </row>
    <row r="46" spans="1:3" ht="16.5">
      <c r="A46" s="234"/>
      <c r="B46" s="234" t="s">
        <v>12</v>
      </c>
      <c r="C46" s="233"/>
    </row>
    <row r="47" spans="1:3" ht="16.5">
      <c r="A47" s="232">
        <v>5321</v>
      </c>
      <c r="B47" s="232" t="s">
        <v>111</v>
      </c>
      <c r="C47" s="233">
        <f>'Statut=Město+MČ'!L78</f>
        <v>1014967</v>
      </c>
    </row>
    <row r="48" spans="1:3" ht="16.5">
      <c r="A48" s="232">
        <v>5367</v>
      </c>
      <c r="B48" s="232" t="s">
        <v>145</v>
      </c>
      <c r="C48" s="233">
        <f>'Statut=Město+MČ'!L85</f>
        <v>205267</v>
      </c>
    </row>
    <row r="49" spans="1:4" ht="16.5" hidden="1">
      <c r="A49" s="232">
        <v>5641</v>
      </c>
      <c r="B49" s="232" t="s">
        <v>150</v>
      </c>
      <c r="C49" s="233">
        <f>'Statut=Město+MČ'!L86</f>
        <v>0</v>
      </c>
    </row>
    <row r="50" spans="1:4" ht="16.5">
      <c r="A50" s="232">
        <v>6341</v>
      </c>
      <c r="B50" s="232" t="s">
        <v>112</v>
      </c>
      <c r="C50" s="233">
        <f>'Statut=Město+MČ'!L93</f>
        <v>171452</v>
      </c>
    </row>
    <row r="51" spans="1:4" ht="17.25" thickBot="1">
      <c r="A51" s="232">
        <v>6441</v>
      </c>
      <c r="B51" s="232" t="s">
        <v>149</v>
      </c>
      <c r="C51" s="233">
        <f>'Statut=Město+MČ'!L96</f>
        <v>14146</v>
      </c>
    </row>
    <row r="52" spans="1:4" ht="18" thickBot="1">
      <c r="A52" s="238"/>
      <c r="B52" s="238" t="s">
        <v>57</v>
      </c>
      <c r="C52" s="242">
        <f>SUM(C47:C51)</f>
        <v>1405832</v>
      </c>
    </row>
    <row r="53" spans="1:4" ht="18" thickBot="1">
      <c r="A53" s="244"/>
      <c r="B53" s="244" t="s">
        <v>104</v>
      </c>
      <c r="C53" s="245">
        <f>C44-C52</f>
        <v>-1383270</v>
      </c>
    </row>
    <row r="54" spans="1:4" ht="16.5" thickBot="1">
      <c r="D54" s="223" t="s">
        <v>94</v>
      </c>
    </row>
    <row r="55" spans="1:4" ht="17.25" thickBot="1">
      <c r="A55" s="256"/>
      <c r="B55" s="256"/>
      <c r="C55" s="225" t="s">
        <v>95</v>
      </c>
      <c r="D55" s="226"/>
    </row>
    <row r="56" spans="1:4" ht="16.5">
      <c r="A56" s="257" t="s">
        <v>39</v>
      </c>
      <c r="B56" s="257" t="s">
        <v>113</v>
      </c>
      <c r="C56" s="254" t="s">
        <v>97</v>
      </c>
      <c r="D56" s="254" t="s">
        <v>97</v>
      </c>
    </row>
    <row r="57" spans="1:4" ht="17.25" thickBot="1">
      <c r="A57" s="229"/>
      <c r="B57" s="229"/>
      <c r="C57" s="231" t="s">
        <v>110</v>
      </c>
      <c r="D57" s="231" t="s">
        <v>114</v>
      </c>
    </row>
    <row r="58" spans="1:4" ht="9" customHeight="1">
      <c r="A58" s="232"/>
      <c r="B58" s="232"/>
      <c r="C58" s="233"/>
      <c r="D58" s="233"/>
    </row>
    <row r="59" spans="1:4" ht="16.5">
      <c r="A59" s="234"/>
      <c r="B59" s="234" t="s">
        <v>2</v>
      </c>
      <c r="C59" s="233"/>
      <c r="D59" s="233"/>
    </row>
    <row r="60" spans="1:4" ht="16.5">
      <c r="A60" s="232">
        <v>2226</v>
      </c>
      <c r="B60" s="232" t="s">
        <v>144</v>
      </c>
      <c r="C60" s="233">
        <f>'Statut=Město+MČ'!Q27</f>
        <v>205267</v>
      </c>
      <c r="D60" s="233"/>
    </row>
    <row r="61" spans="1:4" ht="16.5">
      <c r="A61" s="232">
        <v>4121</v>
      </c>
      <c r="B61" s="232" t="s">
        <v>138</v>
      </c>
      <c r="C61" s="233">
        <f>'Statut=Město+MČ'!Q43</f>
        <v>1014967</v>
      </c>
      <c r="D61" s="233">
        <f>'Statut=Město+MČ'!Q44</f>
        <v>604</v>
      </c>
    </row>
    <row r="62" spans="1:4" ht="17.25" thickBot="1">
      <c r="A62" s="232">
        <v>4221</v>
      </c>
      <c r="B62" s="232" t="s">
        <v>125</v>
      </c>
      <c r="C62" s="233">
        <f>'Statut=Město+MČ'!Q55</f>
        <v>171452</v>
      </c>
      <c r="D62" s="233"/>
    </row>
    <row r="63" spans="1:4" ht="18" thickBot="1">
      <c r="A63" s="238"/>
      <c r="B63" s="238" t="s">
        <v>56</v>
      </c>
      <c r="C63" s="242">
        <f>SUM(C60:C62)</f>
        <v>1391686</v>
      </c>
      <c r="D63" s="242">
        <f>SUM(D58:D61)</f>
        <v>604</v>
      </c>
    </row>
    <row r="64" spans="1:4" ht="7.5" customHeight="1">
      <c r="A64" s="232"/>
      <c r="B64" s="232"/>
      <c r="C64" s="233"/>
      <c r="D64" s="233"/>
    </row>
    <row r="65" spans="1:4" ht="16.5">
      <c r="A65" s="234"/>
      <c r="B65" s="234" t="s">
        <v>12</v>
      </c>
      <c r="C65" s="233"/>
      <c r="D65" s="233"/>
    </row>
    <row r="66" spans="1:4" ht="16.5">
      <c r="A66" s="232">
        <v>5321</v>
      </c>
      <c r="B66" s="232" t="s">
        <v>168</v>
      </c>
      <c r="C66" s="233">
        <f>'Statut=Město+MČ'!Q77</f>
        <v>1396</v>
      </c>
      <c r="D66" s="268">
        <f>'Statut=Město+MČ'!Q78</f>
        <v>604</v>
      </c>
    </row>
    <row r="67" spans="1:4" ht="16.5">
      <c r="A67" s="232">
        <v>5367</v>
      </c>
      <c r="B67" s="232" t="s">
        <v>117</v>
      </c>
      <c r="C67" s="233">
        <f>'Statut=Město+MČ'!Q84</f>
        <v>7625</v>
      </c>
      <c r="D67" s="233"/>
    </row>
    <row r="68" spans="1:4" ht="17.25" thickBot="1">
      <c r="A68" s="232">
        <v>6341</v>
      </c>
      <c r="B68" s="232" t="s">
        <v>161</v>
      </c>
      <c r="C68" s="233">
        <f>'Statut=Město+MČ'!Q92</f>
        <v>17308</v>
      </c>
      <c r="D68" s="233"/>
    </row>
    <row r="69" spans="1:4" ht="18" thickBot="1">
      <c r="A69" s="238"/>
      <c r="B69" s="238" t="s">
        <v>57</v>
      </c>
      <c r="C69" s="242">
        <f>SUM(C66:C68)</f>
        <v>26329</v>
      </c>
      <c r="D69" s="242">
        <f>SUM(D66:D67)</f>
        <v>604</v>
      </c>
    </row>
    <row r="70" spans="1:4" ht="18" thickBot="1">
      <c r="A70" s="244"/>
      <c r="B70" s="244" t="s">
        <v>104</v>
      </c>
      <c r="C70" s="245">
        <f>C63-C69</f>
        <v>1365357</v>
      </c>
      <c r="D70" s="245">
        <f>D63-D69</f>
        <v>0</v>
      </c>
    </row>
    <row r="71" spans="1:4" ht="9" customHeight="1">
      <c r="A71" s="232"/>
      <c r="B71" s="232"/>
      <c r="C71" s="233"/>
      <c r="D71" s="233"/>
    </row>
    <row r="72" spans="1:4" ht="16.5">
      <c r="A72" s="234"/>
      <c r="B72" s="234" t="s">
        <v>19</v>
      </c>
      <c r="C72" s="246"/>
      <c r="D72" s="233"/>
    </row>
    <row r="73" spans="1:4" ht="16.5">
      <c r="A73" s="232">
        <v>8123</v>
      </c>
      <c r="B73" s="232" t="s">
        <v>75</v>
      </c>
      <c r="C73" s="233">
        <f>'Statut=Město+MČ'!Q106</f>
        <v>14146</v>
      </c>
      <c r="D73" s="233"/>
    </row>
    <row r="74" spans="1:4" ht="17.25" thickBot="1">
      <c r="A74" s="229">
        <v>8124</v>
      </c>
      <c r="B74" s="229" t="s">
        <v>143</v>
      </c>
      <c r="C74" s="258">
        <f>'Statut=Město+MČ'!Q107</f>
        <v>-13541</v>
      </c>
      <c r="D74" s="258"/>
    </row>
    <row r="75" spans="1:4" ht="18" thickBot="1">
      <c r="A75" s="244"/>
      <c r="B75" s="244" t="s">
        <v>105</v>
      </c>
      <c r="C75" s="259">
        <f>SUM(C73:C74)</f>
        <v>605</v>
      </c>
      <c r="D75" s="245">
        <f>SUM(D74)</f>
        <v>0</v>
      </c>
    </row>
    <row r="77" spans="1:4">
      <c r="C77" s="260"/>
    </row>
  </sheetData>
  <mergeCells count="2">
    <mergeCell ref="A1:D1"/>
    <mergeCell ref="A2:D2"/>
  </mergeCells>
  <phoneticPr fontId="0" type="noConversion"/>
  <printOptions horizontalCentered="1" verticalCentered="1"/>
  <pageMargins left="0.78740157480314965" right="0.78740157480314965" top="0.32" bottom="0.56000000000000005" header="0.23" footer="0.44"/>
  <pageSetup paperSize="9" scale="6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U110"/>
  <sheetViews>
    <sheetView showZeros="0" zoomScale="75" zoomScaleNormal="75" zoomScaleSheetLayoutView="50" workbookViewId="0">
      <pane xSplit="2" topLeftCell="C1" activePane="topRight" state="frozen"/>
      <selection pane="topRight" activeCell="D99" sqref="D99"/>
    </sheetView>
  </sheetViews>
  <sheetFormatPr defaultRowHeight="15.75"/>
  <cols>
    <col min="1" max="1" width="3.6640625" style="4" bestFit="1" customWidth="1"/>
    <col min="2" max="2" width="15.44140625" style="4" customWidth="1"/>
    <col min="3" max="3" width="59.5546875" style="5" hidden="1" customWidth="1"/>
    <col min="4" max="4" width="62.5546875" style="5" customWidth="1"/>
    <col min="5" max="5" width="15.88671875" style="7" customWidth="1"/>
    <col min="6" max="6" width="16.44140625" style="7" customWidth="1"/>
    <col min="7" max="7" width="15.33203125" style="7" customWidth="1"/>
    <col min="8" max="8" width="10.77734375" style="178" customWidth="1"/>
    <col min="9" max="9" width="10.5546875" style="178" customWidth="1"/>
    <col min="10" max="16384" width="8.88671875" style="4"/>
  </cols>
  <sheetData>
    <row r="1" spans="1:9" ht="22.5">
      <c r="A1" s="269" t="s">
        <v>227</v>
      </c>
      <c r="B1" s="157"/>
      <c r="C1" s="157"/>
      <c r="D1" s="157"/>
      <c r="E1" s="3"/>
      <c r="F1" s="3"/>
      <c r="G1" s="3"/>
      <c r="H1" s="177"/>
      <c r="I1" s="177"/>
    </row>
    <row r="2" spans="1:9" ht="20.25">
      <c r="A2" s="76" t="s">
        <v>216</v>
      </c>
      <c r="B2" s="2"/>
      <c r="C2" s="8"/>
      <c r="D2" s="8"/>
      <c r="E2" s="3"/>
      <c r="F2" s="3"/>
      <c r="G2" s="3"/>
      <c r="H2" s="177"/>
      <c r="I2" s="177"/>
    </row>
    <row r="3" spans="1:9" ht="11.25" customHeight="1" thickBot="1">
      <c r="A3" s="2"/>
      <c r="B3" s="2"/>
      <c r="C3" s="8"/>
      <c r="D3" s="8"/>
      <c r="I3" s="262"/>
    </row>
    <row r="4" spans="1:9" ht="16.5" thickBot="1">
      <c r="A4" s="24"/>
      <c r="B4" s="11" t="s">
        <v>39</v>
      </c>
      <c r="C4" s="92"/>
      <c r="D4" s="92"/>
      <c r="E4" s="103" t="s">
        <v>63</v>
      </c>
      <c r="F4" s="58"/>
      <c r="G4" s="58"/>
      <c r="H4" s="143"/>
      <c r="I4" s="162"/>
    </row>
    <row r="5" spans="1:9">
      <c r="A5" s="25" t="s">
        <v>218</v>
      </c>
      <c r="B5" s="10" t="s">
        <v>38</v>
      </c>
      <c r="C5" s="93" t="s">
        <v>2</v>
      </c>
      <c r="D5" s="93" t="s">
        <v>2</v>
      </c>
      <c r="E5" s="104" t="s">
        <v>52</v>
      </c>
      <c r="F5" s="34" t="s">
        <v>53</v>
      </c>
      <c r="G5" s="300" t="s">
        <v>23</v>
      </c>
      <c r="H5" s="144" t="s">
        <v>0</v>
      </c>
      <c r="I5" s="163" t="s">
        <v>0</v>
      </c>
    </row>
    <row r="6" spans="1:9" ht="16.5" thickBot="1">
      <c r="A6" s="42"/>
      <c r="B6" s="31" t="s">
        <v>37</v>
      </c>
      <c r="C6" s="94"/>
      <c r="D6" s="94"/>
      <c r="E6" s="105" t="s">
        <v>22</v>
      </c>
      <c r="F6" s="43" t="s">
        <v>22</v>
      </c>
      <c r="G6" s="301"/>
      <c r="H6" s="145" t="s">
        <v>65</v>
      </c>
      <c r="I6" s="164" t="s">
        <v>66</v>
      </c>
    </row>
    <row r="7" spans="1:9" ht="18.75">
      <c r="A7" s="26">
        <v>1</v>
      </c>
      <c r="B7" s="14">
        <v>1111</v>
      </c>
      <c r="C7" s="95" t="s">
        <v>68</v>
      </c>
      <c r="D7" s="95" t="s">
        <v>68</v>
      </c>
      <c r="E7" s="106">
        <v>1530000</v>
      </c>
      <c r="F7" s="60">
        <v>1530000</v>
      </c>
      <c r="G7" s="60">
        <v>1615923</v>
      </c>
      <c r="H7" s="135">
        <f t="shared" ref="H7:H13" si="0">+G7/E7*100</f>
        <v>105.61588235294117</v>
      </c>
      <c r="I7" s="165">
        <f t="shared" ref="I7:I13" si="1">+G7/F7*100</f>
        <v>105.61588235294117</v>
      </c>
    </row>
    <row r="8" spans="1:9" ht="18.75">
      <c r="A8" s="13">
        <v>2</v>
      </c>
      <c r="B8" s="9">
        <v>1112</v>
      </c>
      <c r="C8" s="56" t="s">
        <v>3</v>
      </c>
      <c r="D8" s="56" t="s">
        <v>3</v>
      </c>
      <c r="E8" s="106">
        <v>70000</v>
      </c>
      <c r="F8" s="60">
        <v>70000</v>
      </c>
      <c r="G8" s="60">
        <v>112903</v>
      </c>
      <c r="H8" s="138">
        <f t="shared" si="0"/>
        <v>161.29</v>
      </c>
      <c r="I8" s="167">
        <f t="shared" si="1"/>
        <v>161.29</v>
      </c>
    </row>
    <row r="9" spans="1:9" ht="18.75">
      <c r="A9" s="26">
        <v>3</v>
      </c>
      <c r="B9" s="9">
        <v>1113</v>
      </c>
      <c r="C9" s="56" t="s">
        <v>58</v>
      </c>
      <c r="D9" s="56" t="s">
        <v>58</v>
      </c>
      <c r="E9" s="106">
        <v>150000</v>
      </c>
      <c r="F9" s="60">
        <v>150000</v>
      </c>
      <c r="G9" s="60">
        <v>156113</v>
      </c>
      <c r="H9" s="138">
        <f t="shared" si="0"/>
        <v>104.07533333333335</v>
      </c>
      <c r="I9" s="167">
        <f t="shared" si="1"/>
        <v>104.07533333333335</v>
      </c>
    </row>
    <row r="10" spans="1:9" ht="18.75">
      <c r="A10" s="13">
        <v>4</v>
      </c>
      <c r="B10" s="9">
        <v>1121</v>
      </c>
      <c r="C10" s="56" t="s">
        <v>4</v>
      </c>
      <c r="D10" s="56" t="s">
        <v>4</v>
      </c>
      <c r="E10" s="106">
        <v>1430000</v>
      </c>
      <c r="F10" s="60">
        <v>1430000</v>
      </c>
      <c r="G10" s="60">
        <v>1546119</v>
      </c>
      <c r="H10" s="138">
        <f t="shared" si="0"/>
        <v>108.1202097902098</v>
      </c>
      <c r="I10" s="167">
        <f t="shared" si="1"/>
        <v>108.1202097902098</v>
      </c>
    </row>
    <row r="11" spans="1:9" ht="18.75">
      <c r="A11" s="26">
        <v>5</v>
      </c>
      <c r="B11" s="9">
        <v>1211</v>
      </c>
      <c r="C11" s="56" t="s">
        <v>59</v>
      </c>
      <c r="D11" s="56" t="s">
        <v>59</v>
      </c>
      <c r="E11" s="109">
        <v>3140000</v>
      </c>
      <c r="F11" s="61">
        <v>3140000</v>
      </c>
      <c r="G11" s="60">
        <v>3285204</v>
      </c>
      <c r="H11" s="138">
        <f t="shared" si="0"/>
        <v>104.62433121019107</v>
      </c>
      <c r="I11" s="167">
        <f t="shared" si="1"/>
        <v>104.62433121019107</v>
      </c>
    </row>
    <row r="12" spans="1:9" ht="18.75">
      <c r="A12" s="13">
        <v>6</v>
      </c>
      <c r="B12" s="9">
        <v>1511</v>
      </c>
      <c r="C12" s="55" t="s">
        <v>5</v>
      </c>
      <c r="D12" s="55" t="s">
        <v>5</v>
      </c>
      <c r="E12" s="109">
        <v>220000</v>
      </c>
      <c r="F12" s="61">
        <v>220000</v>
      </c>
      <c r="G12" s="60">
        <v>227460</v>
      </c>
      <c r="H12" s="138">
        <f t="shared" si="0"/>
        <v>103.39090909090909</v>
      </c>
      <c r="I12" s="167">
        <f t="shared" si="1"/>
        <v>103.39090909090909</v>
      </c>
    </row>
    <row r="13" spans="1:9" ht="19.5" thickBot="1">
      <c r="A13" s="26">
        <v>7</v>
      </c>
      <c r="B13" s="12"/>
      <c r="C13" s="96" t="s">
        <v>170</v>
      </c>
      <c r="D13" s="96" t="s">
        <v>60</v>
      </c>
      <c r="E13" s="107">
        <f>SUM(E7:E12)</f>
        <v>6540000</v>
      </c>
      <c r="F13" s="62">
        <f>SUM(F7:F12)</f>
        <v>6540000</v>
      </c>
      <c r="G13" s="62">
        <f>SUM(G7:G12)</f>
        <v>6943722</v>
      </c>
      <c r="H13" s="156">
        <f t="shared" si="0"/>
        <v>106.17311926605504</v>
      </c>
      <c r="I13" s="166">
        <f t="shared" si="1"/>
        <v>106.17311926605504</v>
      </c>
    </row>
    <row r="14" spans="1:9" ht="18.75">
      <c r="A14" s="13">
        <v>8</v>
      </c>
      <c r="B14" s="23">
        <v>1119</v>
      </c>
      <c r="C14" s="97" t="s">
        <v>70</v>
      </c>
      <c r="D14" s="97" t="s">
        <v>70</v>
      </c>
      <c r="E14" s="119"/>
      <c r="F14" s="68"/>
      <c r="G14" s="68">
        <v>1</v>
      </c>
      <c r="H14" s="135"/>
      <c r="I14" s="165"/>
    </row>
    <row r="15" spans="1:9" ht="18.75">
      <c r="A15" s="26">
        <v>9</v>
      </c>
      <c r="B15" s="9">
        <v>1122</v>
      </c>
      <c r="C15" s="56" t="s">
        <v>6</v>
      </c>
      <c r="D15" s="56" t="s">
        <v>6</v>
      </c>
      <c r="E15" s="109"/>
      <c r="F15" s="61">
        <v>3203</v>
      </c>
      <c r="G15" s="61">
        <f>372+2831</f>
        <v>3203</v>
      </c>
      <c r="H15" s="138"/>
      <c r="I15" s="167">
        <f t="shared" ref="I15:I41" si="2">+G15/F15*100</f>
        <v>100</v>
      </c>
    </row>
    <row r="16" spans="1:9" ht="18.75">
      <c r="A16" s="13">
        <v>10</v>
      </c>
      <c r="B16" s="9">
        <v>1122</v>
      </c>
      <c r="C16" s="56" t="s">
        <v>71</v>
      </c>
      <c r="D16" s="56" t="s">
        <v>71</v>
      </c>
      <c r="E16" s="109">
        <v>350000</v>
      </c>
      <c r="F16" s="61">
        <v>294186</v>
      </c>
      <c r="G16" s="61">
        <v>294186</v>
      </c>
      <c r="H16" s="138">
        <f>+G16/E16*100</f>
        <v>84.053142857142859</v>
      </c>
      <c r="I16" s="167">
        <f t="shared" si="2"/>
        <v>100</v>
      </c>
    </row>
    <row r="17" spans="1:9" ht="18.75">
      <c r="A17" s="26">
        <v>11</v>
      </c>
      <c r="B17" s="15" t="s">
        <v>30</v>
      </c>
      <c r="C17" s="98" t="s">
        <v>69</v>
      </c>
      <c r="D17" s="98" t="s">
        <v>69</v>
      </c>
      <c r="E17" s="110">
        <v>850</v>
      </c>
      <c r="F17" s="63">
        <v>850</v>
      </c>
      <c r="G17" s="63">
        <v>1810</v>
      </c>
      <c r="H17" s="138">
        <f>+G17/E17*100</f>
        <v>212.94117647058823</v>
      </c>
      <c r="I17" s="167">
        <f t="shared" si="2"/>
        <v>212.94117647058823</v>
      </c>
    </row>
    <row r="18" spans="1:9" ht="18.75">
      <c r="A18" s="13">
        <v>12</v>
      </c>
      <c r="B18" s="16" t="s">
        <v>31</v>
      </c>
      <c r="C18" s="55" t="s">
        <v>72</v>
      </c>
      <c r="D18" s="55" t="s">
        <v>72</v>
      </c>
      <c r="E18" s="109">
        <v>265600</v>
      </c>
      <c r="F18" s="61">
        <v>265600</v>
      </c>
      <c r="G18" s="61">
        <v>252334</v>
      </c>
      <c r="H18" s="138">
        <f>+G18/E18*100</f>
        <v>95.005271084337352</v>
      </c>
      <c r="I18" s="167">
        <f t="shared" si="2"/>
        <v>95.005271084337352</v>
      </c>
    </row>
    <row r="19" spans="1:9" ht="18.75">
      <c r="A19" s="26">
        <v>13</v>
      </c>
      <c r="B19" s="19" t="s">
        <v>81</v>
      </c>
      <c r="C19" s="55" t="s">
        <v>82</v>
      </c>
      <c r="D19" s="55" t="s">
        <v>82</v>
      </c>
      <c r="E19" s="119">
        <v>240000</v>
      </c>
      <c r="F19" s="68">
        <v>240000</v>
      </c>
      <c r="G19" s="68">
        <v>267953</v>
      </c>
      <c r="H19" s="138">
        <f>+G19/E19*100</f>
        <v>111.64708333333333</v>
      </c>
      <c r="I19" s="167">
        <f t="shared" si="2"/>
        <v>111.64708333333333</v>
      </c>
    </row>
    <row r="20" spans="1:9" ht="18.75">
      <c r="A20" s="13">
        <v>14</v>
      </c>
      <c r="B20" s="19">
        <v>1361</v>
      </c>
      <c r="C20" s="55" t="s">
        <v>7</v>
      </c>
      <c r="D20" s="55" t="s">
        <v>7</v>
      </c>
      <c r="E20" s="119">
        <v>65205</v>
      </c>
      <c r="F20" s="68">
        <v>65205</v>
      </c>
      <c r="G20" s="68">
        <v>66182</v>
      </c>
      <c r="H20" s="138">
        <f t="shared" ref="H20:H26" si="3">+G20/E20*100</f>
        <v>101.49835135342383</v>
      </c>
      <c r="I20" s="174">
        <f t="shared" si="2"/>
        <v>101.49835135342383</v>
      </c>
    </row>
    <row r="21" spans="1:9" ht="19.5" thickBot="1">
      <c r="A21" s="26">
        <v>15</v>
      </c>
      <c r="B21" s="17" t="s">
        <v>42</v>
      </c>
      <c r="C21" s="99" t="s">
        <v>171</v>
      </c>
      <c r="D21" s="99" t="s">
        <v>83</v>
      </c>
      <c r="E21" s="111">
        <f>SUM(E13:E20)</f>
        <v>7461655</v>
      </c>
      <c r="F21" s="64">
        <f>SUM(F13:F20)</f>
        <v>7409044</v>
      </c>
      <c r="G21" s="64">
        <f>SUM(G13:G20)</f>
        <v>7829391</v>
      </c>
      <c r="H21" s="136">
        <f t="shared" si="3"/>
        <v>104.92834364494203</v>
      </c>
      <c r="I21" s="168">
        <f t="shared" si="2"/>
        <v>105.67343101215218</v>
      </c>
    </row>
    <row r="22" spans="1:9" ht="18.75">
      <c r="A22" s="13">
        <v>16</v>
      </c>
      <c r="B22" s="18" t="s">
        <v>32</v>
      </c>
      <c r="C22" s="100" t="s">
        <v>8</v>
      </c>
      <c r="D22" s="100" t="s">
        <v>8</v>
      </c>
      <c r="E22" s="106">
        <v>17030</v>
      </c>
      <c r="F22" s="60">
        <v>17969</v>
      </c>
      <c r="G22" s="60">
        <v>20230</v>
      </c>
      <c r="H22" s="135">
        <f t="shared" si="3"/>
        <v>118.79036993540811</v>
      </c>
      <c r="I22" s="165">
        <f t="shared" si="2"/>
        <v>112.58278145695364</v>
      </c>
    </row>
    <row r="23" spans="1:9" ht="18.75">
      <c r="A23" s="26">
        <v>17</v>
      </c>
      <c r="B23" s="18" t="s">
        <v>33</v>
      </c>
      <c r="C23" s="100" t="s">
        <v>64</v>
      </c>
      <c r="D23" s="100" t="s">
        <v>64</v>
      </c>
      <c r="E23" s="106">
        <v>118215</v>
      </c>
      <c r="F23" s="60">
        <v>131904</v>
      </c>
      <c r="G23" s="60">
        <v>132672</v>
      </c>
      <c r="H23" s="138">
        <f t="shared" si="3"/>
        <v>112.22941251110265</v>
      </c>
      <c r="I23" s="167">
        <f t="shared" si="2"/>
        <v>100.58224163027656</v>
      </c>
    </row>
    <row r="24" spans="1:9" ht="18.75">
      <c r="A24" s="13">
        <v>18</v>
      </c>
      <c r="B24" s="15" t="s">
        <v>34</v>
      </c>
      <c r="C24" s="98" t="s">
        <v>9</v>
      </c>
      <c r="D24" s="98" t="s">
        <v>9</v>
      </c>
      <c r="E24" s="110">
        <v>174615</v>
      </c>
      <c r="F24" s="63">
        <v>174259</v>
      </c>
      <c r="G24" s="63">
        <v>171972</v>
      </c>
      <c r="H24" s="138">
        <f t="shared" si="3"/>
        <v>98.486384331243016</v>
      </c>
      <c r="I24" s="167">
        <f t="shared" si="2"/>
        <v>98.68758572010627</v>
      </c>
    </row>
    <row r="25" spans="1:9" ht="18.75">
      <c r="A25" s="26">
        <v>19</v>
      </c>
      <c r="B25" s="15" t="s">
        <v>115</v>
      </c>
      <c r="C25" s="98" t="s">
        <v>140</v>
      </c>
      <c r="D25" s="98" t="s">
        <v>140</v>
      </c>
      <c r="E25" s="110">
        <v>42350</v>
      </c>
      <c r="F25" s="63">
        <v>42350</v>
      </c>
      <c r="G25" s="63">
        <v>54200</v>
      </c>
      <c r="H25" s="138">
        <f t="shared" si="3"/>
        <v>127.98110979929163</v>
      </c>
      <c r="I25" s="167">
        <f t="shared" si="2"/>
        <v>127.98110979929163</v>
      </c>
    </row>
    <row r="26" spans="1:9" ht="18.75">
      <c r="A26" s="13">
        <v>20</v>
      </c>
      <c r="B26" s="15" t="s">
        <v>35</v>
      </c>
      <c r="C26" s="98" t="s">
        <v>10</v>
      </c>
      <c r="D26" s="98" t="s">
        <v>10</v>
      </c>
      <c r="E26" s="110">
        <v>43300</v>
      </c>
      <c r="F26" s="63">
        <v>43372</v>
      </c>
      <c r="G26" s="63">
        <v>49993</v>
      </c>
      <c r="H26" s="138">
        <f t="shared" si="3"/>
        <v>115.45727482678984</v>
      </c>
      <c r="I26" s="167">
        <f t="shared" si="2"/>
        <v>115.26560914875957</v>
      </c>
    </row>
    <row r="27" spans="1:9" ht="18.75">
      <c r="A27" s="13">
        <v>21</v>
      </c>
      <c r="B27" s="15">
        <v>2226</v>
      </c>
      <c r="C27" s="98" t="s">
        <v>173</v>
      </c>
      <c r="D27" s="98" t="s">
        <v>173</v>
      </c>
      <c r="E27" s="110"/>
      <c r="F27" s="63">
        <v>7624</v>
      </c>
      <c r="G27" s="63">
        <v>7625</v>
      </c>
      <c r="H27" s="138"/>
      <c r="I27" s="167">
        <f t="shared" si="2"/>
        <v>100.01311647429172</v>
      </c>
    </row>
    <row r="28" spans="1:9" ht="18.75">
      <c r="A28" s="26">
        <v>22</v>
      </c>
      <c r="B28" s="15">
        <v>2441</v>
      </c>
      <c r="C28" s="98" t="s">
        <v>139</v>
      </c>
      <c r="D28" s="98" t="s">
        <v>139</v>
      </c>
      <c r="E28" s="110">
        <v>13541</v>
      </c>
      <c r="F28" s="63">
        <v>13541</v>
      </c>
      <c r="G28" s="63">
        <v>13541</v>
      </c>
      <c r="H28" s="138">
        <f t="shared" ref="H28:H36" si="4">+G28/E28*100</f>
        <v>100</v>
      </c>
      <c r="I28" s="167">
        <f t="shared" si="2"/>
        <v>100</v>
      </c>
    </row>
    <row r="29" spans="1:9" ht="18.75">
      <c r="A29" s="13">
        <v>23</v>
      </c>
      <c r="B29" s="16" t="s">
        <v>55</v>
      </c>
      <c r="C29" s="55" t="s">
        <v>11</v>
      </c>
      <c r="D29" s="55" t="s">
        <v>11</v>
      </c>
      <c r="E29" s="109">
        <f>482328-E22-E23-E24-E25-E26-E28</f>
        <v>73277</v>
      </c>
      <c r="F29" s="61">
        <f>530981-F22-F23-F24-F25-F26-F27-F28</f>
        <v>99962</v>
      </c>
      <c r="G29" s="61">
        <f>577100-G22-G23-G24-G25-G26-G27-G28</f>
        <v>126867</v>
      </c>
      <c r="H29" s="138">
        <f t="shared" si="4"/>
        <v>173.13345251579622</v>
      </c>
      <c r="I29" s="167">
        <f t="shared" si="2"/>
        <v>126.91522778655889</v>
      </c>
    </row>
    <row r="30" spans="1:9" ht="19.5" thickBot="1">
      <c r="A30" s="26">
        <v>24</v>
      </c>
      <c r="B30" s="17" t="s">
        <v>84</v>
      </c>
      <c r="C30" s="99" t="s">
        <v>196</v>
      </c>
      <c r="D30" s="99" t="s">
        <v>219</v>
      </c>
      <c r="E30" s="111">
        <f>SUM(E22:E29)</f>
        <v>482328</v>
      </c>
      <c r="F30" s="64">
        <f>SUM(F22:F29)</f>
        <v>530981</v>
      </c>
      <c r="G30" s="64">
        <f>SUM(G22:G29)</f>
        <v>577100</v>
      </c>
      <c r="H30" s="136">
        <f t="shared" si="4"/>
        <v>119.64886964886965</v>
      </c>
      <c r="I30" s="168">
        <f t="shared" si="2"/>
        <v>108.68562151941406</v>
      </c>
    </row>
    <row r="31" spans="1:9" ht="18.75">
      <c r="A31" s="13">
        <v>25</v>
      </c>
      <c r="B31" s="20" t="s">
        <v>41</v>
      </c>
      <c r="C31" s="101" t="s">
        <v>160</v>
      </c>
      <c r="D31" s="101" t="s">
        <v>160</v>
      </c>
      <c r="E31" s="113">
        <v>600000</v>
      </c>
      <c r="F31" s="66">
        <v>600000</v>
      </c>
      <c r="G31" s="66">
        <f>9968+645113</f>
        <v>655081</v>
      </c>
      <c r="H31" s="135">
        <f t="shared" si="4"/>
        <v>109.18016666666665</v>
      </c>
      <c r="I31" s="165">
        <f t="shared" si="2"/>
        <v>109.18016666666665</v>
      </c>
    </row>
    <row r="32" spans="1:9" ht="18.75">
      <c r="A32" s="26">
        <v>26</v>
      </c>
      <c r="B32" s="281" t="s">
        <v>159</v>
      </c>
      <c r="C32" s="212" t="s">
        <v>157</v>
      </c>
      <c r="D32" s="212" t="s">
        <v>157</v>
      </c>
      <c r="E32" s="274">
        <v>207580</v>
      </c>
      <c r="F32" s="275">
        <v>214852</v>
      </c>
      <c r="G32" s="275">
        <f>148170+101002+4+2129+2000+1361+258+176</f>
        <v>255100</v>
      </c>
      <c r="H32" s="135">
        <f>+G32/E32*100</f>
        <v>122.89237884189228</v>
      </c>
      <c r="I32" s="165">
        <f>+G32/F32*100</f>
        <v>118.73289520227878</v>
      </c>
    </row>
    <row r="33" spans="1:9" ht="18.75">
      <c r="A33" s="13">
        <v>27</v>
      </c>
      <c r="B33" s="15" t="s">
        <v>152</v>
      </c>
      <c r="C33" s="98" t="s">
        <v>153</v>
      </c>
      <c r="D33" s="98" t="s">
        <v>153</v>
      </c>
      <c r="E33" s="110"/>
      <c r="F33" s="63">
        <v>1399</v>
      </c>
      <c r="G33" s="63">
        <v>2149</v>
      </c>
      <c r="H33" s="138"/>
      <c r="I33" s="165">
        <f>+G33/F33*100</f>
        <v>153.6097212294496</v>
      </c>
    </row>
    <row r="34" spans="1:9" ht="18.75">
      <c r="A34" s="26">
        <v>28</v>
      </c>
      <c r="B34" s="283" t="s">
        <v>207</v>
      </c>
      <c r="C34" s="284"/>
      <c r="D34" s="284" t="s">
        <v>208</v>
      </c>
      <c r="E34" s="110"/>
      <c r="F34" s="63"/>
      <c r="G34" s="63">
        <v>94</v>
      </c>
      <c r="H34" s="138"/>
      <c r="I34" s="167"/>
    </row>
    <row r="35" spans="1:9" ht="19.5" thickBot="1">
      <c r="A35" s="13">
        <v>29</v>
      </c>
      <c r="B35" s="21" t="s">
        <v>43</v>
      </c>
      <c r="C35" s="99" t="s">
        <v>195</v>
      </c>
      <c r="D35" s="99" t="s">
        <v>220</v>
      </c>
      <c r="E35" s="111">
        <f>SUM(E31:E34)</f>
        <v>807580</v>
      </c>
      <c r="F35" s="64">
        <f t="shared" ref="F35:G35" si="5">SUM(F31:F34)</f>
        <v>816251</v>
      </c>
      <c r="G35" s="64">
        <f t="shared" si="5"/>
        <v>912424</v>
      </c>
      <c r="H35" s="187">
        <f>+G35/E35*100</f>
        <v>112.98249089873448</v>
      </c>
      <c r="I35" s="183">
        <f>+G35/F35*100</f>
        <v>111.78228265570272</v>
      </c>
    </row>
    <row r="36" spans="1:9" ht="19.5" thickBot="1">
      <c r="A36" s="26">
        <v>30</v>
      </c>
      <c r="B36" s="22"/>
      <c r="C36" s="57" t="s">
        <v>174</v>
      </c>
      <c r="D36" s="57" t="s">
        <v>221</v>
      </c>
      <c r="E36" s="114">
        <f>+E21+E30+E35</f>
        <v>8751563</v>
      </c>
      <c r="F36" s="67">
        <f>+F21+F30+F35</f>
        <v>8756276</v>
      </c>
      <c r="G36" s="67">
        <f>+G21+G30+G35</f>
        <v>9318915</v>
      </c>
      <c r="H36" s="184">
        <f t="shared" si="4"/>
        <v>106.48286483225911</v>
      </c>
      <c r="I36" s="182">
        <f t="shared" si="2"/>
        <v>106.4255512274853</v>
      </c>
    </row>
    <row r="37" spans="1:9" ht="18.75">
      <c r="A37" s="13">
        <v>31</v>
      </c>
      <c r="B37" s="78">
        <v>4111</v>
      </c>
      <c r="C37" s="54" t="s">
        <v>118</v>
      </c>
      <c r="D37" s="54" t="s">
        <v>118</v>
      </c>
      <c r="E37" s="108"/>
      <c r="F37" s="70">
        <v>218</v>
      </c>
      <c r="G37" s="70">
        <v>218</v>
      </c>
      <c r="H37" s="135"/>
      <c r="I37" s="167">
        <f t="shared" si="2"/>
        <v>100</v>
      </c>
    </row>
    <row r="38" spans="1:9" ht="18.75">
      <c r="A38" s="26">
        <v>32</v>
      </c>
      <c r="B38" s="14">
        <v>4112</v>
      </c>
      <c r="C38" s="100" t="s">
        <v>119</v>
      </c>
      <c r="D38" s="100" t="s">
        <v>119</v>
      </c>
      <c r="E38" s="106">
        <v>131899</v>
      </c>
      <c r="F38" s="60">
        <v>131899</v>
      </c>
      <c r="G38" s="60">
        <v>131899</v>
      </c>
      <c r="H38" s="138">
        <f>+G38/E38*100</f>
        <v>100</v>
      </c>
      <c r="I38" s="167">
        <f t="shared" si="2"/>
        <v>100</v>
      </c>
    </row>
    <row r="39" spans="1:9" ht="18.75">
      <c r="A39" s="13">
        <v>33</v>
      </c>
      <c r="B39" s="14">
        <v>4113</v>
      </c>
      <c r="C39" s="100" t="s">
        <v>120</v>
      </c>
      <c r="D39" s="100" t="s">
        <v>120</v>
      </c>
      <c r="E39" s="106"/>
      <c r="F39" s="60">
        <v>368</v>
      </c>
      <c r="G39" s="60">
        <v>661</v>
      </c>
      <c r="H39" s="138"/>
      <c r="I39" s="167">
        <f t="shared" si="2"/>
        <v>179.61956521739131</v>
      </c>
    </row>
    <row r="40" spans="1:9" ht="18.75">
      <c r="A40" s="26">
        <v>34</v>
      </c>
      <c r="B40" s="18">
        <v>4116</v>
      </c>
      <c r="C40" s="100" t="s">
        <v>121</v>
      </c>
      <c r="D40" s="100" t="s">
        <v>121</v>
      </c>
      <c r="E40" s="106"/>
      <c r="F40" s="60">
        <v>62976</v>
      </c>
      <c r="G40" s="60">
        <v>62976</v>
      </c>
      <c r="H40" s="138"/>
      <c r="I40" s="167">
        <f t="shared" si="2"/>
        <v>100</v>
      </c>
    </row>
    <row r="41" spans="1:9" ht="18.75">
      <c r="A41" s="13">
        <v>35</v>
      </c>
      <c r="B41" s="18">
        <v>4119</v>
      </c>
      <c r="C41" s="100" t="s">
        <v>198</v>
      </c>
      <c r="D41" s="100" t="s">
        <v>198</v>
      </c>
      <c r="E41" s="106"/>
      <c r="F41" s="60">
        <v>63</v>
      </c>
      <c r="G41" s="60">
        <v>63</v>
      </c>
      <c r="H41" s="138"/>
      <c r="I41" s="167">
        <f t="shared" si="2"/>
        <v>100</v>
      </c>
    </row>
    <row r="42" spans="1:9" ht="18.75">
      <c r="A42" s="13">
        <v>36</v>
      </c>
      <c r="B42" s="14">
        <v>4121</v>
      </c>
      <c r="C42" s="100" t="s">
        <v>167</v>
      </c>
      <c r="D42" s="100" t="s">
        <v>167</v>
      </c>
      <c r="E42" s="106"/>
      <c r="F42" s="60">
        <v>1396</v>
      </c>
      <c r="G42" s="60">
        <v>1396</v>
      </c>
      <c r="H42" s="138"/>
      <c r="I42" s="167">
        <f t="shared" ref="I42:I55" si="6">+G42/F42*100</f>
        <v>100</v>
      </c>
    </row>
    <row r="43" spans="1:9" ht="18.75">
      <c r="A43" s="26">
        <v>37</v>
      </c>
      <c r="B43" s="14">
        <v>4121</v>
      </c>
      <c r="C43" s="100" t="s">
        <v>123</v>
      </c>
      <c r="D43" s="100" t="s">
        <v>123</v>
      </c>
      <c r="E43" s="106">
        <v>30</v>
      </c>
      <c r="F43" s="60">
        <v>30</v>
      </c>
      <c r="G43" s="60">
        <v>21</v>
      </c>
      <c r="H43" s="138">
        <f>+G43/E43*100</f>
        <v>70</v>
      </c>
      <c r="I43" s="167">
        <f t="shared" si="6"/>
        <v>70</v>
      </c>
    </row>
    <row r="44" spans="1:9" ht="18.75">
      <c r="A44" s="13">
        <v>38</v>
      </c>
      <c r="B44" s="14">
        <v>4122</v>
      </c>
      <c r="C44" s="100" t="s">
        <v>124</v>
      </c>
      <c r="D44" s="100" t="s">
        <v>124</v>
      </c>
      <c r="E44" s="106"/>
      <c r="F44" s="60">
        <v>40081</v>
      </c>
      <c r="G44" s="60">
        <v>40081</v>
      </c>
      <c r="H44" s="138"/>
      <c r="I44" s="167">
        <f t="shared" si="6"/>
        <v>100</v>
      </c>
    </row>
    <row r="45" spans="1:9" ht="18.75">
      <c r="A45" s="26">
        <v>39</v>
      </c>
      <c r="B45" s="14">
        <v>4123</v>
      </c>
      <c r="C45" s="100" t="s">
        <v>199</v>
      </c>
      <c r="D45" s="100" t="s">
        <v>199</v>
      </c>
      <c r="E45" s="106"/>
      <c r="F45" s="60">
        <v>8223</v>
      </c>
      <c r="G45" s="60">
        <v>8223</v>
      </c>
      <c r="H45" s="138"/>
      <c r="I45" s="167">
        <f t="shared" si="6"/>
        <v>100</v>
      </c>
    </row>
    <row r="46" spans="1:9" ht="18.75">
      <c r="A46" s="13">
        <v>40</v>
      </c>
      <c r="B46" s="18">
        <v>4131</v>
      </c>
      <c r="C46" s="100" t="s">
        <v>73</v>
      </c>
      <c r="D46" s="100" t="s">
        <v>73</v>
      </c>
      <c r="E46" s="106">
        <v>420883</v>
      </c>
      <c r="F46" s="60">
        <v>421031</v>
      </c>
      <c r="G46" s="60">
        <v>421031</v>
      </c>
      <c r="H46" s="138">
        <f>+G46/E46*100</f>
        <v>100.03516416676368</v>
      </c>
      <c r="I46" s="167">
        <f t="shared" si="6"/>
        <v>100</v>
      </c>
    </row>
    <row r="47" spans="1:9" ht="18.75">
      <c r="A47" s="26">
        <v>41</v>
      </c>
      <c r="B47" s="18">
        <v>4132</v>
      </c>
      <c r="C47" s="100" t="s">
        <v>90</v>
      </c>
      <c r="D47" s="100" t="s">
        <v>90</v>
      </c>
      <c r="E47" s="106"/>
      <c r="F47" s="60">
        <v>245</v>
      </c>
      <c r="G47" s="60">
        <v>5990</v>
      </c>
      <c r="H47" s="138"/>
      <c r="I47" s="167">
        <f t="shared" si="6"/>
        <v>2444.8979591836737</v>
      </c>
    </row>
    <row r="48" spans="1:9" ht="18.75">
      <c r="A48" s="13">
        <v>42</v>
      </c>
      <c r="B48" s="18">
        <v>4151</v>
      </c>
      <c r="C48" s="100" t="s">
        <v>194</v>
      </c>
      <c r="D48" s="100" t="s">
        <v>194</v>
      </c>
      <c r="E48" s="272"/>
      <c r="F48" s="60">
        <v>1600</v>
      </c>
      <c r="G48" s="82">
        <v>1600</v>
      </c>
      <c r="H48" s="138"/>
      <c r="I48" s="167">
        <f t="shared" si="6"/>
        <v>100</v>
      </c>
    </row>
    <row r="49" spans="1:9" ht="18.75">
      <c r="A49" s="26">
        <v>43</v>
      </c>
      <c r="B49" s="18">
        <v>4152</v>
      </c>
      <c r="C49" s="100" t="s">
        <v>155</v>
      </c>
      <c r="D49" s="100" t="s">
        <v>155</v>
      </c>
      <c r="E49" s="272"/>
      <c r="F49" s="60">
        <v>14823</v>
      </c>
      <c r="G49" s="82">
        <v>15261</v>
      </c>
      <c r="H49" s="138"/>
      <c r="I49" s="167">
        <f t="shared" si="6"/>
        <v>102.95486743574176</v>
      </c>
    </row>
    <row r="50" spans="1:9" ht="18.75">
      <c r="A50" s="13">
        <v>44</v>
      </c>
      <c r="B50" s="18" t="s">
        <v>91</v>
      </c>
      <c r="C50" s="203" t="s">
        <v>175</v>
      </c>
      <c r="D50" s="203" t="s">
        <v>222</v>
      </c>
      <c r="E50" s="214">
        <f>SUM(E37:E49)</f>
        <v>552812</v>
      </c>
      <c r="F50" s="205">
        <f>SUM(F37:F49)</f>
        <v>682953</v>
      </c>
      <c r="G50" s="210">
        <f>SUM(G37:G49)</f>
        <v>689420</v>
      </c>
      <c r="H50" s="207">
        <f>+G50/E50*100</f>
        <v>124.71147514887519</v>
      </c>
      <c r="I50" s="208">
        <f t="shared" si="6"/>
        <v>100.94691728420551</v>
      </c>
    </row>
    <row r="51" spans="1:9" ht="18.75">
      <c r="A51" s="26">
        <v>45</v>
      </c>
      <c r="B51" s="14">
        <v>4213</v>
      </c>
      <c r="C51" s="100" t="s">
        <v>202</v>
      </c>
      <c r="D51" s="100" t="s">
        <v>202</v>
      </c>
      <c r="E51" s="106"/>
      <c r="F51" s="60">
        <v>31435</v>
      </c>
      <c r="G51" s="60">
        <v>31435</v>
      </c>
      <c r="H51" s="138"/>
      <c r="I51" s="167">
        <f t="shared" si="6"/>
        <v>100</v>
      </c>
    </row>
    <row r="52" spans="1:9" ht="18.75">
      <c r="A52" s="13">
        <v>46</v>
      </c>
      <c r="B52" s="18">
        <v>4216</v>
      </c>
      <c r="C52" s="100" t="s">
        <v>203</v>
      </c>
      <c r="D52" s="100" t="s">
        <v>203</v>
      </c>
      <c r="E52" s="272"/>
      <c r="F52" s="60">
        <v>577789</v>
      </c>
      <c r="G52" s="82">
        <v>577789</v>
      </c>
      <c r="H52" s="207"/>
      <c r="I52" s="167">
        <f t="shared" si="6"/>
        <v>100</v>
      </c>
    </row>
    <row r="53" spans="1:9" ht="18.75">
      <c r="A53" s="13">
        <v>47</v>
      </c>
      <c r="B53" s="14">
        <v>4221</v>
      </c>
      <c r="C53" s="100" t="s">
        <v>164</v>
      </c>
      <c r="D53" s="100" t="s">
        <v>164</v>
      </c>
      <c r="E53" s="106"/>
      <c r="F53" s="60">
        <v>17308</v>
      </c>
      <c r="G53" s="60">
        <v>17308</v>
      </c>
      <c r="H53" s="138"/>
      <c r="I53" s="167">
        <f t="shared" si="6"/>
        <v>100</v>
      </c>
    </row>
    <row r="54" spans="1:9" ht="18.75">
      <c r="A54" s="26">
        <v>48</v>
      </c>
      <c r="B54" s="9">
        <v>4222</v>
      </c>
      <c r="C54" s="55" t="s">
        <v>126</v>
      </c>
      <c r="D54" s="55" t="s">
        <v>126</v>
      </c>
      <c r="E54" s="109"/>
      <c r="F54" s="61">
        <v>691</v>
      </c>
      <c r="G54" s="61">
        <v>691</v>
      </c>
      <c r="H54" s="138"/>
      <c r="I54" s="167">
        <f t="shared" si="6"/>
        <v>100</v>
      </c>
    </row>
    <row r="55" spans="1:9" ht="18.75">
      <c r="A55" s="13">
        <v>49</v>
      </c>
      <c r="B55" s="9">
        <v>4223</v>
      </c>
      <c r="C55" s="100" t="s">
        <v>154</v>
      </c>
      <c r="D55" s="100" t="s">
        <v>154</v>
      </c>
      <c r="E55" s="272"/>
      <c r="F55" s="60">
        <v>252392</v>
      </c>
      <c r="G55" s="82">
        <v>252392</v>
      </c>
      <c r="H55" s="138"/>
      <c r="I55" s="167">
        <f t="shared" si="6"/>
        <v>100</v>
      </c>
    </row>
    <row r="56" spans="1:9" ht="18.75">
      <c r="A56" s="26">
        <v>50</v>
      </c>
      <c r="B56" s="16" t="s">
        <v>92</v>
      </c>
      <c r="C56" s="213" t="s">
        <v>176</v>
      </c>
      <c r="D56" s="213" t="s">
        <v>223</v>
      </c>
      <c r="E56" s="214"/>
      <c r="F56" s="205">
        <f>SUM(F51:F55)</f>
        <v>879615</v>
      </c>
      <c r="G56" s="210">
        <f>SUM(G51:G55)</f>
        <v>879615</v>
      </c>
      <c r="H56" s="207"/>
      <c r="I56" s="208">
        <f>+G56/F56*100</f>
        <v>100</v>
      </c>
    </row>
    <row r="57" spans="1:9" ht="19.5" thickBot="1">
      <c r="A57" s="13">
        <v>51</v>
      </c>
      <c r="B57" s="17" t="s">
        <v>44</v>
      </c>
      <c r="C57" s="99" t="s">
        <v>177</v>
      </c>
      <c r="D57" s="99" t="s">
        <v>224</v>
      </c>
      <c r="E57" s="111">
        <f>E50+E56</f>
        <v>552812</v>
      </c>
      <c r="F57" s="64">
        <f>F50+F56</f>
        <v>1562568</v>
      </c>
      <c r="G57" s="64">
        <f>G50+G56</f>
        <v>1569035</v>
      </c>
      <c r="H57" s="187">
        <f>+G57/E57*100</f>
        <v>283.82795597780074</v>
      </c>
      <c r="I57" s="183">
        <f>+G57/F57*100</f>
        <v>100.41386998837811</v>
      </c>
    </row>
    <row r="58" spans="1:9" ht="19.5" thickBot="1">
      <c r="A58" s="72">
        <v>52</v>
      </c>
      <c r="B58" s="48" t="s">
        <v>47</v>
      </c>
      <c r="C58" s="102" t="s">
        <v>178</v>
      </c>
      <c r="D58" s="102" t="s">
        <v>237</v>
      </c>
      <c r="E58" s="115">
        <f>+E36+E57</f>
        <v>9304375</v>
      </c>
      <c r="F58" s="192">
        <f>+F36+F57</f>
        <v>10318844</v>
      </c>
      <c r="G58" s="192">
        <f>+G36+G57</f>
        <v>10887950</v>
      </c>
      <c r="H58" s="185">
        <f>+G58/E58*100</f>
        <v>117.0196816013972</v>
      </c>
      <c r="I58" s="186">
        <f>+G58/F58*100</f>
        <v>105.51521081237394</v>
      </c>
    </row>
    <row r="59" spans="1:9" ht="19.5" thickBot="1">
      <c r="A59" s="1"/>
      <c r="B59" s="6"/>
      <c r="C59" s="29"/>
      <c r="D59" s="29"/>
      <c r="E59" s="29"/>
      <c r="F59" s="29"/>
      <c r="G59" s="154"/>
      <c r="H59" s="217"/>
      <c r="I59" s="217"/>
    </row>
    <row r="60" spans="1:9" ht="16.5" thickBot="1">
      <c r="A60" s="24"/>
      <c r="B60" s="11" t="s">
        <v>39</v>
      </c>
      <c r="C60" s="92"/>
      <c r="D60" s="92"/>
      <c r="E60" s="302" t="s">
        <v>63</v>
      </c>
      <c r="F60" s="303"/>
      <c r="G60" s="303"/>
      <c r="H60" s="303"/>
      <c r="I60" s="304"/>
    </row>
    <row r="61" spans="1:9">
      <c r="A61" s="25" t="s">
        <v>1</v>
      </c>
      <c r="B61" s="10" t="s">
        <v>38</v>
      </c>
      <c r="C61" s="93" t="s">
        <v>12</v>
      </c>
      <c r="D61" s="93" t="s">
        <v>12</v>
      </c>
      <c r="E61" s="104" t="s">
        <v>52</v>
      </c>
      <c r="F61" s="34" t="s">
        <v>54</v>
      </c>
      <c r="G61" s="300" t="s">
        <v>23</v>
      </c>
      <c r="H61" s="144" t="s">
        <v>0</v>
      </c>
      <c r="I61" s="163" t="s">
        <v>0</v>
      </c>
    </row>
    <row r="62" spans="1:9" ht="16.5" thickBot="1">
      <c r="A62" s="42"/>
      <c r="B62" s="31" t="s">
        <v>37</v>
      </c>
      <c r="C62" s="94"/>
      <c r="D62" s="94"/>
      <c r="E62" s="105" t="s">
        <v>22</v>
      </c>
      <c r="F62" s="43" t="s">
        <v>22</v>
      </c>
      <c r="G62" s="301"/>
      <c r="H62" s="145" t="s">
        <v>65</v>
      </c>
      <c r="I62" s="164" t="s">
        <v>66</v>
      </c>
    </row>
    <row r="63" spans="1:9" ht="18.75" customHeight="1">
      <c r="A63" s="211">
        <v>1</v>
      </c>
      <c r="B63" s="71" t="s">
        <v>88</v>
      </c>
      <c r="C63" s="212" t="s">
        <v>86</v>
      </c>
      <c r="D63" s="212" t="s">
        <v>86</v>
      </c>
      <c r="E63" s="200">
        <v>575621</v>
      </c>
      <c r="F63" s="201">
        <v>583288</v>
      </c>
      <c r="G63" s="201">
        <v>573235</v>
      </c>
      <c r="H63" s="190">
        <f t="shared" ref="H63:H72" si="7">+G63/E63*100</f>
        <v>99.58549114782123</v>
      </c>
      <c r="I63" s="209">
        <f t="shared" ref="I63:I74" si="8">+G63/F63*100</f>
        <v>98.276494630439842</v>
      </c>
    </row>
    <row r="64" spans="1:9" ht="18.75" customHeight="1">
      <c r="A64" s="13">
        <v>2</v>
      </c>
      <c r="B64" s="15" t="s">
        <v>89</v>
      </c>
      <c r="C64" s="98" t="s">
        <v>87</v>
      </c>
      <c r="D64" s="98" t="s">
        <v>87</v>
      </c>
      <c r="E64" s="109">
        <v>17419</v>
      </c>
      <c r="F64" s="61">
        <v>19398</v>
      </c>
      <c r="G64" s="61">
        <v>18055</v>
      </c>
      <c r="H64" s="138">
        <f t="shared" si="7"/>
        <v>103.65118548711179</v>
      </c>
      <c r="I64" s="167">
        <f t="shared" si="8"/>
        <v>93.076605835653154</v>
      </c>
    </row>
    <row r="65" spans="1:9" ht="18.75" customHeight="1">
      <c r="A65" s="13">
        <v>3</v>
      </c>
      <c r="B65" s="15" t="s">
        <v>186</v>
      </c>
      <c r="C65" s="98" t="s">
        <v>187</v>
      </c>
      <c r="D65" s="98" t="s">
        <v>187</v>
      </c>
      <c r="E65" s="109">
        <v>205397</v>
      </c>
      <c r="F65" s="61">
        <v>208058</v>
      </c>
      <c r="G65" s="61">
        <v>202342</v>
      </c>
      <c r="H65" s="138">
        <f t="shared" si="7"/>
        <v>98.512636503941152</v>
      </c>
      <c r="I65" s="167">
        <f>+G65/F65*100</f>
        <v>97.252689153985898</v>
      </c>
    </row>
    <row r="66" spans="1:9" ht="18.75">
      <c r="A66" s="26">
        <v>4</v>
      </c>
      <c r="B66" s="41">
        <v>5141</v>
      </c>
      <c r="C66" s="116" t="s">
        <v>76</v>
      </c>
      <c r="D66" s="116" t="s">
        <v>76</v>
      </c>
      <c r="E66" s="200">
        <v>224000</v>
      </c>
      <c r="F66" s="201">
        <v>224000</v>
      </c>
      <c r="G66" s="201">
        <v>83707</v>
      </c>
      <c r="H66" s="135">
        <f t="shared" si="7"/>
        <v>37.369196428571428</v>
      </c>
      <c r="I66" s="165">
        <f t="shared" si="8"/>
        <v>37.369196428571428</v>
      </c>
    </row>
    <row r="67" spans="1:9" ht="18.75" customHeight="1">
      <c r="A67" s="13">
        <v>5</v>
      </c>
      <c r="B67" s="15" t="s">
        <v>188</v>
      </c>
      <c r="C67" s="98" t="s">
        <v>189</v>
      </c>
      <c r="D67" s="98" t="s">
        <v>189</v>
      </c>
      <c r="E67" s="109">
        <v>1370516</v>
      </c>
      <c r="F67" s="61">
        <v>1357566</v>
      </c>
      <c r="G67" s="61">
        <v>1245177</v>
      </c>
      <c r="H67" s="138">
        <f t="shared" si="7"/>
        <v>90.854612423350034</v>
      </c>
      <c r="I67" s="167">
        <f>+G67/F67*100</f>
        <v>91.721286478889425</v>
      </c>
    </row>
    <row r="68" spans="1:9" ht="18.75" customHeight="1">
      <c r="A68" s="13">
        <v>6</v>
      </c>
      <c r="B68" s="283">
        <v>5171</v>
      </c>
      <c r="C68" s="284" t="s">
        <v>190</v>
      </c>
      <c r="D68" s="284" t="s">
        <v>190</v>
      </c>
      <c r="E68" s="119">
        <v>224458</v>
      </c>
      <c r="F68" s="68">
        <v>248226</v>
      </c>
      <c r="G68" s="68">
        <v>206520</v>
      </c>
      <c r="H68" s="138">
        <f t="shared" si="7"/>
        <v>92.008304448939228</v>
      </c>
      <c r="I68" s="167">
        <f>+G68/F68*100</f>
        <v>83.198375673781158</v>
      </c>
    </row>
    <row r="69" spans="1:9" ht="18.75" customHeight="1">
      <c r="A69" s="13">
        <v>7</v>
      </c>
      <c r="B69" s="19" t="s">
        <v>193</v>
      </c>
      <c r="C69" s="117" t="s">
        <v>127</v>
      </c>
      <c r="D69" s="117" t="s">
        <v>127</v>
      </c>
      <c r="E69" s="118">
        <v>1741000</v>
      </c>
      <c r="F69" s="37">
        <v>1744296</v>
      </c>
      <c r="G69" s="37">
        <v>1744296</v>
      </c>
      <c r="H69" s="138">
        <f t="shared" si="7"/>
        <v>100.18931648477887</v>
      </c>
      <c r="I69" s="167">
        <f t="shared" si="8"/>
        <v>100</v>
      </c>
    </row>
    <row r="70" spans="1:9" ht="18.75" customHeight="1">
      <c r="A70" s="26">
        <v>8</v>
      </c>
      <c r="B70" s="19">
        <v>5213</v>
      </c>
      <c r="C70" s="97" t="s">
        <v>128</v>
      </c>
      <c r="D70" s="97" t="s">
        <v>128</v>
      </c>
      <c r="E70" s="119">
        <f>1834012-E69</f>
        <v>93012</v>
      </c>
      <c r="F70" s="68">
        <f>1882208-F69</f>
        <v>137912</v>
      </c>
      <c r="G70" s="68">
        <f>1843570-G69</f>
        <v>99274</v>
      </c>
      <c r="H70" s="138">
        <f t="shared" si="7"/>
        <v>106.73246462822001</v>
      </c>
      <c r="I70" s="167">
        <f t="shared" si="8"/>
        <v>71.983583734555367</v>
      </c>
    </row>
    <row r="71" spans="1:9" ht="18.75">
      <c r="A71" s="13">
        <v>9</v>
      </c>
      <c r="B71" s="19" t="s">
        <v>25</v>
      </c>
      <c r="C71" s="117" t="s">
        <v>129</v>
      </c>
      <c r="D71" s="117" t="s">
        <v>129</v>
      </c>
      <c r="E71" s="119"/>
      <c r="F71" s="68">
        <f>1264+5680</f>
        <v>6944</v>
      </c>
      <c r="G71" s="68">
        <f>1154+1954</f>
        <v>3108</v>
      </c>
      <c r="H71" s="138"/>
      <c r="I71" s="167">
        <f t="shared" si="8"/>
        <v>44.758064516129032</v>
      </c>
    </row>
    <row r="72" spans="1:9" ht="18.75">
      <c r="A72" s="26">
        <v>10</v>
      </c>
      <c r="B72" s="19" t="s">
        <v>24</v>
      </c>
      <c r="C72" s="117" t="s">
        <v>130</v>
      </c>
      <c r="D72" s="117" t="s">
        <v>130</v>
      </c>
      <c r="E72" s="119">
        <v>448017</v>
      </c>
      <c r="F72" s="68">
        <v>537768</v>
      </c>
      <c r="G72" s="68">
        <v>377236</v>
      </c>
      <c r="H72" s="138">
        <f t="shared" si="7"/>
        <v>84.201269148268935</v>
      </c>
      <c r="I72" s="167">
        <f t="shared" si="8"/>
        <v>70.148465509290247</v>
      </c>
    </row>
    <row r="73" spans="1:9" ht="18.75">
      <c r="A73" s="13">
        <v>11</v>
      </c>
      <c r="B73" s="19">
        <v>5321</v>
      </c>
      <c r="C73" s="117" t="s">
        <v>131</v>
      </c>
      <c r="D73" s="117" t="s">
        <v>131</v>
      </c>
      <c r="E73" s="119">
        <v>974958</v>
      </c>
      <c r="F73" s="68">
        <v>1015067</v>
      </c>
      <c r="G73" s="68">
        <v>1014967</v>
      </c>
      <c r="H73" s="138">
        <f>+G73/E73*100</f>
        <v>104.10366395270361</v>
      </c>
      <c r="I73" s="167">
        <f t="shared" si="8"/>
        <v>99.990148433551667</v>
      </c>
    </row>
    <row r="74" spans="1:9" ht="18.75">
      <c r="A74" s="26">
        <v>12</v>
      </c>
      <c r="B74" s="19">
        <v>5321</v>
      </c>
      <c r="C74" s="117" t="s">
        <v>132</v>
      </c>
      <c r="D74" s="117" t="s">
        <v>132</v>
      </c>
      <c r="E74" s="119"/>
      <c r="F74" s="68">
        <v>1232</v>
      </c>
      <c r="G74" s="68">
        <v>1231</v>
      </c>
      <c r="H74" s="138"/>
      <c r="I74" s="167">
        <f t="shared" si="8"/>
        <v>99.918831168831161</v>
      </c>
    </row>
    <row r="75" spans="1:9" ht="18.75">
      <c r="A75" s="13">
        <v>13</v>
      </c>
      <c r="B75" s="23">
        <v>5331</v>
      </c>
      <c r="C75" s="117" t="s">
        <v>17</v>
      </c>
      <c r="D75" s="117" t="s">
        <v>17</v>
      </c>
      <c r="E75" s="119">
        <v>1124363</v>
      </c>
      <c r="F75" s="68">
        <v>1157312</v>
      </c>
      <c r="G75" s="68">
        <v>1157020</v>
      </c>
      <c r="H75" s="138">
        <f>+G75/E75*100</f>
        <v>102.90448903067781</v>
      </c>
      <c r="I75" s="167">
        <f>+G75/F75*100</f>
        <v>99.974769120168119</v>
      </c>
    </row>
    <row r="76" spans="1:9" ht="18.75">
      <c r="A76" s="26">
        <v>14</v>
      </c>
      <c r="B76" s="19" t="s">
        <v>26</v>
      </c>
      <c r="C76" s="117" t="s">
        <v>77</v>
      </c>
      <c r="D76" s="117" t="s">
        <v>77</v>
      </c>
      <c r="E76" s="119">
        <f>980+0+10777</f>
        <v>11757</v>
      </c>
      <c r="F76" s="68">
        <f>1715+73293+10582</f>
        <v>85590</v>
      </c>
      <c r="G76" s="68">
        <f>1595+73293+10562</f>
        <v>85450</v>
      </c>
      <c r="H76" s="138">
        <f>+G76/E76*100</f>
        <v>726.80105469082253</v>
      </c>
      <c r="I76" s="167">
        <f>+G76/F76*100</f>
        <v>99.836429489426337</v>
      </c>
    </row>
    <row r="77" spans="1:9" ht="18.75">
      <c r="A77" s="13">
        <v>15</v>
      </c>
      <c r="B77" s="19">
        <v>5362</v>
      </c>
      <c r="C77" s="117" t="s">
        <v>71</v>
      </c>
      <c r="D77" s="117" t="s">
        <v>71</v>
      </c>
      <c r="E77" s="119">
        <v>350000</v>
      </c>
      <c r="F77" s="68">
        <v>294186</v>
      </c>
      <c r="G77" s="61">
        <v>294186</v>
      </c>
      <c r="H77" s="138">
        <f>+G77/E77*100</f>
        <v>84.053142857142859</v>
      </c>
      <c r="I77" s="167">
        <f>+G77/F77*100</f>
        <v>100</v>
      </c>
    </row>
    <row r="78" spans="1:9" ht="18.75">
      <c r="A78" s="26">
        <v>16</v>
      </c>
      <c r="B78" s="19">
        <v>5366</v>
      </c>
      <c r="C78" s="117" t="s">
        <v>179</v>
      </c>
      <c r="D78" s="117" t="s">
        <v>179</v>
      </c>
      <c r="E78" s="119"/>
      <c r="F78" s="68">
        <v>7437</v>
      </c>
      <c r="G78" s="68">
        <v>7437</v>
      </c>
      <c r="H78" s="138"/>
      <c r="I78" s="167">
        <f>+G78/F78*100</f>
        <v>100</v>
      </c>
    </row>
    <row r="79" spans="1:9" ht="18.75">
      <c r="A79" s="26">
        <v>17</v>
      </c>
      <c r="B79" s="19">
        <v>5367</v>
      </c>
      <c r="C79" s="117" t="s">
        <v>181</v>
      </c>
      <c r="D79" s="117" t="s">
        <v>181</v>
      </c>
      <c r="E79" s="119"/>
      <c r="F79" s="68">
        <v>205267</v>
      </c>
      <c r="G79" s="68">
        <v>205267</v>
      </c>
      <c r="H79" s="138"/>
      <c r="I79" s="167">
        <f>+G79/F79*100</f>
        <v>100</v>
      </c>
    </row>
    <row r="80" spans="1:9" ht="18.75">
      <c r="A80" s="26">
        <v>18</v>
      </c>
      <c r="B80" s="19">
        <v>5901</v>
      </c>
      <c r="C80" s="97" t="s">
        <v>13</v>
      </c>
      <c r="D80" s="97" t="s">
        <v>192</v>
      </c>
      <c r="E80" s="119">
        <v>7611</v>
      </c>
      <c r="F80" s="68">
        <v>6511</v>
      </c>
      <c r="G80" s="68"/>
      <c r="H80" s="138"/>
      <c r="I80" s="167"/>
    </row>
    <row r="81" spans="1:21" ht="18.75">
      <c r="A81" s="13">
        <v>19</v>
      </c>
      <c r="B81" s="19" t="s">
        <v>74</v>
      </c>
      <c r="C81" s="97" t="s">
        <v>27</v>
      </c>
      <c r="D81" s="97" t="s">
        <v>27</v>
      </c>
      <c r="E81" s="119">
        <f>7675101-SUM(E63:E80)</f>
        <v>306972</v>
      </c>
      <c r="F81" s="68">
        <f>8156725-SUM(F63:F80)</f>
        <v>316667</v>
      </c>
      <c r="G81" s="68">
        <f>26088214-33304-272508-17296971-943550-SUM(G63:G80)</f>
        <v>223373</v>
      </c>
      <c r="H81" s="138">
        <f>+G81/E81*100</f>
        <v>72.766571543984469</v>
      </c>
      <c r="I81" s="167">
        <f>+G81/F81*100</f>
        <v>70.538767853928576</v>
      </c>
    </row>
    <row r="82" spans="1:21" ht="19.5" thickBot="1">
      <c r="A82" s="26">
        <v>20</v>
      </c>
      <c r="B82" s="17" t="s">
        <v>45</v>
      </c>
      <c r="C82" s="53" t="s">
        <v>182</v>
      </c>
      <c r="D82" s="290" t="s">
        <v>225</v>
      </c>
      <c r="E82" s="111">
        <f>SUM(E63:E81)</f>
        <v>7675101</v>
      </c>
      <c r="F82" s="64">
        <f>SUM(F63:F81)</f>
        <v>8156725</v>
      </c>
      <c r="G82" s="64">
        <f>SUM(G63:G81)</f>
        <v>7541881</v>
      </c>
      <c r="H82" s="136">
        <f>+G82/E82*100</f>
        <v>98.264257369381852</v>
      </c>
      <c r="I82" s="168">
        <f>+G82/F82*100</f>
        <v>92.462121746166503</v>
      </c>
    </row>
    <row r="83" spans="1:21" ht="18.75">
      <c r="A83" s="13">
        <v>21</v>
      </c>
      <c r="B83" s="39" t="s">
        <v>28</v>
      </c>
      <c r="C83" s="54" t="s">
        <v>134</v>
      </c>
      <c r="D83" s="54" t="s">
        <v>134</v>
      </c>
      <c r="E83" s="108">
        <v>7909</v>
      </c>
      <c r="F83" s="70">
        <v>2529</v>
      </c>
      <c r="G83" s="70">
        <v>2527</v>
      </c>
      <c r="H83" s="138">
        <f>+G83/E83*100</f>
        <v>31.95094196485017</v>
      </c>
      <c r="I83" s="167">
        <f>+G83/F83*100</f>
        <v>99.920917358639784</v>
      </c>
    </row>
    <row r="84" spans="1:21" ht="18.75">
      <c r="A84" s="26">
        <v>22</v>
      </c>
      <c r="B84" s="39" t="s">
        <v>29</v>
      </c>
      <c r="C84" s="55" t="s">
        <v>18</v>
      </c>
      <c r="D84" s="55" t="s">
        <v>18</v>
      </c>
      <c r="E84" s="109"/>
      <c r="F84" s="61">
        <v>422</v>
      </c>
      <c r="G84" s="61">
        <v>422</v>
      </c>
      <c r="H84" s="135"/>
      <c r="I84" s="167">
        <f>+G84/F84*100</f>
        <v>100</v>
      </c>
    </row>
    <row r="85" spans="1:21" ht="18.75">
      <c r="A85" s="26">
        <v>23</v>
      </c>
      <c r="B85" s="39">
        <v>6341</v>
      </c>
      <c r="C85" s="55" t="s">
        <v>14</v>
      </c>
      <c r="D85" s="55" t="s">
        <v>14</v>
      </c>
      <c r="E85" s="109"/>
      <c r="F85" s="61">
        <v>172347</v>
      </c>
      <c r="G85" s="61">
        <v>171452</v>
      </c>
      <c r="H85" s="138"/>
      <c r="I85" s="167">
        <f t="shared" ref="I85:I91" si="9">+G85/F85*100</f>
        <v>99.480698822723923</v>
      </c>
    </row>
    <row r="86" spans="1:21" ht="18.75">
      <c r="A86" s="26">
        <v>24</v>
      </c>
      <c r="B86" s="39">
        <v>6341</v>
      </c>
      <c r="C86" s="117" t="s">
        <v>197</v>
      </c>
      <c r="D86" s="117" t="s">
        <v>197</v>
      </c>
      <c r="E86" s="109"/>
      <c r="F86" s="61">
        <v>170</v>
      </c>
      <c r="G86" s="61">
        <v>170</v>
      </c>
      <c r="H86" s="138"/>
      <c r="I86" s="167">
        <f t="shared" si="9"/>
        <v>100</v>
      </c>
    </row>
    <row r="87" spans="1:21" ht="18.75">
      <c r="A87" s="26">
        <v>25</v>
      </c>
      <c r="B87" s="33">
        <v>6351</v>
      </c>
      <c r="C87" s="55" t="s">
        <v>135</v>
      </c>
      <c r="D87" s="55" t="s">
        <v>135</v>
      </c>
      <c r="E87" s="109">
        <v>200</v>
      </c>
      <c r="F87" s="61">
        <v>48247</v>
      </c>
      <c r="G87" s="61">
        <v>48167</v>
      </c>
      <c r="H87" s="138">
        <f>+G87/E87*100</f>
        <v>24083.5</v>
      </c>
      <c r="I87" s="167">
        <f t="shared" si="9"/>
        <v>99.834186581549105</v>
      </c>
    </row>
    <row r="88" spans="1:21" ht="18.75">
      <c r="A88" s="13">
        <v>26</v>
      </c>
      <c r="B88" s="33">
        <v>6441</v>
      </c>
      <c r="C88" s="55" t="s">
        <v>78</v>
      </c>
      <c r="D88" s="55" t="s">
        <v>78</v>
      </c>
      <c r="E88" s="109"/>
      <c r="F88" s="61">
        <v>18067</v>
      </c>
      <c r="G88" s="61">
        <v>14146</v>
      </c>
      <c r="H88" s="138"/>
      <c r="I88" s="167">
        <f t="shared" si="9"/>
        <v>78.297448386561129</v>
      </c>
    </row>
    <row r="89" spans="1:21" s="158" customFormat="1" ht="18.75">
      <c r="A89" s="13">
        <v>27</v>
      </c>
      <c r="B89" s="39" t="s">
        <v>61</v>
      </c>
      <c r="C89" s="56" t="s">
        <v>36</v>
      </c>
      <c r="D89" s="56" t="s">
        <v>36</v>
      </c>
      <c r="E89" s="109">
        <f>1993563-E83-E84-E87-E88</f>
        <v>1985454</v>
      </c>
      <c r="F89" s="61">
        <f>2508988-F83-F84-F85-F86-F87-F88</f>
        <v>2267206</v>
      </c>
      <c r="G89" s="61">
        <f>2229927-G83-G84-G85-G86-G87-G88</f>
        <v>1993043</v>
      </c>
      <c r="H89" s="138">
        <f>+G89/E89*100</f>
        <v>100.3822299584881</v>
      </c>
      <c r="I89" s="167">
        <f t="shared" si="9"/>
        <v>87.907450844784279</v>
      </c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</row>
    <row r="90" spans="1:21" s="158" customFormat="1" ht="19.5" thickBot="1">
      <c r="A90" s="211">
        <v>28</v>
      </c>
      <c r="B90" s="40" t="s">
        <v>46</v>
      </c>
      <c r="C90" s="57" t="s">
        <v>183</v>
      </c>
      <c r="D90" s="57" t="s">
        <v>226</v>
      </c>
      <c r="E90" s="114">
        <f>SUM(E83:E89)</f>
        <v>1993563</v>
      </c>
      <c r="F90" s="67">
        <f>SUM(F83:F89)</f>
        <v>2508988</v>
      </c>
      <c r="G90" s="67">
        <f>SUM(G83:G89)</f>
        <v>2229927</v>
      </c>
      <c r="H90" s="187">
        <f>+G90/E90*100</f>
        <v>111.85635969367409</v>
      </c>
      <c r="I90" s="183">
        <f t="shared" si="9"/>
        <v>88.877547441438537</v>
      </c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</row>
    <row r="91" spans="1:21" s="158" customFormat="1" ht="19.5" thickBot="1">
      <c r="A91" s="72">
        <v>29</v>
      </c>
      <c r="B91" s="48" t="s">
        <v>48</v>
      </c>
      <c r="C91" s="102" t="s">
        <v>184</v>
      </c>
      <c r="D91" s="102" t="s">
        <v>238</v>
      </c>
      <c r="E91" s="115">
        <f>+E82+E90</f>
        <v>9668664</v>
      </c>
      <c r="F91" s="46">
        <f>+F82+F90</f>
        <v>10665713</v>
      </c>
      <c r="G91" s="46">
        <f>+G82+G90</f>
        <v>9771808</v>
      </c>
      <c r="H91" s="185">
        <f>+G91/E91*100</f>
        <v>101.06678647639427</v>
      </c>
      <c r="I91" s="186">
        <f t="shared" si="9"/>
        <v>91.618891301500426</v>
      </c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</row>
    <row r="92" spans="1:21" s="158" customFormat="1" ht="19.5" thickBot="1">
      <c r="A92" s="1"/>
      <c r="B92" s="44"/>
      <c r="C92" s="45"/>
      <c r="D92" s="45"/>
      <c r="E92" s="45"/>
      <c r="F92" s="45"/>
      <c r="G92" s="45"/>
      <c r="H92" s="188"/>
      <c r="I92" s="188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</row>
    <row r="93" spans="1:21" s="158" customFormat="1" ht="16.5" thickBot="1">
      <c r="A93" s="24"/>
      <c r="B93" s="11" t="s">
        <v>39</v>
      </c>
      <c r="C93" s="92"/>
      <c r="D93" s="92"/>
      <c r="E93" s="302" t="s">
        <v>63</v>
      </c>
      <c r="F93" s="303"/>
      <c r="G93" s="303"/>
      <c r="H93" s="303"/>
      <c r="I93" s="30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</row>
    <row r="94" spans="1:21" s="158" customFormat="1">
      <c r="A94" s="25" t="s">
        <v>1</v>
      </c>
      <c r="B94" s="10" t="s">
        <v>37</v>
      </c>
      <c r="C94" s="93" t="s">
        <v>19</v>
      </c>
      <c r="D94" s="93" t="s">
        <v>19</v>
      </c>
      <c r="E94" s="104" t="s">
        <v>52</v>
      </c>
      <c r="F94" s="34" t="s">
        <v>54</v>
      </c>
      <c r="G94" s="300" t="s">
        <v>23</v>
      </c>
      <c r="H94" s="144" t="s">
        <v>0</v>
      </c>
      <c r="I94" s="163" t="s">
        <v>0</v>
      </c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</row>
    <row r="95" spans="1:21" s="158" customFormat="1" ht="16.5" thickBot="1">
      <c r="A95" s="42"/>
      <c r="B95" s="31"/>
      <c r="C95" s="94"/>
      <c r="D95" s="94"/>
      <c r="E95" s="105" t="s">
        <v>22</v>
      </c>
      <c r="F95" s="43" t="s">
        <v>22</v>
      </c>
      <c r="G95" s="301"/>
      <c r="H95" s="145" t="s">
        <v>65</v>
      </c>
      <c r="I95" s="164" t="s">
        <v>66</v>
      </c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</row>
    <row r="96" spans="1:21" s="158" customFormat="1" ht="18.75">
      <c r="A96" s="13">
        <v>1</v>
      </c>
      <c r="B96" s="271" t="s">
        <v>156</v>
      </c>
      <c r="C96" s="117" t="s">
        <v>20</v>
      </c>
      <c r="D96" s="117" t="s">
        <v>20</v>
      </c>
      <c r="E96" s="118">
        <v>574816</v>
      </c>
      <c r="F96" s="37">
        <v>557396</v>
      </c>
      <c r="G96" s="37">
        <v>-905616</v>
      </c>
      <c r="H96" s="138"/>
      <c r="I96" s="167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</row>
    <row r="97" spans="1:21" s="158" customFormat="1" ht="19.5" thickBot="1">
      <c r="A97" s="280">
        <v>2</v>
      </c>
      <c r="B97" s="17">
        <v>8224</v>
      </c>
      <c r="C97" s="261" t="s">
        <v>163</v>
      </c>
      <c r="D97" s="261" t="s">
        <v>163</v>
      </c>
      <c r="E97" s="107">
        <v>-210527</v>
      </c>
      <c r="F97" s="62">
        <v>-210527</v>
      </c>
      <c r="G97" s="62">
        <v>-210526</v>
      </c>
      <c r="H97" s="138">
        <f>+G97/E97*100</f>
        <v>99.999525001543745</v>
      </c>
      <c r="I97" s="167">
        <f>+G97/F97*100</f>
        <v>99.999525001543745</v>
      </c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</row>
    <row r="98" spans="1:21" s="158" customFormat="1" ht="19.5" thickBot="1">
      <c r="A98" s="72">
        <v>3</v>
      </c>
      <c r="B98" s="277" t="s">
        <v>49</v>
      </c>
      <c r="C98" s="278" t="s">
        <v>185</v>
      </c>
      <c r="D98" s="278" t="s">
        <v>239</v>
      </c>
      <c r="E98" s="279">
        <f>SUM(E96:E97)</f>
        <v>364289</v>
      </c>
      <c r="F98" s="192">
        <f>SUM(F96:F97)</f>
        <v>346869</v>
      </c>
      <c r="G98" s="192">
        <f>SUM(G96:G97)</f>
        <v>-1116142</v>
      </c>
      <c r="H98" s="185"/>
      <c r="I98" s="186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</row>
    <row r="99" spans="1:21" s="158" customFormat="1" ht="16.5" thickBot="1">
      <c r="A99" s="4"/>
      <c r="B99" s="4"/>
      <c r="C99" s="5"/>
      <c r="D99" s="5"/>
      <c r="E99" s="5"/>
      <c r="F99" s="5"/>
      <c r="G99" s="5"/>
      <c r="H99" s="149"/>
      <c r="I99" s="149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</row>
    <row r="100" spans="1:21" ht="16.5" thickBot="1">
      <c r="A100" s="24"/>
      <c r="B100" s="11" t="s">
        <v>37</v>
      </c>
      <c r="C100" s="92"/>
      <c r="D100" s="92"/>
      <c r="E100" s="103" t="s">
        <v>63</v>
      </c>
      <c r="F100" s="58"/>
      <c r="G100" s="58"/>
      <c r="H100" s="143"/>
      <c r="I100" s="162"/>
    </row>
    <row r="101" spans="1:21">
      <c r="A101" s="28" t="s">
        <v>1</v>
      </c>
      <c r="B101" s="10"/>
      <c r="C101" s="93" t="s">
        <v>15</v>
      </c>
      <c r="D101" s="93" t="s">
        <v>15</v>
      </c>
      <c r="E101" s="104" t="s">
        <v>52</v>
      </c>
      <c r="F101" s="34" t="s">
        <v>54</v>
      </c>
      <c r="G101" s="300" t="s">
        <v>23</v>
      </c>
      <c r="H101" s="144" t="s">
        <v>0</v>
      </c>
      <c r="I101" s="163" t="s">
        <v>0</v>
      </c>
    </row>
    <row r="102" spans="1:21" ht="16.5" thickBot="1">
      <c r="A102" s="30"/>
      <c r="B102" s="31"/>
      <c r="C102" s="94"/>
      <c r="D102" s="94"/>
      <c r="E102" s="105" t="s">
        <v>22</v>
      </c>
      <c r="F102" s="43" t="s">
        <v>22</v>
      </c>
      <c r="G102" s="301"/>
      <c r="H102" s="145" t="s">
        <v>65</v>
      </c>
      <c r="I102" s="164" t="s">
        <v>66</v>
      </c>
    </row>
    <row r="103" spans="1:21" ht="18.75">
      <c r="A103" s="32">
        <v>1</v>
      </c>
      <c r="B103" s="47" t="s">
        <v>47</v>
      </c>
      <c r="C103" s="122" t="s">
        <v>56</v>
      </c>
      <c r="D103" s="122" t="s">
        <v>56</v>
      </c>
      <c r="E103" s="126">
        <f>+E58</f>
        <v>9304375</v>
      </c>
      <c r="F103" s="38">
        <f>+F58</f>
        <v>10318844</v>
      </c>
      <c r="G103" s="38">
        <f>+G58</f>
        <v>10887950</v>
      </c>
      <c r="H103" s="150">
        <f>+G103/E103*100</f>
        <v>117.0196816013972</v>
      </c>
      <c r="I103" s="179">
        <f>+G103/F103*100</f>
        <v>105.51521081237394</v>
      </c>
    </row>
    <row r="104" spans="1:21" ht="18.75">
      <c r="A104" s="26">
        <v>2</v>
      </c>
      <c r="B104" s="49" t="s">
        <v>85</v>
      </c>
      <c r="C104" s="123" t="s">
        <v>57</v>
      </c>
      <c r="D104" s="123" t="s">
        <v>57</v>
      </c>
      <c r="E104" s="127">
        <f>+E91</f>
        <v>9668664</v>
      </c>
      <c r="F104" s="36">
        <f>+F91</f>
        <v>10665713</v>
      </c>
      <c r="G104" s="36">
        <f>+G91</f>
        <v>9771808</v>
      </c>
      <c r="H104" s="151">
        <f>+G104/E104*100</f>
        <v>101.06678647639427</v>
      </c>
      <c r="I104" s="180">
        <f>+G104/F104*100</f>
        <v>91.618891301500426</v>
      </c>
    </row>
    <row r="105" spans="1:21" ht="19.5" thickBot="1">
      <c r="A105" s="27">
        <v>3</v>
      </c>
      <c r="B105" s="50"/>
      <c r="C105" s="124" t="s">
        <v>50</v>
      </c>
      <c r="D105" s="124" t="s">
        <v>50</v>
      </c>
      <c r="E105" s="128">
        <f>+E103-E104</f>
        <v>-364289</v>
      </c>
      <c r="F105" s="35">
        <f>+F103-F104</f>
        <v>-346869</v>
      </c>
      <c r="G105" s="35">
        <f>+G103-G104</f>
        <v>1116142</v>
      </c>
      <c r="H105" s="191"/>
      <c r="I105" s="263"/>
    </row>
    <row r="106" spans="1:21" ht="19.5" thickBot="1">
      <c r="A106" s="72">
        <v>4</v>
      </c>
      <c r="B106" s="51" t="s">
        <v>49</v>
      </c>
      <c r="C106" s="125" t="s">
        <v>16</v>
      </c>
      <c r="D106" s="125" t="s">
        <v>16</v>
      </c>
      <c r="E106" s="129">
        <f>+E98</f>
        <v>364289</v>
      </c>
      <c r="F106" s="52">
        <f>+F98</f>
        <v>346869</v>
      </c>
      <c r="G106" s="52">
        <f>+G98</f>
        <v>-1116142</v>
      </c>
      <c r="H106" s="152"/>
      <c r="I106" s="181"/>
    </row>
    <row r="107" spans="1:21">
      <c r="G107" s="218"/>
    </row>
    <row r="108" spans="1:21">
      <c r="G108" s="218"/>
    </row>
    <row r="110" spans="1:21" hidden="1"/>
  </sheetData>
  <mergeCells count="6">
    <mergeCell ref="E93:I93"/>
    <mergeCell ref="G94:G95"/>
    <mergeCell ref="G101:G102"/>
    <mergeCell ref="G5:G6"/>
    <mergeCell ref="E60:I60"/>
    <mergeCell ref="G61:G62"/>
  </mergeCells>
  <printOptions horizontalCentered="1"/>
  <pageMargins left="0.19685039370078741" right="0.19685039370078741" top="0.39" bottom="0.27559055118110237" header="0" footer="0"/>
  <pageSetup paperSize="9" scale="50" fitToHeight="2" orientation="landscape" r:id="rId1"/>
  <headerFooter alignWithMargins="0"/>
  <rowBreaks count="1" manualBreakCount="1">
    <brk id="58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U100"/>
  <sheetViews>
    <sheetView showZeros="0" zoomScale="75" zoomScaleNormal="75" zoomScaleSheetLayoutView="50" workbookViewId="0">
      <pane xSplit="2" topLeftCell="C1" activePane="topRight" state="frozen"/>
      <selection pane="topRight" activeCell="D89" sqref="D89"/>
    </sheetView>
  </sheetViews>
  <sheetFormatPr defaultRowHeight="15.75"/>
  <cols>
    <col min="1" max="1" width="3.6640625" style="4" bestFit="1" customWidth="1"/>
    <col min="2" max="2" width="15.44140625" style="4" customWidth="1"/>
    <col min="3" max="3" width="59.5546875" style="5" hidden="1" customWidth="1"/>
    <col min="4" max="4" width="63" style="5" customWidth="1"/>
    <col min="5" max="5" width="15.6640625" style="7" customWidth="1"/>
    <col min="6" max="6" width="14.77734375" style="7" customWidth="1"/>
    <col min="7" max="7" width="14.6640625" style="7" customWidth="1"/>
    <col min="8" max="8" width="10.33203125" style="178" customWidth="1"/>
    <col min="9" max="9" width="10.6640625" style="178" customWidth="1"/>
    <col min="10" max="10" width="10.21875" style="158" bestFit="1" customWidth="1"/>
    <col min="11" max="11" width="9.77734375" style="158" bestFit="1" customWidth="1"/>
    <col min="12" max="16384" width="8.88671875" style="4"/>
  </cols>
  <sheetData>
    <row r="1" spans="1:11" ht="22.5">
      <c r="A1" s="269" t="s">
        <v>228</v>
      </c>
      <c r="B1" s="157"/>
      <c r="C1" s="157"/>
      <c r="D1" s="157"/>
      <c r="E1" s="3"/>
      <c r="F1" s="3"/>
      <c r="G1" s="3"/>
      <c r="H1" s="177"/>
      <c r="I1" s="177"/>
      <c r="K1" s="4"/>
    </row>
    <row r="2" spans="1:11" ht="20.25">
      <c r="A2" s="76" t="s">
        <v>216</v>
      </c>
      <c r="B2" s="2"/>
      <c r="C2" s="8"/>
      <c r="D2" s="8"/>
      <c r="E2" s="3"/>
      <c r="F2" s="3"/>
      <c r="G2" s="3"/>
      <c r="H2" s="177"/>
      <c r="I2" s="177"/>
      <c r="K2" s="4"/>
    </row>
    <row r="3" spans="1:11" ht="11.25" customHeight="1" thickBot="1">
      <c r="A3" s="2"/>
      <c r="B3" s="2"/>
      <c r="C3" s="8"/>
      <c r="D3" s="8"/>
      <c r="K3" s="4"/>
    </row>
    <row r="4" spans="1:11" ht="16.5" thickBot="1">
      <c r="A4" s="24"/>
      <c r="B4" s="11" t="s">
        <v>39</v>
      </c>
      <c r="C4" s="92"/>
      <c r="D4" s="92"/>
      <c r="E4" s="103" t="s">
        <v>40</v>
      </c>
      <c r="F4" s="58"/>
      <c r="G4" s="59"/>
      <c r="H4" s="153"/>
      <c r="I4" s="297"/>
      <c r="K4" s="4"/>
    </row>
    <row r="5" spans="1:11">
      <c r="A5" s="25" t="s">
        <v>218</v>
      </c>
      <c r="B5" s="10" t="s">
        <v>38</v>
      </c>
      <c r="C5" s="93" t="s">
        <v>2</v>
      </c>
      <c r="D5" s="93" t="s">
        <v>2</v>
      </c>
      <c r="E5" s="104" t="s">
        <v>52</v>
      </c>
      <c r="F5" s="34" t="s">
        <v>53</v>
      </c>
      <c r="G5" s="300" t="s">
        <v>23</v>
      </c>
      <c r="H5" s="144" t="s">
        <v>0</v>
      </c>
      <c r="I5" s="163" t="s">
        <v>0</v>
      </c>
      <c r="K5" s="4"/>
    </row>
    <row r="6" spans="1:11" ht="16.5" thickBot="1">
      <c r="A6" s="42"/>
      <c r="B6" s="31" t="s">
        <v>37</v>
      </c>
      <c r="C6" s="94"/>
      <c r="D6" s="94"/>
      <c r="E6" s="105" t="s">
        <v>22</v>
      </c>
      <c r="F6" s="43" t="s">
        <v>22</v>
      </c>
      <c r="G6" s="301"/>
      <c r="H6" s="145" t="s">
        <v>65</v>
      </c>
      <c r="I6" s="164" t="s">
        <v>66</v>
      </c>
      <c r="K6" s="4"/>
    </row>
    <row r="7" spans="1:11" ht="18.75">
      <c r="A7" s="26">
        <v>1</v>
      </c>
      <c r="B7" s="9">
        <v>1122</v>
      </c>
      <c r="C7" s="56" t="s">
        <v>6</v>
      </c>
      <c r="D7" s="56" t="s">
        <v>6</v>
      </c>
      <c r="E7" s="109">
        <v>59877</v>
      </c>
      <c r="F7" s="83">
        <v>123345</v>
      </c>
      <c r="G7" s="61">
        <v>123345</v>
      </c>
      <c r="H7" s="138">
        <f t="shared" ref="H7:H13" si="0">+G7/E7*100</f>
        <v>205.99729445362996</v>
      </c>
      <c r="I7" s="167">
        <f t="shared" ref="I7:I19" si="1">+G7/F7*100</f>
        <v>100</v>
      </c>
      <c r="J7" s="294"/>
      <c r="K7" s="4"/>
    </row>
    <row r="8" spans="1:11" ht="18.75">
      <c r="A8" s="13">
        <v>2</v>
      </c>
      <c r="B8" s="9">
        <v>1122</v>
      </c>
      <c r="C8" s="56" t="s">
        <v>71</v>
      </c>
      <c r="D8" s="56" t="s">
        <v>71</v>
      </c>
      <c r="E8" s="109">
        <v>10030</v>
      </c>
      <c r="F8" s="83">
        <v>25507</v>
      </c>
      <c r="G8" s="61">
        <v>25507</v>
      </c>
      <c r="H8" s="138">
        <f t="shared" si="0"/>
        <v>254.30707876370886</v>
      </c>
      <c r="I8" s="167">
        <f t="shared" si="1"/>
        <v>100</v>
      </c>
      <c r="J8" s="295"/>
      <c r="K8" s="4"/>
    </row>
    <row r="9" spans="1:11" ht="18.75">
      <c r="A9" s="26">
        <v>3</v>
      </c>
      <c r="B9" s="15" t="s">
        <v>30</v>
      </c>
      <c r="C9" s="98" t="s">
        <v>69</v>
      </c>
      <c r="D9" s="98" t="s">
        <v>69</v>
      </c>
      <c r="E9" s="110">
        <v>53</v>
      </c>
      <c r="F9" s="86">
        <v>54</v>
      </c>
      <c r="G9" s="63"/>
      <c r="H9" s="139">
        <f t="shared" si="0"/>
        <v>0</v>
      </c>
      <c r="I9" s="298">
        <f t="shared" si="1"/>
        <v>0</v>
      </c>
      <c r="J9" s="296"/>
      <c r="K9" s="4"/>
    </row>
    <row r="10" spans="1:11" ht="18.75">
      <c r="A10" s="13">
        <v>4</v>
      </c>
      <c r="B10" s="16" t="s">
        <v>31</v>
      </c>
      <c r="C10" s="55" t="s">
        <v>72</v>
      </c>
      <c r="D10" s="55" t="s">
        <v>72</v>
      </c>
      <c r="E10" s="109">
        <v>84153</v>
      </c>
      <c r="F10" s="83">
        <v>94156</v>
      </c>
      <c r="G10" s="61">
        <v>88366</v>
      </c>
      <c r="H10" s="138">
        <f t="shared" si="0"/>
        <v>105.00635746794529</v>
      </c>
      <c r="I10" s="167">
        <f t="shared" si="1"/>
        <v>93.850630867921325</v>
      </c>
      <c r="J10" s="296"/>
      <c r="K10" s="4"/>
    </row>
    <row r="11" spans="1:11" ht="18.75">
      <c r="A11" s="26">
        <v>5</v>
      </c>
      <c r="B11" s="19" t="s">
        <v>81</v>
      </c>
      <c r="C11" s="55" t="s">
        <v>82</v>
      </c>
      <c r="D11" s="55" t="s">
        <v>82</v>
      </c>
      <c r="E11" s="119">
        <v>40</v>
      </c>
      <c r="F11" s="85">
        <v>60</v>
      </c>
      <c r="G11" s="68">
        <v>69</v>
      </c>
      <c r="H11" s="138">
        <f t="shared" si="0"/>
        <v>172.5</v>
      </c>
      <c r="I11" s="167">
        <f t="shared" si="1"/>
        <v>114.99999999999999</v>
      </c>
      <c r="J11" s="294"/>
      <c r="K11" s="4"/>
    </row>
    <row r="12" spans="1:11" ht="18.75">
      <c r="A12" s="13">
        <v>6</v>
      </c>
      <c r="B12" s="19">
        <v>1361</v>
      </c>
      <c r="C12" s="55" t="s">
        <v>7</v>
      </c>
      <c r="D12" s="55" t="s">
        <v>7</v>
      </c>
      <c r="E12" s="119">
        <v>7252</v>
      </c>
      <c r="F12" s="85">
        <v>12289</v>
      </c>
      <c r="G12" s="68">
        <v>15219</v>
      </c>
      <c r="H12" s="138">
        <f t="shared" si="0"/>
        <v>209.85934914506342</v>
      </c>
      <c r="I12" s="167">
        <f t="shared" si="1"/>
        <v>123.84246073724469</v>
      </c>
      <c r="J12" s="295"/>
      <c r="K12" s="4"/>
    </row>
    <row r="13" spans="1:11" ht="19.5" thickBot="1">
      <c r="A13" s="26">
        <v>7</v>
      </c>
      <c r="B13" s="17" t="s">
        <v>42</v>
      </c>
      <c r="C13" s="99" t="s">
        <v>171</v>
      </c>
      <c r="D13" s="99" t="s">
        <v>229</v>
      </c>
      <c r="E13" s="111">
        <f>SUM(E7:E12)</f>
        <v>161405</v>
      </c>
      <c r="F13" s="64">
        <f>SUM(F7:F12)</f>
        <v>255411</v>
      </c>
      <c r="G13" s="64">
        <f>SUM(G7:G12)</f>
        <v>252506</v>
      </c>
      <c r="H13" s="136">
        <f t="shared" si="0"/>
        <v>156.44248939004368</v>
      </c>
      <c r="I13" s="168">
        <f t="shared" si="1"/>
        <v>98.862617506685297</v>
      </c>
      <c r="J13" s="294"/>
      <c r="K13" s="4"/>
    </row>
    <row r="14" spans="1:11" ht="18.75">
      <c r="A14" s="13">
        <v>8</v>
      </c>
      <c r="B14" s="18" t="s">
        <v>32</v>
      </c>
      <c r="C14" s="100" t="s">
        <v>8</v>
      </c>
      <c r="D14" s="100" t="s">
        <v>8</v>
      </c>
      <c r="E14" s="106">
        <v>34338</v>
      </c>
      <c r="F14" s="82">
        <v>32787</v>
      </c>
      <c r="G14" s="60">
        <v>33115</v>
      </c>
      <c r="H14" s="135">
        <f>+G14/E14*100</f>
        <v>96.438348185683495</v>
      </c>
      <c r="I14" s="165">
        <f t="shared" si="1"/>
        <v>101.00039649861226</v>
      </c>
      <c r="K14" s="4"/>
    </row>
    <row r="15" spans="1:11" ht="18.75">
      <c r="A15" s="26">
        <v>9</v>
      </c>
      <c r="B15" s="18" t="s">
        <v>33</v>
      </c>
      <c r="C15" s="100" t="s">
        <v>64</v>
      </c>
      <c r="D15" s="100" t="s">
        <v>64</v>
      </c>
      <c r="E15" s="106">
        <v>3537</v>
      </c>
      <c r="F15" s="82">
        <v>10854</v>
      </c>
      <c r="G15" s="60">
        <v>10238</v>
      </c>
      <c r="H15" s="139">
        <f>+G15/E15*100</f>
        <v>289.45433983601919</v>
      </c>
      <c r="I15" s="165">
        <f t="shared" si="1"/>
        <v>94.324672931638105</v>
      </c>
      <c r="K15" s="4"/>
    </row>
    <row r="16" spans="1:11" ht="18.75">
      <c r="A16" s="13">
        <v>10</v>
      </c>
      <c r="B16" s="15" t="s">
        <v>34</v>
      </c>
      <c r="C16" s="98" t="s">
        <v>9</v>
      </c>
      <c r="D16" s="98" t="s">
        <v>9</v>
      </c>
      <c r="E16" s="110">
        <v>86571</v>
      </c>
      <c r="F16" s="86">
        <v>90684</v>
      </c>
      <c r="G16" s="63">
        <v>88090</v>
      </c>
      <c r="H16" s="139">
        <f>+G16/E16*100</f>
        <v>101.75462914832912</v>
      </c>
      <c r="I16" s="165">
        <f t="shared" si="1"/>
        <v>97.139517445194301</v>
      </c>
      <c r="K16" s="4"/>
    </row>
    <row r="17" spans="1:11" ht="18.75">
      <c r="A17" s="26">
        <v>11</v>
      </c>
      <c r="B17" s="15" t="s">
        <v>115</v>
      </c>
      <c r="C17" s="98" t="s">
        <v>140</v>
      </c>
      <c r="D17" s="98" t="s">
        <v>140</v>
      </c>
      <c r="E17" s="110">
        <v>10235</v>
      </c>
      <c r="F17" s="86">
        <v>14115</v>
      </c>
      <c r="G17" s="63">
        <v>14029</v>
      </c>
      <c r="H17" s="139">
        <f>+G17/E17*100</f>
        <v>137.06888128969223</v>
      </c>
      <c r="I17" s="165">
        <f t="shared" si="1"/>
        <v>99.390719093163298</v>
      </c>
      <c r="K17" s="4"/>
    </row>
    <row r="18" spans="1:11" ht="18.75">
      <c r="A18" s="13">
        <v>12</v>
      </c>
      <c r="B18" s="15" t="s">
        <v>35</v>
      </c>
      <c r="C18" s="98" t="s">
        <v>10</v>
      </c>
      <c r="D18" s="98" t="s">
        <v>10</v>
      </c>
      <c r="E18" s="110">
        <v>3858</v>
      </c>
      <c r="F18" s="86">
        <v>6201</v>
      </c>
      <c r="G18" s="63">
        <v>5668</v>
      </c>
      <c r="H18" s="139">
        <f>+G18/E18*100</f>
        <v>146.91550025920165</v>
      </c>
      <c r="I18" s="298">
        <f t="shared" si="1"/>
        <v>91.404612159329133</v>
      </c>
      <c r="K18" s="4"/>
    </row>
    <row r="19" spans="1:11" ht="18.75">
      <c r="A19" s="26">
        <v>13</v>
      </c>
      <c r="B19" s="15">
        <v>2226</v>
      </c>
      <c r="C19" s="98" t="s">
        <v>172</v>
      </c>
      <c r="D19" s="98" t="s">
        <v>172</v>
      </c>
      <c r="E19" s="110"/>
      <c r="F19" s="86">
        <v>205267</v>
      </c>
      <c r="G19" s="63">
        <v>205267</v>
      </c>
      <c r="H19" s="139"/>
      <c r="I19" s="298">
        <f t="shared" si="1"/>
        <v>100</v>
      </c>
      <c r="K19" s="4"/>
    </row>
    <row r="20" spans="1:11" ht="18.75">
      <c r="A20" s="13">
        <v>14</v>
      </c>
      <c r="B20" s="16" t="s">
        <v>55</v>
      </c>
      <c r="C20" s="55" t="s">
        <v>11</v>
      </c>
      <c r="D20" s="55" t="s">
        <v>11</v>
      </c>
      <c r="E20" s="109">
        <v>12600</v>
      </c>
      <c r="F20" s="83">
        <f>376176-F14-F15-F16-F17-F18-F19</f>
        <v>16268</v>
      </c>
      <c r="G20" s="61">
        <f>372146-G14-G15-G16-G17-G18-G19</f>
        <v>15739</v>
      </c>
      <c r="H20" s="138">
        <f>+G20/E20*100</f>
        <v>124.9126984126984</v>
      </c>
      <c r="I20" s="167">
        <f>+G20/F20*100</f>
        <v>96.748217359232854</v>
      </c>
      <c r="K20" s="4"/>
    </row>
    <row r="21" spans="1:11" ht="19.5" thickBot="1">
      <c r="A21" s="26">
        <v>15</v>
      </c>
      <c r="B21" s="17" t="s">
        <v>84</v>
      </c>
      <c r="C21" s="99" t="s">
        <v>196</v>
      </c>
      <c r="D21" s="99" t="s">
        <v>230</v>
      </c>
      <c r="E21" s="111">
        <f>SUM(E14:E20)</f>
        <v>151139</v>
      </c>
      <c r="F21" s="64">
        <f>SUM(F14:F20)</f>
        <v>376176</v>
      </c>
      <c r="G21" s="64">
        <f>SUM(G14:G20)</f>
        <v>372146</v>
      </c>
      <c r="H21" s="136">
        <f>+G21/E21*100</f>
        <v>246.2276447508585</v>
      </c>
      <c r="I21" s="168">
        <f>+G21/F21*100</f>
        <v>98.928692952235124</v>
      </c>
      <c r="K21" s="4"/>
    </row>
    <row r="22" spans="1:11" ht="18.75">
      <c r="A22" s="13">
        <v>16</v>
      </c>
      <c r="B22" s="20" t="s">
        <v>41</v>
      </c>
      <c r="C22" s="101" t="s">
        <v>160</v>
      </c>
      <c r="D22" s="101" t="s">
        <v>160</v>
      </c>
      <c r="E22" s="113"/>
      <c r="F22" s="66"/>
      <c r="G22" s="66">
        <v>259</v>
      </c>
      <c r="H22" s="140"/>
      <c r="I22" s="298"/>
      <c r="K22" s="4"/>
    </row>
    <row r="23" spans="1:11" ht="18.75">
      <c r="A23" s="26">
        <v>17</v>
      </c>
      <c r="B23" s="281" t="s">
        <v>159</v>
      </c>
      <c r="C23" s="212" t="s">
        <v>157</v>
      </c>
      <c r="D23" s="212" t="s">
        <v>157</v>
      </c>
      <c r="E23" s="274"/>
      <c r="F23" s="275">
        <v>143</v>
      </c>
      <c r="G23" s="275">
        <v>142</v>
      </c>
      <c r="H23" s="138"/>
      <c r="I23" s="167">
        <f>+G23/F23*100</f>
        <v>99.300699300699307</v>
      </c>
      <c r="K23" s="4"/>
    </row>
    <row r="24" spans="1:11" ht="18.75">
      <c r="A24" s="13">
        <v>18</v>
      </c>
      <c r="B24" s="15" t="s">
        <v>152</v>
      </c>
      <c r="C24" s="98" t="s">
        <v>153</v>
      </c>
      <c r="D24" s="98" t="s">
        <v>153</v>
      </c>
      <c r="E24" s="110">
        <v>10</v>
      </c>
      <c r="F24" s="63">
        <v>257</v>
      </c>
      <c r="G24" s="63">
        <v>255</v>
      </c>
      <c r="H24" s="138">
        <f>+G24/E24*100</f>
        <v>2550</v>
      </c>
      <c r="I24" s="167">
        <f>+G24/F24*100</f>
        <v>99.221789883268485</v>
      </c>
      <c r="K24" s="4"/>
    </row>
    <row r="25" spans="1:11" ht="19.5" thickBot="1">
      <c r="A25" s="13">
        <v>19</v>
      </c>
      <c r="B25" s="21" t="s">
        <v>43</v>
      </c>
      <c r="C25" s="99" t="s">
        <v>195</v>
      </c>
      <c r="D25" s="99" t="s">
        <v>231</v>
      </c>
      <c r="E25" s="111">
        <f>SUM(E22:E24)</f>
        <v>10</v>
      </c>
      <c r="F25" s="64">
        <f>SUM(F22:F24)</f>
        <v>400</v>
      </c>
      <c r="G25" s="64">
        <f>SUM(G22:G24)</f>
        <v>656</v>
      </c>
      <c r="H25" s="136">
        <f>+G25/E25*100</f>
        <v>6559.9999999999991</v>
      </c>
      <c r="I25" s="168">
        <f>+G25/F25*100</f>
        <v>164</v>
      </c>
      <c r="K25" s="4"/>
    </row>
    <row r="26" spans="1:11" ht="19.5" thickBot="1">
      <c r="A26" s="26">
        <v>20</v>
      </c>
      <c r="B26" s="22"/>
      <c r="C26" s="57" t="s">
        <v>174</v>
      </c>
      <c r="D26" s="57" t="s">
        <v>232</v>
      </c>
      <c r="E26" s="114">
        <f>+E13+E21+E25</f>
        <v>312554</v>
      </c>
      <c r="F26" s="67">
        <f>+F13+F21+F25</f>
        <v>631987</v>
      </c>
      <c r="G26" s="67">
        <f>+G13+G21+G25</f>
        <v>625308</v>
      </c>
      <c r="H26" s="141">
        <f>+G26/E26*100</f>
        <v>200.06398894271072</v>
      </c>
      <c r="I26" s="170">
        <f t="shared" ref="I26:I33" si="2">+G26/F26*100</f>
        <v>98.943174464031699</v>
      </c>
      <c r="K26" s="4"/>
    </row>
    <row r="27" spans="1:11" ht="18.75">
      <c r="A27" s="13">
        <v>21</v>
      </c>
      <c r="B27" s="78">
        <v>4111</v>
      </c>
      <c r="C27" s="54" t="s">
        <v>118</v>
      </c>
      <c r="D27" s="54" t="s">
        <v>118</v>
      </c>
      <c r="E27" s="108"/>
      <c r="F27" s="70">
        <v>21926</v>
      </c>
      <c r="G27" s="70">
        <v>21926</v>
      </c>
      <c r="H27" s="135"/>
      <c r="I27" s="298">
        <f t="shared" si="2"/>
        <v>100</v>
      </c>
      <c r="K27" s="4"/>
    </row>
    <row r="28" spans="1:11" ht="18.75">
      <c r="A28" s="26">
        <v>22</v>
      </c>
      <c r="B28" s="14">
        <v>4112</v>
      </c>
      <c r="C28" s="100" t="s">
        <v>119</v>
      </c>
      <c r="D28" s="100" t="s">
        <v>119</v>
      </c>
      <c r="E28" s="106">
        <v>197437</v>
      </c>
      <c r="F28" s="82">
        <v>197437</v>
      </c>
      <c r="G28" s="60">
        <v>197437</v>
      </c>
      <c r="H28" s="135">
        <f t="shared" ref="H28:H33" si="3">+G28/E28*100</f>
        <v>100</v>
      </c>
      <c r="I28" s="298">
        <f t="shared" si="2"/>
        <v>100</v>
      </c>
      <c r="K28" s="4"/>
    </row>
    <row r="29" spans="1:11" ht="18.75">
      <c r="A29" s="13">
        <v>23</v>
      </c>
      <c r="B29" s="14">
        <v>4113</v>
      </c>
      <c r="C29" s="100" t="s">
        <v>120</v>
      </c>
      <c r="D29" s="100" t="s">
        <v>120</v>
      </c>
      <c r="E29" s="106">
        <v>4104</v>
      </c>
      <c r="F29" s="82">
        <v>9115</v>
      </c>
      <c r="G29" s="60">
        <v>8559</v>
      </c>
      <c r="H29" s="135">
        <f t="shared" si="3"/>
        <v>208.5526315789474</v>
      </c>
      <c r="I29" s="298">
        <f t="shared" si="2"/>
        <v>93.900164563905648</v>
      </c>
      <c r="K29" s="4"/>
    </row>
    <row r="30" spans="1:11" ht="18.75">
      <c r="A30" s="26">
        <v>24</v>
      </c>
      <c r="B30" s="18">
        <v>4116</v>
      </c>
      <c r="C30" s="100" t="s">
        <v>121</v>
      </c>
      <c r="D30" s="100" t="s">
        <v>121</v>
      </c>
      <c r="E30" s="106">
        <v>2617</v>
      </c>
      <c r="F30" s="82">
        <v>46274</v>
      </c>
      <c r="G30" s="60">
        <v>45481</v>
      </c>
      <c r="H30" s="135">
        <f t="shared" si="3"/>
        <v>1737.9059992357661</v>
      </c>
      <c r="I30" s="298">
        <f t="shared" si="2"/>
        <v>98.286294679517667</v>
      </c>
      <c r="K30" s="4"/>
    </row>
    <row r="31" spans="1:11" ht="18.75">
      <c r="A31" s="26">
        <v>25</v>
      </c>
      <c r="B31" s="14">
        <v>4121</v>
      </c>
      <c r="C31" s="100" t="s">
        <v>122</v>
      </c>
      <c r="D31" s="100" t="s">
        <v>122</v>
      </c>
      <c r="E31" s="106">
        <v>974958</v>
      </c>
      <c r="F31" s="68">
        <v>1015067</v>
      </c>
      <c r="G31" s="68">
        <v>1014967</v>
      </c>
      <c r="H31" s="135">
        <f t="shared" si="3"/>
        <v>104.10366395270361</v>
      </c>
      <c r="I31" s="298">
        <f t="shared" si="2"/>
        <v>99.990148433551667</v>
      </c>
      <c r="K31" s="4"/>
    </row>
    <row r="32" spans="1:11" ht="18.75">
      <c r="A32" s="13">
        <v>26</v>
      </c>
      <c r="B32" s="14">
        <v>4121</v>
      </c>
      <c r="C32" s="100" t="s">
        <v>167</v>
      </c>
      <c r="D32" s="100" t="s">
        <v>167</v>
      </c>
      <c r="E32" s="106">
        <v>390</v>
      </c>
      <c r="F32" s="61">
        <v>604</v>
      </c>
      <c r="G32" s="61">
        <v>604</v>
      </c>
      <c r="H32" s="135">
        <f t="shared" si="3"/>
        <v>154.87179487179489</v>
      </c>
      <c r="I32" s="298">
        <f t="shared" si="2"/>
        <v>100</v>
      </c>
      <c r="K32" s="4"/>
    </row>
    <row r="33" spans="1:11" ht="18.75">
      <c r="A33" s="26">
        <v>27</v>
      </c>
      <c r="B33" s="14">
        <v>4121</v>
      </c>
      <c r="C33" s="100" t="s">
        <v>123</v>
      </c>
      <c r="D33" s="100" t="s">
        <v>123</v>
      </c>
      <c r="E33" s="106">
        <v>24</v>
      </c>
      <c r="F33" s="82">
        <v>505</v>
      </c>
      <c r="G33" s="60">
        <v>505</v>
      </c>
      <c r="H33" s="135">
        <f t="shared" si="3"/>
        <v>2104.166666666667</v>
      </c>
      <c r="I33" s="298">
        <f t="shared" si="2"/>
        <v>100</v>
      </c>
      <c r="K33" s="4"/>
    </row>
    <row r="34" spans="1:11" ht="18.75">
      <c r="A34" s="13">
        <v>28</v>
      </c>
      <c r="B34" s="14">
        <v>4122</v>
      </c>
      <c r="C34" s="100" t="s">
        <v>124</v>
      </c>
      <c r="D34" s="100" t="s">
        <v>124</v>
      </c>
      <c r="E34" s="106"/>
      <c r="F34" s="82">
        <v>4854</v>
      </c>
      <c r="G34" s="60">
        <v>4854</v>
      </c>
      <c r="H34" s="135"/>
      <c r="I34" s="298">
        <f t="shared" ref="I34:I45" si="4">+G34/F34*100</f>
        <v>100</v>
      </c>
      <c r="K34" s="4"/>
    </row>
    <row r="35" spans="1:11" ht="18.75">
      <c r="A35" s="13">
        <v>29</v>
      </c>
      <c r="B35" s="18">
        <v>4131</v>
      </c>
      <c r="C35" s="100" t="s">
        <v>73</v>
      </c>
      <c r="D35" s="100" t="s">
        <v>73</v>
      </c>
      <c r="E35" s="272">
        <v>469649</v>
      </c>
      <c r="F35" s="61">
        <v>617120</v>
      </c>
      <c r="G35" s="60">
        <v>512828</v>
      </c>
      <c r="H35" s="135">
        <f>+G35/E35*100</f>
        <v>109.1938873499145</v>
      </c>
      <c r="I35" s="298">
        <f t="shared" si="4"/>
        <v>83.100207415089443</v>
      </c>
      <c r="K35" s="4"/>
    </row>
    <row r="36" spans="1:11" ht="18.75">
      <c r="A36" s="26">
        <v>30</v>
      </c>
      <c r="B36" s="18">
        <v>4152</v>
      </c>
      <c r="C36" s="100" t="s">
        <v>155</v>
      </c>
      <c r="D36" s="100" t="s">
        <v>155</v>
      </c>
      <c r="E36" s="272"/>
      <c r="F36" s="60">
        <v>1072</v>
      </c>
      <c r="G36" s="82">
        <v>1072</v>
      </c>
      <c r="H36" s="135"/>
      <c r="I36" s="298">
        <f t="shared" si="4"/>
        <v>100</v>
      </c>
      <c r="K36" s="4"/>
    </row>
    <row r="37" spans="1:11" ht="18.75">
      <c r="A37" s="13">
        <v>31</v>
      </c>
      <c r="B37" s="18" t="s">
        <v>91</v>
      </c>
      <c r="C37" s="203" t="s">
        <v>175</v>
      </c>
      <c r="D37" s="203" t="s">
        <v>233</v>
      </c>
      <c r="E37" s="214">
        <f>SUM(E27:E36)</f>
        <v>1649179</v>
      </c>
      <c r="F37" s="205">
        <f>SUM(F27:F36)</f>
        <v>1913974</v>
      </c>
      <c r="G37" s="210">
        <f>SUM(G27:G36)</f>
        <v>1808233</v>
      </c>
      <c r="H37" s="207">
        <f>+G37/E37*100</f>
        <v>109.6444352007878</v>
      </c>
      <c r="I37" s="208">
        <f t="shared" si="4"/>
        <v>94.475316801586644</v>
      </c>
      <c r="K37" s="4"/>
    </row>
    <row r="38" spans="1:11" ht="18.75">
      <c r="A38" s="26">
        <v>32</v>
      </c>
      <c r="B38" s="14">
        <v>4213</v>
      </c>
      <c r="C38" s="100" t="s">
        <v>202</v>
      </c>
      <c r="D38" s="100" t="s">
        <v>202</v>
      </c>
      <c r="E38" s="106"/>
      <c r="F38" s="60">
        <v>1040</v>
      </c>
      <c r="G38" s="60">
        <v>1040</v>
      </c>
      <c r="H38" s="135"/>
      <c r="I38" s="298">
        <f t="shared" si="4"/>
        <v>100</v>
      </c>
      <c r="K38" s="4"/>
    </row>
    <row r="39" spans="1:11" ht="18.75">
      <c r="A39" s="13">
        <v>33</v>
      </c>
      <c r="B39" s="18">
        <v>4216</v>
      </c>
      <c r="C39" s="100" t="s">
        <v>203</v>
      </c>
      <c r="D39" s="100" t="s">
        <v>203</v>
      </c>
      <c r="E39" s="214"/>
      <c r="F39" s="292">
        <v>24424</v>
      </c>
      <c r="G39" s="293">
        <v>24424</v>
      </c>
      <c r="H39" s="135"/>
      <c r="I39" s="298">
        <f t="shared" si="4"/>
        <v>100</v>
      </c>
      <c r="K39" s="4"/>
    </row>
    <row r="40" spans="1:11" ht="18.75">
      <c r="A40" s="26">
        <v>34</v>
      </c>
      <c r="B40" s="14">
        <v>4221</v>
      </c>
      <c r="C40" s="100" t="s">
        <v>165</v>
      </c>
      <c r="D40" s="100" t="s">
        <v>165</v>
      </c>
      <c r="E40" s="106"/>
      <c r="F40" s="60">
        <v>172347</v>
      </c>
      <c r="G40" s="60">
        <v>171452</v>
      </c>
      <c r="H40" s="135"/>
      <c r="I40" s="298">
        <f t="shared" si="4"/>
        <v>99.480698822723923</v>
      </c>
      <c r="K40" s="4"/>
    </row>
    <row r="41" spans="1:11" ht="18.75">
      <c r="A41" s="26">
        <v>35</v>
      </c>
      <c r="B41" s="9">
        <v>4222</v>
      </c>
      <c r="C41" s="55" t="s">
        <v>126</v>
      </c>
      <c r="D41" s="55" t="s">
        <v>126</v>
      </c>
      <c r="E41" s="109"/>
      <c r="F41" s="61">
        <v>4334</v>
      </c>
      <c r="G41" s="61">
        <v>4334</v>
      </c>
      <c r="H41" s="138"/>
      <c r="I41" s="298">
        <f t="shared" si="4"/>
        <v>100</v>
      </c>
      <c r="K41" s="4"/>
    </row>
    <row r="42" spans="1:11" ht="18.75">
      <c r="A42" s="13">
        <v>36</v>
      </c>
      <c r="B42" s="9">
        <v>4232</v>
      </c>
      <c r="C42" s="100" t="s">
        <v>154</v>
      </c>
      <c r="D42" s="100" t="s">
        <v>215</v>
      </c>
      <c r="E42" s="272"/>
      <c r="F42" s="60">
        <v>1572</v>
      </c>
      <c r="G42" s="82">
        <v>1572</v>
      </c>
      <c r="H42" s="138"/>
      <c r="I42" s="298">
        <f t="shared" si="4"/>
        <v>100</v>
      </c>
      <c r="K42" s="4"/>
    </row>
    <row r="43" spans="1:11" ht="18.75">
      <c r="A43" s="26">
        <v>37</v>
      </c>
      <c r="B43" s="16" t="s">
        <v>92</v>
      </c>
      <c r="C43" s="213" t="s">
        <v>176</v>
      </c>
      <c r="D43" s="213" t="s">
        <v>234</v>
      </c>
      <c r="E43" s="214">
        <f>SUM(E38:E42)</f>
        <v>0</v>
      </c>
      <c r="F43" s="205">
        <f>SUM(F38:F42)</f>
        <v>203717</v>
      </c>
      <c r="G43" s="210">
        <f>SUM(G38:G42)</f>
        <v>202822</v>
      </c>
      <c r="H43" s="207"/>
      <c r="I43" s="299">
        <f t="shared" si="4"/>
        <v>99.560665040227363</v>
      </c>
      <c r="K43" s="4"/>
    </row>
    <row r="44" spans="1:11" ht="19.5" thickBot="1">
      <c r="A44" s="13">
        <v>38</v>
      </c>
      <c r="B44" s="17" t="s">
        <v>44</v>
      </c>
      <c r="C44" s="99" t="s">
        <v>177</v>
      </c>
      <c r="D44" s="99" t="s">
        <v>235</v>
      </c>
      <c r="E44" s="111">
        <f>E37+E43</f>
        <v>1649179</v>
      </c>
      <c r="F44" s="64">
        <f>F37+F43</f>
        <v>2117691</v>
      </c>
      <c r="G44" s="64">
        <f>G37+G43</f>
        <v>2011055</v>
      </c>
      <c r="H44" s="136">
        <f>+G44/E44*100</f>
        <v>121.94279699171527</v>
      </c>
      <c r="I44" s="168">
        <f t="shared" si="4"/>
        <v>94.964515597412472</v>
      </c>
      <c r="K44" s="4"/>
    </row>
    <row r="45" spans="1:11" ht="19.5" thickBot="1">
      <c r="A45" s="72">
        <v>39</v>
      </c>
      <c r="B45" s="48" t="s">
        <v>47</v>
      </c>
      <c r="C45" s="102" t="s">
        <v>178</v>
      </c>
      <c r="D45" s="102" t="s">
        <v>240</v>
      </c>
      <c r="E45" s="279">
        <f>+E44+E26</f>
        <v>1961733</v>
      </c>
      <c r="F45" s="46">
        <f>+F44+F26</f>
        <v>2749678</v>
      </c>
      <c r="G45" s="46">
        <f>+G44+G26</f>
        <v>2636363</v>
      </c>
      <c r="H45" s="155">
        <f>+G45/E45*100</f>
        <v>134.38949133240865</v>
      </c>
      <c r="I45" s="172">
        <f t="shared" si="4"/>
        <v>95.878972010540878</v>
      </c>
      <c r="K45" s="4"/>
    </row>
    <row r="46" spans="1:11" ht="16.5" thickBot="1">
      <c r="A46" s="1"/>
      <c r="B46" s="6"/>
      <c r="C46" s="29"/>
      <c r="D46" s="29"/>
      <c r="E46" s="29"/>
      <c r="F46" s="29"/>
      <c r="G46" s="29"/>
      <c r="H46" s="142"/>
      <c r="I46" s="142"/>
      <c r="K46" s="4"/>
    </row>
    <row r="47" spans="1:11" ht="16.5" thickBot="1">
      <c r="A47" s="24"/>
      <c r="B47" s="11" t="s">
        <v>39</v>
      </c>
      <c r="C47" s="92"/>
      <c r="D47" s="92"/>
      <c r="E47" s="103" t="s">
        <v>40</v>
      </c>
      <c r="F47" s="58"/>
      <c r="G47" s="59"/>
      <c r="H47" s="153"/>
      <c r="I47" s="297"/>
      <c r="K47" s="4"/>
    </row>
    <row r="48" spans="1:11">
      <c r="A48" s="25" t="s">
        <v>1</v>
      </c>
      <c r="B48" s="10" t="s">
        <v>38</v>
      </c>
      <c r="C48" s="93" t="s">
        <v>12</v>
      </c>
      <c r="D48" s="93" t="s">
        <v>12</v>
      </c>
      <c r="E48" s="104" t="s">
        <v>52</v>
      </c>
      <c r="F48" s="34" t="s">
        <v>54</v>
      </c>
      <c r="G48" s="300" t="s">
        <v>23</v>
      </c>
      <c r="H48" s="144" t="s">
        <v>0</v>
      </c>
      <c r="I48" s="163" t="s">
        <v>0</v>
      </c>
      <c r="K48" s="4"/>
    </row>
    <row r="49" spans="1:11" ht="16.5" thickBot="1">
      <c r="A49" s="42"/>
      <c r="B49" s="31" t="s">
        <v>37</v>
      </c>
      <c r="C49" s="94"/>
      <c r="D49" s="94"/>
      <c r="E49" s="105" t="s">
        <v>22</v>
      </c>
      <c r="F49" s="43" t="s">
        <v>22</v>
      </c>
      <c r="G49" s="301"/>
      <c r="H49" s="145" t="s">
        <v>65</v>
      </c>
      <c r="I49" s="164" t="s">
        <v>66</v>
      </c>
      <c r="K49" s="4"/>
    </row>
    <row r="50" spans="1:11" ht="18.75" customHeight="1">
      <c r="A50" s="211">
        <v>1</v>
      </c>
      <c r="B50" s="71" t="s">
        <v>88</v>
      </c>
      <c r="C50" s="212" t="s">
        <v>86</v>
      </c>
      <c r="D50" s="212" t="s">
        <v>86</v>
      </c>
      <c r="E50" s="200">
        <v>345654</v>
      </c>
      <c r="F50" s="202">
        <v>369785</v>
      </c>
      <c r="G50" s="201">
        <v>362830</v>
      </c>
      <c r="H50" s="190">
        <f>+G50/E50*100</f>
        <v>104.96913098069167</v>
      </c>
      <c r="I50" s="209">
        <f>+G50/F50*100</f>
        <v>98.119177359817186</v>
      </c>
      <c r="K50" s="4"/>
    </row>
    <row r="51" spans="1:11" ht="18.75" customHeight="1">
      <c r="A51" s="13">
        <v>2</v>
      </c>
      <c r="B51" s="15" t="s">
        <v>89</v>
      </c>
      <c r="C51" s="98" t="s">
        <v>87</v>
      </c>
      <c r="D51" s="98" t="s">
        <v>87</v>
      </c>
      <c r="E51" s="109">
        <v>75432</v>
      </c>
      <c r="F51" s="83">
        <v>93811</v>
      </c>
      <c r="G51" s="61">
        <v>90226</v>
      </c>
      <c r="H51" s="138">
        <f>+G51/E51*100</f>
        <v>119.612366104571</v>
      </c>
      <c r="I51" s="167">
        <f>+G51/F51*100</f>
        <v>96.178486531430224</v>
      </c>
      <c r="K51" s="4"/>
    </row>
    <row r="52" spans="1:11" ht="18.75" customHeight="1">
      <c r="A52" s="13">
        <v>3</v>
      </c>
      <c r="B52" s="15" t="s">
        <v>186</v>
      </c>
      <c r="C52" s="98" t="s">
        <v>187</v>
      </c>
      <c r="D52" s="98" t="s">
        <v>187</v>
      </c>
      <c r="E52" s="109">
        <v>139710</v>
      </c>
      <c r="F52" s="83">
        <v>149006</v>
      </c>
      <c r="G52" s="61">
        <v>144106</v>
      </c>
      <c r="H52" s="138">
        <f>+G52/E52*100</f>
        <v>103.14651778684419</v>
      </c>
      <c r="I52" s="167">
        <f>+G52/F52*100</f>
        <v>96.711541817108042</v>
      </c>
      <c r="K52" s="4"/>
    </row>
    <row r="53" spans="1:11" ht="18.75">
      <c r="A53" s="26">
        <v>4</v>
      </c>
      <c r="B53" s="41">
        <v>5141</v>
      </c>
      <c r="C53" s="116" t="s">
        <v>76</v>
      </c>
      <c r="D53" s="116" t="s">
        <v>76</v>
      </c>
      <c r="E53" s="200">
        <v>22194</v>
      </c>
      <c r="F53" s="202">
        <v>22955</v>
      </c>
      <c r="G53" s="201">
        <v>18076</v>
      </c>
      <c r="H53" s="138">
        <f t="shared" ref="H53:H64" si="5">+G53/E53*100</f>
        <v>81.44543570334325</v>
      </c>
      <c r="I53" s="167">
        <f t="shared" ref="I53:I66" si="6">+G53/F53*100</f>
        <v>78.745371378784583</v>
      </c>
      <c r="K53" s="4"/>
    </row>
    <row r="54" spans="1:11" ht="18.75" customHeight="1">
      <c r="A54" s="13">
        <v>5</v>
      </c>
      <c r="B54" s="15" t="s">
        <v>188</v>
      </c>
      <c r="C54" s="98" t="s">
        <v>189</v>
      </c>
      <c r="D54" s="98" t="s">
        <v>189</v>
      </c>
      <c r="E54" s="109">
        <v>368732</v>
      </c>
      <c r="F54" s="83">
        <v>424772</v>
      </c>
      <c r="G54" s="61">
        <v>375978</v>
      </c>
      <c r="H54" s="138">
        <f>+G54/E54*100</f>
        <v>101.96511287330637</v>
      </c>
      <c r="I54" s="167">
        <f>+G54/F54*100</f>
        <v>88.512896330266585</v>
      </c>
      <c r="K54" s="4"/>
    </row>
    <row r="55" spans="1:11" ht="18.75" customHeight="1">
      <c r="A55" s="13">
        <v>6</v>
      </c>
      <c r="B55" s="283">
        <v>5171</v>
      </c>
      <c r="C55" s="284" t="s">
        <v>190</v>
      </c>
      <c r="D55" s="284" t="s">
        <v>190</v>
      </c>
      <c r="E55" s="119">
        <v>118580</v>
      </c>
      <c r="F55" s="85">
        <v>192184</v>
      </c>
      <c r="G55" s="68">
        <v>143754</v>
      </c>
      <c r="H55" s="138">
        <f>+G55/E55*100</f>
        <v>121.2295496711081</v>
      </c>
      <c r="I55" s="167">
        <f>+G55/F55*100</f>
        <v>74.800191483161967</v>
      </c>
      <c r="K55" s="4"/>
    </row>
    <row r="56" spans="1:11" ht="18.75" customHeight="1">
      <c r="A56" s="26">
        <v>7</v>
      </c>
      <c r="B56" s="19">
        <v>5213</v>
      </c>
      <c r="C56" s="97" t="s">
        <v>128</v>
      </c>
      <c r="D56" s="97" t="s">
        <v>128</v>
      </c>
      <c r="E56" s="119">
        <v>1665</v>
      </c>
      <c r="F56" s="85">
        <v>1877</v>
      </c>
      <c r="G56" s="68">
        <v>1766</v>
      </c>
      <c r="H56" s="138">
        <f t="shared" si="5"/>
        <v>106.06606606606606</v>
      </c>
      <c r="I56" s="167">
        <f t="shared" si="6"/>
        <v>94.086307938199255</v>
      </c>
      <c r="K56" s="4"/>
    </row>
    <row r="57" spans="1:11" ht="18.75">
      <c r="A57" s="13">
        <v>8</v>
      </c>
      <c r="B57" s="19" t="s">
        <v>25</v>
      </c>
      <c r="C57" s="117" t="s">
        <v>129</v>
      </c>
      <c r="D57" s="117" t="s">
        <v>129</v>
      </c>
      <c r="E57" s="119">
        <v>117</v>
      </c>
      <c r="F57" s="85">
        <v>202</v>
      </c>
      <c r="G57" s="68">
        <v>200</v>
      </c>
      <c r="H57" s="138">
        <f t="shared" si="5"/>
        <v>170.94017094017093</v>
      </c>
      <c r="I57" s="167">
        <f t="shared" si="6"/>
        <v>99.009900990099013</v>
      </c>
      <c r="K57" s="4"/>
    </row>
    <row r="58" spans="1:11" ht="18.75">
      <c r="A58" s="26">
        <v>9</v>
      </c>
      <c r="B58" s="19" t="s">
        <v>24</v>
      </c>
      <c r="C58" s="117" t="s">
        <v>130</v>
      </c>
      <c r="D58" s="117" t="s">
        <v>130</v>
      </c>
      <c r="E58" s="119">
        <v>12749</v>
      </c>
      <c r="F58" s="85">
        <v>13178</v>
      </c>
      <c r="G58" s="68">
        <v>12753</v>
      </c>
      <c r="H58" s="138">
        <f t="shared" si="5"/>
        <v>100.03137500980471</v>
      </c>
      <c r="I58" s="167">
        <f t="shared" si="6"/>
        <v>96.774927910153281</v>
      </c>
      <c r="K58" s="4"/>
    </row>
    <row r="59" spans="1:11" ht="18.75">
      <c r="A59" s="26">
        <v>10</v>
      </c>
      <c r="B59" s="19">
        <v>5321</v>
      </c>
      <c r="C59" s="117" t="s">
        <v>166</v>
      </c>
      <c r="D59" s="117" t="s">
        <v>166</v>
      </c>
      <c r="E59" s="119"/>
      <c r="F59" s="85">
        <v>1396</v>
      </c>
      <c r="G59" s="68">
        <v>1396</v>
      </c>
      <c r="H59" s="138"/>
      <c r="I59" s="167">
        <f t="shared" si="6"/>
        <v>100</v>
      </c>
    </row>
    <row r="60" spans="1:11" ht="18.75">
      <c r="A60" s="13">
        <v>11</v>
      </c>
      <c r="B60" s="19">
        <v>5321</v>
      </c>
      <c r="C60" s="117" t="s">
        <v>131</v>
      </c>
      <c r="D60" s="117" t="s">
        <v>131</v>
      </c>
      <c r="E60" s="119">
        <v>390</v>
      </c>
      <c r="F60" s="85">
        <v>604</v>
      </c>
      <c r="G60" s="68">
        <v>604</v>
      </c>
      <c r="H60" s="138">
        <f t="shared" si="5"/>
        <v>154.87179487179489</v>
      </c>
      <c r="I60" s="167">
        <f t="shared" si="6"/>
        <v>100</v>
      </c>
      <c r="K60" s="4"/>
    </row>
    <row r="61" spans="1:11" ht="18.75">
      <c r="A61" s="26">
        <v>12</v>
      </c>
      <c r="B61" s="19">
        <v>5321</v>
      </c>
      <c r="C61" s="117" t="s">
        <v>132</v>
      </c>
      <c r="D61" s="117" t="s">
        <v>132</v>
      </c>
      <c r="E61" s="119">
        <v>15</v>
      </c>
      <c r="F61" s="85">
        <f>395+65</f>
        <v>460</v>
      </c>
      <c r="G61" s="68">
        <v>460</v>
      </c>
      <c r="H61" s="138">
        <f t="shared" si="5"/>
        <v>3066.666666666667</v>
      </c>
      <c r="I61" s="167">
        <f t="shared" si="6"/>
        <v>100</v>
      </c>
    </row>
    <row r="62" spans="1:11" ht="18.75">
      <c r="A62" s="13">
        <v>13</v>
      </c>
      <c r="B62" s="23">
        <v>5331</v>
      </c>
      <c r="C62" s="117" t="s">
        <v>17</v>
      </c>
      <c r="D62" s="117" t="s">
        <v>17</v>
      </c>
      <c r="E62" s="119">
        <v>367435</v>
      </c>
      <c r="F62" s="85">
        <v>395048</v>
      </c>
      <c r="G62" s="68">
        <v>394249</v>
      </c>
      <c r="H62" s="138">
        <f t="shared" si="5"/>
        <v>107.29761726563882</v>
      </c>
      <c r="I62" s="167">
        <f t="shared" si="6"/>
        <v>99.79774609667686</v>
      </c>
    </row>
    <row r="63" spans="1:11" ht="18.75">
      <c r="A63" s="26">
        <v>14</v>
      </c>
      <c r="B63" s="19" t="s">
        <v>26</v>
      </c>
      <c r="C63" s="117" t="s">
        <v>77</v>
      </c>
      <c r="D63" s="117" t="s">
        <v>77</v>
      </c>
      <c r="E63" s="119">
        <f>20+510</f>
        <v>530</v>
      </c>
      <c r="F63" s="85">
        <f>10+20+7310+1168</f>
        <v>8508</v>
      </c>
      <c r="G63" s="68">
        <f>10+20+7310+1136</f>
        <v>8476</v>
      </c>
      <c r="H63" s="138">
        <f t="shared" si="5"/>
        <v>1599.2452830188679</v>
      </c>
      <c r="I63" s="167">
        <f t="shared" si="6"/>
        <v>99.623883403855189</v>
      </c>
    </row>
    <row r="64" spans="1:11" ht="18.75">
      <c r="A64" s="13">
        <v>15</v>
      </c>
      <c r="B64" s="19">
        <v>5362</v>
      </c>
      <c r="C64" s="117" t="s">
        <v>71</v>
      </c>
      <c r="D64" s="117" t="s">
        <v>71</v>
      </c>
      <c r="E64" s="109">
        <v>10030</v>
      </c>
      <c r="F64" s="83">
        <v>25507</v>
      </c>
      <c r="G64" s="61">
        <v>25507</v>
      </c>
      <c r="H64" s="138">
        <f t="shared" si="5"/>
        <v>254.30707876370886</v>
      </c>
      <c r="I64" s="167">
        <f t="shared" si="6"/>
        <v>100</v>
      </c>
      <c r="J64" s="295"/>
    </row>
    <row r="65" spans="1:21" ht="18.75">
      <c r="A65" s="26">
        <v>16</v>
      </c>
      <c r="B65" s="19">
        <v>5366</v>
      </c>
      <c r="C65" s="117" t="s">
        <v>179</v>
      </c>
      <c r="D65" s="117" t="s">
        <v>179</v>
      </c>
      <c r="E65" s="119"/>
      <c r="F65" s="85">
        <v>200</v>
      </c>
      <c r="G65" s="68">
        <v>200</v>
      </c>
      <c r="H65" s="138"/>
      <c r="I65" s="167">
        <f t="shared" si="6"/>
        <v>100</v>
      </c>
    </row>
    <row r="66" spans="1:21" ht="18.75">
      <c r="A66" s="13">
        <v>17</v>
      </c>
      <c r="B66" s="19">
        <v>5367</v>
      </c>
      <c r="C66" s="117" t="s">
        <v>180</v>
      </c>
      <c r="D66" s="117" t="s">
        <v>180</v>
      </c>
      <c r="E66" s="119"/>
      <c r="F66" s="85">
        <v>7624</v>
      </c>
      <c r="G66" s="68">
        <v>7625</v>
      </c>
      <c r="H66" s="138"/>
      <c r="I66" s="167">
        <f t="shared" si="6"/>
        <v>100.01311647429172</v>
      </c>
    </row>
    <row r="67" spans="1:21" ht="18.75">
      <c r="A67" s="26">
        <v>18</v>
      </c>
      <c r="B67" s="19">
        <v>5901</v>
      </c>
      <c r="C67" s="97" t="s">
        <v>13</v>
      </c>
      <c r="D67" s="97" t="s">
        <v>192</v>
      </c>
      <c r="E67" s="119">
        <v>8636</v>
      </c>
      <c r="F67" s="85">
        <v>55983</v>
      </c>
      <c r="G67" s="68"/>
      <c r="H67" s="147"/>
      <c r="I67" s="174"/>
    </row>
    <row r="68" spans="1:21" ht="18.75">
      <c r="A68" s="13">
        <v>19</v>
      </c>
      <c r="B68" s="19" t="s">
        <v>74</v>
      </c>
      <c r="C68" s="97" t="s">
        <v>27</v>
      </c>
      <c r="D68" s="97" t="s">
        <v>27</v>
      </c>
      <c r="E68" s="119">
        <f>1623419-SUM(E50:E67)</f>
        <v>151550</v>
      </c>
      <c r="F68" s="85">
        <f>2041480-SUM(F50:F67)</f>
        <v>278380</v>
      </c>
      <c r="G68" s="68">
        <f>4274791-14039-44083-2433871-13632-SUM(G50:G67)</f>
        <v>180960</v>
      </c>
      <c r="H68" s="147">
        <f>+G68/E68*100</f>
        <v>119.40613658858463</v>
      </c>
      <c r="I68" s="174">
        <f t="shared" ref="I68:I77" si="7">+G68/F68*100</f>
        <v>65.004669875709467</v>
      </c>
    </row>
    <row r="69" spans="1:21" ht="19.5" thickBot="1">
      <c r="A69" s="26">
        <v>20</v>
      </c>
      <c r="B69" s="17" t="s">
        <v>45</v>
      </c>
      <c r="C69" s="53" t="s">
        <v>182</v>
      </c>
      <c r="D69" s="290" t="s">
        <v>225</v>
      </c>
      <c r="E69" s="111">
        <f>SUM(E50:E68)</f>
        <v>1623419</v>
      </c>
      <c r="F69" s="64">
        <f>SUM(F50:F68)</f>
        <v>2041480</v>
      </c>
      <c r="G69" s="64">
        <f>SUM(G50:G68)</f>
        <v>1769166</v>
      </c>
      <c r="H69" s="136">
        <f>+G69/E69*100</f>
        <v>108.97778084400885</v>
      </c>
      <c r="I69" s="168">
        <f t="shared" si="7"/>
        <v>86.660951858455633</v>
      </c>
    </row>
    <row r="70" spans="1:21" ht="18.75">
      <c r="A70" s="13">
        <v>21</v>
      </c>
      <c r="B70" s="39" t="s">
        <v>28</v>
      </c>
      <c r="C70" s="54" t="s">
        <v>134</v>
      </c>
      <c r="D70" s="54" t="s">
        <v>134</v>
      </c>
      <c r="E70" s="108"/>
      <c r="F70" s="70">
        <v>11100</v>
      </c>
      <c r="G70" s="70">
        <v>2100</v>
      </c>
      <c r="H70" s="137"/>
      <c r="I70" s="174">
        <f t="shared" si="7"/>
        <v>18.918918918918919</v>
      </c>
      <c r="K70" s="264"/>
    </row>
    <row r="71" spans="1:21" ht="18.75">
      <c r="A71" s="26">
        <v>22</v>
      </c>
      <c r="B71" s="39" t="s">
        <v>29</v>
      </c>
      <c r="C71" s="55" t="s">
        <v>18</v>
      </c>
      <c r="D71" s="55" t="s">
        <v>18</v>
      </c>
      <c r="E71" s="109">
        <v>900</v>
      </c>
      <c r="F71" s="61">
        <v>889</v>
      </c>
      <c r="G71" s="61">
        <v>489</v>
      </c>
      <c r="H71" s="147">
        <f>+G71/E71*100</f>
        <v>54.333333333333336</v>
      </c>
      <c r="I71" s="174">
        <f t="shared" si="7"/>
        <v>55.005624296962885</v>
      </c>
      <c r="K71" s="264"/>
    </row>
    <row r="72" spans="1:21" ht="18.75">
      <c r="A72" s="13">
        <v>23</v>
      </c>
      <c r="B72" s="39">
        <v>6341</v>
      </c>
      <c r="C72" s="55" t="s">
        <v>161</v>
      </c>
      <c r="D72" s="55" t="s">
        <v>161</v>
      </c>
      <c r="E72" s="109"/>
      <c r="F72" s="61">
        <v>17308</v>
      </c>
      <c r="G72" s="61">
        <v>17308</v>
      </c>
      <c r="H72" s="147"/>
      <c r="I72" s="174">
        <f t="shared" si="7"/>
        <v>100</v>
      </c>
    </row>
    <row r="73" spans="1:21" ht="18.75">
      <c r="A73" s="26">
        <v>24</v>
      </c>
      <c r="B73" s="39">
        <v>6341</v>
      </c>
      <c r="C73" s="117" t="s">
        <v>197</v>
      </c>
      <c r="D73" s="117" t="s">
        <v>197</v>
      </c>
      <c r="E73" s="109"/>
      <c r="F73" s="61">
        <v>60</v>
      </c>
      <c r="G73" s="61">
        <v>58</v>
      </c>
      <c r="H73" s="147"/>
      <c r="I73" s="174">
        <f t="shared" si="7"/>
        <v>96.666666666666671</v>
      </c>
    </row>
    <row r="74" spans="1:21" ht="18.75">
      <c r="A74" s="26">
        <v>25</v>
      </c>
      <c r="B74" s="33">
        <v>6351</v>
      </c>
      <c r="C74" s="55" t="s">
        <v>135</v>
      </c>
      <c r="D74" s="55" t="s">
        <v>135</v>
      </c>
      <c r="E74" s="109"/>
      <c r="F74" s="61">
        <v>2717</v>
      </c>
      <c r="G74" s="61">
        <v>2713</v>
      </c>
      <c r="H74" s="138"/>
      <c r="I74" s="167">
        <f t="shared" si="7"/>
        <v>99.85277880014722</v>
      </c>
    </row>
    <row r="75" spans="1:21" s="158" customFormat="1" ht="18.75">
      <c r="A75" s="13">
        <v>26</v>
      </c>
      <c r="B75" s="39" t="s">
        <v>61</v>
      </c>
      <c r="C75" s="56" t="s">
        <v>36</v>
      </c>
      <c r="D75" s="56" t="s">
        <v>36</v>
      </c>
      <c r="E75" s="109">
        <f>943712-E71-E72-E74</f>
        <v>942812</v>
      </c>
      <c r="F75" s="61">
        <f>1661383-F70-F71-F72-F73-F74</f>
        <v>1629309</v>
      </c>
      <c r="G75" s="61">
        <f>699325-G70-G71-G72-G73-G74</f>
        <v>676657</v>
      </c>
      <c r="H75" s="138">
        <f>+G75/E75*100</f>
        <v>71.770087779960377</v>
      </c>
      <c r="I75" s="167">
        <f t="shared" si="7"/>
        <v>41.530305178452956</v>
      </c>
      <c r="L75" s="4"/>
      <c r="M75" s="4"/>
      <c r="N75" s="4"/>
      <c r="O75" s="4"/>
      <c r="P75" s="4"/>
      <c r="Q75" s="4"/>
      <c r="R75" s="4"/>
      <c r="S75" s="4"/>
      <c r="T75" s="4"/>
      <c r="U75" s="4"/>
    </row>
    <row r="76" spans="1:21" s="158" customFormat="1" ht="19.5" thickBot="1">
      <c r="A76" s="211">
        <v>27</v>
      </c>
      <c r="B76" s="40" t="s">
        <v>46</v>
      </c>
      <c r="C76" s="57" t="s">
        <v>183</v>
      </c>
      <c r="D76" s="57" t="s">
        <v>236</v>
      </c>
      <c r="E76" s="114">
        <f>SUM(E70:E75)</f>
        <v>943712</v>
      </c>
      <c r="F76" s="67">
        <f>SUM(F70:F75)</f>
        <v>1661383</v>
      </c>
      <c r="G76" s="67">
        <f>SUM(G70:G75)</f>
        <v>699325</v>
      </c>
      <c r="H76" s="141">
        <f>+G76/E76*100</f>
        <v>74.103646027601641</v>
      </c>
      <c r="I76" s="170">
        <f t="shared" si="7"/>
        <v>42.092943048050927</v>
      </c>
      <c r="L76" s="4"/>
      <c r="M76" s="4"/>
      <c r="N76" s="4"/>
      <c r="O76" s="4"/>
      <c r="P76" s="4"/>
      <c r="Q76" s="4"/>
      <c r="R76" s="4"/>
      <c r="S76" s="4"/>
      <c r="T76" s="4"/>
      <c r="U76" s="4"/>
    </row>
    <row r="77" spans="1:21" s="158" customFormat="1" ht="19.5" thickBot="1">
      <c r="A77" s="72">
        <v>28</v>
      </c>
      <c r="B77" s="48" t="s">
        <v>48</v>
      </c>
      <c r="C77" s="102" t="s">
        <v>184</v>
      </c>
      <c r="D77" s="102" t="s">
        <v>241</v>
      </c>
      <c r="E77" s="115">
        <f>+E69+E76</f>
        <v>2567131</v>
      </c>
      <c r="F77" s="46">
        <f>+F69+F76</f>
        <v>3702863</v>
      </c>
      <c r="G77" s="46">
        <f>+G69+G76</f>
        <v>2468491</v>
      </c>
      <c r="H77" s="155">
        <f>+G77/E77*100</f>
        <v>96.157578245909534</v>
      </c>
      <c r="I77" s="172">
        <f t="shared" si="7"/>
        <v>66.664389149693093</v>
      </c>
      <c r="L77" s="4"/>
      <c r="M77" s="4"/>
      <c r="N77" s="4"/>
      <c r="O77" s="4"/>
      <c r="P77" s="4"/>
      <c r="Q77" s="4"/>
      <c r="R77" s="4"/>
      <c r="S77" s="4"/>
      <c r="T77" s="4"/>
      <c r="U77" s="4"/>
    </row>
    <row r="78" spans="1:21" s="158" customFormat="1" ht="16.5" thickBot="1">
      <c r="A78" s="1"/>
      <c r="B78" s="44"/>
      <c r="C78" s="45"/>
      <c r="D78" s="45"/>
      <c r="E78" s="189"/>
      <c r="F78" s="45"/>
      <c r="G78" s="45"/>
      <c r="H78" s="148"/>
      <c r="I78" s="148"/>
      <c r="L78" s="4"/>
      <c r="M78" s="4"/>
      <c r="N78" s="4"/>
      <c r="O78" s="4"/>
      <c r="P78" s="4"/>
      <c r="Q78" s="4"/>
      <c r="R78" s="4"/>
      <c r="S78" s="4"/>
      <c r="T78" s="4"/>
      <c r="U78" s="4"/>
    </row>
    <row r="79" spans="1:21" s="158" customFormat="1" ht="16.5" thickBot="1">
      <c r="A79" s="24"/>
      <c r="B79" s="11" t="s">
        <v>39</v>
      </c>
      <c r="C79" s="92"/>
      <c r="D79" s="92"/>
      <c r="E79" s="103" t="s">
        <v>40</v>
      </c>
      <c r="F79" s="58"/>
      <c r="G79" s="59"/>
      <c r="H79" s="153"/>
      <c r="I79" s="297"/>
      <c r="L79" s="4"/>
      <c r="M79" s="4"/>
      <c r="N79" s="4"/>
      <c r="O79" s="4"/>
      <c r="P79" s="4"/>
      <c r="Q79" s="4"/>
      <c r="R79" s="4"/>
      <c r="S79" s="4"/>
      <c r="T79" s="4"/>
      <c r="U79" s="4"/>
    </row>
    <row r="80" spans="1:21" s="158" customFormat="1">
      <c r="A80" s="25" t="s">
        <v>1</v>
      </c>
      <c r="B80" s="10" t="s">
        <v>37</v>
      </c>
      <c r="C80" s="93" t="s">
        <v>19</v>
      </c>
      <c r="D80" s="93" t="s">
        <v>19</v>
      </c>
      <c r="E80" s="104" t="s">
        <v>52</v>
      </c>
      <c r="F80" s="34" t="s">
        <v>54</v>
      </c>
      <c r="G80" s="300" t="s">
        <v>23</v>
      </c>
      <c r="H80" s="144" t="s">
        <v>0</v>
      </c>
      <c r="I80" s="163" t="s">
        <v>0</v>
      </c>
      <c r="L80" s="4"/>
      <c r="M80" s="4"/>
      <c r="N80" s="4"/>
      <c r="O80" s="4"/>
      <c r="P80" s="4"/>
      <c r="Q80" s="4"/>
      <c r="R80" s="4"/>
      <c r="S80" s="4"/>
      <c r="T80" s="4"/>
      <c r="U80" s="4"/>
    </row>
    <row r="81" spans="1:21" s="158" customFormat="1" ht="16.5" thickBot="1">
      <c r="A81" s="42"/>
      <c r="B81" s="31"/>
      <c r="C81" s="94"/>
      <c r="D81" s="94"/>
      <c r="E81" s="105" t="s">
        <v>22</v>
      </c>
      <c r="F81" s="43" t="s">
        <v>22</v>
      </c>
      <c r="G81" s="301"/>
      <c r="H81" s="145" t="s">
        <v>65</v>
      </c>
      <c r="I81" s="164" t="s">
        <v>66</v>
      </c>
      <c r="L81" s="4"/>
      <c r="M81" s="4"/>
      <c r="N81" s="4"/>
      <c r="O81" s="4"/>
      <c r="P81" s="4"/>
      <c r="Q81" s="4"/>
      <c r="R81" s="4"/>
      <c r="S81" s="4"/>
      <c r="T81" s="4"/>
      <c r="U81" s="4"/>
    </row>
    <row r="82" spans="1:21" s="158" customFormat="1" ht="18.75">
      <c r="A82" s="13">
        <v>1</v>
      </c>
      <c r="B82" s="271" t="s">
        <v>156</v>
      </c>
      <c r="C82" s="117" t="s">
        <v>20</v>
      </c>
      <c r="D82" s="117" t="s">
        <v>20</v>
      </c>
      <c r="E82" s="118">
        <f>688020+3715</f>
        <v>691735</v>
      </c>
      <c r="F82" s="91">
        <v>1021475</v>
      </c>
      <c r="G82" s="37">
        <f>-40411+5762</f>
        <v>-34649</v>
      </c>
      <c r="H82" s="138">
        <f>+G82/E82*100</f>
        <v>-5.0089991109312093</v>
      </c>
      <c r="I82" s="167">
        <f>+G82/F82*100</f>
        <v>-3.3920556058640692</v>
      </c>
      <c r="L82" s="4"/>
      <c r="M82" s="4"/>
      <c r="N82" s="4"/>
      <c r="O82" s="4"/>
      <c r="P82" s="4"/>
      <c r="Q82" s="4"/>
      <c r="R82" s="4"/>
      <c r="S82" s="4"/>
      <c r="T82" s="4"/>
      <c r="U82" s="4"/>
    </row>
    <row r="83" spans="1:21" s="158" customFormat="1" ht="18.75">
      <c r="A83" s="13">
        <v>2</v>
      </c>
      <c r="B83" s="15" t="s">
        <v>80</v>
      </c>
      <c r="C83" s="117" t="s">
        <v>21</v>
      </c>
      <c r="D83" s="117" t="s">
        <v>21</v>
      </c>
      <c r="E83" s="118"/>
      <c r="F83" s="91"/>
      <c r="G83" s="37">
        <f>515953-561953</f>
        <v>-46000</v>
      </c>
      <c r="H83" s="138"/>
      <c r="I83" s="167"/>
      <c r="L83" s="4"/>
      <c r="M83" s="4"/>
      <c r="N83" s="4"/>
      <c r="O83" s="4"/>
      <c r="P83" s="4"/>
      <c r="Q83" s="4"/>
      <c r="R83" s="4"/>
      <c r="S83" s="4"/>
      <c r="T83" s="4"/>
      <c r="U83" s="4"/>
    </row>
    <row r="84" spans="1:21" s="158" customFormat="1" ht="18.75">
      <c r="A84" s="26">
        <v>3</v>
      </c>
      <c r="B84" s="71">
        <v>8123</v>
      </c>
      <c r="C84" s="97" t="s">
        <v>75</v>
      </c>
      <c r="D84" s="97" t="s">
        <v>75</v>
      </c>
      <c r="E84" s="118"/>
      <c r="F84" s="91">
        <v>18067</v>
      </c>
      <c r="G84" s="37">
        <v>14146</v>
      </c>
      <c r="H84" s="138"/>
      <c r="I84" s="167">
        <f>+G84/F84*100</f>
        <v>78.297448386561129</v>
      </c>
      <c r="L84" s="4"/>
      <c r="M84" s="4"/>
      <c r="N84" s="4"/>
      <c r="O84" s="4"/>
      <c r="P84" s="4"/>
      <c r="Q84" s="4"/>
      <c r="R84" s="4"/>
      <c r="S84" s="4"/>
      <c r="T84" s="4"/>
      <c r="U84" s="4"/>
    </row>
    <row r="85" spans="1:21" s="158" customFormat="1" ht="18.75">
      <c r="A85" s="26">
        <v>4</v>
      </c>
      <c r="B85" s="23">
        <v>8124</v>
      </c>
      <c r="C85" s="56" t="s">
        <v>116</v>
      </c>
      <c r="D85" s="56" t="s">
        <v>116</v>
      </c>
      <c r="E85" s="119">
        <v>-13541</v>
      </c>
      <c r="F85" s="85">
        <v>-13541</v>
      </c>
      <c r="G85" s="63">
        <v>-13541</v>
      </c>
      <c r="H85" s="138">
        <f>+G85/E85*100</f>
        <v>100</v>
      </c>
      <c r="I85" s="167">
        <f>+G85/F85*100</f>
        <v>100</v>
      </c>
      <c r="L85" s="4"/>
      <c r="M85" s="4"/>
      <c r="N85" s="4"/>
      <c r="O85" s="4"/>
      <c r="P85" s="4"/>
      <c r="Q85" s="4"/>
      <c r="R85" s="4"/>
      <c r="S85" s="4"/>
      <c r="T85" s="4"/>
      <c r="U85" s="4"/>
    </row>
    <row r="86" spans="1:21" s="158" customFormat="1" ht="18.75">
      <c r="A86" s="26">
        <v>5</v>
      </c>
      <c r="B86" s="9">
        <v>8124</v>
      </c>
      <c r="C86" s="56" t="s">
        <v>79</v>
      </c>
      <c r="D86" s="56" t="s">
        <v>79</v>
      </c>
      <c r="E86" s="109">
        <v>-72796</v>
      </c>
      <c r="F86" s="83">
        <v>-72816</v>
      </c>
      <c r="G86" s="61">
        <f>-86369-G85</f>
        <v>-72828</v>
      </c>
      <c r="H86" s="138">
        <f>+G86/E86*100</f>
        <v>100.043958459256</v>
      </c>
      <c r="I86" s="167">
        <f>+G86/F86*100</f>
        <v>100.01647989452866</v>
      </c>
      <c r="L86" s="4"/>
      <c r="M86" s="4"/>
      <c r="N86" s="4"/>
      <c r="O86" s="4"/>
      <c r="P86" s="4"/>
      <c r="Q86" s="4"/>
      <c r="R86" s="4"/>
      <c r="S86" s="4"/>
      <c r="T86" s="4"/>
      <c r="U86" s="4"/>
    </row>
    <row r="87" spans="1:21" s="158" customFormat="1" ht="19.5" thickBot="1">
      <c r="A87" s="13">
        <v>6</v>
      </c>
      <c r="B87" s="15" t="s">
        <v>205</v>
      </c>
      <c r="C87" s="117" t="s">
        <v>206</v>
      </c>
      <c r="D87" s="117" t="s">
        <v>206</v>
      </c>
      <c r="E87" s="118"/>
      <c r="F87" s="91"/>
      <c r="G87" s="37">
        <v>-15000</v>
      </c>
      <c r="H87" s="138"/>
      <c r="I87" s="167"/>
      <c r="L87" s="4"/>
      <c r="M87" s="4"/>
      <c r="N87" s="4"/>
      <c r="O87" s="4"/>
      <c r="P87" s="4"/>
      <c r="Q87" s="4"/>
      <c r="R87" s="4"/>
      <c r="S87" s="4"/>
      <c r="T87" s="4"/>
      <c r="U87" s="4"/>
    </row>
    <row r="88" spans="1:21" s="158" customFormat="1" ht="19.5" thickBot="1">
      <c r="A88" s="72">
        <v>7</v>
      </c>
      <c r="B88" s="277" t="s">
        <v>49</v>
      </c>
      <c r="C88" s="278" t="s">
        <v>185</v>
      </c>
      <c r="D88" s="278" t="s">
        <v>242</v>
      </c>
      <c r="E88" s="279">
        <f>SUM(E82:E87)</f>
        <v>605398</v>
      </c>
      <c r="F88" s="192">
        <f>SUM(F82:F87)</f>
        <v>953185</v>
      </c>
      <c r="G88" s="192">
        <f>SUM(G82:G87)</f>
        <v>-167872</v>
      </c>
      <c r="H88" s="185"/>
      <c r="I88" s="186"/>
      <c r="L88" s="4"/>
      <c r="M88" s="4"/>
      <c r="N88" s="4"/>
      <c r="O88" s="4"/>
      <c r="P88" s="4"/>
      <c r="Q88" s="4"/>
      <c r="R88" s="4"/>
      <c r="S88" s="4"/>
      <c r="T88" s="4"/>
      <c r="U88" s="4"/>
    </row>
    <row r="89" spans="1:21" s="158" customFormat="1" ht="16.5" thickBot="1">
      <c r="A89" s="4"/>
      <c r="B89" s="4"/>
      <c r="C89" s="5"/>
      <c r="D89" s="5"/>
      <c r="E89" s="5"/>
      <c r="F89" s="5"/>
      <c r="G89" s="5"/>
      <c r="H89" s="149"/>
      <c r="I89" s="149"/>
      <c r="L89" s="4"/>
      <c r="M89" s="4"/>
      <c r="N89" s="4"/>
      <c r="O89" s="4"/>
      <c r="P89" s="4"/>
      <c r="Q89" s="4"/>
      <c r="R89" s="4"/>
      <c r="S89" s="4"/>
      <c r="T89" s="4"/>
      <c r="U89" s="4"/>
    </row>
    <row r="90" spans="1:21" ht="16.5" thickBot="1">
      <c r="A90" s="24"/>
      <c r="B90" s="11" t="s">
        <v>37</v>
      </c>
      <c r="C90" s="92"/>
      <c r="D90" s="92"/>
      <c r="E90" s="103" t="s">
        <v>40</v>
      </c>
      <c r="F90" s="58"/>
      <c r="G90" s="59"/>
      <c r="H90" s="153"/>
      <c r="I90" s="297"/>
    </row>
    <row r="91" spans="1:21">
      <c r="A91" s="28" t="s">
        <v>1</v>
      </c>
      <c r="B91" s="10"/>
      <c r="C91" s="93" t="s">
        <v>15</v>
      </c>
      <c r="D91" s="93" t="s">
        <v>15</v>
      </c>
      <c r="E91" s="104" t="s">
        <v>52</v>
      </c>
      <c r="F91" s="34" t="s">
        <v>54</v>
      </c>
      <c r="G91" s="300" t="s">
        <v>23</v>
      </c>
      <c r="H91" s="144" t="s">
        <v>0</v>
      </c>
      <c r="I91" s="163" t="s">
        <v>0</v>
      </c>
    </row>
    <row r="92" spans="1:21" ht="16.5" thickBot="1">
      <c r="A92" s="30"/>
      <c r="B92" s="31"/>
      <c r="C92" s="94"/>
      <c r="D92" s="94"/>
      <c r="E92" s="105" t="s">
        <v>22</v>
      </c>
      <c r="F92" s="43" t="s">
        <v>22</v>
      </c>
      <c r="G92" s="301"/>
      <c r="H92" s="145" t="s">
        <v>65</v>
      </c>
      <c r="I92" s="164" t="s">
        <v>66</v>
      </c>
    </row>
    <row r="93" spans="1:21" ht="18.75">
      <c r="A93" s="32">
        <v>1</v>
      </c>
      <c r="B93" s="47" t="s">
        <v>47</v>
      </c>
      <c r="C93" s="122" t="s">
        <v>56</v>
      </c>
      <c r="D93" s="122" t="s">
        <v>56</v>
      </c>
      <c r="E93" s="126">
        <f>+E45</f>
        <v>1961733</v>
      </c>
      <c r="F93" s="38">
        <f>+F45</f>
        <v>2749678</v>
      </c>
      <c r="G93" s="38">
        <f>+G45</f>
        <v>2636363</v>
      </c>
      <c r="H93" s="150">
        <f>+G93/E93*100</f>
        <v>134.38949133240865</v>
      </c>
      <c r="I93" s="179">
        <f>+G93/F93*100</f>
        <v>95.878972010540878</v>
      </c>
      <c r="K93" s="264"/>
    </row>
    <row r="94" spans="1:21" ht="18.75">
      <c r="A94" s="26">
        <v>2</v>
      </c>
      <c r="B94" s="49" t="s">
        <v>85</v>
      </c>
      <c r="C94" s="123" t="s">
        <v>57</v>
      </c>
      <c r="D94" s="123" t="s">
        <v>57</v>
      </c>
      <c r="E94" s="127">
        <f>+E77</f>
        <v>2567131</v>
      </c>
      <c r="F94" s="36">
        <f>+F77</f>
        <v>3702863</v>
      </c>
      <c r="G94" s="36">
        <f>+G77</f>
        <v>2468491</v>
      </c>
      <c r="H94" s="151">
        <f>+G94/E94*100</f>
        <v>96.157578245909534</v>
      </c>
      <c r="I94" s="180">
        <f>+G94/F94*100</f>
        <v>66.664389149693093</v>
      </c>
    </row>
    <row r="95" spans="1:21" ht="19.5" thickBot="1">
      <c r="A95" s="27">
        <v>3</v>
      </c>
      <c r="B95" s="50"/>
      <c r="C95" s="124" t="s">
        <v>50</v>
      </c>
      <c r="D95" s="124" t="s">
        <v>50</v>
      </c>
      <c r="E95" s="128">
        <f>+E93-E94</f>
        <v>-605398</v>
      </c>
      <c r="F95" s="35">
        <f>+F93-F94</f>
        <v>-953185</v>
      </c>
      <c r="G95" s="35">
        <f>+G93-G94</f>
        <v>167872</v>
      </c>
      <c r="H95" s="191"/>
      <c r="I95" s="270"/>
    </row>
    <row r="96" spans="1:21" ht="19.5" thickBot="1">
      <c r="A96" s="72">
        <v>4</v>
      </c>
      <c r="B96" s="51" t="s">
        <v>49</v>
      </c>
      <c r="C96" s="125" t="s">
        <v>16</v>
      </c>
      <c r="D96" s="125" t="s">
        <v>16</v>
      </c>
      <c r="E96" s="129">
        <f>+E88</f>
        <v>605398</v>
      </c>
      <c r="F96" s="52">
        <f>+F88</f>
        <v>953185</v>
      </c>
      <c r="G96" s="52">
        <f>+G88</f>
        <v>-167872</v>
      </c>
      <c r="H96" s="152"/>
      <c r="I96" s="181"/>
      <c r="K96" s="264"/>
    </row>
    <row r="100" hidden="1"/>
  </sheetData>
  <mergeCells count="4">
    <mergeCell ref="G80:G81"/>
    <mergeCell ref="G91:G92"/>
    <mergeCell ref="G5:G6"/>
    <mergeCell ref="G48:G49"/>
  </mergeCells>
  <printOptions horizontalCentered="1"/>
  <pageMargins left="0.19685039370078741" right="0.19685039370078741" top="0.35433070866141736" bottom="0.27559055118110237" header="0" footer="0"/>
  <pageSetup paperSize="9" scale="58" fitToHeight="2" orientation="landscape" r:id="rId1"/>
  <headerFooter alignWithMargins="0"/>
  <rowBreaks count="1" manualBreakCount="1">
    <brk id="45" max="17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List1"/>
  <dimension ref="A1:U123"/>
  <sheetViews>
    <sheetView showZeros="0" zoomScale="75" zoomScaleNormal="75" zoomScaleSheetLayoutView="50" workbookViewId="0">
      <pane xSplit="2" topLeftCell="C1" activePane="topRight" state="frozen"/>
      <selection pane="topRight" activeCell="A3" sqref="A3"/>
    </sheetView>
  </sheetViews>
  <sheetFormatPr defaultRowHeight="15.75"/>
  <cols>
    <col min="1" max="1" width="3.6640625" style="4" bestFit="1" customWidth="1"/>
    <col min="2" max="2" width="15.44140625" style="4" customWidth="1"/>
    <col min="3" max="3" width="59.5546875" style="5" hidden="1" customWidth="1"/>
    <col min="4" max="4" width="59.5546875" style="5" bestFit="1" customWidth="1"/>
    <col min="5" max="5" width="12.44140625" style="5" customWidth="1"/>
    <col min="6" max="6" width="11.77734375" style="5" customWidth="1"/>
    <col min="7" max="7" width="11.44140625" style="5" customWidth="1"/>
    <col min="8" max="9" width="8.44140625" style="149" customWidth="1"/>
    <col min="10" max="10" width="11.44140625" style="7" customWidth="1"/>
    <col min="11" max="11" width="11.77734375" style="7" customWidth="1"/>
    <col min="12" max="12" width="11.88671875" style="7" customWidth="1"/>
    <col min="13" max="14" width="8.44140625" style="178" customWidth="1"/>
    <col min="15" max="15" width="12" style="7" customWidth="1"/>
    <col min="16" max="16" width="11.77734375" style="7" customWidth="1"/>
    <col min="17" max="17" width="11.88671875" style="7" customWidth="1"/>
    <col min="18" max="19" width="8.44140625" style="178" customWidth="1"/>
    <col min="20" max="20" width="10.21875" style="158" bestFit="1" customWidth="1"/>
    <col min="21" max="21" width="9.77734375" style="158" bestFit="1" customWidth="1"/>
    <col min="22" max="16384" width="8.88671875" style="4"/>
  </cols>
  <sheetData>
    <row r="1" spans="1:21" ht="22.5">
      <c r="A1" s="269" t="s">
        <v>67</v>
      </c>
      <c r="B1" s="157"/>
      <c r="C1" s="157"/>
      <c r="D1" s="157"/>
      <c r="E1" s="157"/>
      <c r="F1" s="157"/>
      <c r="G1" s="157"/>
      <c r="H1" s="160"/>
      <c r="I1" s="160"/>
      <c r="J1" s="3"/>
      <c r="K1" s="3"/>
      <c r="L1" s="3"/>
      <c r="M1" s="177"/>
      <c r="N1" s="177"/>
      <c r="O1" s="3"/>
      <c r="P1" s="3"/>
      <c r="Q1" s="3"/>
      <c r="R1" s="177"/>
      <c r="S1" s="177"/>
      <c r="U1" s="4"/>
    </row>
    <row r="2" spans="1:21" ht="20.25">
      <c r="A2" s="76" t="s">
        <v>216</v>
      </c>
      <c r="B2" s="2"/>
      <c r="C2" s="8"/>
      <c r="D2" s="8"/>
      <c r="E2" s="8"/>
      <c r="F2" s="8"/>
      <c r="G2" s="8"/>
      <c r="H2" s="161"/>
      <c r="I2" s="161"/>
      <c r="J2" s="3"/>
      <c r="K2" s="3"/>
      <c r="L2" s="3"/>
      <c r="M2" s="177"/>
      <c r="N2" s="177"/>
      <c r="O2" s="3"/>
      <c r="P2" s="3"/>
      <c r="Q2" s="3"/>
      <c r="R2" s="177"/>
      <c r="S2" s="177"/>
      <c r="U2" s="4"/>
    </row>
    <row r="3" spans="1:21" ht="11.25" customHeight="1" thickBot="1">
      <c r="A3" s="2"/>
      <c r="B3" s="2"/>
      <c r="C3" s="8"/>
      <c r="D3" s="8"/>
      <c r="E3" s="8"/>
      <c r="F3" s="8"/>
      <c r="G3" s="8"/>
      <c r="H3" s="161"/>
      <c r="I3" s="161"/>
      <c r="N3" s="262"/>
      <c r="U3" s="4"/>
    </row>
    <row r="4" spans="1:21" ht="16.5" thickBot="1">
      <c r="A4" s="24"/>
      <c r="B4" s="11" t="s">
        <v>39</v>
      </c>
      <c r="C4" s="92"/>
      <c r="D4" s="92"/>
      <c r="E4" s="103" t="s">
        <v>62</v>
      </c>
      <c r="F4" s="58"/>
      <c r="G4" s="58"/>
      <c r="H4" s="143"/>
      <c r="I4" s="162"/>
      <c r="J4" s="103" t="s">
        <v>63</v>
      </c>
      <c r="K4" s="58"/>
      <c r="L4" s="58"/>
      <c r="M4" s="143"/>
      <c r="N4" s="162"/>
      <c r="O4" s="58" t="s">
        <v>40</v>
      </c>
      <c r="P4" s="58"/>
      <c r="Q4" s="59"/>
      <c r="R4" s="153"/>
      <c r="S4" s="153"/>
      <c r="U4" s="4"/>
    </row>
    <row r="5" spans="1:21">
      <c r="A5" s="25" t="s">
        <v>218</v>
      </c>
      <c r="B5" s="10" t="s">
        <v>38</v>
      </c>
      <c r="C5" s="93" t="s">
        <v>2</v>
      </c>
      <c r="D5" s="93" t="s">
        <v>2</v>
      </c>
      <c r="E5" s="104" t="s">
        <v>52</v>
      </c>
      <c r="F5" s="34" t="s">
        <v>53</v>
      </c>
      <c r="G5" s="300" t="s">
        <v>23</v>
      </c>
      <c r="H5" s="144" t="s">
        <v>0</v>
      </c>
      <c r="I5" s="163" t="s">
        <v>0</v>
      </c>
      <c r="J5" s="104" t="s">
        <v>52</v>
      </c>
      <c r="K5" s="34" t="s">
        <v>53</v>
      </c>
      <c r="L5" s="300" t="s">
        <v>23</v>
      </c>
      <c r="M5" s="144" t="s">
        <v>0</v>
      </c>
      <c r="N5" s="163" t="s">
        <v>0</v>
      </c>
      <c r="O5" s="80" t="s">
        <v>52</v>
      </c>
      <c r="P5" s="34" t="s">
        <v>53</v>
      </c>
      <c r="Q5" s="300" t="s">
        <v>23</v>
      </c>
      <c r="R5" s="144" t="s">
        <v>0</v>
      </c>
      <c r="S5" s="144" t="s">
        <v>0</v>
      </c>
      <c r="U5" s="4"/>
    </row>
    <row r="6" spans="1:21" ht="16.5" thickBot="1">
      <c r="A6" s="42"/>
      <c r="B6" s="31" t="s">
        <v>37</v>
      </c>
      <c r="C6" s="94"/>
      <c r="D6" s="94"/>
      <c r="E6" s="105" t="s">
        <v>22</v>
      </c>
      <c r="F6" s="43" t="s">
        <v>22</v>
      </c>
      <c r="G6" s="301"/>
      <c r="H6" s="145" t="s">
        <v>65</v>
      </c>
      <c r="I6" s="164" t="s">
        <v>66</v>
      </c>
      <c r="J6" s="105" t="s">
        <v>22</v>
      </c>
      <c r="K6" s="43" t="s">
        <v>22</v>
      </c>
      <c r="L6" s="301"/>
      <c r="M6" s="145" t="s">
        <v>65</v>
      </c>
      <c r="N6" s="164" t="s">
        <v>66</v>
      </c>
      <c r="O6" s="81" t="s">
        <v>22</v>
      </c>
      <c r="P6" s="43" t="s">
        <v>22</v>
      </c>
      <c r="Q6" s="301"/>
      <c r="R6" s="145" t="s">
        <v>65</v>
      </c>
      <c r="S6" s="145" t="s">
        <v>66</v>
      </c>
      <c r="U6" s="4"/>
    </row>
    <row r="7" spans="1:21" ht="18.75">
      <c r="A7" s="26">
        <v>1</v>
      </c>
      <c r="B7" s="14">
        <v>1111</v>
      </c>
      <c r="C7" s="95" t="s">
        <v>68</v>
      </c>
      <c r="D7" s="95" t="s">
        <v>68</v>
      </c>
      <c r="E7" s="109">
        <f t="shared" ref="E7:E12" si="0">+J7+O7</f>
        <v>1530000</v>
      </c>
      <c r="F7" s="61">
        <f t="shared" ref="F7:F12" si="1">+K7+P7</f>
        <v>1530000</v>
      </c>
      <c r="G7" s="61">
        <f t="shared" ref="E7:G20" si="2">+L7+Q7</f>
        <v>1615923</v>
      </c>
      <c r="H7" s="135">
        <f t="shared" ref="H7:H13" si="3">+G7/E7*100</f>
        <v>105.61588235294117</v>
      </c>
      <c r="I7" s="165">
        <f t="shared" ref="I7:I13" si="4">+G7/F7*100</f>
        <v>105.61588235294117</v>
      </c>
      <c r="J7" s="106">
        <v>1530000</v>
      </c>
      <c r="K7" s="60">
        <v>1530000</v>
      </c>
      <c r="L7" s="60">
        <v>1615923</v>
      </c>
      <c r="M7" s="135">
        <f t="shared" ref="M7:M13" si="5">+L7/J7*100</f>
        <v>105.61588235294117</v>
      </c>
      <c r="N7" s="165">
        <f t="shared" ref="N7:N13" si="6">+L7/K7*100</f>
        <v>105.61588235294117</v>
      </c>
      <c r="O7" s="82"/>
      <c r="P7" s="60"/>
      <c r="Q7" s="60"/>
      <c r="R7" s="135"/>
      <c r="S7" s="135"/>
      <c r="U7" s="4"/>
    </row>
    <row r="8" spans="1:21" ht="18.75">
      <c r="A8" s="13">
        <v>2</v>
      </c>
      <c r="B8" s="9">
        <v>1112</v>
      </c>
      <c r="C8" s="56" t="s">
        <v>3</v>
      </c>
      <c r="D8" s="56" t="s">
        <v>3</v>
      </c>
      <c r="E8" s="109">
        <f t="shared" si="0"/>
        <v>70000</v>
      </c>
      <c r="F8" s="61">
        <f t="shared" si="1"/>
        <v>70000</v>
      </c>
      <c r="G8" s="61">
        <f t="shared" si="2"/>
        <v>112903</v>
      </c>
      <c r="H8" s="135">
        <f t="shared" si="3"/>
        <v>161.29</v>
      </c>
      <c r="I8" s="165">
        <f t="shared" si="4"/>
        <v>161.29</v>
      </c>
      <c r="J8" s="106">
        <v>70000</v>
      </c>
      <c r="K8" s="60">
        <v>70000</v>
      </c>
      <c r="L8" s="60">
        <v>112903</v>
      </c>
      <c r="M8" s="138">
        <f t="shared" si="5"/>
        <v>161.29</v>
      </c>
      <c r="N8" s="167">
        <f t="shared" si="6"/>
        <v>161.29</v>
      </c>
      <c r="O8" s="83"/>
      <c r="P8" s="61"/>
      <c r="Q8" s="61"/>
      <c r="R8" s="138"/>
      <c r="S8" s="138"/>
      <c r="U8" s="4"/>
    </row>
    <row r="9" spans="1:21" ht="18.75">
      <c r="A9" s="26">
        <v>3</v>
      </c>
      <c r="B9" s="9">
        <v>1113</v>
      </c>
      <c r="C9" s="56" t="s">
        <v>58</v>
      </c>
      <c r="D9" s="56" t="s">
        <v>58</v>
      </c>
      <c r="E9" s="109">
        <f t="shared" si="0"/>
        <v>150000</v>
      </c>
      <c r="F9" s="61">
        <f t="shared" si="1"/>
        <v>150000</v>
      </c>
      <c r="G9" s="61">
        <f t="shared" si="2"/>
        <v>156113</v>
      </c>
      <c r="H9" s="135">
        <f t="shared" si="3"/>
        <v>104.07533333333335</v>
      </c>
      <c r="I9" s="165">
        <f t="shared" si="4"/>
        <v>104.07533333333335</v>
      </c>
      <c r="J9" s="106">
        <v>150000</v>
      </c>
      <c r="K9" s="60">
        <v>150000</v>
      </c>
      <c r="L9" s="60">
        <v>156113</v>
      </c>
      <c r="M9" s="138">
        <f t="shared" si="5"/>
        <v>104.07533333333335</v>
      </c>
      <c r="N9" s="167">
        <f t="shared" si="6"/>
        <v>104.07533333333335</v>
      </c>
      <c r="O9" s="83"/>
      <c r="P9" s="61"/>
      <c r="Q9" s="61"/>
      <c r="R9" s="138"/>
      <c r="S9" s="138"/>
      <c r="U9" s="4"/>
    </row>
    <row r="10" spans="1:21" ht="18.75">
      <c r="A10" s="13">
        <v>4</v>
      </c>
      <c r="B10" s="9">
        <v>1121</v>
      </c>
      <c r="C10" s="56" t="s">
        <v>4</v>
      </c>
      <c r="D10" s="56" t="s">
        <v>4</v>
      </c>
      <c r="E10" s="109">
        <f t="shared" si="0"/>
        <v>1430000</v>
      </c>
      <c r="F10" s="61">
        <f t="shared" si="1"/>
        <v>1430000</v>
      </c>
      <c r="G10" s="61">
        <f t="shared" si="2"/>
        <v>1546119</v>
      </c>
      <c r="H10" s="135">
        <f t="shared" si="3"/>
        <v>108.1202097902098</v>
      </c>
      <c r="I10" s="165">
        <f t="shared" si="4"/>
        <v>108.1202097902098</v>
      </c>
      <c r="J10" s="106">
        <v>1430000</v>
      </c>
      <c r="K10" s="60">
        <v>1430000</v>
      </c>
      <c r="L10" s="60">
        <v>1546119</v>
      </c>
      <c r="M10" s="138">
        <f t="shared" si="5"/>
        <v>108.1202097902098</v>
      </c>
      <c r="N10" s="167">
        <f t="shared" si="6"/>
        <v>108.1202097902098</v>
      </c>
      <c r="O10" s="83"/>
      <c r="P10" s="61"/>
      <c r="Q10" s="61"/>
      <c r="R10" s="138"/>
      <c r="S10" s="138"/>
      <c r="U10" s="4"/>
    </row>
    <row r="11" spans="1:21" ht="18.75">
      <c r="A11" s="26">
        <v>5</v>
      </c>
      <c r="B11" s="9">
        <v>1211</v>
      </c>
      <c r="C11" s="56" t="s">
        <v>59</v>
      </c>
      <c r="D11" s="56" t="s">
        <v>59</v>
      </c>
      <c r="E11" s="109">
        <f t="shared" si="0"/>
        <v>3140000</v>
      </c>
      <c r="F11" s="61">
        <f t="shared" si="1"/>
        <v>3140000</v>
      </c>
      <c r="G11" s="61">
        <f t="shared" si="2"/>
        <v>3285204</v>
      </c>
      <c r="H11" s="135">
        <f t="shared" si="3"/>
        <v>104.62433121019107</v>
      </c>
      <c r="I11" s="165">
        <f t="shared" si="4"/>
        <v>104.62433121019107</v>
      </c>
      <c r="J11" s="109">
        <v>3140000</v>
      </c>
      <c r="K11" s="61">
        <v>3140000</v>
      </c>
      <c r="L11" s="60">
        <v>3285204</v>
      </c>
      <c r="M11" s="138">
        <f t="shared" si="5"/>
        <v>104.62433121019107</v>
      </c>
      <c r="N11" s="167">
        <f t="shared" si="6"/>
        <v>104.62433121019107</v>
      </c>
      <c r="O11" s="83"/>
      <c r="P11" s="61"/>
      <c r="Q11" s="61"/>
      <c r="R11" s="138"/>
      <c r="S11" s="138"/>
      <c r="U11" s="4"/>
    </row>
    <row r="12" spans="1:21" ht="18.75">
      <c r="A12" s="13">
        <v>6</v>
      </c>
      <c r="B12" s="9">
        <v>1511</v>
      </c>
      <c r="C12" s="55" t="s">
        <v>5</v>
      </c>
      <c r="D12" s="55" t="s">
        <v>5</v>
      </c>
      <c r="E12" s="109">
        <f t="shared" si="0"/>
        <v>220000</v>
      </c>
      <c r="F12" s="61">
        <f t="shared" si="1"/>
        <v>220000</v>
      </c>
      <c r="G12" s="61">
        <f t="shared" si="2"/>
        <v>227460</v>
      </c>
      <c r="H12" s="135">
        <f t="shared" si="3"/>
        <v>103.39090909090909</v>
      </c>
      <c r="I12" s="165">
        <f t="shared" si="4"/>
        <v>103.39090909090909</v>
      </c>
      <c r="J12" s="109">
        <v>220000</v>
      </c>
      <c r="K12" s="61">
        <v>220000</v>
      </c>
      <c r="L12" s="60">
        <v>227460</v>
      </c>
      <c r="M12" s="138">
        <f t="shared" si="5"/>
        <v>103.39090909090909</v>
      </c>
      <c r="N12" s="167">
        <f t="shared" si="6"/>
        <v>103.39090909090909</v>
      </c>
      <c r="O12" s="83"/>
      <c r="P12" s="61"/>
      <c r="Q12" s="61"/>
      <c r="R12" s="138"/>
      <c r="S12" s="138"/>
      <c r="U12" s="4"/>
    </row>
    <row r="13" spans="1:21" ht="19.5" thickBot="1">
      <c r="A13" s="26">
        <v>7</v>
      </c>
      <c r="B13" s="12"/>
      <c r="C13" s="96" t="s">
        <v>170</v>
      </c>
      <c r="D13" s="96" t="s">
        <v>60</v>
      </c>
      <c r="E13" s="107">
        <f>SUM(E7:E12)</f>
        <v>6540000</v>
      </c>
      <c r="F13" s="62">
        <f>SUM(F7:F12)</f>
        <v>6540000</v>
      </c>
      <c r="G13" s="62">
        <f>SUM(G7:G12)</f>
        <v>6943722</v>
      </c>
      <c r="H13" s="156">
        <f t="shared" si="3"/>
        <v>106.17311926605504</v>
      </c>
      <c r="I13" s="166">
        <f t="shared" si="4"/>
        <v>106.17311926605504</v>
      </c>
      <c r="J13" s="107">
        <f>SUM(J7:J12)</f>
        <v>6540000</v>
      </c>
      <c r="K13" s="62">
        <f>SUM(K7:K12)</f>
        <v>6540000</v>
      </c>
      <c r="L13" s="62">
        <f>SUM(L7:L12)</f>
        <v>6943722</v>
      </c>
      <c r="M13" s="156">
        <f t="shared" si="5"/>
        <v>106.17311926605504</v>
      </c>
      <c r="N13" s="166">
        <f t="shared" si="6"/>
        <v>106.17311926605504</v>
      </c>
      <c r="O13" s="84"/>
      <c r="P13" s="84"/>
      <c r="Q13" s="62"/>
      <c r="R13" s="156"/>
      <c r="S13" s="156"/>
      <c r="T13" s="265"/>
      <c r="U13" s="4"/>
    </row>
    <row r="14" spans="1:21" ht="18.75">
      <c r="A14" s="13">
        <v>8</v>
      </c>
      <c r="B14" s="23">
        <v>1119</v>
      </c>
      <c r="C14" s="97" t="s">
        <v>70</v>
      </c>
      <c r="D14" s="97" t="s">
        <v>70</v>
      </c>
      <c r="E14" s="108"/>
      <c r="F14" s="70"/>
      <c r="G14" s="70">
        <f t="shared" si="2"/>
        <v>1</v>
      </c>
      <c r="H14" s="137"/>
      <c r="I14" s="165"/>
      <c r="J14" s="119"/>
      <c r="K14" s="68"/>
      <c r="L14" s="68">
        <v>1</v>
      </c>
      <c r="M14" s="135"/>
      <c r="N14" s="165"/>
      <c r="O14" s="85"/>
      <c r="P14" s="68"/>
      <c r="Q14" s="68"/>
      <c r="R14" s="147"/>
      <c r="S14" s="190"/>
      <c r="T14" s="265"/>
      <c r="U14" s="4"/>
    </row>
    <row r="15" spans="1:21" ht="18.75">
      <c r="A15" s="26">
        <v>9</v>
      </c>
      <c r="B15" s="9">
        <v>1122</v>
      </c>
      <c r="C15" s="56" t="s">
        <v>6</v>
      </c>
      <c r="D15" s="56" t="s">
        <v>6</v>
      </c>
      <c r="E15" s="106">
        <f t="shared" si="2"/>
        <v>59877</v>
      </c>
      <c r="F15" s="60">
        <f t="shared" si="2"/>
        <v>126548</v>
      </c>
      <c r="G15" s="60">
        <f t="shared" si="2"/>
        <v>126548</v>
      </c>
      <c r="H15" s="135">
        <f t="shared" ref="H15:H26" si="7">+G15/E15*100</f>
        <v>211.34659385072734</v>
      </c>
      <c r="I15" s="165">
        <f t="shared" ref="I15:I26" si="8">+G15/F15*100</f>
        <v>100</v>
      </c>
      <c r="J15" s="109"/>
      <c r="K15" s="61">
        <v>3203</v>
      </c>
      <c r="L15" s="61">
        <f>372+2831</f>
        <v>3203</v>
      </c>
      <c r="M15" s="138"/>
      <c r="N15" s="167">
        <f t="shared" ref="N15:N28" si="9">+L15/K15*100</f>
        <v>100</v>
      </c>
      <c r="O15" s="83">
        <v>59877</v>
      </c>
      <c r="P15" s="83">
        <v>123345</v>
      </c>
      <c r="Q15" s="61">
        <v>123345</v>
      </c>
      <c r="R15" s="138">
        <f t="shared" ref="R15:R21" si="10">+Q15/O15*100</f>
        <v>205.99729445362996</v>
      </c>
      <c r="S15" s="138">
        <f t="shared" ref="S15:S27" si="11">+Q15/P15*100</f>
        <v>100</v>
      </c>
      <c r="T15" s="265"/>
      <c r="U15" s="4"/>
    </row>
    <row r="16" spans="1:21" ht="18.75">
      <c r="A16" s="13">
        <v>10</v>
      </c>
      <c r="B16" s="9">
        <v>1122</v>
      </c>
      <c r="C16" s="56" t="s">
        <v>71</v>
      </c>
      <c r="D16" s="56" t="s">
        <v>71</v>
      </c>
      <c r="E16" s="109">
        <f t="shared" si="2"/>
        <v>360030</v>
      </c>
      <c r="F16" s="61">
        <f t="shared" si="2"/>
        <v>319693</v>
      </c>
      <c r="G16" s="60">
        <f t="shared" si="2"/>
        <v>319693</v>
      </c>
      <c r="H16" s="135">
        <f>+G16/E16*100</f>
        <v>88.79621142682555</v>
      </c>
      <c r="I16" s="165">
        <f>+G16/F16*100</f>
        <v>100</v>
      </c>
      <c r="J16" s="109">
        <v>350000</v>
      </c>
      <c r="K16" s="61">
        <v>294186</v>
      </c>
      <c r="L16" s="61">
        <v>294186</v>
      </c>
      <c r="M16" s="138">
        <f>+L16/J16*100</f>
        <v>84.053142857142859</v>
      </c>
      <c r="N16" s="167">
        <f t="shared" si="9"/>
        <v>100</v>
      </c>
      <c r="O16" s="83">
        <v>10030</v>
      </c>
      <c r="P16" s="83">
        <v>25507</v>
      </c>
      <c r="Q16" s="61">
        <v>25507</v>
      </c>
      <c r="R16" s="138">
        <f t="shared" si="10"/>
        <v>254.30707876370886</v>
      </c>
      <c r="S16" s="138">
        <f t="shared" si="11"/>
        <v>100</v>
      </c>
      <c r="T16" s="266"/>
      <c r="U16" s="4"/>
    </row>
    <row r="17" spans="1:21" ht="18.75">
      <c r="A17" s="26">
        <v>11</v>
      </c>
      <c r="B17" s="15" t="s">
        <v>30</v>
      </c>
      <c r="C17" s="98" t="s">
        <v>69</v>
      </c>
      <c r="D17" s="98" t="s">
        <v>69</v>
      </c>
      <c r="E17" s="110">
        <f t="shared" si="2"/>
        <v>903</v>
      </c>
      <c r="F17" s="63">
        <f t="shared" si="2"/>
        <v>904</v>
      </c>
      <c r="G17" s="60">
        <f t="shared" si="2"/>
        <v>1810</v>
      </c>
      <c r="H17" s="139">
        <f t="shared" si="7"/>
        <v>200.44296788482833</v>
      </c>
      <c r="I17" s="165">
        <f t="shared" si="8"/>
        <v>200.22123893805309</v>
      </c>
      <c r="J17" s="110">
        <v>850</v>
      </c>
      <c r="K17" s="63">
        <v>850</v>
      </c>
      <c r="L17" s="63">
        <v>1810</v>
      </c>
      <c r="M17" s="138">
        <f>+L17/J17*100</f>
        <v>212.94117647058823</v>
      </c>
      <c r="N17" s="167">
        <f t="shared" si="9"/>
        <v>212.94117647058823</v>
      </c>
      <c r="O17" s="86">
        <v>53</v>
      </c>
      <c r="P17" s="86">
        <v>54</v>
      </c>
      <c r="Q17" s="63"/>
      <c r="R17" s="139">
        <f t="shared" si="10"/>
        <v>0</v>
      </c>
      <c r="S17" s="139">
        <f t="shared" si="11"/>
        <v>0</v>
      </c>
      <c r="T17" s="267"/>
      <c r="U17" s="4"/>
    </row>
    <row r="18" spans="1:21" ht="18.75">
      <c r="A18" s="13">
        <v>12</v>
      </c>
      <c r="B18" s="16" t="s">
        <v>31</v>
      </c>
      <c r="C18" s="55" t="s">
        <v>72</v>
      </c>
      <c r="D18" s="55" t="s">
        <v>72</v>
      </c>
      <c r="E18" s="109">
        <f t="shared" si="2"/>
        <v>349753</v>
      </c>
      <c r="F18" s="61">
        <f t="shared" si="2"/>
        <v>359756</v>
      </c>
      <c r="G18" s="61">
        <f t="shared" si="2"/>
        <v>340700</v>
      </c>
      <c r="H18" s="138">
        <f t="shared" si="7"/>
        <v>97.411601901913642</v>
      </c>
      <c r="I18" s="165">
        <f t="shared" si="8"/>
        <v>94.703076529647873</v>
      </c>
      <c r="J18" s="109">
        <v>265600</v>
      </c>
      <c r="K18" s="61">
        <v>265600</v>
      </c>
      <c r="L18" s="61">
        <v>252334</v>
      </c>
      <c r="M18" s="138">
        <f>+L18/J18*100</f>
        <v>95.005271084337352</v>
      </c>
      <c r="N18" s="167">
        <f t="shared" si="9"/>
        <v>95.005271084337352</v>
      </c>
      <c r="O18" s="83">
        <v>84153</v>
      </c>
      <c r="P18" s="83">
        <v>94156</v>
      </c>
      <c r="Q18" s="61">
        <v>88366</v>
      </c>
      <c r="R18" s="138">
        <f t="shared" si="10"/>
        <v>105.00635746794529</v>
      </c>
      <c r="S18" s="138">
        <f t="shared" si="11"/>
        <v>93.850630867921325</v>
      </c>
      <c r="T18" s="267"/>
      <c r="U18" s="4"/>
    </row>
    <row r="19" spans="1:21" ht="18.75">
      <c r="A19" s="26">
        <v>13</v>
      </c>
      <c r="B19" s="19" t="s">
        <v>81</v>
      </c>
      <c r="C19" s="55" t="s">
        <v>82</v>
      </c>
      <c r="D19" s="55" t="s">
        <v>82</v>
      </c>
      <c r="E19" s="109">
        <f t="shared" si="2"/>
        <v>240040</v>
      </c>
      <c r="F19" s="61">
        <f t="shared" si="2"/>
        <v>240060</v>
      </c>
      <c r="G19" s="61">
        <f t="shared" si="2"/>
        <v>268022</v>
      </c>
      <c r="H19" s="138">
        <f t="shared" si="7"/>
        <v>111.657223796034</v>
      </c>
      <c r="I19" s="165">
        <f t="shared" si="8"/>
        <v>111.64792135299508</v>
      </c>
      <c r="J19" s="119">
        <v>240000</v>
      </c>
      <c r="K19" s="68">
        <v>240000</v>
      </c>
      <c r="L19" s="68">
        <v>267953</v>
      </c>
      <c r="M19" s="138">
        <f>+L19/J19*100</f>
        <v>111.64708333333333</v>
      </c>
      <c r="N19" s="167">
        <f t="shared" si="9"/>
        <v>111.64708333333333</v>
      </c>
      <c r="O19" s="85">
        <v>40</v>
      </c>
      <c r="P19" s="85">
        <v>60</v>
      </c>
      <c r="Q19" s="68">
        <v>69</v>
      </c>
      <c r="R19" s="138">
        <f t="shared" si="10"/>
        <v>172.5</v>
      </c>
      <c r="S19" s="138">
        <f t="shared" si="11"/>
        <v>114.99999999999999</v>
      </c>
      <c r="T19" s="265"/>
      <c r="U19" s="4"/>
    </row>
    <row r="20" spans="1:21" ht="18.75">
      <c r="A20" s="13">
        <v>14</v>
      </c>
      <c r="B20" s="19">
        <v>1361</v>
      </c>
      <c r="C20" s="55" t="s">
        <v>7</v>
      </c>
      <c r="D20" s="55" t="s">
        <v>7</v>
      </c>
      <c r="E20" s="109">
        <f t="shared" si="2"/>
        <v>72457</v>
      </c>
      <c r="F20" s="61">
        <f t="shared" si="2"/>
        <v>77494</v>
      </c>
      <c r="G20" s="61">
        <f t="shared" si="2"/>
        <v>81401</v>
      </c>
      <c r="H20" s="138">
        <f t="shared" si="7"/>
        <v>112.34387291773051</v>
      </c>
      <c r="I20" s="165">
        <f t="shared" si="8"/>
        <v>105.04168064624358</v>
      </c>
      <c r="J20" s="119">
        <v>65205</v>
      </c>
      <c r="K20" s="68">
        <v>65205</v>
      </c>
      <c r="L20" s="68">
        <v>66182</v>
      </c>
      <c r="M20" s="138">
        <f t="shared" ref="M20:M26" si="12">+L20/J20*100</f>
        <v>101.49835135342383</v>
      </c>
      <c r="N20" s="174">
        <f t="shared" si="9"/>
        <v>101.49835135342383</v>
      </c>
      <c r="O20" s="85">
        <v>7252</v>
      </c>
      <c r="P20" s="85">
        <v>12289</v>
      </c>
      <c r="Q20" s="68">
        <v>15219</v>
      </c>
      <c r="R20" s="138">
        <f t="shared" si="10"/>
        <v>209.85934914506342</v>
      </c>
      <c r="S20" s="138">
        <f t="shared" si="11"/>
        <v>123.84246073724469</v>
      </c>
      <c r="T20" s="266"/>
      <c r="U20" s="4"/>
    </row>
    <row r="21" spans="1:21" ht="19.5" thickBot="1">
      <c r="A21" s="26">
        <v>15</v>
      </c>
      <c r="B21" s="17" t="s">
        <v>42</v>
      </c>
      <c r="C21" s="99" t="s">
        <v>171</v>
      </c>
      <c r="D21" s="99" t="s">
        <v>83</v>
      </c>
      <c r="E21" s="111">
        <f>SUM(E13:E20)</f>
        <v>7623060</v>
      </c>
      <c r="F21" s="64">
        <f>SUM(F13:F20)</f>
        <v>7664455</v>
      </c>
      <c r="G21" s="64">
        <f>SUM(G13:G20)</f>
        <v>8081897</v>
      </c>
      <c r="H21" s="136">
        <f t="shared" si="7"/>
        <v>106.01906583445493</v>
      </c>
      <c r="I21" s="168">
        <f t="shared" si="8"/>
        <v>105.44646683945564</v>
      </c>
      <c r="J21" s="111">
        <f>SUM(J13:J20)</f>
        <v>7461655</v>
      </c>
      <c r="K21" s="64">
        <f>SUM(K13:K20)</f>
        <v>7409044</v>
      </c>
      <c r="L21" s="64">
        <f>SUM(L13:L20)</f>
        <v>7829391</v>
      </c>
      <c r="M21" s="136">
        <f t="shared" si="12"/>
        <v>104.92834364494203</v>
      </c>
      <c r="N21" s="168">
        <f t="shared" si="9"/>
        <v>105.67343101215218</v>
      </c>
      <c r="O21" s="87">
        <f>SUM(O13:O20)</f>
        <v>161405</v>
      </c>
      <c r="P21" s="64">
        <f>SUM(P13:P20)</f>
        <v>255411</v>
      </c>
      <c r="Q21" s="64">
        <f>SUM(Q13:Q20)</f>
        <v>252506</v>
      </c>
      <c r="R21" s="136">
        <f t="shared" si="10"/>
        <v>156.44248939004368</v>
      </c>
      <c r="S21" s="136">
        <f t="shared" si="11"/>
        <v>98.862617506685297</v>
      </c>
      <c r="T21" s="265"/>
      <c r="U21" s="4"/>
    </row>
    <row r="22" spans="1:21" ht="18.75">
      <c r="A22" s="13">
        <v>16</v>
      </c>
      <c r="B22" s="18" t="s">
        <v>32</v>
      </c>
      <c r="C22" s="100" t="s">
        <v>8</v>
      </c>
      <c r="D22" s="100" t="s">
        <v>8</v>
      </c>
      <c r="E22" s="106">
        <f t="shared" ref="E22:G26" si="13">+J22+O22</f>
        <v>51368</v>
      </c>
      <c r="F22" s="60">
        <f t="shared" si="13"/>
        <v>50756</v>
      </c>
      <c r="G22" s="60">
        <f t="shared" si="13"/>
        <v>53345</v>
      </c>
      <c r="H22" s="135">
        <f t="shared" si="7"/>
        <v>103.84869957950475</v>
      </c>
      <c r="I22" s="165">
        <f t="shared" si="8"/>
        <v>105.1008747734258</v>
      </c>
      <c r="J22" s="106">
        <v>17030</v>
      </c>
      <c r="K22" s="60">
        <v>17969</v>
      </c>
      <c r="L22" s="60">
        <v>20230</v>
      </c>
      <c r="M22" s="135">
        <f t="shared" si="12"/>
        <v>118.79036993540811</v>
      </c>
      <c r="N22" s="165">
        <f t="shared" si="9"/>
        <v>112.58278145695364</v>
      </c>
      <c r="O22" s="82">
        <v>34338</v>
      </c>
      <c r="P22" s="82">
        <v>32787</v>
      </c>
      <c r="Q22" s="60">
        <v>33115</v>
      </c>
      <c r="R22" s="135">
        <f>+Q22/O22*100</f>
        <v>96.438348185683495</v>
      </c>
      <c r="S22" s="135">
        <f t="shared" si="11"/>
        <v>101.00039649861226</v>
      </c>
      <c r="U22" s="4"/>
    </row>
    <row r="23" spans="1:21" ht="18.75">
      <c r="A23" s="26">
        <v>17</v>
      </c>
      <c r="B23" s="18" t="s">
        <v>33</v>
      </c>
      <c r="C23" s="100" t="s">
        <v>64</v>
      </c>
      <c r="D23" s="100" t="s">
        <v>64</v>
      </c>
      <c r="E23" s="106">
        <f t="shared" si="13"/>
        <v>121752</v>
      </c>
      <c r="F23" s="60">
        <f t="shared" si="13"/>
        <v>142758</v>
      </c>
      <c r="G23" s="60">
        <f t="shared" si="13"/>
        <v>142910</v>
      </c>
      <c r="H23" s="135">
        <f t="shared" si="7"/>
        <v>117.37794861686051</v>
      </c>
      <c r="I23" s="165">
        <f t="shared" si="8"/>
        <v>100.10647389288165</v>
      </c>
      <c r="J23" s="106">
        <v>118215</v>
      </c>
      <c r="K23" s="60">
        <v>131904</v>
      </c>
      <c r="L23" s="60">
        <v>132672</v>
      </c>
      <c r="M23" s="138">
        <f t="shared" si="12"/>
        <v>112.22941251110265</v>
      </c>
      <c r="N23" s="167">
        <f t="shared" si="9"/>
        <v>100.58224163027656</v>
      </c>
      <c r="O23" s="82">
        <v>3537</v>
      </c>
      <c r="P23" s="82">
        <v>10854</v>
      </c>
      <c r="Q23" s="60">
        <v>10238</v>
      </c>
      <c r="R23" s="139">
        <f>+Q23/O23*100</f>
        <v>289.45433983601919</v>
      </c>
      <c r="S23" s="135">
        <f t="shared" si="11"/>
        <v>94.324672931638105</v>
      </c>
      <c r="U23" s="4"/>
    </row>
    <row r="24" spans="1:21" ht="18.75">
      <c r="A24" s="13">
        <v>18</v>
      </c>
      <c r="B24" s="15" t="s">
        <v>34</v>
      </c>
      <c r="C24" s="98" t="s">
        <v>9</v>
      </c>
      <c r="D24" s="98" t="s">
        <v>9</v>
      </c>
      <c r="E24" s="110">
        <f t="shared" si="13"/>
        <v>261186</v>
      </c>
      <c r="F24" s="63">
        <f t="shared" si="13"/>
        <v>264943</v>
      </c>
      <c r="G24" s="63">
        <f t="shared" si="13"/>
        <v>260062</v>
      </c>
      <c r="H24" s="139">
        <f t="shared" si="7"/>
        <v>99.5696553414042</v>
      </c>
      <c r="I24" s="165">
        <f t="shared" si="8"/>
        <v>98.157716942889607</v>
      </c>
      <c r="J24" s="110">
        <v>174615</v>
      </c>
      <c r="K24" s="63">
        <v>174259</v>
      </c>
      <c r="L24" s="63">
        <v>171972</v>
      </c>
      <c r="M24" s="138">
        <f t="shared" si="12"/>
        <v>98.486384331243016</v>
      </c>
      <c r="N24" s="167">
        <f t="shared" si="9"/>
        <v>98.68758572010627</v>
      </c>
      <c r="O24" s="86">
        <v>86571</v>
      </c>
      <c r="P24" s="86">
        <v>90684</v>
      </c>
      <c r="Q24" s="63">
        <v>88090</v>
      </c>
      <c r="R24" s="139">
        <f>+Q24/O24*100</f>
        <v>101.75462914832912</v>
      </c>
      <c r="S24" s="135">
        <f t="shared" si="11"/>
        <v>97.139517445194301</v>
      </c>
      <c r="U24" s="4"/>
    </row>
    <row r="25" spans="1:21" ht="18.75">
      <c r="A25" s="26">
        <v>19</v>
      </c>
      <c r="B25" s="15" t="s">
        <v>115</v>
      </c>
      <c r="C25" s="98" t="s">
        <v>140</v>
      </c>
      <c r="D25" s="98" t="s">
        <v>140</v>
      </c>
      <c r="E25" s="197">
        <f t="shared" si="13"/>
        <v>52585</v>
      </c>
      <c r="F25" s="63">
        <f t="shared" si="13"/>
        <v>56465</v>
      </c>
      <c r="G25" s="86">
        <f t="shared" si="13"/>
        <v>68229</v>
      </c>
      <c r="H25" s="139">
        <f t="shared" si="7"/>
        <v>129.7499286868879</v>
      </c>
      <c r="I25" s="165">
        <f t="shared" si="8"/>
        <v>120.83414504560348</v>
      </c>
      <c r="J25" s="110">
        <v>42350</v>
      </c>
      <c r="K25" s="63">
        <v>42350</v>
      </c>
      <c r="L25" s="63">
        <v>54200</v>
      </c>
      <c r="M25" s="138">
        <f t="shared" si="12"/>
        <v>127.98110979929163</v>
      </c>
      <c r="N25" s="167">
        <f t="shared" si="9"/>
        <v>127.98110979929163</v>
      </c>
      <c r="O25" s="86">
        <v>10235</v>
      </c>
      <c r="P25" s="86">
        <v>14115</v>
      </c>
      <c r="Q25" s="63">
        <v>14029</v>
      </c>
      <c r="R25" s="139">
        <f>+Q25/O25*100</f>
        <v>137.06888128969223</v>
      </c>
      <c r="S25" s="135">
        <f t="shared" si="11"/>
        <v>99.390719093163298</v>
      </c>
      <c r="U25" s="4"/>
    </row>
    <row r="26" spans="1:21" ht="18.75">
      <c r="A26" s="13">
        <v>20</v>
      </c>
      <c r="B26" s="15" t="s">
        <v>35</v>
      </c>
      <c r="C26" s="98" t="s">
        <v>10</v>
      </c>
      <c r="D26" s="98" t="s">
        <v>10</v>
      </c>
      <c r="E26" s="197">
        <f t="shared" si="13"/>
        <v>47158</v>
      </c>
      <c r="F26" s="63">
        <f t="shared" si="13"/>
        <v>49573</v>
      </c>
      <c r="G26" s="86">
        <f t="shared" si="13"/>
        <v>55661</v>
      </c>
      <c r="H26" s="139">
        <f t="shared" si="7"/>
        <v>118.03087493108275</v>
      </c>
      <c r="I26" s="165">
        <f t="shared" si="8"/>
        <v>112.2808787041333</v>
      </c>
      <c r="J26" s="110">
        <v>43300</v>
      </c>
      <c r="K26" s="63">
        <v>43372</v>
      </c>
      <c r="L26" s="63">
        <v>49993</v>
      </c>
      <c r="M26" s="138">
        <f t="shared" si="12"/>
        <v>115.45727482678984</v>
      </c>
      <c r="N26" s="167">
        <f t="shared" si="9"/>
        <v>115.26560914875957</v>
      </c>
      <c r="O26" s="86">
        <v>3858</v>
      </c>
      <c r="P26" s="86">
        <v>6201</v>
      </c>
      <c r="Q26" s="63">
        <v>5668</v>
      </c>
      <c r="R26" s="139">
        <f>+Q26/O26*100</f>
        <v>146.91550025920165</v>
      </c>
      <c r="S26" s="139">
        <f t="shared" si="11"/>
        <v>91.404612159329133</v>
      </c>
      <c r="U26" s="4"/>
    </row>
    <row r="27" spans="1:21" ht="18.75">
      <c r="A27" s="26">
        <v>21</v>
      </c>
      <c r="B27" s="15">
        <v>2226</v>
      </c>
      <c r="C27" s="98" t="s">
        <v>172</v>
      </c>
      <c r="D27" s="98" t="s">
        <v>172</v>
      </c>
      <c r="E27" s="198" t="s">
        <v>51</v>
      </c>
      <c r="F27" s="65" t="s">
        <v>51</v>
      </c>
      <c r="G27" s="199" t="s">
        <v>51</v>
      </c>
      <c r="H27" s="139"/>
      <c r="I27" s="165"/>
      <c r="J27" s="110"/>
      <c r="K27" s="63"/>
      <c r="L27" s="63"/>
      <c r="M27" s="138"/>
      <c r="N27" s="167"/>
      <c r="O27" s="86"/>
      <c r="P27" s="86">
        <v>205267</v>
      </c>
      <c r="Q27" s="63">
        <v>205267</v>
      </c>
      <c r="R27" s="139"/>
      <c r="S27" s="139">
        <f t="shared" si="11"/>
        <v>100</v>
      </c>
      <c r="U27" s="4"/>
    </row>
    <row r="28" spans="1:21" ht="18.75">
      <c r="A28" s="13">
        <v>22</v>
      </c>
      <c r="B28" s="15">
        <v>2226</v>
      </c>
      <c r="C28" s="98" t="s">
        <v>173</v>
      </c>
      <c r="D28" s="98" t="s">
        <v>173</v>
      </c>
      <c r="E28" s="198" t="s">
        <v>51</v>
      </c>
      <c r="F28" s="65" t="s">
        <v>51</v>
      </c>
      <c r="G28" s="199" t="s">
        <v>51</v>
      </c>
      <c r="H28" s="169"/>
      <c r="I28" s="165"/>
      <c r="J28" s="110"/>
      <c r="K28" s="63">
        <v>7624</v>
      </c>
      <c r="L28" s="63">
        <v>7625</v>
      </c>
      <c r="M28" s="138"/>
      <c r="N28" s="167">
        <f t="shared" si="9"/>
        <v>100.01311647429172</v>
      </c>
      <c r="O28" s="86"/>
      <c r="P28" s="86"/>
      <c r="Q28" s="63"/>
      <c r="R28" s="139"/>
      <c r="S28" s="139"/>
      <c r="U28" s="289"/>
    </row>
    <row r="29" spans="1:21" ht="18.75">
      <c r="A29" s="26">
        <v>23</v>
      </c>
      <c r="B29" s="15">
        <v>2441</v>
      </c>
      <c r="C29" s="98" t="s">
        <v>139</v>
      </c>
      <c r="D29" s="98" t="s">
        <v>139</v>
      </c>
      <c r="E29" s="198" t="s">
        <v>51</v>
      </c>
      <c r="F29" s="65" t="s">
        <v>51</v>
      </c>
      <c r="G29" s="199" t="s">
        <v>51</v>
      </c>
      <c r="H29" s="169"/>
      <c r="I29" s="165"/>
      <c r="J29" s="110">
        <v>13541</v>
      </c>
      <c r="K29" s="63">
        <v>13541</v>
      </c>
      <c r="L29" s="63">
        <v>13541</v>
      </c>
      <c r="M29" s="138">
        <f t="shared" ref="M29:M37" si="14">+L29/J29*100</f>
        <v>100</v>
      </c>
      <c r="N29" s="167">
        <f t="shared" ref="N29:N42" si="15">+L29/K29*100</f>
        <v>100</v>
      </c>
      <c r="O29" s="86"/>
      <c r="P29" s="86"/>
      <c r="Q29" s="63"/>
      <c r="R29" s="139"/>
      <c r="S29" s="139"/>
      <c r="U29" s="4"/>
    </row>
    <row r="30" spans="1:21" ht="18.75">
      <c r="A30" s="13">
        <v>24</v>
      </c>
      <c r="B30" s="16" t="s">
        <v>55</v>
      </c>
      <c r="C30" s="55" t="s">
        <v>11</v>
      </c>
      <c r="D30" s="55" t="s">
        <v>11</v>
      </c>
      <c r="E30" s="109">
        <f>+J30+O30</f>
        <v>85877</v>
      </c>
      <c r="F30" s="61">
        <f>+K30+P30</f>
        <v>116230</v>
      </c>
      <c r="G30" s="61">
        <f>+L30+Q30</f>
        <v>142606</v>
      </c>
      <c r="H30" s="138">
        <f t="shared" ref="H30:H37" si="16">+G30/E30*100</f>
        <v>166.05843240914331</v>
      </c>
      <c r="I30" s="165">
        <f t="shared" ref="I30:I42" si="17">+G30/F30*100</f>
        <v>122.6929364191689</v>
      </c>
      <c r="J30" s="109">
        <f>482328-J22-J23-J24-J25-J26-J29</f>
        <v>73277</v>
      </c>
      <c r="K30" s="61">
        <f>530981-K22-K23-K24-K25-K26-K28-K29</f>
        <v>99962</v>
      </c>
      <c r="L30" s="61">
        <f>577100-L22-L23-L24-L25-L26-L28-L29</f>
        <v>126867</v>
      </c>
      <c r="M30" s="138">
        <f t="shared" si="14"/>
        <v>173.13345251579622</v>
      </c>
      <c r="N30" s="167">
        <f t="shared" si="15"/>
        <v>126.91522778655889</v>
      </c>
      <c r="O30" s="83">
        <v>12600</v>
      </c>
      <c r="P30" s="83">
        <f>376176-P22-P23-P24-P25-P26-P27</f>
        <v>16268</v>
      </c>
      <c r="Q30" s="61">
        <f>372146-Q22-Q23-Q24-Q25-Q26-Q27</f>
        <v>15739</v>
      </c>
      <c r="R30" s="138">
        <f>+Q30/O30*100</f>
        <v>124.9126984126984</v>
      </c>
      <c r="S30" s="138">
        <f>+Q30/P30*100</f>
        <v>96.748217359232854</v>
      </c>
      <c r="U30" s="4"/>
    </row>
    <row r="31" spans="1:21" ht="19.5" thickBot="1">
      <c r="A31" s="26">
        <v>25</v>
      </c>
      <c r="B31" s="17" t="s">
        <v>84</v>
      </c>
      <c r="C31" s="99" t="s">
        <v>196</v>
      </c>
      <c r="D31" s="99" t="s">
        <v>151</v>
      </c>
      <c r="E31" s="111">
        <f>SUM(E22:E30)</f>
        <v>619926</v>
      </c>
      <c r="F31" s="64">
        <f>SUM(F22:F30)</f>
        <v>680725</v>
      </c>
      <c r="G31" s="64">
        <f>SUM(G22:G30)</f>
        <v>722813</v>
      </c>
      <c r="H31" s="136">
        <f t="shared" si="16"/>
        <v>116.59665831083063</v>
      </c>
      <c r="I31" s="168">
        <f t="shared" si="17"/>
        <v>106.18281978772632</v>
      </c>
      <c r="J31" s="111">
        <f>SUM(J22:J30)</f>
        <v>482328</v>
      </c>
      <c r="K31" s="64">
        <f>SUM(K22:K30)</f>
        <v>530981</v>
      </c>
      <c r="L31" s="64">
        <f>SUM(L22:L30)</f>
        <v>577100</v>
      </c>
      <c r="M31" s="136">
        <f t="shared" si="14"/>
        <v>119.64886964886965</v>
      </c>
      <c r="N31" s="168">
        <f t="shared" si="15"/>
        <v>108.68562151941406</v>
      </c>
      <c r="O31" s="87">
        <f>SUM(O22:O30)</f>
        <v>151139</v>
      </c>
      <c r="P31" s="64">
        <f>SUM(P22:P30)</f>
        <v>376176</v>
      </c>
      <c r="Q31" s="64">
        <f>SUM(Q22:Q30)</f>
        <v>372146</v>
      </c>
      <c r="R31" s="136">
        <f>+Q31/O31*100</f>
        <v>246.2276447508585</v>
      </c>
      <c r="S31" s="136">
        <f>+Q31/P31*100</f>
        <v>98.928692952235124</v>
      </c>
      <c r="U31" s="4"/>
    </row>
    <row r="32" spans="1:21" ht="18.75">
      <c r="A32" s="13">
        <v>26</v>
      </c>
      <c r="B32" s="20" t="s">
        <v>41</v>
      </c>
      <c r="C32" s="101" t="s">
        <v>160</v>
      </c>
      <c r="D32" s="101" t="s">
        <v>160</v>
      </c>
      <c r="E32" s="113">
        <f t="shared" ref="E32:G35" si="18">+J32+O32</f>
        <v>600000</v>
      </c>
      <c r="F32" s="66">
        <f t="shared" si="18"/>
        <v>600000</v>
      </c>
      <c r="G32" s="66">
        <f t="shared" si="18"/>
        <v>655340</v>
      </c>
      <c r="H32" s="140">
        <f t="shared" si="16"/>
        <v>109.22333333333334</v>
      </c>
      <c r="I32" s="165">
        <f t="shared" si="17"/>
        <v>109.22333333333334</v>
      </c>
      <c r="J32" s="113">
        <v>600000</v>
      </c>
      <c r="K32" s="66">
        <v>600000</v>
      </c>
      <c r="L32" s="66">
        <f>9968+645113</f>
        <v>655081</v>
      </c>
      <c r="M32" s="135">
        <f t="shared" si="14"/>
        <v>109.18016666666665</v>
      </c>
      <c r="N32" s="165">
        <f t="shared" si="15"/>
        <v>109.18016666666665</v>
      </c>
      <c r="O32" s="88"/>
      <c r="P32" s="66"/>
      <c r="Q32" s="66">
        <v>259</v>
      </c>
      <c r="R32" s="140"/>
      <c r="S32" s="139"/>
      <c r="U32" s="4"/>
    </row>
    <row r="33" spans="1:21" ht="18.75">
      <c r="A33" s="26">
        <v>27</v>
      </c>
      <c r="B33" s="281" t="s">
        <v>159</v>
      </c>
      <c r="C33" s="212" t="s">
        <v>157</v>
      </c>
      <c r="D33" s="212" t="s">
        <v>157</v>
      </c>
      <c r="E33" s="113">
        <f t="shared" si="18"/>
        <v>207580</v>
      </c>
      <c r="F33" s="66">
        <f t="shared" si="18"/>
        <v>214995</v>
      </c>
      <c r="G33" s="66">
        <f t="shared" si="18"/>
        <v>255242</v>
      </c>
      <c r="H33" s="135">
        <f t="shared" si="16"/>
        <v>122.96078620290972</v>
      </c>
      <c r="I33" s="165">
        <f t="shared" si="17"/>
        <v>118.71997023186587</v>
      </c>
      <c r="J33" s="274">
        <v>207580</v>
      </c>
      <c r="K33" s="275">
        <v>214852</v>
      </c>
      <c r="L33" s="275">
        <f>148170+101002+4+2129+2000+1361+258+176</f>
        <v>255100</v>
      </c>
      <c r="M33" s="135">
        <f>+L33/J33*100</f>
        <v>122.89237884189228</v>
      </c>
      <c r="N33" s="165">
        <f>+L33/K33*100</f>
        <v>118.73289520227878</v>
      </c>
      <c r="O33" s="276"/>
      <c r="P33" s="275">
        <v>143</v>
      </c>
      <c r="Q33" s="275">
        <v>142</v>
      </c>
      <c r="R33" s="138"/>
      <c r="S33" s="138">
        <f>+Q33/P33*100</f>
        <v>99.300699300699307</v>
      </c>
      <c r="U33" s="4"/>
    </row>
    <row r="34" spans="1:21" ht="18.75">
      <c r="A34" s="13">
        <v>28</v>
      </c>
      <c r="B34" s="15" t="s">
        <v>152</v>
      </c>
      <c r="C34" s="98" t="s">
        <v>153</v>
      </c>
      <c r="D34" s="98" t="s">
        <v>153</v>
      </c>
      <c r="E34" s="113">
        <f t="shared" si="18"/>
        <v>10</v>
      </c>
      <c r="F34" s="66">
        <f t="shared" si="18"/>
        <v>1656</v>
      </c>
      <c r="G34" s="66">
        <f t="shared" si="18"/>
        <v>2404</v>
      </c>
      <c r="H34" s="135">
        <f t="shared" si="16"/>
        <v>24040</v>
      </c>
      <c r="I34" s="165">
        <f t="shared" si="17"/>
        <v>145.16908212560386</v>
      </c>
      <c r="J34" s="110"/>
      <c r="K34" s="63">
        <v>1399</v>
      </c>
      <c r="L34" s="63">
        <v>2149</v>
      </c>
      <c r="M34" s="138"/>
      <c r="N34" s="165">
        <f>+L34/K34*100</f>
        <v>153.6097212294496</v>
      </c>
      <c r="O34" s="86">
        <v>10</v>
      </c>
      <c r="P34" s="63">
        <v>257</v>
      </c>
      <c r="Q34" s="63">
        <v>255</v>
      </c>
      <c r="R34" s="138">
        <f>+Q34/O34*100</f>
        <v>2550</v>
      </c>
      <c r="S34" s="138">
        <f>+Q34/P34*100</f>
        <v>99.221789883268485</v>
      </c>
      <c r="U34" s="4"/>
    </row>
    <row r="35" spans="1:21" ht="18.75">
      <c r="A35" s="26">
        <v>29</v>
      </c>
      <c r="B35" s="283" t="s">
        <v>207</v>
      </c>
      <c r="C35" s="284"/>
      <c r="D35" s="284" t="s">
        <v>208</v>
      </c>
      <c r="E35" s="113">
        <f t="shared" si="18"/>
        <v>0</v>
      </c>
      <c r="F35" s="66">
        <f t="shared" si="18"/>
        <v>0</v>
      </c>
      <c r="G35" s="66">
        <f t="shared" si="18"/>
        <v>94</v>
      </c>
      <c r="H35" s="135"/>
      <c r="I35" s="165"/>
      <c r="J35" s="110"/>
      <c r="K35" s="63"/>
      <c r="L35" s="63">
        <v>94</v>
      </c>
      <c r="M35" s="138"/>
      <c r="N35" s="167"/>
      <c r="O35" s="86"/>
      <c r="P35" s="63"/>
      <c r="Q35" s="63"/>
      <c r="R35" s="138"/>
      <c r="S35" s="138"/>
      <c r="U35" s="4"/>
    </row>
    <row r="36" spans="1:21" ht="19.5" thickBot="1">
      <c r="A36" s="13">
        <v>30</v>
      </c>
      <c r="B36" s="21" t="s">
        <v>43</v>
      </c>
      <c r="C36" s="99" t="s">
        <v>195</v>
      </c>
      <c r="D36" s="99" t="s">
        <v>209</v>
      </c>
      <c r="E36" s="111">
        <f>SUM(E32:E35)</f>
        <v>807590</v>
      </c>
      <c r="F36" s="64">
        <f t="shared" ref="F36:G36" si="19">SUM(F32:F35)</f>
        <v>816651</v>
      </c>
      <c r="G36" s="64">
        <f t="shared" si="19"/>
        <v>913080</v>
      </c>
      <c r="H36" s="136">
        <f t="shared" si="16"/>
        <v>113.06232122735547</v>
      </c>
      <c r="I36" s="168">
        <f t="shared" si="17"/>
        <v>111.80785917117592</v>
      </c>
      <c r="J36" s="111">
        <f>SUM(J32:J35)</f>
        <v>807580</v>
      </c>
      <c r="K36" s="64">
        <f t="shared" ref="K36" si="20">SUM(K32:K35)</f>
        <v>816251</v>
      </c>
      <c r="L36" s="64">
        <f t="shared" ref="L36" si="21">SUM(L32:L35)</f>
        <v>912424</v>
      </c>
      <c r="M36" s="187">
        <f>+L36/J36*100</f>
        <v>112.98249089873448</v>
      </c>
      <c r="N36" s="183">
        <f>+L36/K36*100</f>
        <v>111.78228265570272</v>
      </c>
      <c r="O36" s="111">
        <f>SUM(O32:O35)</f>
        <v>10</v>
      </c>
      <c r="P36" s="64">
        <f t="shared" ref="P36" si="22">SUM(P32:P35)</f>
        <v>400</v>
      </c>
      <c r="Q36" s="64">
        <f t="shared" ref="Q36" si="23">SUM(Q32:Q35)</f>
        <v>656</v>
      </c>
      <c r="R36" s="136">
        <f>+Q36/O36*100</f>
        <v>6559.9999999999991</v>
      </c>
      <c r="S36" s="136">
        <f>+Q36/P36*100</f>
        <v>164</v>
      </c>
      <c r="U36" s="4"/>
    </row>
    <row r="37" spans="1:21" ht="19.5" thickBot="1">
      <c r="A37" s="26">
        <v>31</v>
      </c>
      <c r="B37" s="22"/>
      <c r="C37" s="57" t="s">
        <v>174</v>
      </c>
      <c r="D37" s="57" t="s">
        <v>210</v>
      </c>
      <c r="E37" s="114">
        <f>+E21+E31+E36</f>
        <v>9050576</v>
      </c>
      <c r="F37" s="67">
        <f>+F21+F31+F36</f>
        <v>9161831</v>
      </c>
      <c r="G37" s="67">
        <f>+G21+G31+G36</f>
        <v>9717790</v>
      </c>
      <c r="H37" s="141">
        <f t="shared" si="16"/>
        <v>107.37206118152038</v>
      </c>
      <c r="I37" s="182">
        <f t="shared" si="17"/>
        <v>106.06820841816445</v>
      </c>
      <c r="J37" s="114">
        <f>+J21+J31+J36</f>
        <v>8751563</v>
      </c>
      <c r="K37" s="67">
        <f>+K21+K31+K36</f>
        <v>8756276</v>
      </c>
      <c r="L37" s="67">
        <f>+L21+L31+L36</f>
        <v>9318915</v>
      </c>
      <c r="M37" s="184">
        <f t="shared" si="14"/>
        <v>106.48286483225911</v>
      </c>
      <c r="N37" s="182">
        <f t="shared" si="15"/>
        <v>106.4255512274853</v>
      </c>
      <c r="O37" s="89">
        <f>+O21+O31+O36</f>
        <v>312554</v>
      </c>
      <c r="P37" s="67">
        <f>+P21+P31+P36</f>
        <v>631987</v>
      </c>
      <c r="Q37" s="67">
        <f>+Q21+Q31+Q36</f>
        <v>625308</v>
      </c>
      <c r="R37" s="141">
        <f>+Q37/O37*100</f>
        <v>200.06398894271072</v>
      </c>
      <c r="S37" s="141">
        <f t="shared" ref="S37:S45" si="24">+Q37/P37*100</f>
        <v>98.943174464031699</v>
      </c>
      <c r="U37" s="4"/>
    </row>
    <row r="38" spans="1:21" ht="18.75">
      <c r="A38" s="13">
        <v>32</v>
      </c>
      <c r="B38" s="78">
        <v>4111</v>
      </c>
      <c r="C38" s="54" t="s">
        <v>118</v>
      </c>
      <c r="D38" s="54" t="s">
        <v>118</v>
      </c>
      <c r="E38" s="108"/>
      <c r="F38" s="79">
        <f t="shared" ref="E38:G41" si="25">+K38+P38</f>
        <v>22144</v>
      </c>
      <c r="G38" s="70">
        <f>+L38+Q38</f>
        <v>22144</v>
      </c>
      <c r="H38" s="135"/>
      <c r="I38" s="165">
        <f t="shared" si="17"/>
        <v>100</v>
      </c>
      <c r="J38" s="108"/>
      <c r="K38" s="70">
        <v>218</v>
      </c>
      <c r="L38" s="70">
        <v>218</v>
      </c>
      <c r="M38" s="135"/>
      <c r="N38" s="167">
        <f t="shared" si="15"/>
        <v>100</v>
      </c>
      <c r="O38" s="90"/>
      <c r="P38" s="70">
        <v>21926</v>
      </c>
      <c r="Q38" s="70">
        <v>21926</v>
      </c>
      <c r="R38" s="135"/>
      <c r="S38" s="139">
        <f t="shared" si="24"/>
        <v>100</v>
      </c>
      <c r="U38" s="4"/>
    </row>
    <row r="39" spans="1:21" ht="18.75">
      <c r="A39" s="26">
        <v>33</v>
      </c>
      <c r="B39" s="14">
        <v>4112</v>
      </c>
      <c r="C39" s="100" t="s">
        <v>119</v>
      </c>
      <c r="D39" s="100" t="s">
        <v>119</v>
      </c>
      <c r="E39" s="106">
        <f t="shared" si="25"/>
        <v>329336</v>
      </c>
      <c r="F39" s="77">
        <f t="shared" si="25"/>
        <v>329336</v>
      </c>
      <c r="G39" s="60">
        <f>+L39+Q39</f>
        <v>329336</v>
      </c>
      <c r="H39" s="135">
        <f>+G39/E39*100</f>
        <v>100</v>
      </c>
      <c r="I39" s="165">
        <f t="shared" si="17"/>
        <v>100</v>
      </c>
      <c r="J39" s="106">
        <v>131899</v>
      </c>
      <c r="K39" s="60">
        <v>131899</v>
      </c>
      <c r="L39" s="60">
        <v>131899</v>
      </c>
      <c r="M39" s="138">
        <f>+L39/J39*100</f>
        <v>100</v>
      </c>
      <c r="N39" s="167">
        <f t="shared" si="15"/>
        <v>100</v>
      </c>
      <c r="O39" s="82">
        <v>197437</v>
      </c>
      <c r="P39" s="82">
        <v>197437</v>
      </c>
      <c r="Q39" s="60">
        <v>197437</v>
      </c>
      <c r="R39" s="135">
        <f t="shared" ref="R39:R45" si="26">+Q39/O39*100</f>
        <v>100</v>
      </c>
      <c r="S39" s="139">
        <f t="shared" si="24"/>
        <v>100</v>
      </c>
      <c r="U39" s="4"/>
    </row>
    <row r="40" spans="1:21" ht="18.75">
      <c r="A40" s="13">
        <v>34</v>
      </c>
      <c r="B40" s="14">
        <v>4113</v>
      </c>
      <c r="C40" s="100" t="s">
        <v>120</v>
      </c>
      <c r="D40" s="100" t="s">
        <v>120</v>
      </c>
      <c r="E40" s="109">
        <f t="shared" si="25"/>
        <v>4104</v>
      </c>
      <c r="F40" s="77">
        <f t="shared" si="25"/>
        <v>9483</v>
      </c>
      <c r="G40" s="60">
        <f>+L40+Q40</f>
        <v>9220</v>
      </c>
      <c r="H40" s="135">
        <f>+G40/E40*100</f>
        <v>224.65886939571149</v>
      </c>
      <c r="I40" s="165">
        <f t="shared" si="17"/>
        <v>97.22661604977327</v>
      </c>
      <c r="J40" s="106"/>
      <c r="K40" s="60">
        <v>368</v>
      </c>
      <c r="L40" s="60">
        <v>661</v>
      </c>
      <c r="M40" s="138"/>
      <c r="N40" s="167">
        <f t="shared" si="15"/>
        <v>179.61956521739131</v>
      </c>
      <c r="O40" s="82">
        <v>4104</v>
      </c>
      <c r="P40" s="82">
        <v>9115</v>
      </c>
      <c r="Q40" s="60">
        <v>8559</v>
      </c>
      <c r="R40" s="135">
        <f t="shared" si="26"/>
        <v>208.5526315789474</v>
      </c>
      <c r="S40" s="139">
        <f t="shared" si="24"/>
        <v>93.900164563905648</v>
      </c>
      <c r="U40" s="4"/>
    </row>
    <row r="41" spans="1:21" ht="18.75">
      <c r="A41" s="26">
        <v>35</v>
      </c>
      <c r="B41" s="18">
        <v>4116</v>
      </c>
      <c r="C41" s="100" t="s">
        <v>121</v>
      </c>
      <c r="D41" s="100" t="s">
        <v>121</v>
      </c>
      <c r="E41" s="106">
        <f t="shared" si="25"/>
        <v>2617</v>
      </c>
      <c r="F41" s="77">
        <f t="shared" si="25"/>
        <v>109250</v>
      </c>
      <c r="G41" s="60">
        <f t="shared" si="25"/>
        <v>108457</v>
      </c>
      <c r="H41" s="135">
        <f>+G41/E41*100</f>
        <v>4144.3255636224685</v>
      </c>
      <c r="I41" s="165">
        <f t="shared" si="17"/>
        <v>99.274141876430207</v>
      </c>
      <c r="J41" s="106"/>
      <c r="K41" s="60">
        <v>62976</v>
      </c>
      <c r="L41" s="60">
        <v>62976</v>
      </c>
      <c r="M41" s="138"/>
      <c r="N41" s="167">
        <f t="shared" si="15"/>
        <v>100</v>
      </c>
      <c r="O41" s="82">
        <v>2617</v>
      </c>
      <c r="P41" s="82">
        <v>46274</v>
      </c>
      <c r="Q41" s="60">
        <v>45481</v>
      </c>
      <c r="R41" s="135">
        <f t="shared" si="26"/>
        <v>1737.9059992357661</v>
      </c>
      <c r="S41" s="139">
        <f t="shared" si="24"/>
        <v>98.286294679517667</v>
      </c>
      <c r="U41" s="4"/>
    </row>
    <row r="42" spans="1:21" ht="18.75">
      <c r="A42" s="13">
        <v>36</v>
      </c>
      <c r="B42" s="18">
        <v>4119</v>
      </c>
      <c r="C42" s="100" t="s">
        <v>198</v>
      </c>
      <c r="D42" s="100" t="s">
        <v>198</v>
      </c>
      <c r="E42" s="106">
        <f t="shared" ref="E42" si="27">+J42+O42</f>
        <v>0</v>
      </c>
      <c r="F42" s="77">
        <f t="shared" ref="F42" si="28">+K42+P42</f>
        <v>63</v>
      </c>
      <c r="G42" s="60">
        <f t="shared" ref="G42" si="29">+L42+Q42</f>
        <v>63</v>
      </c>
      <c r="H42" s="135"/>
      <c r="I42" s="165">
        <f t="shared" si="17"/>
        <v>100</v>
      </c>
      <c r="J42" s="106"/>
      <c r="K42" s="60">
        <v>63</v>
      </c>
      <c r="L42" s="60">
        <v>63</v>
      </c>
      <c r="M42" s="138"/>
      <c r="N42" s="167">
        <f t="shared" si="15"/>
        <v>100</v>
      </c>
      <c r="O42" s="82"/>
      <c r="P42" s="202"/>
      <c r="Q42" s="201"/>
      <c r="R42" s="135"/>
      <c r="S42" s="139"/>
      <c r="U42" s="4"/>
    </row>
    <row r="43" spans="1:21" ht="18.75">
      <c r="A43" s="26">
        <v>37</v>
      </c>
      <c r="B43" s="14">
        <v>4121</v>
      </c>
      <c r="C43" s="100" t="s">
        <v>122</v>
      </c>
      <c r="D43" s="100" t="s">
        <v>122</v>
      </c>
      <c r="E43" s="112" t="s">
        <v>51</v>
      </c>
      <c r="F43" s="65" t="s">
        <v>51</v>
      </c>
      <c r="G43" s="73" t="s">
        <v>51</v>
      </c>
      <c r="H43" s="171"/>
      <c r="I43" s="165"/>
      <c r="J43" s="106"/>
      <c r="K43" s="60"/>
      <c r="L43" s="60"/>
      <c r="M43" s="138"/>
      <c r="N43" s="167"/>
      <c r="O43" s="82">
        <v>974958</v>
      </c>
      <c r="P43" s="68">
        <v>1015067</v>
      </c>
      <c r="Q43" s="68">
        <v>1014967</v>
      </c>
      <c r="R43" s="135">
        <f t="shared" si="26"/>
        <v>104.10366395270361</v>
      </c>
      <c r="S43" s="139">
        <f t="shared" si="24"/>
        <v>99.990148433551667</v>
      </c>
      <c r="U43" s="4"/>
    </row>
    <row r="44" spans="1:21" ht="18.75">
      <c r="A44" s="13">
        <v>38</v>
      </c>
      <c r="B44" s="14">
        <v>4121</v>
      </c>
      <c r="C44" s="100" t="s">
        <v>167</v>
      </c>
      <c r="D44" s="100" t="s">
        <v>167</v>
      </c>
      <c r="E44" s="112" t="s">
        <v>51</v>
      </c>
      <c r="F44" s="65" t="s">
        <v>51</v>
      </c>
      <c r="G44" s="73" t="s">
        <v>51</v>
      </c>
      <c r="H44" s="171"/>
      <c r="I44" s="165"/>
      <c r="J44" s="106"/>
      <c r="K44" s="60">
        <v>1396</v>
      </c>
      <c r="L44" s="60">
        <v>1396</v>
      </c>
      <c r="M44" s="138"/>
      <c r="N44" s="167">
        <f t="shared" ref="N44:N57" si="30">+L44/K44*100</f>
        <v>100</v>
      </c>
      <c r="O44" s="82">
        <v>390</v>
      </c>
      <c r="P44" s="61">
        <v>604</v>
      </c>
      <c r="Q44" s="61">
        <v>604</v>
      </c>
      <c r="R44" s="135">
        <f t="shared" si="26"/>
        <v>154.87179487179489</v>
      </c>
      <c r="S44" s="139">
        <f t="shared" si="24"/>
        <v>100</v>
      </c>
      <c r="U44" s="4"/>
    </row>
    <row r="45" spans="1:21" ht="18.75">
      <c r="A45" s="26">
        <v>39</v>
      </c>
      <c r="B45" s="14">
        <v>4121</v>
      </c>
      <c r="C45" s="100" t="s">
        <v>123</v>
      </c>
      <c r="D45" s="100" t="s">
        <v>123</v>
      </c>
      <c r="E45" s="106">
        <f t="shared" ref="E45:G50" si="31">+J45+O45</f>
        <v>54</v>
      </c>
      <c r="F45" s="77">
        <f t="shared" si="31"/>
        <v>535</v>
      </c>
      <c r="G45" s="60">
        <f t="shared" si="31"/>
        <v>526</v>
      </c>
      <c r="H45" s="135">
        <f>+G45/E45*100</f>
        <v>974.07407407407402</v>
      </c>
      <c r="I45" s="165">
        <f t="shared" ref="I45:I54" si="32">+G45/F45*100</f>
        <v>98.317757009345797</v>
      </c>
      <c r="J45" s="106">
        <v>30</v>
      </c>
      <c r="K45" s="60">
        <v>30</v>
      </c>
      <c r="L45" s="60">
        <v>21</v>
      </c>
      <c r="M45" s="138">
        <f>+L45/J45*100</f>
        <v>70</v>
      </c>
      <c r="N45" s="167">
        <f t="shared" si="30"/>
        <v>70</v>
      </c>
      <c r="O45" s="82">
        <v>24</v>
      </c>
      <c r="P45" s="82">
        <v>505</v>
      </c>
      <c r="Q45" s="60">
        <v>505</v>
      </c>
      <c r="R45" s="135">
        <f t="shared" si="26"/>
        <v>2104.166666666667</v>
      </c>
      <c r="S45" s="139">
        <f t="shared" si="24"/>
        <v>100</v>
      </c>
      <c r="U45" s="4"/>
    </row>
    <row r="46" spans="1:21" ht="18.75">
      <c r="A46" s="13">
        <v>40</v>
      </c>
      <c r="B46" s="14">
        <v>4122</v>
      </c>
      <c r="C46" s="100" t="s">
        <v>124</v>
      </c>
      <c r="D46" s="100" t="s">
        <v>124</v>
      </c>
      <c r="E46" s="106">
        <f t="shared" si="31"/>
        <v>0</v>
      </c>
      <c r="F46" s="77">
        <f t="shared" si="31"/>
        <v>44935</v>
      </c>
      <c r="G46" s="60">
        <f t="shared" si="31"/>
        <v>44935</v>
      </c>
      <c r="H46" s="135"/>
      <c r="I46" s="165">
        <f t="shared" si="32"/>
        <v>100</v>
      </c>
      <c r="J46" s="106"/>
      <c r="K46" s="60">
        <v>40081</v>
      </c>
      <c r="L46" s="60">
        <v>40081</v>
      </c>
      <c r="M46" s="138"/>
      <c r="N46" s="167">
        <f t="shared" si="30"/>
        <v>100</v>
      </c>
      <c r="O46" s="82"/>
      <c r="P46" s="82">
        <v>4854</v>
      </c>
      <c r="Q46" s="60">
        <v>4854</v>
      </c>
      <c r="R46" s="135"/>
      <c r="S46" s="139">
        <f>+Q46/P46*100</f>
        <v>100</v>
      </c>
      <c r="U46" s="4"/>
    </row>
    <row r="47" spans="1:21" ht="18.75">
      <c r="A47" s="26">
        <v>41</v>
      </c>
      <c r="B47" s="14">
        <v>4123</v>
      </c>
      <c r="C47" s="100" t="s">
        <v>199</v>
      </c>
      <c r="D47" s="100" t="s">
        <v>199</v>
      </c>
      <c r="E47" s="106"/>
      <c r="F47" s="77">
        <f t="shared" si="31"/>
        <v>8223</v>
      </c>
      <c r="G47" s="60">
        <f>+L47+Q47</f>
        <v>8223</v>
      </c>
      <c r="H47" s="135"/>
      <c r="I47" s="165">
        <f t="shared" si="32"/>
        <v>100</v>
      </c>
      <c r="J47" s="106"/>
      <c r="K47" s="60">
        <v>8223</v>
      </c>
      <c r="L47" s="60">
        <v>8223</v>
      </c>
      <c r="M47" s="138"/>
      <c r="N47" s="167">
        <f t="shared" si="30"/>
        <v>100</v>
      </c>
      <c r="O47" s="273"/>
      <c r="P47" s="61"/>
      <c r="Q47" s="60"/>
      <c r="R47" s="135"/>
      <c r="S47" s="139"/>
      <c r="U47" s="4"/>
    </row>
    <row r="48" spans="1:21" ht="18.75">
      <c r="A48" s="13">
        <v>42</v>
      </c>
      <c r="B48" s="18">
        <v>4131</v>
      </c>
      <c r="C48" s="100" t="s">
        <v>73</v>
      </c>
      <c r="D48" s="100" t="s">
        <v>73</v>
      </c>
      <c r="E48" s="106">
        <f t="shared" si="31"/>
        <v>890532</v>
      </c>
      <c r="F48" s="77">
        <f t="shared" si="31"/>
        <v>1038151</v>
      </c>
      <c r="G48" s="60">
        <f t="shared" si="31"/>
        <v>933859</v>
      </c>
      <c r="H48" s="135">
        <f>+G48/E48*100</f>
        <v>104.86529400403354</v>
      </c>
      <c r="I48" s="165">
        <f t="shared" si="32"/>
        <v>89.954062559300141</v>
      </c>
      <c r="J48" s="106">
        <v>420883</v>
      </c>
      <c r="K48" s="60">
        <v>421031</v>
      </c>
      <c r="L48" s="60">
        <v>421031</v>
      </c>
      <c r="M48" s="138">
        <f>+L48/J48*100</f>
        <v>100.03516416676368</v>
      </c>
      <c r="N48" s="167">
        <f t="shared" si="30"/>
        <v>100</v>
      </c>
      <c r="O48" s="273">
        <v>469649</v>
      </c>
      <c r="P48" s="61">
        <v>617120</v>
      </c>
      <c r="Q48" s="60">
        <v>512828</v>
      </c>
      <c r="R48" s="135">
        <f>+Q48/O48*100</f>
        <v>109.1938873499145</v>
      </c>
      <c r="S48" s="139">
        <f>+Q48/P48*100</f>
        <v>83.100207415089443</v>
      </c>
      <c r="U48" s="4"/>
    </row>
    <row r="49" spans="1:21" ht="18.75">
      <c r="A49" s="26">
        <v>43</v>
      </c>
      <c r="B49" s="18">
        <v>4132</v>
      </c>
      <c r="C49" s="100" t="s">
        <v>90</v>
      </c>
      <c r="D49" s="100" t="s">
        <v>90</v>
      </c>
      <c r="E49" s="106">
        <f t="shared" si="31"/>
        <v>0</v>
      </c>
      <c r="F49" s="60">
        <f t="shared" si="31"/>
        <v>245</v>
      </c>
      <c r="G49" s="60">
        <f t="shared" si="31"/>
        <v>5990</v>
      </c>
      <c r="H49" s="135"/>
      <c r="I49" s="165">
        <f t="shared" si="32"/>
        <v>2444.8979591836737</v>
      </c>
      <c r="J49" s="106"/>
      <c r="K49" s="60">
        <v>245</v>
      </c>
      <c r="L49" s="60">
        <v>5990</v>
      </c>
      <c r="M49" s="138"/>
      <c r="N49" s="167">
        <f t="shared" si="30"/>
        <v>2444.8979591836737</v>
      </c>
      <c r="O49" s="273"/>
      <c r="P49" s="60"/>
      <c r="Q49" s="60"/>
      <c r="R49" s="135"/>
      <c r="S49" s="138"/>
      <c r="U49" s="4"/>
    </row>
    <row r="50" spans="1:21" ht="18.75">
      <c r="A50" s="13">
        <v>44</v>
      </c>
      <c r="B50" s="18">
        <v>4151</v>
      </c>
      <c r="C50" s="100" t="s">
        <v>194</v>
      </c>
      <c r="D50" s="100" t="s">
        <v>194</v>
      </c>
      <c r="E50" s="106"/>
      <c r="F50" s="60">
        <f t="shared" si="31"/>
        <v>1600</v>
      </c>
      <c r="G50" s="60">
        <f t="shared" si="31"/>
        <v>1600</v>
      </c>
      <c r="H50" s="135"/>
      <c r="I50" s="165">
        <f t="shared" si="32"/>
        <v>100</v>
      </c>
      <c r="J50" s="272"/>
      <c r="K50" s="60">
        <v>1600</v>
      </c>
      <c r="L50" s="82">
        <v>1600</v>
      </c>
      <c r="M50" s="138"/>
      <c r="N50" s="167">
        <f t="shared" si="30"/>
        <v>100</v>
      </c>
      <c r="O50" s="273"/>
      <c r="P50" s="60"/>
      <c r="Q50" s="82"/>
      <c r="R50" s="135"/>
      <c r="S50" s="138"/>
      <c r="U50" s="4"/>
    </row>
    <row r="51" spans="1:21" ht="18.75">
      <c r="A51" s="26">
        <v>45</v>
      </c>
      <c r="B51" s="18">
        <v>4152</v>
      </c>
      <c r="C51" s="100" t="s">
        <v>155</v>
      </c>
      <c r="D51" s="100" t="s">
        <v>155</v>
      </c>
      <c r="E51" s="106"/>
      <c r="F51" s="286">
        <f>+K51+P51</f>
        <v>15895</v>
      </c>
      <c r="G51" s="60">
        <f>+L51+Q51</f>
        <v>16333</v>
      </c>
      <c r="H51" s="135"/>
      <c r="I51" s="165">
        <f t="shared" si="32"/>
        <v>102.75558351682919</v>
      </c>
      <c r="J51" s="272"/>
      <c r="K51" s="60">
        <v>14823</v>
      </c>
      <c r="L51" s="82">
        <v>15261</v>
      </c>
      <c r="M51" s="138"/>
      <c r="N51" s="167">
        <f t="shared" si="30"/>
        <v>102.95486743574176</v>
      </c>
      <c r="O51" s="273"/>
      <c r="P51" s="60">
        <v>1072</v>
      </c>
      <c r="Q51" s="82">
        <v>1072</v>
      </c>
      <c r="R51" s="135"/>
      <c r="S51" s="139">
        <f>+Q51/P51*100</f>
        <v>100</v>
      </c>
      <c r="U51" s="4"/>
    </row>
    <row r="52" spans="1:21" ht="18.75">
      <c r="A52" s="13">
        <v>46</v>
      </c>
      <c r="B52" s="18" t="s">
        <v>91</v>
      </c>
      <c r="C52" s="203" t="s">
        <v>175</v>
      </c>
      <c r="D52" s="203" t="s">
        <v>214</v>
      </c>
      <c r="E52" s="215">
        <f>SUM(E38:E51)</f>
        <v>1226643</v>
      </c>
      <c r="F52" s="204">
        <f>SUM(F38:F51)</f>
        <v>1579860</v>
      </c>
      <c r="G52" s="204">
        <f>SUM(G38:G51)</f>
        <v>1480686</v>
      </c>
      <c r="H52" s="207">
        <f>+G52/E52*100</f>
        <v>120.71042675008133</v>
      </c>
      <c r="I52" s="208">
        <f t="shared" si="32"/>
        <v>93.722608332383885</v>
      </c>
      <c r="J52" s="214">
        <f>SUM(J38:J51)</f>
        <v>552812</v>
      </c>
      <c r="K52" s="205">
        <f>SUM(K38:K51)</f>
        <v>682953</v>
      </c>
      <c r="L52" s="210">
        <f>SUM(L38:L51)</f>
        <v>689420</v>
      </c>
      <c r="M52" s="207">
        <f>+L52/J52*100</f>
        <v>124.71147514887519</v>
      </c>
      <c r="N52" s="208">
        <f t="shared" si="30"/>
        <v>100.94691728420551</v>
      </c>
      <c r="O52" s="214">
        <f>SUM(O38:O51)</f>
        <v>1649179</v>
      </c>
      <c r="P52" s="205">
        <f>SUM(P38:P51)</f>
        <v>1913974</v>
      </c>
      <c r="Q52" s="210">
        <f>SUM(Q38:Q51)</f>
        <v>1808233</v>
      </c>
      <c r="R52" s="207">
        <f>+Q52/O52*100</f>
        <v>109.6444352007878</v>
      </c>
      <c r="S52" s="207">
        <f>+Q52/P52*100</f>
        <v>94.475316801586644</v>
      </c>
      <c r="U52" s="4"/>
    </row>
    <row r="53" spans="1:21" ht="18.75">
      <c r="A53" s="26">
        <v>47</v>
      </c>
      <c r="B53" s="14">
        <v>4213</v>
      </c>
      <c r="C53" s="100" t="s">
        <v>202</v>
      </c>
      <c r="D53" s="100" t="s">
        <v>202</v>
      </c>
      <c r="E53" s="112">
        <f t="shared" ref="E53" si="33">+J53+O53</f>
        <v>0</v>
      </c>
      <c r="F53" s="77">
        <f t="shared" ref="F53" si="34">+K53+P53</f>
        <v>32475</v>
      </c>
      <c r="G53" s="60">
        <f t="shared" ref="G53" si="35">+L53+Q53</f>
        <v>32475</v>
      </c>
      <c r="H53" s="216"/>
      <c r="I53" s="167">
        <f t="shared" si="32"/>
        <v>100</v>
      </c>
      <c r="J53" s="106"/>
      <c r="K53" s="60">
        <v>31435</v>
      </c>
      <c r="L53" s="60">
        <v>31435</v>
      </c>
      <c r="M53" s="138"/>
      <c r="N53" s="167">
        <f t="shared" si="30"/>
        <v>100</v>
      </c>
      <c r="O53" s="82"/>
      <c r="P53" s="60">
        <v>1040</v>
      </c>
      <c r="Q53" s="60">
        <v>1040</v>
      </c>
      <c r="R53" s="135"/>
      <c r="S53" s="139">
        <f>+Q53/P53*100</f>
        <v>100</v>
      </c>
      <c r="U53" s="4"/>
    </row>
    <row r="54" spans="1:21" ht="18.75">
      <c r="A54" s="13">
        <v>48</v>
      </c>
      <c r="B54" s="18">
        <v>4216</v>
      </c>
      <c r="C54" s="100" t="s">
        <v>203</v>
      </c>
      <c r="D54" s="100" t="s">
        <v>203</v>
      </c>
      <c r="E54" s="106"/>
      <c r="F54" s="77">
        <f t="shared" ref="F54" si="36">+K54+P54</f>
        <v>602213</v>
      </c>
      <c r="G54" s="60">
        <f t="shared" ref="G54" si="37">+L54+Q54</f>
        <v>602213</v>
      </c>
      <c r="H54" s="207"/>
      <c r="I54" s="165">
        <f t="shared" si="32"/>
        <v>100</v>
      </c>
      <c r="J54" s="272"/>
      <c r="K54" s="60">
        <v>577789</v>
      </c>
      <c r="L54" s="82">
        <v>577789</v>
      </c>
      <c r="M54" s="207"/>
      <c r="N54" s="167">
        <f t="shared" si="30"/>
        <v>100</v>
      </c>
      <c r="O54" s="291"/>
      <c r="P54" s="292">
        <v>24424</v>
      </c>
      <c r="Q54" s="293">
        <v>24424</v>
      </c>
      <c r="R54" s="135"/>
      <c r="S54" s="139">
        <f>+Q54/P54*100</f>
        <v>100</v>
      </c>
      <c r="U54" s="4"/>
    </row>
    <row r="55" spans="1:21" ht="18.75">
      <c r="A55" s="26">
        <v>49</v>
      </c>
      <c r="B55" s="14">
        <v>4221</v>
      </c>
      <c r="C55" s="100" t="s">
        <v>165</v>
      </c>
      <c r="D55" s="100" t="s">
        <v>165</v>
      </c>
      <c r="E55" s="112" t="s">
        <v>51</v>
      </c>
      <c r="F55" s="65" t="s">
        <v>51</v>
      </c>
      <c r="G55" s="74" t="s">
        <v>51</v>
      </c>
      <c r="H55" s="216"/>
      <c r="I55" s="167"/>
      <c r="J55" s="106"/>
      <c r="K55" s="60"/>
      <c r="L55" s="60"/>
      <c r="M55" s="138"/>
      <c r="N55" s="167"/>
      <c r="O55" s="82"/>
      <c r="P55" s="60">
        <v>172347</v>
      </c>
      <c r="Q55" s="60">
        <v>171452</v>
      </c>
      <c r="R55" s="135"/>
      <c r="S55" s="139">
        <f>+Q55/P55*100</f>
        <v>99.480698822723923</v>
      </c>
      <c r="U55" s="4"/>
    </row>
    <row r="56" spans="1:21" ht="18.75">
      <c r="A56" s="13">
        <v>50</v>
      </c>
      <c r="B56" s="14">
        <v>4221</v>
      </c>
      <c r="C56" s="100" t="s">
        <v>164</v>
      </c>
      <c r="D56" s="100" t="s">
        <v>164</v>
      </c>
      <c r="E56" s="112" t="s">
        <v>51</v>
      </c>
      <c r="F56" s="65" t="s">
        <v>51</v>
      </c>
      <c r="G56" s="74" t="s">
        <v>51</v>
      </c>
      <c r="H56" s="216"/>
      <c r="I56" s="167"/>
      <c r="J56" s="106"/>
      <c r="K56" s="60">
        <v>17308</v>
      </c>
      <c r="L56" s="60">
        <v>17308</v>
      </c>
      <c r="M56" s="138"/>
      <c r="N56" s="167">
        <f t="shared" si="30"/>
        <v>100</v>
      </c>
      <c r="O56" s="82"/>
      <c r="P56" s="60"/>
      <c r="Q56" s="60"/>
      <c r="R56" s="135"/>
      <c r="S56" s="139"/>
      <c r="U56" s="4"/>
    </row>
    <row r="57" spans="1:21" ht="18.75">
      <c r="A57" s="26">
        <v>51</v>
      </c>
      <c r="B57" s="9">
        <v>4222</v>
      </c>
      <c r="C57" s="55" t="s">
        <v>126</v>
      </c>
      <c r="D57" s="55" t="s">
        <v>126</v>
      </c>
      <c r="E57" s="112"/>
      <c r="F57" s="77">
        <f t="shared" ref="F57:G59" si="38">+K57+P57</f>
        <v>5025</v>
      </c>
      <c r="G57" s="60">
        <f t="shared" si="38"/>
        <v>5025</v>
      </c>
      <c r="H57" s="135"/>
      <c r="I57" s="165">
        <f t="shared" ref="I57:I62" si="39">+G57/F57*100</f>
        <v>100</v>
      </c>
      <c r="J57" s="109"/>
      <c r="K57" s="61">
        <v>691</v>
      </c>
      <c r="L57" s="61">
        <v>691</v>
      </c>
      <c r="M57" s="138"/>
      <c r="N57" s="167">
        <f t="shared" si="30"/>
        <v>100</v>
      </c>
      <c r="O57" s="83"/>
      <c r="P57" s="61">
        <v>4334</v>
      </c>
      <c r="Q57" s="61">
        <v>4334</v>
      </c>
      <c r="R57" s="138"/>
      <c r="S57" s="139">
        <f>+Q57/P57*100</f>
        <v>100</v>
      </c>
      <c r="U57" s="4"/>
    </row>
    <row r="58" spans="1:21" ht="18.75">
      <c r="A58" s="13">
        <v>52</v>
      </c>
      <c r="B58" s="9">
        <v>4223</v>
      </c>
      <c r="C58" s="100" t="s">
        <v>154</v>
      </c>
      <c r="D58" s="100" t="s">
        <v>154</v>
      </c>
      <c r="E58" s="112"/>
      <c r="F58" s="77">
        <f t="shared" ref="F58" si="40">+K58+P58</f>
        <v>252392</v>
      </c>
      <c r="G58" s="60">
        <f t="shared" ref="G58" si="41">+L58+Q58</f>
        <v>252392</v>
      </c>
      <c r="H58" s="135"/>
      <c r="I58" s="165">
        <f t="shared" si="39"/>
        <v>100</v>
      </c>
      <c r="J58" s="272"/>
      <c r="K58" s="60">
        <v>252392</v>
      </c>
      <c r="L58" s="82">
        <v>252392</v>
      </c>
      <c r="M58" s="138"/>
      <c r="N58" s="167">
        <f t="shared" ref="N58" si="42">+L58/K58*100</f>
        <v>100</v>
      </c>
      <c r="O58" s="273"/>
      <c r="P58" s="60"/>
      <c r="Q58" s="82"/>
      <c r="R58" s="138"/>
      <c r="S58" s="139"/>
      <c r="U58" s="4"/>
    </row>
    <row r="59" spans="1:21" ht="18.75">
      <c r="A59" s="13">
        <v>53</v>
      </c>
      <c r="B59" s="9">
        <v>4232</v>
      </c>
      <c r="C59" s="100" t="s">
        <v>154</v>
      </c>
      <c r="D59" s="100" t="s">
        <v>215</v>
      </c>
      <c r="E59" s="112"/>
      <c r="F59" s="77">
        <f t="shared" si="38"/>
        <v>1572</v>
      </c>
      <c r="G59" s="60">
        <f t="shared" si="38"/>
        <v>1572</v>
      </c>
      <c r="H59" s="135"/>
      <c r="I59" s="165">
        <f t="shared" si="39"/>
        <v>100</v>
      </c>
      <c r="J59" s="272"/>
      <c r="K59" s="60"/>
      <c r="L59" s="82"/>
      <c r="M59" s="138"/>
      <c r="N59" s="167"/>
      <c r="O59" s="273"/>
      <c r="P59" s="60">
        <v>1572</v>
      </c>
      <c r="Q59" s="82">
        <v>1572</v>
      </c>
      <c r="R59" s="138"/>
      <c r="S59" s="139">
        <f>+Q59/P59*100</f>
        <v>100</v>
      </c>
      <c r="U59" s="4"/>
    </row>
    <row r="60" spans="1:21" ht="18.75">
      <c r="A60" s="26">
        <v>54</v>
      </c>
      <c r="B60" s="16" t="s">
        <v>92</v>
      </c>
      <c r="C60" s="213" t="s">
        <v>176</v>
      </c>
      <c r="D60" s="213" t="s">
        <v>211</v>
      </c>
      <c r="E60" s="282">
        <f>SUM(E53:E59)</f>
        <v>0</v>
      </c>
      <c r="F60" s="285">
        <f>SUM(F53:F59)</f>
        <v>893677</v>
      </c>
      <c r="G60" s="204">
        <f>SUM(G53:G59)</f>
        <v>893677</v>
      </c>
      <c r="H60" s="207"/>
      <c r="I60" s="208">
        <f t="shared" si="39"/>
        <v>100</v>
      </c>
      <c r="J60" s="214"/>
      <c r="K60" s="205">
        <f>SUM(K53:K59)</f>
        <v>879615</v>
      </c>
      <c r="L60" s="210">
        <f>SUM(L53:L59)</f>
        <v>879615</v>
      </c>
      <c r="M60" s="207"/>
      <c r="N60" s="208">
        <f>+L60/K60*100</f>
        <v>100</v>
      </c>
      <c r="O60" s="214">
        <f>SUM(O53:O59)</f>
        <v>0</v>
      </c>
      <c r="P60" s="205">
        <f>SUM(P53:P59)</f>
        <v>203717</v>
      </c>
      <c r="Q60" s="210">
        <f>SUM(Q53:Q59)</f>
        <v>202822</v>
      </c>
      <c r="R60" s="207"/>
      <c r="S60" s="206">
        <f>+Q60/P60*100</f>
        <v>99.560665040227363</v>
      </c>
      <c r="U60" s="4"/>
    </row>
    <row r="61" spans="1:21" ht="19.5" thickBot="1">
      <c r="A61" s="13">
        <v>55</v>
      </c>
      <c r="B61" s="17" t="s">
        <v>44</v>
      </c>
      <c r="C61" s="99" t="s">
        <v>177</v>
      </c>
      <c r="D61" s="99" t="s">
        <v>212</v>
      </c>
      <c r="E61" s="111">
        <f>E52+E60</f>
        <v>1226643</v>
      </c>
      <c r="F61" s="64">
        <f>F52+F60</f>
        <v>2473537</v>
      </c>
      <c r="G61" s="64">
        <f>G52+G60</f>
        <v>2374363</v>
      </c>
      <c r="H61" s="141">
        <f>+G61/E61*100</f>
        <v>193.56593564712799</v>
      </c>
      <c r="I61" s="170">
        <f t="shared" si="39"/>
        <v>95.990599695901039</v>
      </c>
      <c r="J61" s="111">
        <f>J52+J60</f>
        <v>552812</v>
      </c>
      <c r="K61" s="64">
        <f>K52+K60</f>
        <v>1562568</v>
      </c>
      <c r="L61" s="64">
        <f>L52+L60</f>
        <v>1569035</v>
      </c>
      <c r="M61" s="187">
        <f>+L61/J61*100</f>
        <v>283.82795597780074</v>
      </c>
      <c r="N61" s="183">
        <f>+L61/K61*100</f>
        <v>100.41386998837811</v>
      </c>
      <c r="O61" s="87">
        <f>O52+O60</f>
        <v>1649179</v>
      </c>
      <c r="P61" s="64">
        <f>P52+P60</f>
        <v>2117691</v>
      </c>
      <c r="Q61" s="64">
        <f>Q52+Q60</f>
        <v>2011055</v>
      </c>
      <c r="R61" s="136">
        <f>+Q61/O61*100</f>
        <v>121.94279699171527</v>
      </c>
      <c r="S61" s="136">
        <f>+Q61/P61*100</f>
        <v>94.964515597412472</v>
      </c>
      <c r="U61" s="4"/>
    </row>
    <row r="62" spans="1:21" ht="19.5" thickBot="1">
      <c r="A62" s="72">
        <v>56</v>
      </c>
      <c r="B62" s="48" t="s">
        <v>47</v>
      </c>
      <c r="C62" s="102" t="s">
        <v>178</v>
      </c>
      <c r="D62" s="102" t="s">
        <v>213</v>
      </c>
      <c r="E62" s="115">
        <f>+E37+E61</f>
        <v>10277219</v>
      </c>
      <c r="F62" s="46">
        <f>+F37+F61</f>
        <v>11635368</v>
      </c>
      <c r="G62" s="46">
        <f>+G37+G61</f>
        <v>12092153</v>
      </c>
      <c r="H62" s="155">
        <f>+G62/E62*100</f>
        <v>117.6597774164392</v>
      </c>
      <c r="I62" s="172">
        <f t="shared" si="39"/>
        <v>103.92583199775032</v>
      </c>
      <c r="J62" s="115">
        <f>+J37+J61</f>
        <v>9304375</v>
      </c>
      <c r="K62" s="192">
        <f>+K37+K61</f>
        <v>10318844</v>
      </c>
      <c r="L62" s="192">
        <f>+L37+L61</f>
        <v>10887950</v>
      </c>
      <c r="M62" s="185">
        <f>+L62/J62*100</f>
        <v>117.0196816013972</v>
      </c>
      <c r="N62" s="186">
        <f>+L62/K62*100</f>
        <v>105.51521081237394</v>
      </c>
      <c r="O62" s="193">
        <f>+O61+O37</f>
        <v>1961733</v>
      </c>
      <c r="P62" s="46">
        <f>+P61+P37</f>
        <v>2749678</v>
      </c>
      <c r="Q62" s="46">
        <f>+Q61+Q37</f>
        <v>2636363</v>
      </c>
      <c r="R62" s="155">
        <f>+Q62/O62*100</f>
        <v>134.38949133240865</v>
      </c>
      <c r="S62" s="155">
        <f>+Q62/P62*100</f>
        <v>95.878972010540878</v>
      </c>
      <c r="U62" s="4"/>
    </row>
    <row r="63" spans="1:21" ht="19.5" thickBot="1">
      <c r="A63" s="1"/>
      <c r="B63" s="6"/>
      <c r="C63" s="29"/>
      <c r="D63" s="29"/>
      <c r="E63" s="29"/>
      <c r="F63" s="29"/>
      <c r="G63" s="154"/>
      <c r="H63" s="142"/>
      <c r="I63" s="142"/>
      <c r="J63" s="29"/>
      <c r="K63" s="29"/>
      <c r="L63" s="154"/>
      <c r="M63" s="217"/>
      <c r="N63" s="217"/>
      <c r="O63" s="29"/>
      <c r="P63" s="29"/>
      <c r="Q63" s="29"/>
      <c r="R63" s="142"/>
      <c r="S63" s="142"/>
      <c r="U63" s="4"/>
    </row>
    <row r="64" spans="1:21" ht="16.5" thickBot="1">
      <c r="A64" s="24"/>
      <c r="B64" s="11" t="s">
        <v>39</v>
      </c>
      <c r="C64" s="92"/>
      <c r="D64" s="92"/>
      <c r="E64" s="103" t="s">
        <v>62</v>
      </c>
      <c r="F64" s="58"/>
      <c r="G64" s="58"/>
      <c r="H64" s="143"/>
      <c r="I64" s="162"/>
      <c r="J64" s="302" t="s">
        <v>63</v>
      </c>
      <c r="K64" s="303"/>
      <c r="L64" s="303"/>
      <c r="M64" s="303"/>
      <c r="N64" s="304"/>
      <c r="O64" s="103" t="s">
        <v>40</v>
      </c>
      <c r="P64" s="58"/>
      <c r="Q64" s="59"/>
      <c r="R64" s="153"/>
      <c r="S64" s="153"/>
      <c r="U64" s="4"/>
    </row>
    <row r="65" spans="1:21">
      <c r="A65" s="25" t="s">
        <v>1</v>
      </c>
      <c r="B65" s="10" t="s">
        <v>38</v>
      </c>
      <c r="C65" s="93" t="s">
        <v>12</v>
      </c>
      <c r="D65" s="93" t="s">
        <v>12</v>
      </c>
      <c r="E65" s="104" t="s">
        <v>52</v>
      </c>
      <c r="F65" s="34" t="s">
        <v>54</v>
      </c>
      <c r="G65" s="300" t="s">
        <v>23</v>
      </c>
      <c r="H65" s="144" t="s">
        <v>0</v>
      </c>
      <c r="I65" s="163" t="s">
        <v>0</v>
      </c>
      <c r="J65" s="104" t="s">
        <v>52</v>
      </c>
      <c r="K65" s="34" t="s">
        <v>54</v>
      </c>
      <c r="L65" s="300" t="s">
        <v>23</v>
      </c>
      <c r="M65" s="144" t="s">
        <v>0</v>
      </c>
      <c r="N65" s="163" t="s">
        <v>0</v>
      </c>
      <c r="O65" s="80" t="s">
        <v>52</v>
      </c>
      <c r="P65" s="34" t="s">
        <v>54</v>
      </c>
      <c r="Q65" s="300" t="s">
        <v>23</v>
      </c>
      <c r="R65" s="144" t="s">
        <v>0</v>
      </c>
      <c r="S65" s="144" t="s">
        <v>0</v>
      </c>
      <c r="U65" s="4"/>
    </row>
    <row r="66" spans="1:21" ht="16.5" thickBot="1">
      <c r="A66" s="42"/>
      <c r="B66" s="31" t="s">
        <v>37</v>
      </c>
      <c r="C66" s="94"/>
      <c r="D66" s="94"/>
      <c r="E66" s="105" t="s">
        <v>22</v>
      </c>
      <c r="F66" s="43" t="s">
        <v>22</v>
      </c>
      <c r="G66" s="301"/>
      <c r="H66" s="145" t="s">
        <v>65</v>
      </c>
      <c r="I66" s="164" t="s">
        <v>66</v>
      </c>
      <c r="J66" s="105" t="s">
        <v>22</v>
      </c>
      <c r="K66" s="43" t="s">
        <v>22</v>
      </c>
      <c r="L66" s="301"/>
      <c r="M66" s="145" t="s">
        <v>65</v>
      </c>
      <c r="N66" s="164" t="s">
        <v>66</v>
      </c>
      <c r="O66" s="81" t="s">
        <v>22</v>
      </c>
      <c r="P66" s="43" t="s">
        <v>22</v>
      </c>
      <c r="Q66" s="301"/>
      <c r="R66" s="145" t="s">
        <v>65</v>
      </c>
      <c r="S66" s="145" t="s">
        <v>66</v>
      </c>
      <c r="U66" s="4"/>
    </row>
    <row r="67" spans="1:21" ht="18.75" customHeight="1">
      <c r="A67" s="211">
        <v>1</v>
      </c>
      <c r="B67" s="71" t="s">
        <v>88</v>
      </c>
      <c r="C67" s="212" t="s">
        <v>86</v>
      </c>
      <c r="D67" s="212" t="s">
        <v>86</v>
      </c>
      <c r="E67" s="200">
        <f t="shared" ref="E67:G76" si="43">+J67+O67</f>
        <v>921275</v>
      </c>
      <c r="F67" s="201">
        <f t="shared" si="43"/>
        <v>953073</v>
      </c>
      <c r="G67" s="201">
        <f t="shared" si="43"/>
        <v>936065</v>
      </c>
      <c r="H67" s="190">
        <f t="shared" ref="H67:H99" si="44">+G67/E67*100</f>
        <v>101.60538384304361</v>
      </c>
      <c r="I67" s="209">
        <f t="shared" ref="I67:I99" si="45">+G67/F67*100</f>
        <v>98.21545673836107</v>
      </c>
      <c r="J67" s="200">
        <v>575621</v>
      </c>
      <c r="K67" s="201">
        <v>583288</v>
      </c>
      <c r="L67" s="201">
        <v>573235</v>
      </c>
      <c r="M67" s="190">
        <f t="shared" ref="M67:M76" si="46">+L67/J67*100</f>
        <v>99.58549114782123</v>
      </c>
      <c r="N67" s="209">
        <f t="shared" ref="N67:N79" si="47">+L67/K67*100</f>
        <v>98.276494630439842</v>
      </c>
      <c r="O67" s="202">
        <v>345654</v>
      </c>
      <c r="P67" s="202">
        <v>369785</v>
      </c>
      <c r="Q67" s="201">
        <v>362830</v>
      </c>
      <c r="R67" s="190">
        <f>+Q67/O67*100</f>
        <v>104.96913098069167</v>
      </c>
      <c r="S67" s="190">
        <f>+Q67/P67*100</f>
        <v>98.119177359817186</v>
      </c>
      <c r="U67" s="4"/>
    </row>
    <row r="68" spans="1:21" ht="18.75" customHeight="1">
      <c r="A68" s="13">
        <v>2</v>
      </c>
      <c r="B68" s="15" t="s">
        <v>89</v>
      </c>
      <c r="C68" s="98" t="s">
        <v>87</v>
      </c>
      <c r="D68" s="98" t="s">
        <v>87</v>
      </c>
      <c r="E68" s="109">
        <f t="shared" si="43"/>
        <v>92851</v>
      </c>
      <c r="F68" s="61">
        <f t="shared" si="43"/>
        <v>113209</v>
      </c>
      <c r="G68" s="61">
        <f t="shared" si="43"/>
        <v>108281</v>
      </c>
      <c r="H68" s="138">
        <f t="shared" si="44"/>
        <v>116.61802242302184</v>
      </c>
      <c r="I68" s="167">
        <f t="shared" si="45"/>
        <v>95.646989196971973</v>
      </c>
      <c r="J68" s="109">
        <v>17419</v>
      </c>
      <c r="K68" s="61">
        <v>19398</v>
      </c>
      <c r="L68" s="61">
        <v>18055</v>
      </c>
      <c r="M68" s="138">
        <f t="shared" si="46"/>
        <v>103.65118548711179</v>
      </c>
      <c r="N68" s="167">
        <f t="shared" si="47"/>
        <v>93.076605835653154</v>
      </c>
      <c r="O68" s="83">
        <v>75432</v>
      </c>
      <c r="P68" s="83">
        <v>93811</v>
      </c>
      <c r="Q68" s="61">
        <v>90226</v>
      </c>
      <c r="R68" s="138">
        <f>+Q68/O68*100</f>
        <v>119.612366104571</v>
      </c>
      <c r="S68" s="138">
        <f>+Q68/P68*100</f>
        <v>96.178486531430224</v>
      </c>
      <c r="U68" s="4"/>
    </row>
    <row r="69" spans="1:21" ht="18.75" customHeight="1">
      <c r="A69" s="13">
        <v>3</v>
      </c>
      <c r="B69" s="15" t="s">
        <v>186</v>
      </c>
      <c r="C69" s="98" t="s">
        <v>187</v>
      </c>
      <c r="D69" s="98" t="s">
        <v>187</v>
      </c>
      <c r="E69" s="109">
        <f>+J69+O69</f>
        <v>345107</v>
      </c>
      <c r="F69" s="61">
        <f>+K69+P69</f>
        <v>357064</v>
      </c>
      <c r="G69" s="61">
        <f>+L69+Q69</f>
        <v>346448</v>
      </c>
      <c r="H69" s="138">
        <f>+G69/E69*100</f>
        <v>100.38857513756602</v>
      </c>
      <c r="I69" s="167">
        <f>+G69/F69*100</f>
        <v>97.02686353146774</v>
      </c>
      <c r="J69" s="109">
        <v>205397</v>
      </c>
      <c r="K69" s="61">
        <v>208058</v>
      </c>
      <c r="L69" s="61">
        <v>202342</v>
      </c>
      <c r="M69" s="138">
        <f t="shared" si="46"/>
        <v>98.512636503941152</v>
      </c>
      <c r="N69" s="167">
        <f>+L69/K69*100</f>
        <v>97.252689153985898</v>
      </c>
      <c r="O69" s="83">
        <v>139710</v>
      </c>
      <c r="P69" s="83">
        <v>149006</v>
      </c>
      <c r="Q69" s="61">
        <v>144106</v>
      </c>
      <c r="R69" s="138">
        <f>+Q69/O69*100</f>
        <v>103.14651778684419</v>
      </c>
      <c r="S69" s="138">
        <f>+Q69/P69*100</f>
        <v>96.711541817108042</v>
      </c>
      <c r="U69" s="4"/>
    </row>
    <row r="70" spans="1:21" ht="18.75">
      <c r="A70" s="26">
        <v>4</v>
      </c>
      <c r="B70" s="41">
        <v>5141</v>
      </c>
      <c r="C70" s="116" t="s">
        <v>76</v>
      </c>
      <c r="D70" s="116" t="s">
        <v>76</v>
      </c>
      <c r="E70" s="200">
        <f t="shared" si="43"/>
        <v>246194</v>
      </c>
      <c r="F70" s="201">
        <f t="shared" si="43"/>
        <v>246955</v>
      </c>
      <c r="G70" s="61">
        <f t="shared" si="43"/>
        <v>101783</v>
      </c>
      <c r="H70" s="190">
        <f t="shared" si="44"/>
        <v>41.342599738417668</v>
      </c>
      <c r="I70" s="209">
        <f t="shared" si="45"/>
        <v>41.215201150007083</v>
      </c>
      <c r="J70" s="200">
        <v>224000</v>
      </c>
      <c r="K70" s="201">
        <v>224000</v>
      </c>
      <c r="L70" s="201">
        <v>83707</v>
      </c>
      <c r="M70" s="135">
        <f t="shared" si="46"/>
        <v>37.369196428571428</v>
      </c>
      <c r="N70" s="165">
        <f t="shared" si="47"/>
        <v>37.369196428571428</v>
      </c>
      <c r="O70" s="202">
        <v>22194</v>
      </c>
      <c r="P70" s="202">
        <v>22955</v>
      </c>
      <c r="Q70" s="201">
        <v>18076</v>
      </c>
      <c r="R70" s="138">
        <f t="shared" ref="R70:R82" si="48">+Q70/O70*100</f>
        <v>81.44543570334325</v>
      </c>
      <c r="S70" s="138">
        <f t="shared" ref="S70:S84" si="49">+Q70/P70*100</f>
        <v>78.745371378784583</v>
      </c>
      <c r="U70" s="4"/>
    </row>
    <row r="71" spans="1:21" ht="18.75" customHeight="1">
      <c r="A71" s="13">
        <v>5</v>
      </c>
      <c r="B71" s="15" t="s">
        <v>188</v>
      </c>
      <c r="C71" s="98" t="s">
        <v>189</v>
      </c>
      <c r="D71" s="98" t="s">
        <v>189</v>
      </c>
      <c r="E71" s="109">
        <f t="shared" ref="E71:G72" si="50">+J71+O71</f>
        <v>1739248</v>
      </c>
      <c r="F71" s="61">
        <f t="shared" si="50"/>
        <v>1782338</v>
      </c>
      <c r="G71" s="61">
        <f t="shared" si="50"/>
        <v>1621155</v>
      </c>
      <c r="H71" s="138">
        <f>+G71/E71*100</f>
        <v>93.210111496462844</v>
      </c>
      <c r="I71" s="167">
        <f>+G71/F71*100</f>
        <v>90.956653564026581</v>
      </c>
      <c r="J71" s="109">
        <v>1370516</v>
      </c>
      <c r="K71" s="61">
        <v>1357566</v>
      </c>
      <c r="L71" s="61">
        <v>1245177</v>
      </c>
      <c r="M71" s="138">
        <f t="shared" si="46"/>
        <v>90.854612423350034</v>
      </c>
      <c r="N71" s="167">
        <f>+L71/K71*100</f>
        <v>91.721286478889425</v>
      </c>
      <c r="O71" s="83">
        <v>368732</v>
      </c>
      <c r="P71" s="83">
        <v>424772</v>
      </c>
      <c r="Q71" s="61">
        <v>375978</v>
      </c>
      <c r="R71" s="138">
        <f>+Q71/O71*100</f>
        <v>101.96511287330637</v>
      </c>
      <c r="S71" s="138">
        <f>+Q71/P71*100</f>
        <v>88.512896330266585</v>
      </c>
      <c r="U71" s="4"/>
    </row>
    <row r="72" spans="1:21" ht="18.75" customHeight="1">
      <c r="A72" s="13">
        <v>6</v>
      </c>
      <c r="B72" s="283">
        <v>5171</v>
      </c>
      <c r="C72" s="284" t="s">
        <v>190</v>
      </c>
      <c r="D72" s="284" t="s">
        <v>190</v>
      </c>
      <c r="E72" s="119">
        <f t="shared" si="50"/>
        <v>343038</v>
      </c>
      <c r="F72" s="68">
        <f t="shared" si="50"/>
        <v>440410</v>
      </c>
      <c r="G72" s="61">
        <f t="shared" si="50"/>
        <v>350274</v>
      </c>
      <c r="H72" s="147">
        <f>+G72/E72*100</f>
        <v>102.1093872982002</v>
      </c>
      <c r="I72" s="174">
        <f>+G72/F72*100</f>
        <v>79.533616402897295</v>
      </c>
      <c r="J72" s="119">
        <v>224458</v>
      </c>
      <c r="K72" s="68">
        <v>248226</v>
      </c>
      <c r="L72" s="68">
        <v>206520</v>
      </c>
      <c r="M72" s="138">
        <f t="shared" si="46"/>
        <v>92.008304448939228</v>
      </c>
      <c r="N72" s="167">
        <f>+L72/K72*100</f>
        <v>83.198375673781158</v>
      </c>
      <c r="O72" s="85">
        <v>118580</v>
      </c>
      <c r="P72" s="85">
        <v>192184</v>
      </c>
      <c r="Q72" s="68">
        <v>143754</v>
      </c>
      <c r="R72" s="138">
        <f>+Q72/O72*100</f>
        <v>121.2295496711081</v>
      </c>
      <c r="S72" s="138">
        <f>+Q72/P72*100</f>
        <v>74.800191483161967</v>
      </c>
      <c r="U72" s="4"/>
    </row>
    <row r="73" spans="1:21" ht="18.75" customHeight="1">
      <c r="A73" s="13">
        <v>7</v>
      </c>
      <c r="B73" s="19" t="s">
        <v>193</v>
      </c>
      <c r="C73" s="117" t="s">
        <v>127</v>
      </c>
      <c r="D73" s="117" t="s">
        <v>127</v>
      </c>
      <c r="E73" s="118">
        <f t="shared" si="43"/>
        <v>1741000</v>
      </c>
      <c r="F73" s="37">
        <f t="shared" si="43"/>
        <v>1744296</v>
      </c>
      <c r="G73" s="61">
        <f t="shared" si="43"/>
        <v>1744296</v>
      </c>
      <c r="H73" s="146">
        <f t="shared" si="44"/>
        <v>100.18931648477887</v>
      </c>
      <c r="I73" s="173">
        <f t="shared" si="45"/>
        <v>100</v>
      </c>
      <c r="J73" s="118">
        <v>1741000</v>
      </c>
      <c r="K73" s="37">
        <v>1744296</v>
      </c>
      <c r="L73" s="37">
        <v>1744296</v>
      </c>
      <c r="M73" s="138">
        <f t="shared" si="46"/>
        <v>100.18931648477887</v>
      </c>
      <c r="N73" s="167">
        <f t="shared" si="47"/>
        <v>100</v>
      </c>
      <c r="O73" s="91"/>
      <c r="P73" s="91"/>
      <c r="Q73" s="37"/>
      <c r="R73" s="138"/>
      <c r="S73" s="138"/>
      <c r="U73" s="4"/>
    </row>
    <row r="74" spans="1:21" ht="18.75" customHeight="1">
      <c r="A74" s="26">
        <v>8</v>
      </c>
      <c r="B74" s="19">
        <v>5213</v>
      </c>
      <c r="C74" s="97" t="s">
        <v>128</v>
      </c>
      <c r="D74" s="97" t="s">
        <v>128</v>
      </c>
      <c r="E74" s="119">
        <f t="shared" si="43"/>
        <v>94677</v>
      </c>
      <c r="F74" s="68">
        <f t="shared" si="43"/>
        <v>139789</v>
      </c>
      <c r="G74" s="61">
        <f t="shared" si="43"/>
        <v>101040</v>
      </c>
      <c r="H74" s="147">
        <f t="shared" si="44"/>
        <v>106.72074527076269</v>
      </c>
      <c r="I74" s="174">
        <f t="shared" si="45"/>
        <v>72.280365407864707</v>
      </c>
      <c r="J74" s="119">
        <f>1834012-J73</f>
        <v>93012</v>
      </c>
      <c r="K74" s="68">
        <f>1882208-K73</f>
        <v>137912</v>
      </c>
      <c r="L74" s="68">
        <f>1843570-L73</f>
        <v>99274</v>
      </c>
      <c r="M74" s="138">
        <f t="shared" si="46"/>
        <v>106.73246462822001</v>
      </c>
      <c r="N74" s="167">
        <f t="shared" si="47"/>
        <v>71.983583734555367</v>
      </c>
      <c r="O74" s="85">
        <v>1665</v>
      </c>
      <c r="P74" s="85">
        <v>1877</v>
      </c>
      <c r="Q74" s="68">
        <v>1766</v>
      </c>
      <c r="R74" s="138">
        <f t="shared" si="48"/>
        <v>106.06606606606606</v>
      </c>
      <c r="S74" s="138">
        <f t="shared" si="49"/>
        <v>94.086307938199255</v>
      </c>
      <c r="U74" s="4"/>
    </row>
    <row r="75" spans="1:21" ht="18.75">
      <c r="A75" s="13">
        <v>9</v>
      </c>
      <c r="B75" s="19" t="s">
        <v>25</v>
      </c>
      <c r="C75" s="117" t="s">
        <v>129</v>
      </c>
      <c r="D75" s="117" t="s">
        <v>129</v>
      </c>
      <c r="E75" s="119">
        <f t="shared" si="43"/>
        <v>117</v>
      </c>
      <c r="F75" s="68">
        <f t="shared" si="43"/>
        <v>7146</v>
      </c>
      <c r="G75" s="60">
        <f t="shared" si="43"/>
        <v>3308</v>
      </c>
      <c r="H75" s="147">
        <f t="shared" si="44"/>
        <v>2827.3504273504273</v>
      </c>
      <c r="I75" s="167">
        <f t="shared" si="45"/>
        <v>46.291631682059894</v>
      </c>
      <c r="J75" s="119"/>
      <c r="K75" s="68">
        <f>1264+5680</f>
        <v>6944</v>
      </c>
      <c r="L75" s="68">
        <f>1154+1954</f>
        <v>3108</v>
      </c>
      <c r="M75" s="138"/>
      <c r="N75" s="167">
        <f t="shared" si="47"/>
        <v>44.758064516129032</v>
      </c>
      <c r="O75" s="85">
        <v>117</v>
      </c>
      <c r="P75" s="85">
        <v>202</v>
      </c>
      <c r="Q75" s="68">
        <v>200</v>
      </c>
      <c r="R75" s="138">
        <f t="shared" si="48"/>
        <v>170.94017094017093</v>
      </c>
      <c r="S75" s="138">
        <f t="shared" si="49"/>
        <v>99.009900990099013</v>
      </c>
      <c r="U75" s="4"/>
    </row>
    <row r="76" spans="1:21" ht="18.75">
      <c r="A76" s="26">
        <v>10</v>
      </c>
      <c r="B76" s="19" t="s">
        <v>24</v>
      </c>
      <c r="C76" s="117" t="s">
        <v>130</v>
      </c>
      <c r="D76" s="117" t="s">
        <v>130</v>
      </c>
      <c r="E76" s="119">
        <f t="shared" si="43"/>
        <v>460766</v>
      </c>
      <c r="F76" s="68">
        <f t="shared" si="43"/>
        <v>550946</v>
      </c>
      <c r="G76" s="61">
        <f t="shared" si="43"/>
        <v>389989</v>
      </c>
      <c r="H76" s="147">
        <f t="shared" si="44"/>
        <v>84.639274599254293</v>
      </c>
      <c r="I76" s="167">
        <f t="shared" si="45"/>
        <v>70.785340124077507</v>
      </c>
      <c r="J76" s="119">
        <v>448017</v>
      </c>
      <c r="K76" s="68">
        <v>537768</v>
      </c>
      <c r="L76" s="68">
        <v>377236</v>
      </c>
      <c r="M76" s="138">
        <f t="shared" si="46"/>
        <v>84.201269148268935</v>
      </c>
      <c r="N76" s="167">
        <f t="shared" si="47"/>
        <v>70.148465509290247</v>
      </c>
      <c r="O76" s="85">
        <v>12749</v>
      </c>
      <c r="P76" s="85">
        <v>13178</v>
      </c>
      <c r="Q76" s="68">
        <v>12753</v>
      </c>
      <c r="R76" s="138">
        <f t="shared" si="48"/>
        <v>100.03137500980471</v>
      </c>
      <c r="S76" s="138">
        <f t="shared" si="49"/>
        <v>96.774927910153281</v>
      </c>
      <c r="U76" s="4"/>
    </row>
    <row r="77" spans="1:21" ht="18.75">
      <c r="A77" s="26">
        <v>11</v>
      </c>
      <c r="B77" s="19">
        <v>5321</v>
      </c>
      <c r="C77" s="117" t="s">
        <v>166</v>
      </c>
      <c r="D77" s="117" t="s">
        <v>166</v>
      </c>
      <c r="E77" s="120" t="s">
        <v>51</v>
      </c>
      <c r="F77" s="69" t="s">
        <v>51</v>
      </c>
      <c r="G77" s="69" t="s">
        <v>51</v>
      </c>
      <c r="H77" s="147"/>
      <c r="I77" s="167"/>
      <c r="J77" s="119"/>
      <c r="K77" s="68"/>
      <c r="L77" s="68"/>
      <c r="M77" s="138"/>
      <c r="N77" s="167"/>
      <c r="O77" s="85"/>
      <c r="P77" s="85">
        <v>1396</v>
      </c>
      <c r="Q77" s="68">
        <v>1396</v>
      </c>
      <c r="R77" s="138"/>
      <c r="S77" s="138">
        <f t="shared" si="49"/>
        <v>100</v>
      </c>
    </row>
    <row r="78" spans="1:21" ht="18.75">
      <c r="A78" s="13">
        <v>12</v>
      </c>
      <c r="B78" s="19">
        <v>5321</v>
      </c>
      <c r="C78" s="117" t="s">
        <v>131</v>
      </c>
      <c r="D78" s="117" t="s">
        <v>131</v>
      </c>
      <c r="E78" s="120" t="s">
        <v>51</v>
      </c>
      <c r="F78" s="69" t="s">
        <v>51</v>
      </c>
      <c r="G78" s="69" t="s">
        <v>51</v>
      </c>
      <c r="H78" s="175"/>
      <c r="I78" s="288"/>
      <c r="J78" s="119">
        <v>974958</v>
      </c>
      <c r="K78" s="68">
        <v>1015067</v>
      </c>
      <c r="L78" s="68">
        <v>1014967</v>
      </c>
      <c r="M78" s="138">
        <f>+L78/J78*100</f>
        <v>104.10366395270361</v>
      </c>
      <c r="N78" s="167">
        <f t="shared" si="47"/>
        <v>99.990148433551667</v>
      </c>
      <c r="O78" s="85">
        <v>390</v>
      </c>
      <c r="P78" s="85">
        <v>604</v>
      </c>
      <c r="Q78" s="68">
        <v>604</v>
      </c>
      <c r="R78" s="138">
        <f t="shared" si="48"/>
        <v>154.87179487179489</v>
      </c>
      <c r="S78" s="138">
        <f t="shared" si="49"/>
        <v>100</v>
      </c>
      <c r="U78" s="4"/>
    </row>
    <row r="79" spans="1:21" ht="18.75">
      <c r="A79" s="26">
        <v>13</v>
      </c>
      <c r="B79" s="19">
        <v>5321</v>
      </c>
      <c r="C79" s="117" t="s">
        <v>132</v>
      </c>
      <c r="D79" s="117" t="s">
        <v>132</v>
      </c>
      <c r="E79" s="119">
        <f t="shared" ref="E79:G83" si="51">+J79+O79</f>
        <v>15</v>
      </c>
      <c r="F79" s="68">
        <f t="shared" si="51"/>
        <v>1692</v>
      </c>
      <c r="G79" s="68">
        <f t="shared" si="51"/>
        <v>1691</v>
      </c>
      <c r="H79" s="147">
        <f>+G79/E79*100</f>
        <v>11273.333333333334</v>
      </c>
      <c r="I79" s="167">
        <f>+G79/F79*100</f>
        <v>99.940898345153656</v>
      </c>
      <c r="J79" s="119"/>
      <c r="K79" s="68">
        <v>1232</v>
      </c>
      <c r="L79" s="68">
        <v>1231</v>
      </c>
      <c r="M79" s="138"/>
      <c r="N79" s="167">
        <f t="shared" si="47"/>
        <v>99.918831168831161</v>
      </c>
      <c r="O79" s="85">
        <v>15</v>
      </c>
      <c r="P79" s="85">
        <f>395+65</f>
        <v>460</v>
      </c>
      <c r="Q79" s="68">
        <v>460</v>
      </c>
      <c r="R79" s="138">
        <f t="shared" si="48"/>
        <v>3066.666666666667</v>
      </c>
      <c r="S79" s="138">
        <f t="shared" si="49"/>
        <v>100</v>
      </c>
    </row>
    <row r="80" spans="1:21" ht="18.75">
      <c r="A80" s="13">
        <v>14</v>
      </c>
      <c r="B80" s="23">
        <v>5331</v>
      </c>
      <c r="C80" s="117" t="s">
        <v>17</v>
      </c>
      <c r="D80" s="117" t="s">
        <v>17</v>
      </c>
      <c r="E80" s="119">
        <f t="shared" si="51"/>
        <v>1491798</v>
      </c>
      <c r="F80" s="68">
        <f t="shared" si="51"/>
        <v>1552360</v>
      </c>
      <c r="G80" s="68">
        <f t="shared" si="51"/>
        <v>1551269</v>
      </c>
      <c r="H80" s="147">
        <f t="shared" si="44"/>
        <v>103.98653168860663</v>
      </c>
      <c r="I80" s="167">
        <f t="shared" si="45"/>
        <v>99.929719910330078</v>
      </c>
      <c r="J80" s="119">
        <v>1124363</v>
      </c>
      <c r="K80" s="68">
        <v>1157312</v>
      </c>
      <c r="L80" s="68">
        <v>1157020</v>
      </c>
      <c r="M80" s="138">
        <f>+L80/J80*100</f>
        <v>102.90448903067781</v>
      </c>
      <c r="N80" s="167">
        <f>+L80/K80*100</f>
        <v>99.974769120168119</v>
      </c>
      <c r="O80" s="85">
        <v>367435</v>
      </c>
      <c r="P80" s="85">
        <v>395048</v>
      </c>
      <c r="Q80" s="68">
        <v>394249</v>
      </c>
      <c r="R80" s="138">
        <f t="shared" si="48"/>
        <v>107.29761726563882</v>
      </c>
      <c r="S80" s="138">
        <f t="shared" si="49"/>
        <v>99.79774609667686</v>
      </c>
    </row>
    <row r="81" spans="1:21" ht="18.75">
      <c r="A81" s="26">
        <v>15</v>
      </c>
      <c r="B81" s="19" t="s">
        <v>26</v>
      </c>
      <c r="C81" s="117" t="s">
        <v>77</v>
      </c>
      <c r="D81" s="117" t="s">
        <v>77</v>
      </c>
      <c r="E81" s="119">
        <f t="shared" si="51"/>
        <v>12287</v>
      </c>
      <c r="F81" s="68">
        <f t="shared" si="51"/>
        <v>94098</v>
      </c>
      <c r="G81" s="68">
        <f t="shared" si="51"/>
        <v>93926</v>
      </c>
      <c r="H81" s="147">
        <f t="shared" si="44"/>
        <v>764.43395458614805</v>
      </c>
      <c r="I81" s="167">
        <f t="shared" si="45"/>
        <v>99.817211842972213</v>
      </c>
      <c r="J81" s="119">
        <f>980+0+10777</f>
        <v>11757</v>
      </c>
      <c r="K81" s="68">
        <f>1715+73293+10582</f>
        <v>85590</v>
      </c>
      <c r="L81" s="68">
        <f>1595+73293+10562</f>
        <v>85450</v>
      </c>
      <c r="M81" s="138">
        <f>+L81/J81*100</f>
        <v>726.80105469082253</v>
      </c>
      <c r="N81" s="167">
        <f>+L81/K81*100</f>
        <v>99.836429489426337</v>
      </c>
      <c r="O81" s="85">
        <f>20+510</f>
        <v>530</v>
      </c>
      <c r="P81" s="85">
        <f>10+20+7310+1168</f>
        <v>8508</v>
      </c>
      <c r="Q81" s="68">
        <f>10+20+7310+1136</f>
        <v>8476</v>
      </c>
      <c r="R81" s="138">
        <f t="shared" si="48"/>
        <v>1599.2452830188679</v>
      </c>
      <c r="S81" s="138">
        <f t="shared" si="49"/>
        <v>99.623883403855189</v>
      </c>
    </row>
    <row r="82" spans="1:21" ht="18.75">
      <c r="A82" s="13">
        <v>16</v>
      </c>
      <c r="B82" s="19">
        <v>5362</v>
      </c>
      <c r="C82" s="117" t="s">
        <v>71</v>
      </c>
      <c r="D82" s="117" t="s">
        <v>71</v>
      </c>
      <c r="E82" s="194">
        <f>+J82+O82</f>
        <v>360030</v>
      </c>
      <c r="F82" s="68">
        <f>+K82+P82</f>
        <v>319693</v>
      </c>
      <c r="G82" s="68">
        <f t="shared" si="51"/>
        <v>319693</v>
      </c>
      <c r="H82" s="147">
        <f t="shared" si="44"/>
        <v>88.79621142682555</v>
      </c>
      <c r="I82" s="167">
        <f t="shared" si="45"/>
        <v>100</v>
      </c>
      <c r="J82" s="119">
        <v>350000</v>
      </c>
      <c r="K82" s="68">
        <v>294186</v>
      </c>
      <c r="L82" s="61">
        <v>294186</v>
      </c>
      <c r="M82" s="138">
        <f>+L82/J82*100</f>
        <v>84.053142857142859</v>
      </c>
      <c r="N82" s="167">
        <f>+L82/K82*100</f>
        <v>100</v>
      </c>
      <c r="O82" s="83">
        <v>10030</v>
      </c>
      <c r="P82" s="83">
        <v>25507</v>
      </c>
      <c r="Q82" s="61">
        <v>25507</v>
      </c>
      <c r="R82" s="138">
        <f t="shared" si="48"/>
        <v>254.30707876370886</v>
      </c>
      <c r="S82" s="138">
        <f t="shared" si="49"/>
        <v>100</v>
      </c>
      <c r="T82" s="266"/>
    </row>
    <row r="83" spans="1:21" ht="18.75">
      <c r="A83" s="26">
        <v>17</v>
      </c>
      <c r="B83" s="19">
        <v>5366</v>
      </c>
      <c r="C83" s="117" t="s">
        <v>179</v>
      </c>
      <c r="D83" s="117" t="s">
        <v>179</v>
      </c>
      <c r="E83" s="194">
        <f>+J83+O83</f>
        <v>0</v>
      </c>
      <c r="F83" s="68">
        <f>+K83+P83</f>
        <v>7637</v>
      </c>
      <c r="G83" s="68">
        <f t="shared" si="51"/>
        <v>7637</v>
      </c>
      <c r="H83" s="147"/>
      <c r="I83" s="167">
        <f t="shared" si="45"/>
        <v>100</v>
      </c>
      <c r="J83" s="119"/>
      <c r="K83" s="68">
        <v>7437</v>
      </c>
      <c r="L83" s="68">
        <v>7437</v>
      </c>
      <c r="M83" s="138"/>
      <c r="N83" s="167">
        <f>+L83/K83*100</f>
        <v>100</v>
      </c>
      <c r="O83" s="85"/>
      <c r="P83" s="85">
        <v>200</v>
      </c>
      <c r="Q83" s="68">
        <v>200</v>
      </c>
      <c r="R83" s="138"/>
      <c r="S83" s="138">
        <f t="shared" si="49"/>
        <v>100</v>
      </c>
    </row>
    <row r="84" spans="1:21" ht="18.75">
      <c r="A84" s="13">
        <v>18</v>
      </c>
      <c r="B84" s="19">
        <v>5367</v>
      </c>
      <c r="C84" s="117" t="s">
        <v>180</v>
      </c>
      <c r="D84" s="117" t="s">
        <v>180</v>
      </c>
      <c r="E84" s="195" t="s">
        <v>51</v>
      </c>
      <c r="F84" s="69" t="s">
        <v>51</v>
      </c>
      <c r="G84" s="196" t="s">
        <v>51</v>
      </c>
      <c r="H84" s="175"/>
      <c r="I84" s="288"/>
      <c r="J84" s="119"/>
      <c r="K84" s="68"/>
      <c r="L84" s="68"/>
      <c r="M84" s="138"/>
      <c r="N84" s="167"/>
      <c r="O84" s="85"/>
      <c r="P84" s="85">
        <v>7624</v>
      </c>
      <c r="Q84" s="68">
        <v>7625</v>
      </c>
      <c r="R84" s="138"/>
      <c r="S84" s="138">
        <f t="shared" si="49"/>
        <v>100.01311647429172</v>
      </c>
    </row>
    <row r="85" spans="1:21" ht="18.75">
      <c r="A85" s="26">
        <v>19</v>
      </c>
      <c r="B85" s="19">
        <v>5367</v>
      </c>
      <c r="C85" s="117" t="s">
        <v>181</v>
      </c>
      <c r="D85" s="117" t="s">
        <v>181</v>
      </c>
      <c r="E85" s="195" t="s">
        <v>51</v>
      </c>
      <c r="F85" s="69" t="s">
        <v>51</v>
      </c>
      <c r="G85" s="196" t="s">
        <v>51</v>
      </c>
      <c r="H85" s="175"/>
      <c r="I85" s="288"/>
      <c r="J85" s="119"/>
      <c r="K85" s="68">
        <v>205267</v>
      </c>
      <c r="L85" s="68">
        <v>205267</v>
      </c>
      <c r="M85" s="138"/>
      <c r="N85" s="167">
        <f>+L85/K85*100</f>
        <v>100</v>
      </c>
      <c r="O85" s="85"/>
      <c r="P85" s="85"/>
      <c r="Q85" s="68"/>
      <c r="R85" s="138"/>
      <c r="S85" s="138"/>
    </row>
    <row r="86" spans="1:21" ht="18.75">
      <c r="A86" s="13">
        <v>20</v>
      </c>
      <c r="B86" s="19">
        <v>5641</v>
      </c>
      <c r="C86" s="117" t="s">
        <v>133</v>
      </c>
      <c r="D86" s="117" t="s">
        <v>133</v>
      </c>
      <c r="E86" s="195" t="s">
        <v>51</v>
      </c>
      <c r="F86" s="69" t="s">
        <v>51</v>
      </c>
      <c r="G86" s="196" t="s">
        <v>51</v>
      </c>
      <c r="H86" s="175"/>
      <c r="I86" s="176"/>
      <c r="J86" s="119"/>
      <c r="K86" s="68"/>
      <c r="L86" s="68"/>
      <c r="M86" s="138"/>
      <c r="N86" s="167"/>
      <c r="O86" s="85"/>
      <c r="P86" s="85"/>
      <c r="Q86" s="68"/>
      <c r="R86" s="138"/>
      <c r="S86" s="138"/>
    </row>
    <row r="87" spans="1:21" ht="18.75">
      <c r="A87" s="26">
        <v>21</v>
      </c>
      <c r="B87" s="19">
        <v>5901</v>
      </c>
      <c r="C87" s="97" t="s">
        <v>13</v>
      </c>
      <c r="D87" s="97" t="s">
        <v>192</v>
      </c>
      <c r="E87" s="194">
        <f t="shared" ref="E87:G88" si="52">+J87+O87</f>
        <v>16247</v>
      </c>
      <c r="F87" s="61">
        <f t="shared" si="52"/>
        <v>62494</v>
      </c>
      <c r="G87" s="61">
        <f t="shared" si="52"/>
        <v>0</v>
      </c>
      <c r="H87" s="147"/>
      <c r="I87" s="174"/>
      <c r="J87" s="119">
        <v>7611</v>
      </c>
      <c r="K87" s="68">
        <v>6511</v>
      </c>
      <c r="L87" s="68"/>
      <c r="M87" s="138"/>
      <c r="N87" s="167"/>
      <c r="O87" s="85">
        <v>8636</v>
      </c>
      <c r="P87" s="85">
        <v>55983</v>
      </c>
      <c r="Q87" s="68"/>
      <c r="R87" s="147"/>
      <c r="S87" s="147"/>
    </row>
    <row r="88" spans="1:21" ht="18.75">
      <c r="A88" s="13">
        <v>22</v>
      </c>
      <c r="B88" s="19" t="s">
        <v>74</v>
      </c>
      <c r="C88" s="97" t="s">
        <v>27</v>
      </c>
      <c r="D88" s="97" t="s">
        <v>27</v>
      </c>
      <c r="E88" s="119">
        <f t="shared" si="52"/>
        <v>458522</v>
      </c>
      <c r="F88" s="68">
        <f t="shared" si="52"/>
        <v>595047</v>
      </c>
      <c r="G88" s="68">
        <f t="shared" si="52"/>
        <v>404333</v>
      </c>
      <c r="H88" s="147">
        <f t="shared" si="44"/>
        <v>88.181810251198414</v>
      </c>
      <c r="I88" s="174">
        <f t="shared" si="45"/>
        <v>67.949758590497893</v>
      </c>
      <c r="J88" s="119">
        <f>7675101-SUM(J67:J87)</f>
        <v>306972</v>
      </c>
      <c r="K88" s="68">
        <f>8156725-SUM(K67:K87)</f>
        <v>316667</v>
      </c>
      <c r="L88" s="68">
        <f>26088214-33304-272508-17296971-943550-SUM(L67:L87)</f>
        <v>223373</v>
      </c>
      <c r="M88" s="138">
        <f>+L88/J88*100</f>
        <v>72.766571543984469</v>
      </c>
      <c r="N88" s="167">
        <f>+L88/K88*100</f>
        <v>70.538767853928576</v>
      </c>
      <c r="O88" s="85">
        <f>1623419-SUM(O67:O87)</f>
        <v>151550</v>
      </c>
      <c r="P88" s="85">
        <f>2041480-SUM(P67:P87)</f>
        <v>278380</v>
      </c>
      <c r="Q88" s="68">
        <f>4274791-14039-44083-2433871-13632-SUM(Q67:Q87)</f>
        <v>180960</v>
      </c>
      <c r="R88" s="147">
        <f>+Q88/O88*100</f>
        <v>119.40613658858463</v>
      </c>
      <c r="S88" s="147">
        <f>+Q88/P88*100</f>
        <v>65.004669875709467</v>
      </c>
    </row>
    <row r="89" spans="1:21" ht="19.5" thickBot="1">
      <c r="A89" s="26">
        <v>23</v>
      </c>
      <c r="B89" s="17" t="s">
        <v>45</v>
      </c>
      <c r="C89" s="53" t="s">
        <v>182</v>
      </c>
      <c r="D89" s="290" t="s">
        <v>191</v>
      </c>
      <c r="E89" s="111">
        <f>SUM(E67:E88)</f>
        <v>8323172</v>
      </c>
      <c r="F89" s="64">
        <f>SUM(F67:F88)</f>
        <v>8968247</v>
      </c>
      <c r="G89" s="64">
        <f>SUM(G67:G88)</f>
        <v>8081188</v>
      </c>
      <c r="H89" s="136">
        <f t="shared" si="44"/>
        <v>97.092646889911677</v>
      </c>
      <c r="I89" s="168">
        <f t="shared" si="45"/>
        <v>90.108891960714288</v>
      </c>
      <c r="J89" s="111">
        <f>SUM(J67:J88)</f>
        <v>7675101</v>
      </c>
      <c r="K89" s="64">
        <f>SUM(K67:K88)</f>
        <v>8156725</v>
      </c>
      <c r="L89" s="64">
        <f>SUM(L67:L88)</f>
        <v>7541881</v>
      </c>
      <c r="M89" s="136">
        <f>+L89/J89*100</f>
        <v>98.264257369381852</v>
      </c>
      <c r="N89" s="168">
        <f>+L89/K89*100</f>
        <v>92.462121746166503</v>
      </c>
      <c r="O89" s="87">
        <f>SUM(O67:O88)</f>
        <v>1623419</v>
      </c>
      <c r="P89" s="64">
        <f>SUM(P67:P88)</f>
        <v>2041480</v>
      </c>
      <c r="Q89" s="64">
        <f>SUM(Q67:Q88)</f>
        <v>1769166</v>
      </c>
      <c r="R89" s="136">
        <f>+Q89/O89*100</f>
        <v>108.97778084400885</v>
      </c>
      <c r="S89" s="136">
        <f>+Q89/P89*100</f>
        <v>86.660951858455633</v>
      </c>
    </row>
    <row r="90" spans="1:21" ht="18.75">
      <c r="A90" s="13">
        <v>24</v>
      </c>
      <c r="B90" s="39" t="s">
        <v>28</v>
      </c>
      <c r="C90" s="54" t="s">
        <v>134</v>
      </c>
      <c r="D90" s="54" t="s">
        <v>134</v>
      </c>
      <c r="E90" s="194">
        <f t="shared" ref="E90:G91" si="53">+J90+O90</f>
        <v>7909</v>
      </c>
      <c r="F90" s="61">
        <f t="shared" si="53"/>
        <v>13629</v>
      </c>
      <c r="G90" s="68">
        <f t="shared" si="53"/>
        <v>4627</v>
      </c>
      <c r="H90" s="138">
        <f t="shared" si="44"/>
        <v>58.50297129852067</v>
      </c>
      <c r="I90" s="167">
        <f t="shared" si="45"/>
        <v>33.949666153055986</v>
      </c>
      <c r="J90" s="108">
        <v>7909</v>
      </c>
      <c r="K90" s="70">
        <v>2529</v>
      </c>
      <c r="L90" s="70">
        <v>2527</v>
      </c>
      <c r="M90" s="138">
        <f>+L90/J90*100</f>
        <v>31.95094196485017</v>
      </c>
      <c r="N90" s="167">
        <f>+L90/K90*100</f>
        <v>99.920917358639784</v>
      </c>
      <c r="O90" s="90"/>
      <c r="P90" s="70">
        <v>11100</v>
      </c>
      <c r="Q90" s="70">
        <v>2100</v>
      </c>
      <c r="R90" s="137"/>
      <c r="S90" s="147">
        <f>+Q90/P90*100</f>
        <v>18.918918918918919</v>
      </c>
      <c r="U90" s="264"/>
    </row>
    <row r="91" spans="1:21" ht="18.75">
      <c r="A91" s="26">
        <v>25</v>
      </c>
      <c r="B91" s="39" t="s">
        <v>29</v>
      </c>
      <c r="C91" s="55" t="s">
        <v>18</v>
      </c>
      <c r="D91" s="55" t="s">
        <v>18</v>
      </c>
      <c r="E91" s="109">
        <f t="shared" si="53"/>
        <v>900</v>
      </c>
      <c r="F91" s="61">
        <f t="shared" si="53"/>
        <v>1311</v>
      </c>
      <c r="G91" s="61">
        <f t="shared" si="53"/>
        <v>911</v>
      </c>
      <c r="H91" s="138">
        <f t="shared" si="44"/>
        <v>101.22222222222221</v>
      </c>
      <c r="I91" s="167">
        <f t="shared" si="45"/>
        <v>69.488939740655979</v>
      </c>
      <c r="J91" s="109"/>
      <c r="K91" s="61">
        <v>422</v>
      </c>
      <c r="L91" s="61">
        <v>422</v>
      </c>
      <c r="M91" s="135"/>
      <c r="N91" s="167">
        <f>+L91/K91*100</f>
        <v>100</v>
      </c>
      <c r="O91" s="83">
        <v>900</v>
      </c>
      <c r="P91" s="61">
        <v>889</v>
      </c>
      <c r="Q91" s="61">
        <v>489</v>
      </c>
      <c r="R91" s="147">
        <f>+Q91/O91*100</f>
        <v>54.333333333333336</v>
      </c>
      <c r="S91" s="147">
        <f>+Q91/P91*100</f>
        <v>55.005624296962885</v>
      </c>
      <c r="U91" s="264"/>
    </row>
    <row r="92" spans="1:21" ht="18.75">
      <c r="A92" s="13">
        <v>26</v>
      </c>
      <c r="B92" s="39">
        <v>6341</v>
      </c>
      <c r="C92" s="55" t="s">
        <v>161</v>
      </c>
      <c r="D92" s="55" t="s">
        <v>161</v>
      </c>
      <c r="E92" s="195" t="s">
        <v>51</v>
      </c>
      <c r="F92" s="69" t="s">
        <v>51</v>
      </c>
      <c r="G92" s="196" t="s">
        <v>51</v>
      </c>
      <c r="H92" s="138"/>
      <c r="I92" s="167"/>
      <c r="J92" s="109"/>
      <c r="K92" s="61"/>
      <c r="L92" s="61"/>
      <c r="M92" s="138"/>
      <c r="N92" s="167"/>
      <c r="O92" s="83"/>
      <c r="P92" s="61">
        <v>17308</v>
      </c>
      <c r="Q92" s="61">
        <v>17308</v>
      </c>
      <c r="R92" s="147"/>
      <c r="S92" s="147">
        <f>+Q92/P92*100</f>
        <v>100</v>
      </c>
    </row>
    <row r="93" spans="1:21" ht="18.75">
      <c r="A93" s="26">
        <v>27</v>
      </c>
      <c r="B93" s="39">
        <v>6341</v>
      </c>
      <c r="C93" s="55" t="s">
        <v>14</v>
      </c>
      <c r="D93" s="55" t="s">
        <v>14</v>
      </c>
      <c r="E93" s="195" t="s">
        <v>51</v>
      </c>
      <c r="F93" s="69" t="s">
        <v>51</v>
      </c>
      <c r="G93" s="196" t="s">
        <v>51</v>
      </c>
      <c r="H93" s="138"/>
      <c r="I93" s="167"/>
      <c r="J93" s="109"/>
      <c r="K93" s="61">
        <v>172347</v>
      </c>
      <c r="L93" s="61">
        <v>171452</v>
      </c>
      <c r="M93" s="138"/>
      <c r="N93" s="167">
        <f t="shared" ref="N93:N99" si="54">+L93/K93*100</f>
        <v>99.480698822723923</v>
      </c>
      <c r="O93" s="83"/>
      <c r="P93" s="61"/>
      <c r="Q93" s="61"/>
      <c r="R93" s="147"/>
      <c r="S93" s="147"/>
    </row>
    <row r="94" spans="1:21" ht="18.75">
      <c r="A94" s="26">
        <v>28</v>
      </c>
      <c r="B94" s="39">
        <v>6341</v>
      </c>
      <c r="C94" s="117" t="s">
        <v>197</v>
      </c>
      <c r="D94" s="117" t="s">
        <v>197</v>
      </c>
      <c r="E94" s="109">
        <f t="shared" ref="E94" si="55">+J94+O94</f>
        <v>0</v>
      </c>
      <c r="F94" s="61">
        <f t="shared" ref="F94" si="56">+K94+P94</f>
        <v>230</v>
      </c>
      <c r="G94" s="61">
        <f t="shared" ref="G94" si="57">+L94+Q94</f>
        <v>228</v>
      </c>
      <c r="H94" s="138"/>
      <c r="I94" s="167">
        <f t="shared" ref="I94" si="58">+G94/F94*100</f>
        <v>99.130434782608702</v>
      </c>
      <c r="J94" s="109"/>
      <c r="K94" s="61">
        <v>170</v>
      </c>
      <c r="L94" s="61">
        <v>170</v>
      </c>
      <c r="M94" s="138"/>
      <c r="N94" s="167">
        <f t="shared" si="54"/>
        <v>100</v>
      </c>
      <c r="O94" s="83"/>
      <c r="P94" s="61">
        <v>60</v>
      </c>
      <c r="Q94" s="61">
        <v>58</v>
      </c>
      <c r="R94" s="147"/>
      <c r="S94" s="147">
        <f>+Q94/P94*100</f>
        <v>96.666666666666671</v>
      </c>
    </row>
    <row r="95" spans="1:21" ht="18.75">
      <c r="A95" s="26">
        <v>29</v>
      </c>
      <c r="B95" s="33">
        <v>6351</v>
      </c>
      <c r="C95" s="55" t="s">
        <v>135</v>
      </c>
      <c r="D95" s="55" t="s">
        <v>135</v>
      </c>
      <c r="E95" s="109">
        <f t="shared" ref="E95:G95" si="59">+J95+O95</f>
        <v>200</v>
      </c>
      <c r="F95" s="61">
        <f t="shared" si="59"/>
        <v>50964</v>
      </c>
      <c r="G95" s="61">
        <f t="shared" si="59"/>
        <v>50880</v>
      </c>
      <c r="H95" s="138">
        <f t="shared" si="44"/>
        <v>25440</v>
      </c>
      <c r="I95" s="167">
        <f t="shared" si="45"/>
        <v>99.835177772545322</v>
      </c>
      <c r="J95" s="109">
        <v>200</v>
      </c>
      <c r="K95" s="61">
        <v>48247</v>
      </c>
      <c r="L95" s="61">
        <v>48167</v>
      </c>
      <c r="M95" s="138">
        <f>+L95/J95*100</f>
        <v>24083.5</v>
      </c>
      <c r="N95" s="167">
        <f t="shared" si="54"/>
        <v>99.834186581549105</v>
      </c>
      <c r="O95" s="83"/>
      <c r="P95" s="61">
        <v>2717</v>
      </c>
      <c r="Q95" s="61">
        <v>2713</v>
      </c>
      <c r="R95" s="138"/>
      <c r="S95" s="138">
        <f>+Q95/P95*100</f>
        <v>99.85277880014722</v>
      </c>
    </row>
    <row r="96" spans="1:21" ht="18.75">
      <c r="A96" s="13">
        <v>30</v>
      </c>
      <c r="B96" s="33">
        <v>6441</v>
      </c>
      <c r="C96" s="55" t="s">
        <v>78</v>
      </c>
      <c r="D96" s="55" t="s">
        <v>78</v>
      </c>
      <c r="E96" s="121" t="s">
        <v>51</v>
      </c>
      <c r="F96" s="75" t="s">
        <v>51</v>
      </c>
      <c r="G96" s="75" t="s">
        <v>51</v>
      </c>
      <c r="H96" s="138"/>
      <c r="I96" s="167"/>
      <c r="J96" s="109"/>
      <c r="K96" s="61">
        <v>18067</v>
      </c>
      <c r="L96" s="61">
        <v>14146</v>
      </c>
      <c r="M96" s="138"/>
      <c r="N96" s="167">
        <f t="shared" si="54"/>
        <v>78.297448386561129</v>
      </c>
      <c r="O96" s="83"/>
      <c r="P96" s="61"/>
      <c r="Q96" s="61"/>
      <c r="R96" s="138"/>
      <c r="S96" s="138"/>
    </row>
    <row r="97" spans="1:19" ht="18.75">
      <c r="A97" s="13">
        <v>31</v>
      </c>
      <c r="B97" s="39" t="s">
        <v>61</v>
      </c>
      <c r="C97" s="56" t="s">
        <v>36</v>
      </c>
      <c r="D97" s="56" t="s">
        <v>36</v>
      </c>
      <c r="E97" s="109">
        <f t="shared" ref="E97:G97" si="60">+J97+O97</f>
        <v>2928266</v>
      </c>
      <c r="F97" s="61">
        <f t="shared" si="60"/>
        <v>3896515</v>
      </c>
      <c r="G97" s="61">
        <f t="shared" si="60"/>
        <v>2669700</v>
      </c>
      <c r="H97" s="138">
        <f t="shared" si="44"/>
        <v>91.169996168380877</v>
      </c>
      <c r="I97" s="167">
        <f t="shared" si="45"/>
        <v>68.515070518142494</v>
      </c>
      <c r="J97" s="109">
        <f>1993563-J90-J91-J95-J96</f>
        <v>1985454</v>
      </c>
      <c r="K97" s="61">
        <f>2508988-K90-K91-K93-K94-K95-K96</f>
        <v>2267206</v>
      </c>
      <c r="L97" s="61">
        <f>2229927-L90-L91-L93-L94-L95-L96</f>
        <v>1993043</v>
      </c>
      <c r="M97" s="138">
        <f>+L97/J97*100</f>
        <v>100.3822299584881</v>
      </c>
      <c r="N97" s="167">
        <f t="shared" si="54"/>
        <v>87.907450844784279</v>
      </c>
      <c r="O97" s="83">
        <f>943712-O91-O92-O95</f>
        <v>942812</v>
      </c>
      <c r="P97" s="61">
        <f>1661383-P90-P91-P92-P94-P95</f>
        <v>1629309</v>
      </c>
      <c r="Q97" s="61">
        <f>699325-Q90-Q91-Q92-Q94-Q95</f>
        <v>676657</v>
      </c>
      <c r="R97" s="138">
        <f>+Q97/O97*100</f>
        <v>71.770087779960377</v>
      </c>
      <c r="S97" s="138">
        <f>+Q97/P97*100</f>
        <v>41.530305178452956</v>
      </c>
    </row>
    <row r="98" spans="1:19" ht="19.5" thickBot="1">
      <c r="A98" s="211">
        <v>32</v>
      </c>
      <c r="B98" s="40" t="s">
        <v>46</v>
      </c>
      <c r="C98" s="57" t="s">
        <v>183</v>
      </c>
      <c r="D98" s="57" t="s">
        <v>200</v>
      </c>
      <c r="E98" s="114">
        <f>SUM(E90:E97)</f>
        <v>2937275</v>
      </c>
      <c r="F98" s="67">
        <f>SUM(F90:F97)</f>
        <v>3962649</v>
      </c>
      <c r="G98" s="67">
        <f>SUM(G90:G97)</f>
        <v>2726346</v>
      </c>
      <c r="H98" s="141">
        <f t="shared" si="44"/>
        <v>92.818888255270622</v>
      </c>
      <c r="I98" s="170">
        <f t="shared" si="45"/>
        <v>68.801097447692186</v>
      </c>
      <c r="J98" s="114">
        <f>SUM(J90:J97)</f>
        <v>1993563</v>
      </c>
      <c r="K98" s="67">
        <f>SUM(K90:K97)</f>
        <v>2508988</v>
      </c>
      <c r="L98" s="67">
        <f>SUM(L90:L97)</f>
        <v>2229927</v>
      </c>
      <c r="M98" s="187">
        <f>+L98/J98*100</f>
        <v>111.85635969367409</v>
      </c>
      <c r="N98" s="183">
        <f t="shared" si="54"/>
        <v>88.877547441438537</v>
      </c>
      <c r="O98" s="89">
        <f>SUM(O90:O97)</f>
        <v>943712</v>
      </c>
      <c r="P98" s="67">
        <f>SUM(P90:P97)</f>
        <v>1661383</v>
      </c>
      <c r="Q98" s="67">
        <f>SUM(Q90:Q97)</f>
        <v>699325</v>
      </c>
      <c r="R98" s="141">
        <f>+Q98/O98*100</f>
        <v>74.103646027601641</v>
      </c>
      <c r="S98" s="141">
        <f>+Q98/P98*100</f>
        <v>42.092943048050927</v>
      </c>
    </row>
    <row r="99" spans="1:19" ht="19.5" thickBot="1">
      <c r="A99" s="72">
        <v>33</v>
      </c>
      <c r="B99" s="48" t="s">
        <v>48</v>
      </c>
      <c r="C99" s="102" t="s">
        <v>184</v>
      </c>
      <c r="D99" s="102" t="s">
        <v>201</v>
      </c>
      <c r="E99" s="115">
        <f>+E89+E98</f>
        <v>11260447</v>
      </c>
      <c r="F99" s="46">
        <f>+F89+F98</f>
        <v>12930896</v>
      </c>
      <c r="G99" s="46">
        <f>+G89+G98</f>
        <v>10807534</v>
      </c>
      <c r="H99" s="155">
        <f t="shared" si="44"/>
        <v>95.977841732215424</v>
      </c>
      <c r="I99" s="172">
        <f t="shared" si="45"/>
        <v>83.579158010396185</v>
      </c>
      <c r="J99" s="115">
        <f>+J89+J98</f>
        <v>9668664</v>
      </c>
      <c r="K99" s="46">
        <f>+K89+K98</f>
        <v>10665713</v>
      </c>
      <c r="L99" s="46">
        <f>+L89+L98</f>
        <v>9771808</v>
      </c>
      <c r="M99" s="185">
        <f>+L99/J99*100</f>
        <v>101.06678647639427</v>
      </c>
      <c r="N99" s="186">
        <f t="shared" si="54"/>
        <v>91.618891301500426</v>
      </c>
      <c r="O99" s="159">
        <f>+O89+O98</f>
        <v>2567131</v>
      </c>
      <c r="P99" s="46">
        <f>+P89+P98</f>
        <v>3702863</v>
      </c>
      <c r="Q99" s="46">
        <f>+Q89+Q98</f>
        <v>2468491</v>
      </c>
      <c r="R99" s="155">
        <f>+Q99/O99*100</f>
        <v>96.157578245909534</v>
      </c>
      <c r="S99" s="155">
        <f>+Q99/P99*100</f>
        <v>66.664389149693093</v>
      </c>
    </row>
    <row r="100" spans="1:19" ht="19.5" thickBot="1">
      <c r="A100" s="1"/>
      <c r="B100" s="44"/>
      <c r="C100" s="45"/>
      <c r="D100" s="45"/>
      <c r="E100" s="45"/>
      <c r="F100" s="45"/>
      <c r="G100" s="45"/>
      <c r="H100" s="148"/>
      <c r="I100" s="148"/>
      <c r="J100" s="45"/>
      <c r="K100" s="45"/>
      <c r="L100" s="45"/>
      <c r="M100" s="188"/>
      <c r="N100" s="188"/>
      <c r="O100" s="189"/>
      <c r="P100" s="45"/>
      <c r="Q100" s="45"/>
      <c r="R100" s="148"/>
      <c r="S100" s="148"/>
    </row>
    <row r="101" spans="1:19" ht="16.5" thickBot="1">
      <c r="A101" s="24"/>
      <c r="B101" s="11" t="s">
        <v>39</v>
      </c>
      <c r="C101" s="92"/>
      <c r="D101" s="92"/>
      <c r="E101" s="103" t="s">
        <v>62</v>
      </c>
      <c r="F101" s="58"/>
      <c r="G101" s="58"/>
      <c r="H101" s="143"/>
      <c r="I101" s="162"/>
      <c r="J101" s="302" t="s">
        <v>63</v>
      </c>
      <c r="K101" s="303"/>
      <c r="L101" s="303"/>
      <c r="M101" s="303"/>
      <c r="N101" s="304"/>
      <c r="O101" s="58" t="s">
        <v>40</v>
      </c>
      <c r="P101" s="58"/>
      <c r="Q101" s="59"/>
      <c r="R101" s="153"/>
      <c r="S101" s="153"/>
    </row>
    <row r="102" spans="1:19">
      <c r="A102" s="25" t="s">
        <v>1</v>
      </c>
      <c r="B102" s="10" t="s">
        <v>37</v>
      </c>
      <c r="C102" s="93" t="s">
        <v>19</v>
      </c>
      <c r="D102" s="93" t="s">
        <v>19</v>
      </c>
      <c r="E102" s="104" t="s">
        <v>52</v>
      </c>
      <c r="F102" s="34" t="s">
        <v>53</v>
      </c>
      <c r="G102" s="300" t="s">
        <v>23</v>
      </c>
      <c r="H102" s="144" t="s">
        <v>0</v>
      </c>
      <c r="I102" s="163" t="s">
        <v>0</v>
      </c>
      <c r="J102" s="104" t="s">
        <v>52</v>
      </c>
      <c r="K102" s="34" t="s">
        <v>54</v>
      </c>
      <c r="L102" s="300" t="s">
        <v>23</v>
      </c>
      <c r="M102" s="144" t="s">
        <v>0</v>
      </c>
      <c r="N102" s="163" t="s">
        <v>0</v>
      </c>
      <c r="O102" s="80" t="s">
        <v>52</v>
      </c>
      <c r="P102" s="34" t="s">
        <v>54</v>
      </c>
      <c r="Q102" s="300" t="s">
        <v>23</v>
      </c>
      <c r="R102" s="144" t="s">
        <v>0</v>
      </c>
      <c r="S102" s="144" t="s">
        <v>0</v>
      </c>
    </row>
    <row r="103" spans="1:19" ht="16.5" thickBot="1">
      <c r="A103" s="42"/>
      <c r="B103" s="31"/>
      <c r="C103" s="94"/>
      <c r="D103" s="94"/>
      <c r="E103" s="105" t="s">
        <v>22</v>
      </c>
      <c r="F103" s="43" t="s">
        <v>22</v>
      </c>
      <c r="G103" s="301"/>
      <c r="H103" s="145" t="s">
        <v>65</v>
      </c>
      <c r="I103" s="164" t="s">
        <v>66</v>
      </c>
      <c r="J103" s="105" t="s">
        <v>22</v>
      </c>
      <c r="K103" s="43" t="s">
        <v>22</v>
      </c>
      <c r="L103" s="301"/>
      <c r="M103" s="145" t="s">
        <v>65</v>
      </c>
      <c r="N103" s="164" t="s">
        <v>66</v>
      </c>
      <c r="O103" s="81" t="s">
        <v>22</v>
      </c>
      <c r="P103" s="43" t="s">
        <v>22</v>
      </c>
      <c r="Q103" s="301"/>
      <c r="R103" s="145" t="s">
        <v>65</v>
      </c>
      <c r="S103" s="145" t="s">
        <v>66</v>
      </c>
    </row>
    <row r="104" spans="1:19" ht="18.75">
      <c r="A104" s="13">
        <v>1</v>
      </c>
      <c r="B104" s="271" t="s">
        <v>156</v>
      </c>
      <c r="C104" s="117" t="s">
        <v>20</v>
      </c>
      <c r="D104" s="117" t="s">
        <v>20</v>
      </c>
      <c r="E104" s="118">
        <f t="shared" ref="E104:G105" si="61">+J104+O104</f>
        <v>1266551</v>
      </c>
      <c r="F104" s="37">
        <f t="shared" si="61"/>
        <v>1578871</v>
      </c>
      <c r="G104" s="68">
        <f t="shared" si="61"/>
        <v>-940265</v>
      </c>
      <c r="H104" s="147"/>
      <c r="I104" s="174"/>
      <c r="J104" s="118">
        <v>574816</v>
      </c>
      <c r="K104" s="37">
        <v>557396</v>
      </c>
      <c r="L104" s="37">
        <v>-905616</v>
      </c>
      <c r="M104" s="138"/>
      <c r="N104" s="167"/>
      <c r="O104" s="91">
        <f>688020+3715</f>
        <v>691735</v>
      </c>
      <c r="P104" s="91">
        <v>1021475</v>
      </c>
      <c r="Q104" s="37">
        <f>-40411+5762</f>
        <v>-34649</v>
      </c>
      <c r="R104" s="138">
        <f>+Q104/O104*100</f>
        <v>-5.0089991109312093</v>
      </c>
      <c r="S104" s="138">
        <f>+Q104/P104*100</f>
        <v>-3.3920556058640692</v>
      </c>
    </row>
    <row r="105" spans="1:19" ht="18.75">
      <c r="A105" s="13">
        <v>2</v>
      </c>
      <c r="B105" s="15" t="s">
        <v>80</v>
      </c>
      <c r="C105" s="117" t="s">
        <v>21</v>
      </c>
      <c r="D105" s="117" t="s">
        <v>21</v>
      </c>
      <c r="E105" s="118">
        <f t="shared" si="61"/>
        <v>0</v>
      </c>
      <c r="F105" s="37">
        <f t="shared" si="61"/>
        <v>0</v>
      </c>
      <c r="G105" s="68">
        <f t="shared" si="61"/>
        <v>-46000</v>
      </c>
      <c r="H105" s="147"/>
      <c r="I105" s="174"/>
      <c r="J105" s="118"/>
      <c r="K105" s="37"/>
      <c r="L105" s="37">
        <f>-325+325</f>
        <v>0</v>
      </c>
      <c r="M105" s="138"/>
      <c r="N105" s="167"/>
      <c r="O105" s="91"/>
      <c r="P105" s="91"/>
      <c r="Q105" s="37">
        <f>515953-561953</f>
        <v>-46000</v>
      </c>
      <c r="R105" s="138"/>
      <c r="S105" s="138"/>
    </row>
    <row r="106" spans="1:19" ht="18.75">
      <c r="A106" s="26">
        <v>3</v>
      </c>
      <c r="B106" s="71">
        <v>8123</v>
      </c>
      <c r="C106" s="97" t="s">
        <v>75</v>
      </c>
      <c r="D106" s="97" t="s">
        <v>75</v>
      </c>
      <c r="E106" s="120" t="s">
        <v>51</v>
      </c>
      <c r="F106" s="69" t="s">
        <v>51</v>
      </c>
      <c r="G106" s="69" t="s">
        <v>51</v>
      </c>
      <c r="H106" s="147"/>
      <c r="I106" s="174"/>
      <c r="J106" s="118"/>
      <c r="K106" s="37"/>
      <c r="L106" s="37"/>
      <c r="M106" s="138"/>
      <c r="N106" s="167"/>
      <c r="O106" s="91"/>
      <c r="P106" s="91">
        <v>18067</v>
      </c>
      <c r="Q106" s="37">
        <v>14146</v>
      </c>
      <c r="R106" s="138"/>
      <c r="S106" s="138">
        <f>+Q106/P106*100</f>
        <v>78.297448386561129</v>
      </c>
    </row>
    <row r="107" spans="1:19" ht="18.75">
      <c r="A107" s="26">
        <v>4</v>
      </c>
      <c r="B107" s="23">
        <v>8124</v>
      </c>
      <c r="C107" s="56" t="s">
        <v>116</v>
      </c>
      <c r="D107" s="56" t="s">
        <v>116</v>
      </c>
      <c r="E107" s="120" t="s">
        <v>51</v>
      </c>
      <c r="F107" s="69" t="s">
        <v>51</v>
      </c>
      <c r="G107" s="69" t="s">
        <v>51</v>
      </c>
      <c r="H107" s="147"/>
      <c r="I107" s="174"/>
      <c r="J107" s="119"/>
      <c r="K107" s="68"/>
      <c r="L107" s="68"/>
      <c r="M107" s="138"/>
      <c r="N107" s="167"/>
      <c r="O107" s="85">
        <v>-13541</v>
      </c>
      <c r="P107" s="85">
        <v>-13541</v>
      </c>
      <c r="Q107" s="63">
        <f>-L29</f>
        <v>-13541</v>
      </c>
      <c r="R107" s="138">
        <f>+Q107/O107*100</f>
        <v>100</v>
      </c>
      <c r="S107" s="138">
        <f>+Q107/P107*100</f>
        <v>100</v>
      </c>
    </row>
    <row r="108" spans="1:19" ht="18.75">
      <c r="A108" s="26">
        <v>5</v>
      </c>
      <c r="B108" s="9">
        <v>8124</v>
      </c>
      <c r="C108" s="56" t="s">
        <v>79</v>
      </c>
      <c r="D108" s="56" t="s">
        <v>79</v>
      </c>
      <c r="E108" s="109">
        <f t="shared" ref="E108:G110" si="62">+J108+O108</f>
        <v>-72796</v>
      </c>
      <c r="F108" s="61">
        <f t="shared" si="62"/>
        <v>-72816</v>
      </c>
      <c r="G108" s="68">
        <f t="shared" si="62"/>
        <v>-72828</v>
      </c>
      <c r="H108" s="147">
        <f>+G108/E108*100</f>
        <v>100.043958459256</v>
      </c>
      <c r="I108" s="174">
        <f>+G108/F108*100</f>
        <v>100.01647989452866</v>
      </c>
      <c r="J108" s="109"/>
      <c r="K108" s="61"/>
      <c r="L108" s="61"/>
      <c r="M108" s="138"/>
      <c r="N108" s="167"/>
      <c r="O108" s="83">
        <v>-72796</v>
      </c>
      <c r="P108" s="83">
        <v>-72816</v>
      </c>
      <c r="Q108" s="61">
        <f>-86369-Q107</f>
        <v>-72828</v>
      </c>
      <c r="R108" s="138">
        <f>+Q108/O108*100</f>
        <v>100.043958459256</v>
      </c>
      <c r="S108" s="138">
        <f>+Q108/P108*100</f>
        <v>100.01647989452866</v>
      </c>
    </row>
    <row r="109" spans="1:19" ht="18.75">
      <c r="A109" s="13">
        <v>6</v>
      </c>
      <c r="B109" s="15" t="s">
        <v>205</v>
      </c>
      <c r="C109" s="117" t="s">
        <v>206</v>
      </c>
      <c r="D109" s="117" t="s">
        <v>206</v>
      </c>
      <c r="E109" s="118">
        <f t="shared" si="62"/>
        <v>0</v>
      </c>
      <c r="F109" s="37">
        <f t="shared" si="62"/>
        <v>0</v>
      </c>
      <c r="G109" s="68">
        <f t="shared" si="62"/>
        <v>-15000</v>
      </c>
      <c r="H109" s="147"/>
      <c r="I109" s="174"/>
      <c r="J109" s="118"/>
      <c r="K109" s="37"/>
      <c r="L109" s="37"/>
      <c r="M109" s="138"/>
      <c r="N109" s="167"/>
      <c r="O109" s="91"/>
      <c r="P109" s="91"/>
      <c r="Q109" s="37">
        <v>-15000</v>
      </c>
      <c r="R109" s="138"/>
      <c r="S109" s="138"/>
    </row>
    <row r="110" spans="1:19" ht="19.5" thickBot="1">
      <c r="A110" s="280">
        <v>7</v>
      </c>
      <c r="B110" s="17">
        <v>8224</v>
      </c>
      <c r="C110" s="261" t="s">
        <v>163</v>
      </c>
      <c r="D110" s="261" t="s">
        <v>163</v>
      </c>
      <c r="E110" s="107">
        <f t="shared" si="62"/>
        <v>-210527</v>
      </c>
      <c r="F110" s="62">
        <f t="shared" si="62"/>
        <v>-210527</v>
      </c>
      <c r="G110" s="68">
        <f t="shared" si="62"/>
        <v>-210526</v>
      </c>
      <c r="H110" s="156">
        <f>+G110/E110*100</f>
        <v>99.999525001543745</v>
      </c>
      <c r="I110" s="166">
        <f>+G110/F110*100</f>
        <v>99.999525001543745</v>
      </c>
      <c r="J110" s="107">
        <v>-210527</v>
      </c>
      <c r="K110" s="62">
        <v>-210527</v>
      </c>
      <c r="L110" s="62">
        <v>-210526</v>
      </c>
      <c r="M110" s="138">
        <f>+L110/J110*100</f>
        <v>99.999525001543745</v>
      </c>
      <c r="N110" s="167">
        <f>+L110/K110*100</f>
        <v>99.999525001543745</v>
      </c>
      <c r="O110" s="84"/>
      <c r="P110" s="62"/>
      <c r="Q110" s="62"/>
      <c r="R110" s="147"/>
      <c r="S110" s="156"/>
    </row>
    <row r="111" spans="1:19" ht="19.5" thickBot="1">
      <c r="A111" s="72">
        <v>8</v>
      </c>
      <c r="B111" s="277" t="s">
        <v>49</v>
      </c>
      <c r="C111" s="278" t="s">
        <v>185</v>
      </c>
      <c r="D111" s="278" t="s">
        <v>204</v>
      </c>
      <c r="E111" s="279">
        <f>SUM(E104:E110)</f>
        <v>983228</v>
      </c>
      <c r="F111" s="192">
        <f>SUM(F104:F110)</f>
        <v>1295528</v>
      </c>
      <c r="G111" s="192">
        <f>SUM(G104:G110)</f>
        <v>-1284619</v>
      </c>
      <c r="H111" s="185"/>
      <c r="I111" s="186"/>
      <c r="J111" s="279">
        <f>SUM(J104:J110)</f>
        <v>364289</v>
      </c>
      <c r="K111" s="192">
        <f>SUM(K104:K110)</f>
        <v>346869</v>
      </c>
      <c r="L111" s="192">
        <f>SUM(L104:L110)</f>
        <v>-1116142</v>
      </c>
      <c r="M111" s="185"/>
      <c r="N111" s="186"/>
      <c r="O111" s="193">
        <f>SUM(O104:O110)</f>
        <v>605398</v>
      </c>
      <c r="P111" s="192">
        <f>SUM(P104:P110)</f>
        <v>953185</v>
      </c>
      <c r="Q111" s="192">
        <f>SUM(Q104:Q110)</f>
        <v>-167872</v>
      </c>
      <c r="R111" s="185"/>
      <c r="S111" s="185"/>
    </row>
    <row r="112" spans="1:19" ht="16.5" thickBot="1">
      <c r="E112" s="134"/>
      <c r="G112" s="134"/>
      <c r="J112" s="5"/>
      <c r="K112" s="5"/>
      <c r="L112" s="5"/>
      <c r="M112" s="149"/>
      <c r="N112" s="149"/>
      <c r="O112" s="5"/>
      <c r="P112" s="5"/>
      <c r="Q112" s="5"/>
      <c r="R112" s="149"/>
      <c r="S112" s="149"/>
    </row>
    <row r="113" spans="1:21" ht="16.5" thickBot="1">
      <c r="A113" s="24"/>
      <c r="B113" s="11" t="s">
        <v>37</v>
      </c>
      <c r="C113" s="92"/>
      <c r="D113" s="92"/>
      <c r="E113" s="103" t="s">
        <v>62</v>
      </c>
      <c r="F113" s="58"/>
      <c r="G113" s="58"/>
      <c r="H113" s="143"/>
      <c r="I113" s="162"/>
      <c r="J113" s="103" t="s">
        <v>63</v>
      </c>
      <c r="K113" s="58"/>
      <c r="L113" s="58"/>
      <c r="M113" s="143"/>
      <c r="N113" s="162"/>
      <c r="O113" s="58" t="s">
        <v>40</v>
      </c>
      <c r="P113" s="58"/>
      <c r="Q113" s="59"/>
      <c r="R113" s="153"/>
      <c r="S113" s="153"/>
    </row>
    <row r="114" spans="1:21">
      <c r="A114" s="28" t="s">
        <v>1</v>
      </c>
      <c r="B114" s="10"/>
      <c r="C114" s="93" t="s">
        <v>15</v>
      </c>
      <c r="D114" s="93" t="s">
        <v>15</v>
      </c>
      <c r="E114" s="104" t="s">
        <v>52</v>
      </c>
      <c r="F114" s="34" t="s">
        <v>54</v>
      </c>
      <c r="G114" s="300" t="s">
        <v>23</v>
      </c>
      <c r="H114" s="144" t="s">
        <v>0</v>
      </c>
      <c r="I114" s="163" t="s">
        <v>0</v>
      </c>
      <c r="J114" s="104" t="s">
        <v>52</v>
      </c>
      <c r="K114" s="34" t="s">
        <v>54</v>
      </c>
      <c r="L114" s="300" t="s">
        <v>23</v>
      </c>
      <c r="M114" s="144" t="s">
        <v>0</v>
      </c>
      <c r="N114" s="163" t="s">
        <v>0</v>
      </c>
      <c r="O114" s="80" t="s">
        <v>52</v>
      </c>
      <c r="P114" s="34" t="s">
        <v>54</v>
      </c>
      <c r="Q114" s="300" t="s">
        <v>23</v>
      </c>
      <c r="R114" s="144" t="s">
        <v>0</v>
      </c>
      <c r="S114" s="144" t="s">
        <v>0</v>
      </c>
    </row>
    <row r="115" spans="1:21" ht="16.5" thickBot="1">
      <c r="A115" s="30"/>
      <c r="B115" s="31"/>
      <c r="C115" s="94"/>
      <c r="D115" s="94"/>
      <c r="E115" s="105" t="s">
        <v>22</v>
      </c>
      <c r="F115" s="43" t="s">
        <v>22</v>
      </c>
      <c r="G115" s="301"/>
      <c r="H115" s="145" t="s">
        <v>65</v>
      </c>
      <c r="I115" s="164" t="s">
        <v>66</v>
      </c>
      <c r="J115" s="105" t="s">
        <v>22</v>
      </c>
      <c r="K115" s="43" t="s">
        <v>22</v>
      </c>
      <c r="L115" s="301"/>
      <c r="M115" s="145" t="s">
        <v>65</v>
      </c>
      <c r="N115" s="164" t="s">
        <v>66</v>
      </c>
      <c r="O115" s="81" t="s">
        <v>22</v>
      </c>
      <c r="P115" s="43" t="s">
        <v>22</v>
      </c>
      <c r="Q115" s="301"/>
      <c r="R115" s="145" t="s">
        <v>65</v>
      </c>
      <c r="S115" s="145" t="s">
        <v>66</v>
      </c>
    </row>
    <row r="116" spans="1:21" ht="18.75">
      <c r="A116" s="32">
        <v>1</v>
      </c>
      <c r="B116" s="47" t="s">
        <v>47</v>
      </c>
      <c r="C116" s="122" t="s">
        <v>56</v>
      </c>
      <c r="D116" s="122" t="s">
        <v>56</v>
      </c>
      <c r="E116" s="126">
        <f>+E62</f>
        <v>10277219</v>
      </c>
      <c r="F116" s="38">
        <f>+F62</f>
        <v>11635368</v>
      </c>
      <c r="G116" s="38">
        <f>+G62</f>
        <v>12092153</v>
      </c>
      <c r="H116" s="150">
        <f>+G116/E116*100</f>
        <v>117.6597774164392</v>
      </c>
      <c r="I116" s="179">
        <f>+G116/F116*100</f>
        <v>103.92583199775032</v>
      </c>
      <c r="J116" s="126">
        <f>+J62</f>
        <v>9304375</v>
      </c>
      <c r="K116" s="38">
        <f>+K62</f>
        <v>10318844</v>
      </c>
      <c r="L116" s="38">
        <f>+L62</f>
        <v>10887950</v>
      </c>
      <c r="M116" s="150">
        <f>+L116/J116*100</f>
        <v>117.0196816013972</v>
      </c>
      <c r="N116" s="179">
        <f>+L116/K116*100</f>
        <v>105.51521081237394</v>
      </c>
      <c r="O116" s="130">
        <f>+O62</f>
        <v>1961733</v>
      </c>
      <c r="P116" s="38">
        <f>+P62</f>
        <v>2749678</v>
      </c>
      <c r="Q116" s="38">
        <f>+Q62</f>
        <v>2636363</v>
      </c>
      <c r="R116" s="150">
        <f>+Q116/O116*100</f>
        <v>134.38949133240865</v>
      </c>
      <c r="S116" s="150">
        <f>+Q116/P116*100</f>
        <v>95.878972010540878</v>
      </c>
      <c r="U116" s="264"/>
    </row>
    <row r="117" spans="1:21" ht="18.75">
      <c r="A117" s="26">
        <v>2</v>
      </c>
      <c r="B117" s="49" t="s">
        <v>85</v>
      </c>
      <c r="C117" s="123" t="s">
        <v>57</v>
      </c>
      <c r="D117" s="123" t="s">
        <v>57</v>
      </c>
      <c r="E117" s="127">
        <f>+E99</f>
        <v>11260447</v>
      </c>
      <c r="F117" s="36">
        <f>+F99</f>
        <v>12930896</v>
      </c>
      <c r="G117" s="36">
        <f>+G99</f>
        <v>10807534</v>
      </c>
      <c r="H117" s="151">
        <f>+G117/E117*100</f>
        <v>95.977841732215424</v>
      </c>
      <c r="I117" s="180">
        <f>+G117/F117*100</f>
        <v>83.579158010396185</v>
      </c>
      <c r="J117" s="127">
        <f>+J99</f>
        <v>9668664</v>
      </c>
      <c r="K117" s="36">
        <f>+K99</f>
        <v>10665713</v>
      </c>
      <c r="L117" s="36">
        <f>+L99</f>
        <v>9771808</v>
      </c>
      <c r="M117" s="151">
        <f>+L117/J117*100</f>
        <v>101.06678647639427</v>
      </c>
      <c r="N117" s="180">
        <f>+L117/K117*100</f>
        <v>91.618891301500426</v>
      </c>
      <c r="O117" s="131">
        <f>+O99</f>
        <v>2567131</v>
      </c>
      <c r="P117" s="36">
        <f>+P99</f>
        <v>3702863</v>
      </c>
      <c r="Q117" s="36">
        <f>+Q99</f>
        <v>2468491</v>
      </c>
      <c r="R117" s="151">
        <f>+Q117/O117*100</f>
        <v>96.157578245909534</v>
      </c>
      <c r="S117" s="151">
        <f>+Q117/P117*100</f>
        <v>66.664389149693093</v>
      </c>
    </row>
    <row r="118" spans="1:21" ht="19.5" thickBot="1">
      <c r="A118" s="27">
        <v>3</v>
      </c>
      <c r="B118" s="50"/>
      <c r="C118" s="124" t="s">
        <v>50</v>
      </c>
      <c r="D118" s="124" t="s">
        <v>50</v>
      </c>
      <c r="E118" s="128">
        <f>+E116-E117</f>
        <v>-983228</v>
      </c>
      <c r="F118" s="35">
        <f>+F116-F117</f>
        <v>-1295528</v>
      </c>
      <c r="G118" s="35">
        <f>+G116-G117</f>
        <v>1284619</v>
      </c>
      <c r="H118" s="191"/>
      <c r="I118" s="270"/>
      <c r="J118" s="128">
        <f>+J116-J117</f>
        <v>-364289</v>
      </c>
      <c r="K118" s="35">
        <f>+K116-K117</f>
        <v>-346869</v>
      </c>
      <c r="L118" s="35">
        <f>+L116-L117</f>
        <v>1116142</v>
      </c>
      <c r="M118" s="191"/>
      <c r="N118" s="263"/>
      <c r="O118" s="132">
        <f>+O116-O117</f>
        <v>-605398</v>
      </c>
      <c r="P118" s="35">
        <f>+P116-P117</f>
        <v>-953185</v>
      </c>
      <c r="Q118" s="35">
        <f>+Q116-Q117</f>
        <v>167872</v>
      </c>
      <c r="R118" s="191"/>
      <c r="S118" s="191"/>
    </row>
    <row r="119" spans="1:21" ht="19.5" thickBot="1">
      <c r="A119" s="72">
        <v>4</v>
      </c>
      <c r="B119" s="51" t="s">
        <v>49</v>
      </c>
      <c r="C119" s="125" t="s">
        <v>16</v>
      </c>
      <c r="D119" s="125" t="s">
        <v>16</v>
      </c>
      <c r="E119" s="129">
        <f>+E111</f>
        <v>983228</v>
      </c>
      <c r="F119" s="52">
        <f>+F111</f>
        <v>1295528</v>
      </c>
      <c r="G119" s="52">
        <f>+G111</f>
        <v>-1284619</v>
      </c>
      <c r="H119" s="152"/>
      <c r="I119" s="181"/>
      <c r="J119" s="129">
        <f>+J111</f>
        <v>364289</v>
      </c>
      <c r="K119" s="52">
        <f>+K111</f>
        <v>346869</v>
      </c>
      <c r="L119" s="52">
        <f>+L111</f>
        <v>-1116142</v>
      </c>
      <c r="M119" s="152"/>
      <c r="N119" s="181"/>
      <c r="O119" s="133">
        <f>+O111</f>
        <v>605398</v>
      </c>
      <c r="P119" s="52">
        <f>+P111</f>
        <v>953185</v>
      </c>
      <c r="Q119" s="52">
        <f>+Q111</f>
        <v>-167872</v>
      </c>
      <c r="R119" s="152"/>
      <c r="S119" s="152"/>
      <c r="U119" s="264"/>
    </row>
    <row r="120" spans="1:21">
      <c r="G120" s="134"/>
      <c r="L120" s="218"/>
    </row>
    <row r="121" spans="1:21">
      <c r="F121" s="134"/>
      <c r="G121" s="134"/>
      <c r="H121" s="134"/>
      <c r="L121" s="218"/>
    </row>
    <row r="122" spans="1:21">
      <c r="F122" s="134"/>
      <c r="G122" s="134"/>
    </row>
    <row r="123" spans="1:21" hidden="1">
      <c r="F123" s="287"/>
    </row>
  </sheetData>
  <mergeCells count="14">
    <mergeCell ref="J101:N101"/>
    <mergeCell ref="Q102:Q103"/>
    <mergeCell ref="Q114:Q115"/>
    <mergeCell ref="G102:G103"/>
    <mergeCell ref="G114:G115"/>
    <mergeCell ref="L114:L115"/>
    <mergeCell ref="L102:L103"/>
    <mergeCell ref="G5:G6"/>
    <mergeCell ref="G65:G66"/>
    <mergeCell ref="L65:L66"/>
    <mergeCell ref="L5:L6"/>
    <mergeCell ref="Q5:Q6"/>
    <mergeCell ref="Q65:Q66"/>
    <mergeCell ref="J64:N64"/>
  </mergeCells>
  <phoneticPr fontId="0" type="noConversion"/>
  <printOptions horizontalCentered="1"/>
  <pageMargins left="0.19685039370078741" right="0.19685039370078741" top="0.37" bottom="0.28000000000000003" header="0" footer="0"/>
  <pageSetup paperSize="9" scale="48" fitToHeight="2" orientation="landscape" r:id="rId1"/>
  <headerFooter alignWithMargins="0"/>
  <rowBreaks count="1" manualBreakCount="1">
    <brk id="62" max="1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</vt:i4>
      </vt:variant>
    </vt:vector>
  </HeadingPairs>
  <TitlesOfParts>
    <vt:vector size="10" baseType="lpstr">
      <vt:lpstr>Statut</vt:lpstr>
      <vt:lpstr>Transfery</vt:lpstr>
      <vt:lpstr>Město</vt:lpstr>
      <vt:lpstr>MČ</vt:lpstr>
      <vt:lpstr>Statut=Město+MČ</vt:lpstr>
      <vt:lpstr>MČ!Oblast_tisku</vt:lpstr>
      <vt:lpstr>Město!Oblast_tisku</vt:lpstr>
      <vt:lpstr>Statut!Oblast_tisku</vt:lpstr>
      <vt:lpstr>'Statut=Město+MČ'!Oblast_tisku</vt:lpstr>
      <vt:lpstr>Transfery!Oblast_tisku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Marcela Dušková</dc:creator>
  <cp:lastModifiedBy>Jiří Trnečka</cp:lastModifiedBy>
  <cp:lastPrinted>2014-04-14T05:50:52Z</cp:lastPrinted>
  <dcterms:created xsi:type="dcterms:W3CDTF">1999-11-22T06:38:01Z</dcterms:created>
  <dcterms:modified xsi:type="dcterms:W3CDTF">2014-06-10T06:14:26Z</dcterms:modified>
</cp:coreProperties>
</file>